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theme/themeOverride40.xml" ContentType="application/vnd.openxmlformats-officedocument.themeOverride+xml"/>
  <Override PartName="/xl/charts/chart41.xml" ContentType="application/vnd.openxmlformats-officedocument.drawingml.chart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theme/themeOverride45.xml" ContentType="application/vnd.openxmlformats-officedocument.themeOverride+xml"/>
  <Override PartName="/xl/charts/chart46.xml" ContentType="application/vnd.openxmlformats-officedocument.drawingml.chart+xml"/>
  <Override PartName="/xl/theme/themeOverride46.xml" ContentType="application/vnd.openxmlformats-officedocument.themeOverride+xml"/>
  <Override PartName="/xl/drawings/drawing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4.xml" ContentType="application/vnd.openxmlformats-officedocument.drawing+xml"/>
  <Override PartName="/xl/comments8.xml" ContentType="application/vnd.openxmlformats-officedocument.spreadsheetml.comments+xml"/>
  <Override PartName="/xl/drawings/drawing5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6" windowHeight="7452" tabRatio="900"/>
  </bookViews>
  <sheets>
    <sheet name="Scenarios &amp; Version Control" sheetId="32" r:id="rId1"/>
    <sheet name="ML Adjustments" sheetId="65" r:id="rId2"/>
    <sheet name="Muswellbrook FFF Ratios" sheetId="29" r:id="rId3"/>
    <sheet name="General Fund Graphs" sheetId="30" r:id="rId4"/>
    <sheet name="LTFP Ratios" sheetId="27" state="hidden" r:id="rId5"/>
    <sheet name="LTFP Chart Data" sheetId="28" r:id="rId6"/>
    <sheet name="LTFP Assumptions" sheetId="12" r:id="rId7"/>
    <sheet name="Delivery Program - No SRV" sheetId="69" r:id="rId8"/>
    <sheet name="Delivery Program - With SRV" sheetId="68" r:id="rId9"/>
    <sheet name="GF &amp; FF  Inc Exp Statement" sheetId="4" r:id="rId10"/>
    <sheet name="Rates Inc Scenario 2 - 9%" sheetId="18" state="hidden" r:id="rId11"/>
    <sheet name="Scenario 2 Inc Exp Statement" sheetId="13" state="hidden" r:id="rId12"/>
    <sheet name="GF &amp; FF   Cash Flow" sheetId="2" r:id="rId13"/>
    <sheet name="Scenario 2 Cash Flow" sheetId="15" state="hidden" r:id="rId14"/>
    <sheet name="GF &amp; FF  Bal Sheet" sheetId="14" r:id="rId15"/>
    <sheet name="Scenario2  Bal Sheet" sheetId="1" state="hidden" r:id="rId16"/>
    <sheet name="GF &amp; FF  Equity Statement" sheetId="3" r:id="rId17"/>
    <sheet name="Scenario 2 Equity Statement" sheetId="16" state="hidden" r:id="rId18"/>
    <sheet name="Comp Inc &amp; W-Funds" sheetId="6" state="hidden" r:id="rId19"/>
    <sheet name="Scenario 2 Inc &amp; W-Funds" sheetId="17" state="hidden" r:id="rId20"/>
    <sheet name="Future Fund  Inc Exp Statement" sheetId="49" r:id="rId21"/>
    <sheet name="Future Fund  Cash Flow" sheetId="50" r:id="rId22"/>
    <sheet name="Future Fund  Bal Sheet" sheetId="51" r:id="rId23"/>
    <sheet name="Future Fund  Equity Statement" sheetId="52" r:id="rId24"/>
    <sheet name="Gen Fund  Inc Exp Statement" sheetId="61" r:id="rId25"/>
    <sheet name="Gen Fund  Cash Flow" sheetId="54" r:id="rId26"/>
    <sheet name="Gen Fund  Bal Sheet" sheetId="62" r:id="rId27"/>
    <sheet name="General Fund  Equity Statement" sheetId="63" r:id="rId28"/>
    <sheet name="Water  Fund  Inc Exp Statement " sheetId="38" r:id="rId29"/>
    <sheet name="Water  Fund  Cash Flow" sheetId="39" r:id="rId30"/>
    <sheet name="Water Fund  Bal Sheet" sheetId="40" r:id="rId31"/>
    <sheet name="Water Fund  Equity Statement" sheetId="41" r:id="rId32"/>
    <sheet name="Sewer  Fund  Inc Exp Statem" sheetId="57" r:id="rId33"/>
    <sheet name="Sewer  Fund  Cash Flow" sheetId="58" r:id="rId34"/>
    <sheet name="Sewer Fund  Bal Sheet" sheetId="59" r:id="rId35"/>
    <sheet name="Sewer Fund  Equity Statemen" sheetId="60" r:id="rId36"/>
    <sheet name="Consol  Inc Exp Statement" sheetId="34" r:id="rId37"/>
    <sheet name="Consol Cash Flow" sheetId="35" r:id="rId38"/>
    <sheet name="Consol  Bal Sheet" sheetId="36" r:id="rId39"/>
    <sheet name="Consol  Equity Statement" sheetId="37" r:id="rId40"/>
    <sheet name="Mining Revenue &amp; Rates growth" sheetId="19" state="hidden" r:id="rId41"/>
    <sheet name="Renewals &amp; Maintenance" sheetId="21" r:id="rId42"/>
    <sheet name="Sheet1" sheetId="26" state="hidden" r:id="rId43"/>
    <sheet name="Revised Capital budget No SRV" sheetId="66" r:id="rId44"/>
    <sheet name="Revised Capital Budget Incl SRV" sheetId="67" r:id="rId45"/>
    <sheet name="Opex No SRV" sheetId="46" r:id="rId46"/>
    <sheet name="Opex with SRV" sheetId="45" r:id="rId47"/>
    <sheet name="CPI &amp; IPART calc" sheetId="47" r:id="rId48"/>
    <sheet name="Mining Revenue Impact" sheetId="48" r:id="rId49"/>
    <sheet name="Rates Revenue Analysis" sheetId="64" r:id="rId50"/>
    <sheet name="Capital Budget -  Incl SRV" sheetId="44" r:id="rId51"/>
    <sheet name="OLD Capital Budget - NO SRV" sheetId="42" r:id="rId52"/>
    <sheet name="Cap new-renew" sheetId="22" state="hidden" r:id="rId53"/>
    <sheet name="Rates" sheetId="23" state="hidden" r:id="rId54"/>
    <sheet name="Maintenance" sheetId="25" state="hidden" r:id="rId55"/>
    <sheet name="Capital Program" sheetId="7" state="hidden" r:id="rId56"/>
    <sheet name="Capital" sheetId="20" state="hidden" r:id="rId57"/>
    <sheet name="Ratios" sheetId="8" state="hidden" r:id="rId58"/>
    <sheet name="Charts" sheetId="11" state="hidden" r:id="rId59"/>
    <sheet name="Reserves" sheetId="9" state="hidden" r:id="rId60"/>
    <sheet name="Depreciation" sheetId="10" state="hidden" r:id="rId61"/>
  </sheets>
  <externalReferences>
    <externalReference r:id="rId62"/>
    <externalReference r:id="rId63"/>
    <externalReference r:id="rId64"/>
    <externalReference r:id="rId65"/>
  </externalReferences>
  <definedNames>
    <definedName name="CarryForward" localSheetId="52">#REF!</definedName>
    <definedName name="CarryForward" localSheetId="56">#REF!</definedName>
    <definedName name="CarryForward" localSheetId="54">#REF!</definedName>
    <definedName name="CarryForward" localSheetId="53">#REF!</definedName>
    <definedName name="CarryForward" localSheetId="13">#REF!</definedName>
    <definedName name="CarryForward" localSheetId="17">#REF!</definedName>
    <definedName name="CarryForward" localSheetId="19">#REF!</definedName>
    <definedName name="CarryForward" localSheetId="11">#REF!</definedName>
    <definedName name="cash_investments_selection" localSheetId="52" hidden="1">#REF!</definedName>
    <definedName name="cash_investments_selection" localSheetId="56" hidden="1">#REF!</definedName>
    <definedName name="cash_investments_selection" localSheetId="55" hidden="1">#REF!</definedName>
    <definedName name="cash_investments_selection" localSheetId="38" hidden="1">#REF!</definedName>
    <definedName name="cash_investments_selection" localSheetId="39" hidden="1">#REF!</definedName>
    <definedName name="cash_investments_selection" localSheetId="36" hidden="1">#REF!</definedName>
    <definedName name="cash_investments_selection" localSheetId="37" hidden="1">#REF!</definedName>
    <definedName name="cash_investments_selection" localSheetId="7" hidden="1">#REF!</definedName>
    <definedName name="cash_investments_selection" localSheetId="8" hidden="1">#REF!</definedName>
    <definedName name="cash_investments_selection" localSheetId="22" hidden="1">#REF!</definedName>
    <definedName name="cash_investments_selection" localSheetId="21" hidden="1">#REF!</definedName>
    <definedName name="cash_investments_selection" localSheetId="23" hidden="1">#REF!</definedName>
    <definedName name="cash_investments_selection" localSheetId="20" hidden="1">#REF!</definedName>
    <definedName name="cash_investments_selection" localSheetId="26" hidden="1">#REF!</definedName>
    <definedName name="cash_investments_selection" localSheetId="25" hidden="1">#REF!</definedName>
    <definedName name="cash_investments_selection" localSheetId="24" hidden="1">#REF!</definedName>
    <definedName name="cash_investments_selection" localSheetId="27" hidden="1">#REF!</definedName>
    <definedName name="cash_investments_selection" localSheetId="3" hidden="1">#REF!</definedName>
    <definedName name="cash_investments_selection" localSheetId="14" hidden="1">#REF!</definedName>
    <definedName name="cash_investments_selection" localSheetId="6" hidden="1">#REF!</definedName>
    <definedName name="cash_investments_selection" localSheetId="54" hidden="1">#REF!</definedName>
    <definedName name="cash_investments_selection" localSheetId="2" hidden="1">#REF!</definedName>
    <definedName name="cash_investments_selection" localSheetId="53" hidden="1">#REF!</definedName>
    <definedName name="cash_investments_selection" localSheetId="59" hidden="1">#REF!</definedName>
    <definedName name="cash_investments_selection" localSheetId="13" hidden="1">#REF!</definedName>
    <definedName name="cash_investments_selection" localSheetId="17" hidden="1">#REF!</definedName>
    <definedName name="cash_investments_selection" localSheetId="19" hidden="1">#REF!</definedName>
    <definedName name="cash_investments_selection" localSheetId="11" hidden="1">#REF!</definedName>
    <definedName name="cash_investments_selection" localSheetId="33" hidden="1">#REF!</definedName>
    <definedName name="cash_investments_selection" localSheetId="32" hidden="1">#REF!</definedName>
    <definedName name="cash_investments_selection" localSheetId="34" hidden="1">#REF!</definedName>
    <definedName name="cash_investments_selection" localSheetId="35" hidden="1">#REF!</definedName>
    <definedName name="cash_investments_selection" localSheetId="29" hidden="1">#REF!</definedName>
    <definedName name="cash_investments_selection" localSheetId="28" hidden="1">#REF!</definedName>
    <definedName name="cash_investments_selection" localSheetId="30" hidden="1">#REF!</definedName>
    <definedName name="cash_investments_selection" localSheetId="31" hidden="1">#REF!</definedName>
    <definedName name="cash_investments_selection" hidden="1">#REF!</definedName>
    <definedName name="chart_01_series" hidden="1">OFFSET('[1]5. KPI''s'!$AO$15,0,0,1,-COUNT('[1]5. KPI''s'!$AK$15:$AO$15))</definedName>
    <definedName name="chart_01_year" hidden="1">OFFSET('[1]5. KPI''s'!$AO$14,0,0,1,-(COUNTA('[1]5. KPI''s'!$AK$14:$AO$14)-COUNTBLANK('[1]5. KPI''s'!$AK$14:$AO$14)))</definedName>
    <definedName name="chart_02_series" hidden="1">OFFSET('[1]5. KPI''s'!$AO$24,0,0,1,-COUNT('[1]5. KPI''s'!$AK$24:$AO$24))</definedName>
    <definedName name="chart_02_year" hidden="1">OFFSET('[1]5. KPI''s'!$AO$23,0,0,1,-(COUNTA('[1]5. KPI''s'!$AK$23:$AO$23)-COUNTBLANK('[1]5. KPI''s'!$AK$23:$AO$23)))</definedName>
    <definedName name="chart_03_series" hidden="1">OFFSET('[1]5. KPI''s'!$AO$33,0,0,1,-COUNT('[1]5. KPI''s'!$AK$33:$AO$33))</definedName>
    <definedName name="chart_03_year" hidden="1">OFFSET('[1]5. KPI''s'!$AO$32,0,0,1,-(COUNTA('[1]5. KPI''s'!$AK$32:$AO$32)-COUNTBLANK('[1]5. KPI''s'!$AK$32:$AO$32)))</definedName>
    <definedName name="chart_04_series" hidden="1">OFFSET('[1]5. KPI''s'!$AO$42,0,0,1,-COUNT('[1]5. KPI''s'!$AK$42:$AO$42))</definedName>
    <definedName name="chart_04_year" hidden="1">OFFSET('[1]5. KPI''s'!$AO$41,0,0,1,-(COUNTA('[1]5. KPI''s'!$AK$41:$AO$41)-COUNTBLANK('[1]5. KPI''s'!$AK$41:$AO$41)))</definedName>
    <definedName name="chart_05_series" hidden="1">OFFSET('[1]5. KPI''s'!$AO$51,0,0,1,-COUNT('[1]5. KPI''s'!$AK$51:$AO$51))</definedName>
    <definedName name="chart_05_year" hidden="1">OFFSET('[1]5. KPI''s'!$AO$50,0,0,1,-(COUNTA('[1]5. KPI''s'!$AK$50:$AO$50)-COUNTBLANK('[1]5. KPI''s'!$AK$50:$AO$50)))</definedName>
    <definedName name="chart_06_series" hidden="1">OFFSET('[1]5. KPI''s'!$AO$60,0,0,1,-COUNT('[1]5. KPI''s'!$AK$60:$AO$60))</definedName>
    <definedName name="chart_06_year" hidden="1">OFFSET('[1]5. KPI''s'!$AO$59,0,0,1,-(COUNTA('[1]5. KPI''s'!$AK$59:$AO$59)-COUNTBLANK('[1]5. KPI''s'!$AK$59:$AO$59)))</definedName>
    <definedName name="chart_07_series" hidden="1">OFFSET('[1]5. KPI''s'!$AO$69,0,0,1,-COUNT('[1]5. KPI''s'!$AK$69:$AO$69))</definedName>
    <definedName name="chart_07_year" hidden="1">OFFSET('[1]5. KPI''s'!$AO$68,0,0,1,-(COUNTA('[1]5. KPI''s'!$AK$68:$AO$68)-COUNTBLANK('[1]5. KPI''s'!$AK$68:$AO$68)))</definedName>
    <definedName name="chart_08_series" hidden="1">OFFSET('[1]5. KPI''s'!$AO$78,0,0,1,-COUNT('[1]5. KPI''s'!$AK$78:$AO$78))</definedName>
    <definedName name="chart_08_year" hidden="1">OFFSET('[1]5. KPI''s'!$AO$77,0,0,1,-(COUNTA('[1]5. KPI''s'!$AK$77:$AO$77)-COUNTBLANK('[1]5. KPI''s'!$AK$77:$AO$77)))</definedName>
    <definedName name="chart_09_series" hidden="1">OFFSET('[1]5. KPI''s'!$AO$87,0,0,1,-COUNT('[1]5. KPI''s'!$AK$87:$AO$87))</definedName>
    <definedName name="chart_09_year" hidden="1">OFFSET('[1]5. KPI''s'!$AO$86,0,0,1,-(COUNTA('[1]5. KPI''s'!$AK$86:$AO$86)-COUNTBLANK('[1]5. KPI''s'!$AK$86:$AO$86)))</definedName>
    <definedName name="chart_10_series" hidden="1">OFFSET('[1]5. KPI''s'!$AO$96,0,0,1,-COUNT('[1]5. KPI''s'!$AK$96:$AO$96))</definedName>
    <definedName name="chart_10_year" hidden="1">OFFSET('[1]5. KPI''s'!$AO$95,0,0,1,-(COUNTA('[1]5. KPI''s'!$AK$95:$AO$95)-COUNTBLANK('[1]5. KPI''s'!$AK$95:$AO$95)))</definedName>
    <definedName name="chart_11_series" hidden="1">OFFSET('[1]5. KPI''s'!$AO$105,0,0,1,-COUNT('[1]5. KPI''s'!$AK$105:$AO$105))</definedName>
    <definedName name="chart_11_year" hidden="1">OFFSET('[1]5. KPI''s'!$AO$104,0,0,1,-(COUNTA('[1]5. KPI''s'!$AK$104:$AO$104)-COUNTBLANK('[1]5. KPI''s'!$AK$104:$AO$104)))</definedName>
    <definedName name="chart_12_series" hidden="1">OFFSET('[1]5. KPI''s'!$AO$114,0,0,1,-COUNT('[1]5. KPI''s'!$AK$114:$AO$114))</definedName>
    <definedName name="chart_12_year" hidden="1">OFFSET('[1]5. KPI''s'!$AO$113,0,0,1,-(COUNTA('[1]5. KPI''s'!$AK$113:$AO$113)-COUNTBLANK('[1]5. KPI''s'!$AK$113:$AO$113)))</definedName>
    <definedName name="chart_13_series" hidden="1">OFFSET('[1]5. KPI''s'!$AO$123,0,0,1,-COUNT('[1]5. KPI''s'!$AK$123:$AO$123))</definedName>
    <definedName name="chart_13_year" hidden="1">OFFSET('[1]5. KPI''s'!$AO$122,0,0,1,-(COUNTA('[1]5. KPI''s'!$AK$122:$AO$122)-COUNTBLANK('[1]5. KPI''s'!$AK$122:$AO$122)))</definedName>
    <definedName name="chart_14_series" hidden="1">OFFSET('[1]5. KPI''s'!$AO$132,0,0,1,-COUNT('[1]5. KPI''s'!$AK$132:$AO$132))</definedName>
    <definedName name="chart_14_year" hidden="1">OFFSET('[1]5. KPI''s'!$AO$131,0,0,1,-(COUNTA('[1]5. KPI''s'!$AK$131:$AO$131)-COUNTBLANK('[1]5. KPI''s'!$AK$131:$AO$131)))</definedName>
    <definedName name="chart_15_series" hidden="1">OFFSET('[1]5. KPI''s'!$AO$141,0,0,1,-COUNT('[1]5. KPI''s'!$AK$141:$AO$141))</definedName>
    <definedName name="chart_15_year" hidden="1">OFFSET('[1]5. KPI''s'!$AO$140,0,0,1,-(COUNTA('[1]5. KPI''s'!$AK$140:$AO$140)-COUNTBLANK('[1]5. KPI''s'!$AK$140:$AO$140)))</definedName>
    <definedName name="chart_format_list" hidden="1">'[1]5. KPI''s'!$AS$1:$AS$9</definedName>
    <definedName name="data2" localSheetId="52">#REF!</definedName>
    <definedName name="data2" localSheetId="56">#REF!</definedName>
    <definedName name="data2" localSheetId="55">#REF!</definedName>
    <definedName name="data2" localSheetId="54">#REF!</definedName>
    <definedName name="data2" localSheetId="53">#REF!</definedName>
    <definedName name="data2" localSheetId="59">#REF!</definedName>
    <definedName name="data2" localSheetId="13">#REF!</definedName>
    <definedName name="data2" localSheetId="17">#REF!</definedName>
    <definedName name="data2" localSheetId="19">#REF!</definedName>
    <definedName name="data2" localSheetId="11">#REF!</definedName>
    <definedName name="Datadisc" localSheetId="52">#REF!</definedName>
    <definedName name="Datadisc" localSheetId="56">#REF!</definedName>
    <definedName name="Datadisc" localSheetId="55">#REF!</definedName>
    <definedName name="Datadisc" localSheetId="54">#REF!</definedName>
    <definedName name="Datadisc" localSheetId="53">#REF!</definedName>
    <definedName name="Datadisc" localSheetId="59">#REF!</definedName>
    <definedName name="Datadisc" localSheetId="13">#REF!</definedName>
    <definedName name="Datadisc" localSheetId="17">#REF!</definedName>
    <definedName name="Datadisc" localSheetId="19">#REF!</definedName>
    <definedName name="Datadisc" localSheetId="11">#REF!</definedName>
    <definedName name="DecRev" localSheetId="52">#REF!</definedName>
    <definedName name="DecRev" localSheetId="56">#REF!</definedName>
    <definedName name="DecRev" localSheetId="54">#REF!</definedName>
    <definedName name="DecRev" localSheetId="53">#REF!</definedName>
    <definedName name="DecRev" localSheetId="13">#REF!</definedName>
    <definedName name="DecRev" localSheetId="17">#REF!</definedName>
    <definedName name="DecRev" localSheetId="19">#REF!</definedName>
    <definedName name="DecRev" localSheetId="11">#REF!</definedName>
    <definedName name="DepAddBack" localSheetId="52">#REF!</definedName>
    <definedName name="DepAddBack" localSheetId="56">#REF!</definedName>
    <definedName name="DepAddBack" localSheetId="54">#REF!</definedName>
    <definedName name="DepAddBack" localSheetId="53">#REF!</definedName>
    <definedName name="DepAddBack" localSheetId="13">#REF!</definedName>
    <definedName name="DepAddBack" localSheetId="17">#REF!</definedName>
    <definedName name="DepAddBack" localSheetId="19">#REF!</definedName>
    <definedName name="DepAddBack" localSheetId="11">#REF!</definedName>
    <definedName name="fund_drop_down_list" hidden="1">OFFSET([1]Parameters!$S$15,0,0,(COUNTA([1]Parameters!$S$15:$S$43)-COUNTBLANK([1]Parameters!$S$15:$S$43)),1)</definedName>
    <definedName name="header" localSheetId="44">'[2]Consolidated Funds Summary'!$B$1</definedName>
    <definedName name="header">'[3]Consolidated Funds Summary'!$B$1</definedName>
    <definedName name="IE_type_selection" localSheetId="52" hidden="1">#REF!</definedName>
    <definedName name="IE_type_selection" localSheetId="56" hidden="1">#REF!</definedName>
    <definedName name="IE_type_selection" localSheetId="55" hidden="1">#REF!</definedName>
    <definedName name="IE_type_selection" localSheetId="38" hidden="1">#REF!</definedName>
    <definedName name="IE_type_selection" localSheetId="39" hidden="1">#REF!</definedName>
    <definedName name="IE_type_selection" localSheetId="36" hidden="1">#REF!</definedName>
    <definedName name="IE_type_selection" localSheetId="37" hidden="1">#REF!</definedName>
    <definedName name="IE_type_selection" localSheetId="7" hidden="1">#REF!</definedName>
    <definedName name="IE_type_selection" localSheetId="8" hidden="1">#REF!</definedName>
    <definedName name="IE_type_selection" localSheetId="22" hidden="1">#REF!</definedName>
    <definedName name="IE_type_selection" localSheetId="21" hidden="1">#REF!</definedName>
    <definedName name="IE_type_selection" localSheetId="23" hidden="1">#REF!</definedName>
    <definedName name="IE_type_selection" localSheetId="20" hidden="1">#REF!</definedName>
    <definedName name="IE_type_selection" localSheetId="26" hidden="1">#REF!</definedName>
    <definedName name="IE_type_selection" localSheetId="25" hidden="1">#REF!</definedName>
    <definedName name="IE_type_selection" localSheetId="24" hidden="1">#REF!</definedName>
    <definedName name="IE_type_selection" localSheetId="27" hidden="1">#REF!</definedName>
    <definedName name="IE_type_selection" localSheetId="3" hidden="1">#REF!</definedName>
    <definedName name="IE_type_selection" localSheetId="14" hidden="1">#REF!</definedName>
    <definedName name="IE_type_selection" localSheetId="6" hidden="1">#REF!</definedName>
    <definedName name="IE_type_selection" localSheetId="54" hidden="1">#REF!</definedName>
    <definedName name="IE_type_selection" localSheetId="2" hidden="1">#REF!</definedName>
    <definedName name="IE_type_selection" localSheetId="53" hidden="1">#REF!</definedName>
    <definedName name="IE_type_selection" localSheetId="59" hidden="1">#REF!</definedName>
    <definedName name="IE_type_selection" localSheetId="13" hidden="1">#REF!</definedName>
    <definedName name="IE_type_selection" localSheetId="17" hidden="1">#REF!</definedName>
    <definedName name="IE_type_selection" localSheetId="19" hidden="1">#REF!</definedName>
    <definedName name="IE_type_selection" localSheetId="11" hidden="1">#REF!</definedName>
    <definedName name="IE_type_selection" localSheetId="33" hidden="1">#REF!</definedName>
    <definedName name="IE_type_selection" localSheetId="32" hidden="1">#REF!</definedName>
    <definedName name="IE_type_selection" localSheetId="34" hidden="1">#REF!</definedName>
    <definedName name="IE_type_selection" localSheetId="35" hidden="1">#REF!</definedName>
    <definedName name="IE_type_selection" localSheetId="29" hidden="1">#REF!</definedName>
    <definedName name="IE_type_selection" localSheetId="28" hidden="1">#REF!</definedName>
    <definedName name="IE_type_selection" localSheetId="30" hidden="1">#REF!</definedName>
    <definedName name="IE_type_selection" localSheetId="31" hidden="1">#REF!</definedName>
    <definedName name="IE_type_selection" hidden="1">#REF!</definedName>
    <definedName name="MarRev" localSheetId="52">#REF!</definedName>
    <definedName name="MarRev" localSheetId="56">#REF!</definedName>
    <definedName name="MarRev" localSheetId="54">#REF!</definedName>
    <definedName name="MarRev" localSheetId="53">#REF!</definedName>
    <definedName name="MarRev" localSheetId="13">#REF!</definedName>
    <definedName name="MarRev" localSheetId="17">#REF!</definedName>
    <definedName name="MarRev" localSheetId="19">#REF!</definedName>
    <definedName name="MarRev" localSheetId="11">#REF!</definedName>
    <definedName name="OrigBudFujitsu" localSheetId="52">#REF!</definedName>
    <definedName name="OrigBudFujitsu" localSheetId="56">#REF!</definedName>
    <definedName name="OrigBudFujitsu" localSheetId="55">#REF!</definedName>
    <definedName name="OrigBudFujitsu" localSheetId="54">#REF!</definedName>
    <definedName name="OrigBudFujitsu" localSheetId="53">#REF!</definedName>
    <definedName name="OrigBudFujitsu" localSheetId="59">#REF!</definedName>
    <definedName name="OrigBudFujitsu" localSheetId="13">#REF!</definedName>
    <definedName name="OrigBudFujitsu" localSheetId="17">#REF!</definedName>
    <definedName name="OrigBudFujitsu" localSheetId="19">#REF!</definedName>
    <definedName name="OrigBudFujitsu" localSheetId="11">#REF!</definedName>
    <definedName name="_xlnm.Print_Area" localSheetId="55">'Capital Program'!$A$1:$M$32</definedName>
    <definedName name="_xlnm.Print_Area" localSheetId="38">'Consol  Bal Sheet'!$A$1:$P$134</definedName>
    <definedName name="_xlnm.Print_Area" localSheetId="39">'Consol  Equity Statement'!$A$1:$P$101</definedName>
    <definedName name="_xlnm.Print_Area" localSheetId="36">'Consol  Inc Exp Statement'!$A$1:$P$189</definedName>
    <definedName name="_xlnm.Print_Area" localSheetId="37">'Consol Cash Flow'!$A$1:$P$158</definedName>
    <definedName name="_xlnm.Print_Area" localSheetId="7">'Delivery Program - No SRV'!$A$1:$H$147</definedName>
    <definedName name="_xlnm.Print_Area" localSheetId="8">'Delivery Program - With SRV'!$A$1:$H$251</definedName>
    <definedName name="_xlnm.Print_Area" localSheetId="22">'Future Fund  Bal Sheet'!$A$1:$P$134</definedName>
    <definedName name="_xlnm.Print_Area" localSheetId="21">'Future Fund  Cash Flow'!$A$1:$P$158</definedName>
    <definedName name="_xlnm.Print_Area" localSheetId="20">'Future Fund  Inc Exp Statement'!$A$1:$P$193</definedName>
    <definedName name="_xlnm.Print_Area" localSheetId="26">'Gen Fund  Bal Sheet'!$A$1:$P$134</definedName>
    <definedName name="_xlnm.Print_Area" localSheetId="25">'Gen Fund  Cash Flow'!$A$1:$P$158</definedName>
    <definedName name="_xlnm.Print_Area" localSheetId="24">'Gen Fund  Inc Exp Statement'!$A$1:$P$197</definedName>
    <definedName name="_xlnm.Print_Area" localSheetId="3">'General Fund Graphs'!$B$90:$E$328</definedName>
    <definedName name="_xlnm.Print_Area" localSheetId="12">'GF &amp; FF   Cash Flow'!$A$1:$P$159</definedName>
    <definedName name="_xlnm.Print_Area" localSheetId="14">'GF &amp; FF  Bal Sheet'!$A$1:$P$134</definedName>
    <definedName name="_xlnm.Print_Area" localSheetId="16">'GF &amp; FF  Equity Statement'!$A$1:$P$102</definedName>
    <definedName name="_xlnm.Print_Area" localSheetId="9">'GF &amp; FF  Inc Exp Statement'!$A$1:$P$193</definedName>
    <definedName name="_xlnm.Print_Area" localSheetId="11">'Scenario 2 Inc Exp Statement'!$A$1:$M$34</definedName>
    <definedName name="_xlnm.Print_Area" localSheetId="33">'Sewer  Fund  Cash Flow'!$A$1:$P$158</definedName>
    <definedName name="_xlnm.Print_Area" localSheetId="32">'Sewer  Fund  Inc Exp Statem'!$A$1:$P$187</definedName>
    <definedName name="_xlnm.Print_Area" localSheetId="34">'Sewer Fund  Bal Sheet'!$A$1:$P$134</definedName>
    <definedName name="_xlnm.Print_Area" localSheetId="29">'Water  Fund  Cash Flow'!$A$1:$P$158</definedName>
    <definedName name="_xlnm.Print_Area" localSheetId="28">'Water  Fund  Inc Exp Statement '!$A$1:$P$187</definedName>
    <definedName name="_xlnm.Print_Area" localSheetId="30">'Water Fund  Bal Sheet'!$A$1:$P$134</definedName>
    <definedName name="_xlnm.Print_Area" localSheetId="31">'Water Fund  Equity Statement'!$A$1:$P$101</definedName>
    <definedName name="qbrs_06_contracts" localSheetId="52" hidden="1">#REF!</definedName>
    <definedName name="qbrs_06_contracts" localSheetId="56" hidden="1">#REF!</definedName>
    <definedName name="qbrs_06_contracts" localSheetId="55" hidden="1">#REF!</definedName>
    <definedName name="qbrs_06_contracts" localSheetId="38" hidden="1">#REF!</definedName>
    <definedName name="qbrs_06_contracts" localSheetId="39" hidden="1">#REF!</definedName>
    <definedName name="qbrs_06_contracts" localSheetId="36" hidden="1">#REF!</definedName>
    <definedName name="qbrs_06_contracts" localSheetId="37" hidden="1">#REF!</definedName>
    <definedName name="qbrs_06_contracts" localSheetId="7" hidden="1">#REF!</definedName>
    <definedName name="qbrs_06_contracts" localSheetId="8" hidden="1">#REF!</definedName>
    <definedName name="qbrs_06_contracts" localSheetId="22" hidden="1">#REF!</definedName>
    <definedName name="qbrs_06_contracts" localSheetId="21" hidden="1">#REF!</definedName>
    <definedName name="qbrs_06_contracts" localSheetId="23" hidden="1">#REF!</definedName>
    <definedName name="qbrs_06_contracts" localSheetId="20" hidden="1">#REF!</definedName>
    <definedName name="qbrs_06_contracts" localSheetId="26" hidden="1">#REF!</definedName>
    <definedName name="qbrs_06_contracts" localSheetId="25" hidden="1">#REF!</definedName>
    <definedName name="qbrs_06_contracts" localSheetId="24" hidden="1">#REF!</definedName>
    <definedName name="qbrs_06_contracts" localSheetId="27" hidden="1">#REF!</definedName>
    <definedName name="qbrs_06_contracts" localSheetId="3" hidden="1">#REF!</definedName>
    <definedName name="qbrs_06_contracts" localSheetId="14" hidden="1">#REF!</definedName>
    <definedName name="qbrs_06_contracts" localSheetId="6" hidden="1">#REF!</definedName>
    <definedName name="qbrs_06_contracts" localSheetId="54" hidden="1">#REF!</definedName>
    <definedName name="qbrs_06_contracts" localSheetId="2" hidden="1">#REF!</definedName>
    <definedName name="qbrs_06_contracts" localSheetId="53" hidden="1">#REF!</definedName>
    <definedName name="qbrs_06_contracts" localSheetId="59" hidden="1">#REF!</definedName>
    <definedName name="qbrs_06_contracts" localSheetId="13" hidden="1">#REF!</definedName>
    <definedName name="qbrs_06_contracts" localSheetId="17" hidden="1">#REF!</definedName>
    <definedName name="qbrs_06_contracts" localSheetId="19" hidden="1">#REF!</definedName>
    <definedName name="qbrs_06_contracts" localSheetId="11" hidden="1">#REF!</definedName>
    <definedName name="qbrs_06_contracts" localSheetId="33" hidden="1">#REF!</definedName>
    <definedName name="qbrs_06_contracts" localSheetId="32" hidden="1">#REF!</definedName>
    <definedName name="qbrs_06_contracts" localSheetId="34" hidden="1">#REF!</definedName>
    <definedName name="qbrs_06_contracts" localSheetId="35" hidden="1">#REF!</definedName>
    <definedName name="qbrs_06_contracts" localSheetId="29" hidden="1">#REF!</definedName>
    <definedName name="qbrs_06_contracts" localSheetId="28" hidden="1">#REF!</definedName>
    <definedName name="qbrs_06_contracts" localSheetId="30" hidden="1">#REF!</definedName>
    <definedName name="qbrs_06_contracts" localSheetId="31" hidden="1">#REF!</definedName>
    <definedName name="qbrs_06_contracts" hidden="1">#REF!</definedName>
    <definedName name="qbrs_IE_statement_type_02" localSheetId="52">#REF!</definedName>
    <definedName name="qbrs_IE_statement_type_02" localSheetId="56">#REF!</definedName>
    <definedName name="qbrs_IE_statement_type_02" localSheetId="55">#REF!</definedName>
    <definedName name="qbrs_IE_statement_type_02" localSheetId="54">#REF!</definedName>
    <definedName name="qbrs_IE_statement_type_02" localSheetId="53">#REF!</definedName>
    <definedName name="qbrs_IE_statement_type_02" localSheetId="59">#REF!</definedName>
    <definedName name="qbrs_IE_statement_type_02" localSheetId="13">#REF!</definedName>
    <definedName name="qbrs_IE_statement_type_02" localSheetId="17">#REF!</definedName>
    <definedName name="qbrs_IE_statement_type_02" localSheetId="19">#REF!</definedName>
    <definedName name="qbrs_IE_statement_type_02" localSheetId="11">#REF!</definedName>
    <definedName name="quarter_ending_drop_down_list" hidden="1">[1]Parameters!$S$7:$S$9</definedName>
    <definedName name="RAO_conclusion_drop_down_list" hidden="1">[1]Parameters!$M$9:$M$11</definedName>
    <definedName name="rao_conclusion_selection" hidden="1">[1]Parameters!$B$9</definedName>
    <definedName name="ResMove" localSheetId="52">#REF!</definedName>
    <definedName name="ResMove" localSheetId="56">#REF!</definedName>
    <definedName name="ResMove" localSheetId="55">#REF!</definedName>
    <definedName name="ResMove" localSheetId="54">#REF!</definedName>
    <definedName name="ResMove" localSheetId="53">#REF!</definedName>
    <definedName name="ResMove" localSheetId="59">#REF!</definedName>
    <definedName name="ResMove" localSheetId="13">#REF!</definedName>
    <definedName name="ResMove" localSheetId="17">#REF!</definedName>
    <definedName name="ResMove" localSheetId="19">#REF!</definedName>
    <definedName name="ResMove" localSheetId="11">#REF!</definedName>
    <definedName name="RevisedAct" localSheetId="52">#REF!</definedName>
    <definedName name="RevisedAct" localSheetId="56">#REF!</definedName>
    <definedName name="RevisedAct" localSheetId="54">#REF!</definedName>
    <definedName name="RevisedAct" localSheetId="53">#REF!</definedName>
    <definedName name="RevisedAct" localSheetId="13">#REF!</definedName>
    <definedName name="RevisedAct" localSheetId="17">#REF!</definedName>
    <definedName name="RevisedAct" localSheetId="19">#REF!</definedName>
    <definedName name="RevisedAct" localSheetId="11">#REF!</definedName>
    <definedName name="SeptRev" localSheetId="52">#REF!</definedName>
    <definedName name="SeptRev" localSheetId="56">#REF!</definedName>
    <definedName name="SeptRev" localSheetId="54">#REF!</definedName>
    <definedName name="SeptRev" localSheetId="53">#REF!</definedName>
    <definedName name="SeptRev" localSheetId="13">#REF!</definedName>
    <definedName name="SeptRev" localSheetId="17">#REF!</definedName>
    <definedName name="SeptRev" localSheetId="19">#REF!</definedName>
    <definedName name="SeptRev" localSheetId="11">#REF!</definedName>
    <definedName name="TB" localSheetId="52">#REF!</definedName>
    <definedName name="TB" localSheetId="56">#REF!</definedName>
    <definedName name="TB" localSheetId="55">#REF!</definedName>
    <definedName name="TB" localSheetId="54">#REF!</definedName>
    <definedName name="TB" localSheetId="53">#REF!</definedName>
    <definedName name="TB" localSheetId="59">#REF!</definedName>
    <definedName name="TB" localSheetId="13">#REF!</definedName>
    <definedName name="TB" localSheetId="17">#REF!</definedName>
    <definedName name="TB" localSheetId="19">#REF!</definedName>
    <definedName name="TB" localSheetId="11">#REF!</definedName>
    <definedName name="year_drop_down_list" hidden="1">[4]Parameters!$Z$7:$Z$16</definedName>
  </definedNames>
  <calcPr calcId="145621"/>
</workbook>
</file>

<file path=xl/calcChain.xml><?xml version="1.0" encoding="utf-8"?>
<calcChain xmlns="http://schemas.openxmlformats.org/spreadsheetml/2006/main">
  <c r="G16" i="61" l="1"/>
  <c r="E43" i="69" s="1"/>
  <c r="E68" i="67"/>
  <c r="E177" i="29"/>
  <c r="E496" i="29"/>
  <c r="E107" i="67"/>
  <c r="E816" i="29"/>
  <c r="F816" i="29"/>
  <c r="G74" i="21"/>
  <c r="G61" i="21"/>
  <c r="E194" i="67"/>
  <c r="F194" i="67"/>
  <c r="G194" i="67"/>
  <c r="H194" i="67"/>
  <c r="I194" i="67"/>
  <c r="J194" i="67"/>
  <c r="K194" i="67"/>
  <c r="L194" i="67"/>
  <c r="M194" i="67"/>
  <c r="D194" i="67"/>
  <c r="E180" i="66"/>
  <c r="F180" i="66"/>
  <c r="G180" i="66"/>
  <c r="H180" i="66"/>
  <c r="I180" i="66"/>
  <c r="J180" i="66"/>
  <c r="K180" i="66"/>
  <c r="L180" i="66"/>
  <c r="M180" i="66"/>
  <c r="D180" i="66"/>
  <c r="H96" i="66"/>
  <c r="F137" i="69"/>
  <c r="G137" i="69"/>
  <c r="H137" i="69"/>
  <c r="F138" i="69"/>
  <c r="G138" i="69"/>
  <c r="H138" i="69"/>
  <c r="F139" i="69"/>
  <c r="G139" i="69"/>
  <c r="H139" i="69"/>
  <c r="F140" i="69"/>
  <c r="G140" i="69"/>
  <c r="H140" i="69"/>
  <c r="F141" i="69"/>
  <c r="G141" i="69"/>
  <c r="H141" i="69"/>
  <c r="F142" i="69"/>
  <c r="G142" i="69"/>
  <c r="H142" i="69"/>
  <c r="E142" i="69"/>
  <c r="E141" i="69"/>
  <c r="E140" i="69"/>
  <c r="E139" i="69"/>
  <c r="E138" i="69"/>
  <c r="E137" i="69"/>
  <c r="F128" i="69"/>
  <c r="G128" i="69"/>
  <c r="H128" i="69"/>
  <c r="F129" i="69"/>
  <c r="G129" i="69"/>
  <c r="H129" i="69"/>
  <c r="F130" i="69"/>
  <c r="G130" i="69"/>
  <c r="H130" i="69"/>
  <c r="F131" i="69"/>
  <c r="G131" i="69"/>
  <c r="H131" i="69"/>
  <c r="E131" i="69"/>
  <c r="E129" i="69"/>
  <c r="E130" i="69"/>
  <c r="E128" i="69"/>
  <c r="F108" i="69"/>
  <c r="G108" i="69"/>
  <c r="H108" i="69"/>
  <c r="F109" i="69"/>
  <c r="G109" i="69"/>
  <c r="H109" i="69"/>
  <c r="F110" i="69"/>
  <c r="G110" i="69"/>
  <c r="H110" i="69"/>
  <c r="F111" i="69"/>
  <c r="G111" i="69"/>
  <c r="H111" i="69"/>
  <c r="F112" i="69"/>
  <c r="G112" i="69"/>
  <c r="H112" i="69"/>
  <c r="F113" i="69"/>
  <c r="G113" i="69"/>
  <c r="H113" i="69"/>
  <c r="E113" i="69"/>
  <c r="E112" i="69"/>
  <c r="E111" i="69"/>
  <c r="E110" i="69"/>
  <c r="E109" i="69"/>
  <c r="E108" i="69"/>
  <c r="F97" i="69"/>
  <c r="G97" i="69"/>
  <c r="H97" i="69"/>
  <c r="F98" i="69"/>
  <c r="G98" i="69"/>
  <c r="H98" i="69"/>
  <c r="F99" i="69"/>
  <c r="G99" i="69"/>
  <c r="H99" i="69"/>
  <c r="F100" i="69"/>
  <c r="G100" i="69"/>
  <c r="H100" i="69"/>
  <c r="E100" i="69"/>
  <c r="E98" i="69"/>
  <c r="E99" i="69"/>
  <c r="E97" i="69"/>
  <c r="F76" i="69"/>
  <c r="G76" i="69"/>
  <c r="H76" i="69"/>
  <c r="F77" i="69"/>
  <c r="G77" i="69"/>
  <c r="H77" i="69"/>
  <c r="F78" i="69"/>
  <c r="G78" i="69"/>
  <c r="H78" i="69"/>
  <c r="F79" i="69"/>
  <c r="G79" i="69"/>
  <c r="H79" i="69"/>
  <c r="F80" i="69"/>
  <c r="G80" i="69"/>
  <c r="H80" i="69"/>
  <c r="F81" i="69"/>
  <c r="G81" i="69"/>
  <c r="H81" i="69"/>
  <c r="E78" i="69"/>
  <c r="E77" i="69"/>
  <c r="E79" i="69"/>
  <c r="E81" i="69"/>
  <c r="E80" i="69"/>
  <c r="E76" i="69"/>
  <c r="F69" i="69"/>
  <c r="G69" i="69"/>
  <c r="H69" i="69"/>
  <c r="E69" i="69"/>
  <c r="F52" i="69"/>
  <c r="G52" i="69"/>
  <c r="H52" i="69"/>
  <c r="F53" i="69"/>
  <c r="G53" i="69"/>
  <c r="H53" i="69"/>
  <c r="F54" i="69"/>
  <c r="G54" i="69"/>
  <c r="H54" i="69"/>
  <c r="F55" i="69"/>
  <c r="G55" i="69"/>
  <c r="H55" i="69"/>
  <c r="E55" i="69"/>
  <c r="E54" i="69"/>
  <c r="E52" i="69"/>
  <c r="E53" i="69"/>
  <c r="F39" i="69"/>
  <c r="G39" i="69"/>
  <c r="H39" i="69"/>
  <c r="F40" i="69"/>
  <c r="G40" i="69"/>
  <c r="H40" i="69"/>
  <c r="F41" i="69"/>
  <c r="G41" i="69"/>
  <c r="H41" i="69"/>
  <c r="F42" i="69"/>
  <c r="G42" i="69"/>
  <c r="H42" i="69"/>
  <c r="F44" i="69"/>
  <c r="G44" i="69"/>
  <c r="H44" i="69"/>
  <c r="E44" i="69"/>
  <c r="E40" i="69"/>
  <c r="E41" i="69"/>
  <c r="E42" i="69"/>
  <c r="E39" i="69"/>
  <c r="F146" i="68"/>
  <c r="G146" i="68"/>
  <c r="H146" i="68"/>
  <c r="F148" i="68"/>
  <c r="G148" i="68"/>
  <c r="H148" i="68"/>
  <c r="F149" i="68"/>
  <c r="G149" i="68"/>
  <c r="H149" i="68"/>
  <c r="E149" i="68"/>
  <c r="E148" i="68"/>
  <c r="E146" i="68"/>
  <c r="E147" i="68"/>
  <c r="F130" i="68"/>
  <c r="G130" i="68"/>
  <c r="H130" i="68"/>
  <c r="F131" i="68"/>
  <c r="G131" i="68"/>
  <c r="H131" i="68"/>
  <c r="F132" i="68"/>
  <c r="G132" i="68"/>
  <c r="H132" i="68"/>
  <c r="F133" i="68"/>
  <c r="G133" i="68"/>
  <c r="H133" i="68"/>
  <c r="F135" i="68"/>
  <c r="G135" i="68"/>
  <c r="H135" i="68"/>
  <c r="E135" i="68"/>
  <c r="E131" i="68"/>
  <c r="E132" i="68"/>
  <c r="E133" i="68"/>
  <c r="E130" i="68"/>
  <c r="G5" i="61"/>
  <c r="H5" i="61" s="1"/>
  <c r="I5" i="61" s="1"/>
  <c r="J5" i="61" s="1"/>
  <c r="K5" i="61" s="1"/>
  <c r="L5" i="61" s="1"/>
  <c r="M5" i="61" s="1"/>
  <c r="N5" i="61" s="1"/>
  <c r="O5" i="61" s="1"/>
  <c r="P5" i="61" s="1"/>
  <c r="G84" i="61"/>
  <c r="H84" i="61" s="1"/>
  <c r="I84" i="61" s="1"/>
  <c r="J84" i="61" s="1"/>
  <c r="K84" i="61" s="1"/>
  <c r="L84" i="61" s="1"/>
  <c r="M84" i="61" s="1"/>
  <c r="N84" i="61" s="1"/>
  <c r="O84" i="61" s="1"/>
  <c r="P84" i="61" s="1"/>
  <c r="F21" i="69"/>
  <c r="G21" i="69"/>
  <c r="H21" i="69"/>
  <c r="F22" i="69"/>
  <c r="G22" i="69"/>
  <c r="H22" i="69"/>
  <c r="F23" i="69"/>
  <c r="G23" i="69"/>
  <c r="H23" i="69"/>
  <c r="F24" i="69"/>
  <c r="G24" i="69"/>
  <c r="H24" i="69"/>
  <c r="E24" i="69"/>
  <c r="E23" i="69"/>
  <c r="E21" i="69"/>
  <c r="E22" i="69"/>
  <c r="F8" i="69"/>
  <c r="G8" i="69"/>
  <c r="H8" i="69"/>
  <c r="F9" i="69"/>
  <c r="G9" i="69"/>
  <c r="H9" i="69"/>
  <c r="F10" i="69"/>
  <c r="G10" i="69"/>
  <c r="H10" i="69"/>
  <c r="F11" i="69"/>
  <c r="G11" i="69"/>
  <c r="H11" i="69"/>
  <c r="F13" i="69"/>
  <c r="G13" i="69"/>
  <c r="H13" i="69"/>
  <c r="E13" i="69"/>
  <c r="E9" i="69"/>
  <c r="E10" i="69"/>
  <c r="E11" i="69"/>
  <c r="E8" i="69"/>
  <c r="F235" i="68"/>
  <c r="G235" i="68"/>
  <c r="H235" i="68"/>
  <c r="F236" i="68"/>
  <c r="F242" i="68" s="1"/>
  <c r="G236" i="68"/>
  <c r="G242" i="68" s="1"/>
  <c r="H236" i="68"/>
  <c r="H242" i="68" s="1"/>
  <c r="F237" i="68"/>
  <c r="G237" i="68"/>
  <c r="H237" i="68"/>
  <c r="F238" i="68"/>
  <c r="G238" i="68"/>
  <c r="H238" i="68"/>
  <c r="F239" i="68"/>
  <c r="G239" i="68"/>
  <c r="H239" i="68"/>
  <c r="F240" i="68"/>
  <c r="G240" i="68"/>
  <c r="H240" i="68"/>
  <c r="E240" i="68"/>
  <c r="E239" i="68"/>
  <c r="E238" i="68"/>
  <c r="E237" i="68"/>
  <c r="E236" i="68"/>
  <c r="E235" i="68"/>
  <c r="F224" i="68"/>
  <c r="G224" i="68"/>
  <c r="H224" i="68"/>
  <c r="F225" i="68"/>
  <c r="F229" i="68" s="1"/>
  <c r="G225" i="68"/>
  <c r="G229" i="68" s="1"/>
  <c r="H225" i="68"/>
  <c r="H229" i="68" s="1"/>
  <c r="F226" i="68"/>
  <c r="G226" i="68"/>
  <c r="H226" i="68"/>
  <c r="F227" i="68"/>
  <c r="G227" i="68"/>
  <c r="H227" i="68"/>
  <c r="E227" i="68"/>
  <c r="E225" i="68"/>
  <c r="E226" i="68"/>
  <c r="E224" i="68"/>
  <c r="E229" i="68" s="1"/>
  <c r="D244" i="68"/>
  <c r="E242" i="68"/>
  <c r="D242" i="68"/>
  <c r="D229" i="68"/>
  <c r="E213" i="68"/>
  <c r="F213" i="68"/>
  <c r="G213" i="68"/>
  <c r="H213" i="68"/>
  <c r="D213" i="68"/>
  <c r="E211" i="68"/>
  <c r="F211" i="68"/>
  <c r="G211" i="68"/>
  <c r="H211" i="68"/>
  <c r="D211" i="68"/>
  <c r="F204" i="68"/>
  <c r="G204" i="68"/>
  <c r="H204" i="68"/>
  <c r="F205" i="68"/>
  <c r="G205" i="68"/>
  <c r="H205" i="68"/>
  <c r="F206" i="68"/>
  <c r="G206" i="68"/>
  <c r="H206" i="68"/>
  <c r="F207" i="68"/>
  <c r="G207" i="68"/>
  <c r="H207" i="68"/>
  <c r="F208" i="68"/>
  <c r="G208" i="68"/>
  <c r="H208" i="68"/>
  <c r="F209" i="68"/>
  <c r="G209" i="68"/>
  <c r="H209" i="68"/>
  <c r="E209" i="68"/>
  <c r="E208" i="68"/>
  <c r="E207" i="68"/>
  <c r="E206" i="68"/>
  <c r="E205" i="68"/>
  <c r="E204" i="68"/>
  <c r="E198" i="68"/>
  <c r="F198" i="68"/>
  <c r="G198" i="68"/>
  <c r="H198" i="68"/>
  <c r="D198" i="68"/>
  <c r="F193" i="68"/>
  <c r="G193" i="68"/>
  <c r="H193" i="68"/>
  <c r="F194" i="68"/>
  <c r="G194" i="68"/>
  <c r="H194" i="68"/>
  <c r="F195" i="68"/>
  <c r="G195" i="68"/>
  <c r="H195" i="68"/>
  <c r="F196" i="68"/>
  <c r="G196" i="68"/>
  <c r="H196" i="68"/>
  <c r="E196" i="68"/>
  <c r="E194" i="68"/>
  <c r="E195" i="68"/>
  <c r="E193" i="68"/>
  <c r="H166" i="68"/>
  <c r="F173" i="68"/>
  <c r="G173" i="68"/>
  <c r="H173" i="68"/>
  <c r="F174" i="68"/>
  <c r="G174" i="68"/>
  <c r="H174" i="68"/>
  <c r="F175" i="68"/>
  <c r="G175" i="68"/>
  <c r="H175" i="68"/>
  <c r="F176" i="68"/>
  <c r="G176" i="68"/>
  <c r="H176" i="68"/>
  <c r="F177" i="68"/>
  <c r="G177" i="68"/>
  <c r="H177" i="68"/>
  <c r="F178" i="68"/>
  <c r="G178" i="68"/>
  <c r="H178" i="68"/>
  <c r="E178" i="68"/>
  <c r="E177" i="68"/>
  <c r="E175" i="68"/>
  <c r="E176" i="68"/>
  <c r="E174" i="68"/>
  <c r="E173" i="68"/>
  <c r="F163" i="68"/>
  <c r="G163" i="68"/>
  <c r="G166" i="68" s="1"/>
  <c r="H163" i="68"/>
  <c r="E163" i="68"/>
  <c r="E166" i="68" s="1"/>
  <c r="F24" i="68"/>
  <c r="G24" i="68"/>
  <c r="H24" i="68"/>
  <c r="F26" i="68"/>
  <c r="G26" i="68"/>
  <c r="H26" i="68"/>
  <c r="F27" i="68"/>
  <c r="G27" i="68"/>
  <c r="H27" i="68"/>
  <c r="E24" i="68"/>
  <c r="E27" i="68"/>
  <c r="E26" i="68"/>
  <c r="E25" i="68"/>
  <c r="F8" i="68"/>
  <c r="G8" i="68"/>
  <c r="H8" i="68"/>
  <c r="F9" i="68"/>
  <c r="G9" i="68"/>
  <c r="H9" i="68"/>
  <c r="F11" i="68"/>
  <c r="G11" i="68"/>
  <c r="H11" i="68"/>
  <c r="F13" i="68"/>
  <c r="G13" i="68"/>
  <c r="H13" i="68"/>
  <c r="E13" i="68"/>
  <c r="E9" i="68"/>
  <c r="E10" i="68"/>
  <c r="E11" i="68"/>
  <c r="E8" i="68"/>
  <c r="D137" i="68"/>
  <c r="C137" i="68"/>
  <c r="D153" i="68"/>
  <c r="C153" i="68"/>
  <c r="D151" i="68"/>
  <c r="C151" i="68"/>
  <c r="D166" i="68"/>
  <c r="F166" i="68"/>
  <c r="C166" i="68"/>
  <c r="D182" i="68"/>
  <c r="C182" i="68"/>
  <c r="D180" i="68"/>
  <c r="C180" i="68"/>
  <c r="H244" i="68" l="1"/>
  <c r="G244" i="68"/>
  <c r="F244" i="68"/>
  <c r="E244" i="68"/>
  <c r="E180" i="68"/>
  <c r="E182" i="68"/>
  <c r="D15" i="69" l="1"/>
  <c r="D26" i="69"/>
  <c r="D28" i="69"/>
  <c r="D31" i="68"/>
  <c r="C31" i="68"/>
  <c r="D29" i="68"/>
  <c r="C29" i="68"/>
  <c r="D15" i="68"/>
  <c r="C15" i="68"/>
  <c r="H385" i="69"/>
  <c r="G385" i="69"/>
  <c r="F385" i="69"/>
  <c r="E385" i="69"/>
  <c r="D385" i="69"/>
  <c r="C385" i="69"/>
  <c r="H380" i="69"/>
  <c r="G380" i="69"/>
  <c r="F380" i="69"/>
  <c r="E380" i="69"/>
  <c r="D380" i="69"/>
  <c r="C380" i="69"/>
  <c r="H373" i="69"/>
  <c r="G373" i="69"/>
  <c r="F373" i="69"/>
  <c r="E373" i="69"/>
  <c r="D373" i="69"/>
  <c r="C373" i="69"/>
  <c r="H368" i="69"/>
  <c r="G368" i="69"/>
  <c r="F368" i="69"/>
  <c r="E368" i="69"/>
  <c r="D368" i="69"/>
  <c r="C368" i="69"/>
  <c r="H359" i="69"/>
  <c r="G359" i="69"/>
  <c r="F359" i="69"/>
  <c r="E359" i="69"/>
  <c r="D359" i="69"/>
  <c r="C359" i="69"/>
  <c r="H354" i="69"/>
  <c r="G354" i="69"/>
  <c r="F354" i="69"/>
  <c r="E354" i="69"/>
  <c r="D354" i="69"/>
  <c r="C354" i="69"/>
  <c r="H349" i="69"/>
  <c r="G349" i="69"/>
  <c r="F349" i="69"/>
  <c r="E349" i="69"/>
  <c r="D349" i="69"/>
  <c r="C349" i="69"/>
  <c r="H344" i="69"/>
  <c r="G344" i="69"/>
  <c r="F344" i="69"/>
  <c r="E344" i="69"/>
  <c r="D344" i="69"/>
  <c r="C344" i="69"/>
  <c r="H339" i="69"/>
  <c r="G339" i="69"/>
  <c r="F339" i="69"/>
  <c r="E339" i="69"/>
  <c r="D339" i="69"/>
  <c r="C339" i="69"/>
  <c r="H334" i="69"/>
  <c r="G334" i="69"/>
  <c r="F334" i="69"/>
  <c r="E334" i="69"/>
  <c r="D334" i="69"/>
  <c r="C334" i="69"/>
  <c r="H329" i="69"/>
  <c r="G329" i="69"/>
  <c r="F329" i="69"/>
  <c r="E329" i="69"/>
  <c r="D329" i="69"/>
  <c r="C329" i="69"/>
  <c r="H319" i="69"/>
  <c r="G319" i="69"/>
  <c r="F319" i="69"/>
  <c r="E319" i="69"/>
  <c r="D319" i="69"/>
  <c r="C319" i="69"/>
  <c r="H315" i="69"/>
  <c r="G315" i="69"/>
  <c r="F315" i="69"/>
  <c r="E315" i="69"/>
  <c r="D315" i="69"/>
  <c r="C315" i="69"/>
  <c r="H311" i="69"/>
  <c r="G311" i="69"/>
  <c r="F311" i="69"/>
  <c r="E311" i="69"/>
  <c r="D311" i="69"/>
  <c r="C311" i="69"/>
  <c r="H306" i="69"/>
  <c r="G306" i="69"/>
  <c r="F306" i="69"/>
  <c r="E306" i="69"/>
  <c r="D306" i="69"/>
  <c r="C306" i="69"/>
  <c r="H301" i="69"/>
  <c r="G301" i="69"/>
  <c r="F301" i="69"/>
  <c r="E301" i="69"/>
  <c r="D301" i="69"/>
  <c r="C301" i="69"/>
  <c r="H296" i="69"/>
  <c r="G296" i="69"/>
  <c r="F296" i="69"/>
  <c r="E296" i="69"/>
  <c r="D296" i="69"/>
  <c r="C296" i="69"/>
  <c r="H291" i="69"/>
  <c r="G291" i="69"/>
  <c r="F291" i="69"/>
  <c r="E291" i="69"/>
  <c r="D291" i="69"/>
  <c r="C291" i="69"/>
  <c r="H286" i="69"/>
  <c r="G286" i="69"/>
  <c r="F286" i="69"/>
  <c r="E286" i="69"/>
  <c r="D286" i="69"/>
  <c r="C286" i="69"/>
  <c r="H275" i="69"/>
  <c r="G275" i="69"/>
  <c r="F275" i="69"/>
  <c r="E275" i="69"/>
  <c r="D275" i="69"/>
  <c r="C275" i="69"/>
  <c r="H270" i="69"/>
  <c r="G270" i="69"/>
  <c r="F270" i="69"/>
  <c r="E270" i="69"/>
  <c r="D270" i="69"/>
  <c r="C270" i="69"/>
  <c r="H265" i="69"/>
  <c r="G265" i="69"/>
  <c r="F265" i="69"/>
  <c r="E265" i="69"/>
  <c r="D265" i="69"/>
  <c r="C265" i="69"/>
  <c r="H260" i="69"/>
  <c r="G260" i="69"/>
  <c r="F260" i="69"/>
  <c r="E260" i="69"/>
  <c r="D260" i="69"/>
  <c r="C260" i="69"/>
  <c r="H255" i="69"/>
  <c r="G255" i="69"/>
  <c r="F255" i="69"/>
  <c r="E255" i="69"/>
  <c r="D255" i="69"/>
  <c r="C255" i="69"/>
  <c r="H250" i="69"/>
  <c r="G250" i="69"/>
  <c r="F250" i="69"/>
  <c r="E250" i="69"/>
  <c r="D250" i="69"/>
  <c r="C250" i="69"/>
  <c r="H245" i="69"/>
  <c r="G245" i="69"/>
  <c r="F245" i="69"/>
  <c r="E245" i="69"/>
  <c r="D245" i="69"/>
  <c r="C245" i="69"/>
  <c r="H83" i="69"/>
  <c r="G83" i="69"/>
  <c r="F83" i="69"/>
  <c r="E83" i="69"/>
  <c r="D83" i="69"/>
  <c r="C83" i="69"/>
  <c r="E72" i="69"/>
  <c r="D72" i="69"/>
  <c r="C72" i="69"/>
  <c r="C85" i="69" s="1"/>
  <c r="F72" i="69"/>
  <c r="D57" i="69"/>
  <c r="C57" i="69"/>
  <c r="D46" i="69"/>
  <c r="C46" i="69"/>
  <c r="E46" i="69"/>
  <c r="C26" i="69"/>
  <c r="C15" i="69"/>
  <c r="C28" i="69" s="1"/>
  <c r="H445" i="68"/>
  <c r="G445" i="68"/>
  <c r="F445" i="68"/>
  <c r="E445" i="68"/>
  <c r="D445" i="68"/>
  <c r="C445" i="68"/>
  <c r="H440" i="68"/>
  <c r="G440" i="68"/>
  <c r="F440" i="68"/>
  <c r="E440" i="68"/>
  <c r="D440" i="68"/>
  <c r="C440" i="68"/>
  <c r="H432" i="68"/>
  <c r="G432" i="68"/>
  <c r="F432" i="68"/>
  <c r="E432" i="68"/>
  <c r="D432" i="68"/>
  <c r="C432" i="68"/>
  <c r="H427" i="68"/>
  <c r="G427" i="68"/>
  <c r="F427" i="68"/>
  <c r="E427" i="68"/>
  <c r="D427" i="68"/>
  <c r="C427" i="68"/>
  <c r="H418" i="68"/>
  <c r="G418" i="68"/>
  <c r="F418" i="68"/>
  <c r="E418" i="68"/>
  <c r="D418" i="68"/>
  <c r="C418" i="68"/>
  <c r="H413" i="68"/>
  <c r="G413" i="68"/>
  <c r="F413" i="68"/>
  <c r="E413" i="68"/>
  <c r="D413" i="68"/>
  <c r="C413" i="68"/>
  <c r="H408" i="68"/>
  <c r="G408" i="68"/>
  <c r="F408" i="68"/>
  <c r="E408" i="68"/>
  <c r="D408" i="68"/>
  <c r="C408" i="68"/>
  <c r="H403" i="68"/>
  <c r="G403" i="68"/>
  <c r="F403" i="68"/>
  <c r="E403" i="68"/>
  <c r="D403" i="68"/>
  <c r="C403" i="68"/>
  <c r="H398" i="68"/>
  <c r="G398" i="68"/>
  <c r="F398" i="68"/>
  <c r="E398" i="68"/>
  <c r="D398" i="68"/>
  <c r="C398" i="68"/>
  <c r="H393" i="68"/>
  <c r="G393" i="68"/>
  <c r="F393" i="68"/>
  <c r="E393" i="68"/>
  <c r="D393" i="68"/>
  <c r="C393" i="68"/>
  <c r="H388" i="68"/>
  <c r="G388" i="68"/>
  <c r="F388" i="68"/>
  <c r="E388" i="68"/>
  <c r="D388" i="68"/>
  <c r="C388" i="68"/>
  <c r="H378" i="68"/>
  <c r="G378" i="68"/>
  <c r="F378" i="68"/>
  <c r="E378" i="68"/>
  <c r="D378" i="68"/>
  <c r="C378" i="68"/>
  <c r="H374" i="68"/>
  <c r="G374" i="68"/>
  <c r="F374" i="68"/>
  <c r="E374" i="68"/>
  <c r="D374" i="68"/>
  <c r="C374" i="68"/>
  <c r="H370" i="68"/>
  <c r="G370" i="68"/>
  <c r="F370" i="68"/>
  <c r="E370" i="68"/>
  <c r="D370" i="68"/>
  <c r="C370" i="68"/>
  <c r="H365" i="68"/>
  <c r="G365" i="68"/>
  <c r="F365" i="68"/>
  <c r="E365" i="68"/>
  <c r="D365" i="68"/>
  <c r="C365" i="68"/>
  <c r="H360" i="68"/>
  <c r="G360" i="68"/>
  <c r="F360" i="68"/>
  <c r="E360" i="68"/>
  <c r="D360" i="68"/>
  <c r="C360" i="68"/>
  <c r="H355" i="68"/>
  <c r="G355" i="68"/>
  <c r="F355" i="68"/>
  <c r="E355" i="68"/>
  <c r="D355" i="68"/>
  <c r="C355" i="68"/>
  <c r="H350" i="68"/>
  <c r="G350" i="68"/>
  <c r="F350" i="68"/>
  <c r="E350" i="68"/>
  <c r="D350" i="68"/>
  <c r="C350" i="68"/>
  <c r="H345" i="68"/>
  <c r="G345" i="68"/>
  <c r="F345" i="68"/>
  <c r="E345" i="68"/>
  <c r="D345" i="68"/>
  <c r="C345" i="68"/>
  <c r="H334" i="68"/>
  <c r="G334" i="68"/>
  <c r="F334" i="68"/>
  <c r="E334" i="68"/>
  <c r="D334" i="68"/>
  <c r="C334" i="68"/>
  <c r="H329" i="68"/>
  <c r="G329" i="68"/>
  <c r="F329" i="68"/>
  <c r="E329" i="68"/>
  <c r="D329" i="68"/>
  <c r="C329" i="68"/>
  <c r="H324" i="68"/>
  <c r="G324" i="68"/>
  <c r="F324" i="68"/>
  <c r="E324" i="68"/>
  <c r="D324" i="68"/>
  <c r="C324" i="68"/>
  <c r="H319" i="68"/>
  <c r="G319" i="68"/>
  <c r="F319" i="68"/>
  <c r="E319" i="68"/>
  <c r="D319" i="68"/>
  <c r="C319" i="68"/>
  <c r="H314" i="68"/>
  <c r="G314" i="68"/>
  <c r="F314" i="68"/>
  <c r="E314" i="68"/>
  <c r="D314" i="68"/>
  <c r="C314" i="68"/>
  <c r="H309" i="68"/>
  <c r="G309" i="68"/>
  <c r="F309" i="68"/>
  <c r="E309" i="68"/>
  <c r="D309" i="68"/>
  <c r="C309" i="68"/>
  <c r="H304" i="68"/>
  <c r="G304" i="68"/>
  <c r="F304" i="68"/>
  <c r="E304" i="68"/>
  <c r="D304" i="68"/>
  <c r="C304" i="68"/>
  <c r="H89" i="68"/>
  <c r="H120" i="68" s="1"/>
  <c r="H58" i="68" s="1"/>
  <c r="G89" i="68"/>
  <c r="F89" i="68"/>
  <c r="E89" i="68"/>
  <c r="E120" i="68" s="1"/>
  <c r="E58" i="68" s="1"/>
  <c r="D89" i="68"/>
  <c r="D120" i="68" s="1"/>
  <c r="D58" i="68" s="1"/>
  <c r="C89" i="68"/>
  <c r="C120" i="68" s="1"/>
  <c r="H88" i="68"/>
  <c r="H119" i="68" s="1"/>
  <c r="H57" i="68" s="1"/>
  <c r="G88" i="68"/>
  <c r="G119" i="68" s="1"/>
  <c r="G57" i="68" s="1"/>
  <c r="F88" i="68"/>
  <c r="E88" i="68"/>
  <c r="E119" i="68" s="1"/>
  <c r="D88" i="68"/>
  <c r="D119" i="68" s="1"/>
  <c r="D57" i="68" s="1"/>
  <c r="C88" i="68"/>
  <c r="C119" i="68" s="1"/>
  <c r="C57" i="68" s="1"/>
  <c r="E87" i="68"/>
  <c r="E118" i="68" s="1"/>
  <c r="E56" i="68" s="1"/>
  <c r="D87" i="68"/>
  <c r="D118" i="68" s="1"/>
  <c r="C87" i="68"/>
  <c r="C118" i="68" s="1"/>
  <c r="C56" i="68" s="1"/>
  <c r="H86" i="68"/>
  <c r="H117" i="68" s="1"/>
  <c r="H55" i="68" s="1"/>
  <c r="G86" i="68"/>
  <c r="G117" i="68" s="1"/>
  <c r="F86" i="68"/>
  <c r="F117" i="68" s="1"/>
  <c r="F55" i="68" s="1"/>
  <c r="E86" i="68"/>
  <c r="E117" i="68" s="1"/>
  <c r="E55" i="68" s="1"/>
  <c r="D86" i="68"/>
  <c r="D117" i="68" s="1"/>
  <c r="D55" i="68" s="1"/>
  <c r="C86" i="68"/>
  <c r="C117" i="68" s="1"/>
  <c r="D85" i="68"/>
  <c r="D116" i="68" s="1"/>
  <c r="D54" i="68" s="1"/>
  <c r="C85" i="68"/>
  <c r="C116" i="68" s="1"/>
  <c r="C54" i="68" s="1"/>
  <c r="D84" i="68"/>
  <c r="C84" i="68"/>
  <c r="H75" i="68"/>
  <c r="G75" i="68"/>
  <c r="G106" i="68" s="1"/>
  <c r="G44" i="68" s="1"/>
  <c r="F75" i="68"/>
  <c r="F106" i="68" s="1"/>
  <c r="E75" i="68"/>
  <c r="E106" i="68" s="1"/>
  <c r="E44" i="68" s="1"/>
  <c r="D75" i="68"/>
  <c r="D106" i="68" s="1"/>
  <c r="C75" i="68"/>
  <c r="C106" i="68" s="1"/>
  <c r="D74" i="68"/>
  <c r="D105" i="68" s="1"/>
  <c r="D43" i="68" s="1"/>
  <c r="C74" i="68"/>
  <c r="C105" i="68" s="1"/>
  <c r="H73" i="68"/>
  <c r="H104" i="68" s="1"/>
  <c r="G73" i="68"/>
  <c r="G104" i="68" s="1"/>
  <c r="G42" i="68" s="1"/>
  <c r="F73" i="68"/>
  <c r="F104" i="68" s="1"/>
  <c r="F42" i="68" s="1"/>
  <c r="E73" i="68"/>
  <c r="E104" i="68" s="1"/>
  <c r="D73" i="68"/>
  <c r="D104" i="68" s="1"/>
  <c r="D42" i="68" s="1"/>
  <c r="C73" i="68"/>
  <c r="C104" i="68" s="1"/>
  <c r="C42" i="68" s="1"/>
  <c r="H72" i="68"/>
  <c r="G72" i="68"/>
  <c r="F72" i="68"/>
  <c r="E72" i="68"/>
  <c r="D72" i="68"/>
  <c r="D103" i="68" s="1"/>
  <c r="C72" i="68"/>
  <c r="C103" i="68" s="1"/>
  <c r="C41" i="68" s="1"/>
  <c r="H71" i="68"/>
  <c r="H102" i="68" s="1"/>
  <c r="H40" i="68" s="1"/>
  <c r="G71" i="68"/>
  <c r="G102" i="68" s="1"/>
  <c r="F71" i="68"/>
  <c r="F102" i="68" s="1"/>
  <c r="F40" i="68" s="1"/>
  <c r="E71" i="68"/>
  <c r="E102" i="68" s="1"/>
  <c r="E40" i="68" s="1"/>
  <c r="D71" i="68"/>
  <c r="D102" i="68" s="1"/>
  <c r="C71" i="68"/>
  <c r="C102" i="68" s="1"/>
  <c r="H70" i="68"/>
  <c r="H101" i="68" s="1"/>
  <c r="H39" i="68" s="1"/>
  <c r="G70" i="68"/>
  <c r="G101" i="68" s="1"/>
  <c r="F70" i="68"/>
  <c r="E70" i="68"/>
  <c r="D70" i="68"/>
  <c r="D101" i="68" s="1"/>
  <c r="C70" i="68"/>
  <c r="H59" i="61"/>
  <c r="I59" i="61"/>
  <c r="J59" i="61"/>
  <c r="K59" i="61"/>
  <c r="L59" i="61"/>
  <c r="M59" i="61"/>
  <c r="N59" i="61"/>
  <c r="O59" i="61"/>
  <c r="P59" i="61"/>
  <c r="G59" i="61"/>
  <c r="R131" i="61"/>
  <c r="S131" i="61"/>
  <c r="T131" i="61"/>
  <c r="U131" i="61"/>
  <c r="V131" i="61"/>
  <c r="W131" i="61"/>
  <c r="X131" i="61"/>
  <c r="Y131" i="61"/>
  <c r="Z131" i="61"/>
  <c r="AA131" i="61"/>
  <c r="G91" i="65"/>
  <c r="G89" i="65"/>
  <c r="G88" i="65"/>
  <c r="G87" i="65"/>
  <c r="G86" i="65"/>
  <c r="G85" i="65"/>
  <c r="G84" i="65"/>
  <c r="G81" i="65"/>
  <c r="F89" i="65"/>
  <c r="F91" i="65" s="1"/>
  <c r="E91" i="65"/>
  <c r="E89" i="65"/>
  <c r="E87" i="65"/>
  <c r="E86" i="65"/>
  <c r="E85" i="65"/>
  <c r="E84" i="65"/>
  <c r="E81" i="65"/>
  <c r="C91" i="65"/>
  <c r="C85" i="65"/>
  <c r="C89" i="65" s="1"/>
  <c r="A145" i="28"/>
  <c r="A144" i="28"/>
  <c r="A143" i="28"/>
  <c r="AB93" i="4"/>
  <c r="AA93" i="4"/>
  <c r="Z93" i="4"/>
  <c r="Y93" i="4"/>
  <c r="X93" i="4"/>
  <c r="W93" i="4"/>
  <c r="V93" i="4"/>
  <c r="U93" i="4"/>
  <c r="T93" i="4"/>
  <c r="S93" i="4"/>
  <c r="G180" i="68" l="1"/>
  <c r="G182" i="68" s="1"/>
  <c r="F180" i="68"/>
  <c r="F182" i="68" s="1"/>
  <c r="D91" i="68"/>
  <c r="H42" i="68"/>
  <c r="C91" i="68"/>
  <c r="E103" i="68"/>
  <c r="E41" i="68" s="1"/>
  <c r="F120" i="68"/>
  <c r="F58" i="68" s="1"/>
  <c r="D40" i="68"/>
  <c r="C44" i="68"/>
  <c r="C77" i="68"/>
  <c r="C101" i="68"/>
  <c r="C39" i="68" s="1"/>
  <c r="D85" i="69"/>
  <c r="F38" i="69"/>
  <c r="E85" i="69"/>
  <c r="G38" i="69"/>
  <c r="C59" i="69"/>
  <c r="D59" i="69"/>
  <c r="F85" i="69"/>
  <c r="H38" i="69"/>
  <c r="E38" i="69"/>
  <c r="D39" i="68"/>
  <c r="D108" i="68"/>
  <c r="G39" i="68"/>
  <c r="C115" i="68"/>
  <c r="F119" i="68"/>
  <c r="F57" i="68" s="1"/>
  <c r="G40" i="68"/>
  <c r="C43" i="68"/>
  <c r="D44" i="68"/>
  <c r="G55" i="68"/>
  <c r="C58" i="68"/>
  <c r="D77" i="68"/>
  <c r="E101" i="68"/>
  <c r="D115" i="68"/>
  <c r="H106" i="68"/>
  <c r="H44" i="68" s="1"/>
  <c r="F101" i="68"/>
  <c r="G120" i="68"/>
  <c r="G58" i="68" s="1"/>
  <c r="C40" i="68"/>
  <c r="D41" i="68"/>
  <c r="E42" i="68"/>
  <c r="F44" i="68"/>
  <c r="C55" i="68"/>
  <c r="D56" i="68"/>
  <c r="E57" i="68"/>
  <c r="E13" i="65"/>
  <c r="F13" i="65"/>
  <c r="G13" i="65"/>
  <c r="H13" i="65"/>
  <c r="I13" i="65"/>
  <c r="D13" i="65"/>
  <c r="I96" i="66"/>
  <c r="J96" i="66" s="1"/>
  <c r="K96" i="66" s="1"/>
  <c r="L96" i="66" s="1"/>
  <c r="M96" i="66" s="1"/>
  <c r="M13" i="65" s="1"/>
  <c r="F35" i="21"/>
  <c r="F79" i="21"/>
  <c r="F125" i="21"/>
  <c r="L13" i="65" l="1"/>
  <c r="K13" i="65"/>
  <c r="J13" i="65"/>
  <c r="H180" i="68"/>
  <c r="H182" i="68" s="1"/>
  <c r="D93" i="68"/>
  <c r="C93" i="68"/>
  <c r="F39" i="68"/>
  <c r="C46" i="68"/>
  <c r="C108" i="68"/>
  <c r="G72" i="69"/>
  <c r="G85" i="69" s="1"/>
  <c r="D122" i="68"/>
  <c r="D124" i="68" s="1"/>
  <c r="D53" i="68"/>
  <c r="D60" i="68" s="1"/>
  <c r="E39" i="68"/>
  <c r="D46" i="68"/>
  <c r="C53" i="68"/>
  <c r="C60" i="68" s="1"/>
  <c r="C122" i="68"/>
  <c r="C124" i="68" l="1"/>
  <c r="C62" i="68"/>
  <c r="H72" i="69"/>
  <c r="H85" i="69" s="1"/>
  <c r="D62" i="68"/>
  <c r="G69" i="65"/>
  <c r="H69" i="65" s="1"/>
  <c r="L69" i="65"/>
  <c r="L68" i="65"/>
  <c r="L67" i="65"/>
  <c r="L66" i="65"/>
  <c r="L65" i="65"/>
  <c r="L64" i="65"/>
  <c r="L63" i="65"/>
  <c r="D69" i="65"/>
  <c r="H68" i="65"/>
  <c r="H67" i="65"/>
  <c r="H64" i="65"/>
  <c r="H63" i="65"/>
  <c r="D68" i="65"/>
  <c r="D67" i="65"/>
  <c r="D64" i="65"/>
  <c r="D63" i="65"/>
  <c r="H133" i="61"/>
  <c r="I133" i="61"/>
  <c r="J133" i="61"/>
  <c r="K133" i="61"/>
  <c r="V133" i="61" s="1"/>
  <c r="L133" i="61"/>
  <c r="W133" i="61" s="1"/>
  <c r="M133" i="61"/>
  <c r="X133" i="61" s="1"/>
  <c r="N133" i="61"/>
  <c r="Y133" i="61" s="1"/>
  <c r="O133" i="61"/>
  <c r="Z133" i="61" s="1"/>
  <c r="P133" i="61"/>
  <c r="AA133" i="61" s="1"/>
  <c r="H134" i="61"/>
  <c r="I134" i="61"/>
  <c r="J134" i="61"/>
  <c r="G134" i="61"/>
  <c r="K137" i="61"/>
  <c r="V137" i="61" s="1"/>
  <c r="L137" i="61"/>
  <c r="W137" i="61" s="1"/>
  <c r="M137" i="61"/>
  <c r="X137" i="61" s="1"/>
  <c r="N137" i="61"/>
  <c r="Y137" i="61" s="1"/>
  <c r="O137" i="61"/>
  <c r="Z137" i="61" s="1"/>
  <c r="P137" i="61"/>
  <c r="AA137" i="61" s="1"/>
  <c r="K142" i="61"/>
  <c r="I102" i="61"/>
  <c r="G147" i="68" s="1"/>
  <c r="H102" i="61"/>
  <c r="F147" i="68" s="1"/>
  <c r="E207" i="67"/>
  <c r="F207" i="67"/>
  <c r="G207" i="67"/>
  <c r="H207" i="67"/>
  <c r="D207" i="67"/>
  <c r="I19" i="21" l="1"/>
  <c r="J19" i="21"/>
  <c r="K19" i="21"/>
  <c r="H19" i="21"/>
  <c r="H137" i="61"/>
  <c r="S137" i="61" s="1"/>
  <c r="I137" i="61"/>
  <c r="T137" i="61" s="1"/>
  <c r="J137" i="61"/>
  <c r="U137" i="61" s="1"/>
  <c r="H138" i="61"/>
  <c r="I138" i="61"/>
  <c r="J138" i="61"/>
  <c r="H139" i="61"/>
  <c r="I139" i="61"/>
  <c r="J139" i="61"/>
  <c r="H140" i="61"/>
  <c r="I140" i="61"/>
  <c r="J140" i="61"/>
  <c r="H141" i="61"/>
  <c r="I141" i="61"/>
  <c r="J141" i="61"/>
  <c r="H142" i="61"/>
  <c r="I142" i="61"/>
  <c r="J142" i="61"/>
  <c r="H143" i="61"/>
  <c r="I143" i="61"/>
  <c r="J143" i="61"/>
  <c r="H144" i="61"/>
  <c r="I144" i="61"/>
  <c r="J144" i="61"/>
  <c r="G144" i="61"/>
  <c r="G143" i="61"/>
  <c r="G142" i="61"/>
  <c r="G141" i="61"/>
  <c r="G140" i="61"/>
  <c r="G139" i="61"/>
  <c r="G138" i="61"/>
  <c r="G137" i="61"/>
  <c r="R137" i="61" s="1"/>
  <c r="G133" i="61"/>
  <c r="I22" i="67"/>
  <c r="H22" i="67"/>
  <c r="K134" i="61" s="1"/>
  <c r="I13" i="67"/>
  <c r="I14" i="67"/>
  <c r="L143" i="61" s="1"/>
  <c r="J14" i="67"/>
  <c r="M143" i="61" s="1"/>
  <c r="K14" i="67"/>
  <c r="N143" i="61" s="1"/>
  <c r="L14" i="67"/>
  <c r="O143" i="61" s="1"/>
  <c r="M14" i="67"/>
  <c r="P143" i="61" s="1"/>
  <c r="H15" i="67"/>
  <c r="K144" i="61" s="1"/>
  <c r="H14" i="67"/>
  <c r="K143" i="61" s="1"/>
  <c r="H11" i="67"/>
  <c r="K140" i="61" s="1"/>
  <c r="H10" i="67"/>
  <c r="K139" i="61" s="1"/>
  <c r="H9" i="67"/>
  <c r="K138" i="61" s="1"/>
  <c r="F65" i="21"/>
  <c r="K70" i="21"/>
  <c r="J70" i="21"/>
  <c r="I70" i="21"/>
  <c r="G185" i="67"/>
  <c r="G199" i="67" s="1"/>
  <c r="F185" i="67"/>
  <c r="F187" i="67" s="1"/>
  <c r="E185" i="67"/>
  <c r="D185" i="67"/>
  <c r="H184" i="67"/>
  <c r="I184" i="67" s="1"/>
  <c r="J184" i="67" s="1"/>
  <c r="K184" i="67" s="1"/>
  <c r="L184" i="67" s="1"/>
  <c r="M184" i="67" s="1"/>
  <c r="H164" i="67"/>
  <c r="L70" i="21" s="1"/>
  <c r="M153" i="67"/>
  <c r="L153" i="67"/>
  <c r="K153" i="67"/>
  <c r="J153" i="67"/>
  <c r="I153" i="67"/>
  <c r="E152" i="67"/>
  <c r="H150" i="67"/>
  <c r="H91" i="67" s="1"/>
  <c r="M148" i="67"/>
  <c r="L148" i="67"/>
  <c r="K148" i="67"/>
  <c r="J148" i="67"/>
  <c r="I148" i="67"/>
  <c r="H148" i="67"/>
  <c r="G148" i="67"/>
  <c r="F148" i="67"/>
  <c r="E148" i="67"/>
  <c r="D148" i="67"/>
  <c r="M147" i="67"/>
  <c r="L147" i="67"/>
  <c r="K147" i="67"/>
  <c r="J147" i="67"/>
  <c r="I147" i="67"/>
  <c r="H147" i="67"/>
  <c r="G147" i="67"/>
  <c r="F147" i="67"/>
  <c r="E147" i="67"/>
  <c r="D147" i="67"/>
  <c r="M145" i="67"/>
  <c r="L145" i="67"/>
  <c r="K145" i="67"/>
  <c r="J145" i="67"/>
  <c r="I145" i="67"/>
  <c r="H145" i="67"/>
  <c r="G145" i="67"/>
  <c r="F145" i="67"/>
  <c r="E145" i="67"/>
  <c r="D145" i="67"/>
  <c r="G144" i="67"/>
  <c r="F144" i="67"/>
  <c r="E144" i="67"/>
  <c r="D144" i="67"/>
  <c r="M143" i="67"/>
  <c r="L143" i="67"/>
  <c r="K143" i="67"/>
  <c r="J143" i="67"/>
  <c r="I143" i="67"/>
  <c r="M141" i="67"/>
  <c r="L141" i="67"/>
  <c r="K141" i="67"/>
  <c r="J141" i="67"/>
  <c r="I141" i="67"/>
  <c r="H141" i="67"/>
  <c r="G141" i="67"/>
  <c r="F141" i="67"/>
  <c r="E141" i="67"/>
  <c r="D141" i="67"/>
  <c r="F140" i="67"/>
  <c r="E140" i="67"/>
  <c r="M122" i="67"/>
  <c r="L122" i="67"/>
  <c r="K122" i="67"/>
  <c r="J122" i="67"/>
  <c r="I122" i="67"/>
  <c r="E121" i="67"/>
  <c r="M118" i="67"/>
  <c r="L118" i="67"/>
  <c r="K118" i="67"/>
  <c r="J118" i="67"/>
  <c r="I118" i="67"/>
  <c r="H118" i="67"/>
  <c r="M117" i="67"/>
  <c r="L117" i="67"/>
  <c r="K117" i="67"/>
  <c r="J117" i="67"/>
  <c r="I117" i="67"/>
  <c r="H117" i="67"/>
  <c r="G117" i="67"/>
  <c r="F117" i="67"/>
  <c r="E117" i="67"/>
  <c r="D117" i="67"/>
  <c r="M116" i="67"/>
  <c r="L116" i="67"/>
  <c r="K116" i="67"/>
  <c r="J116" i="67"/>
  <c r="I116" i="67"/>
  <c r="H116" i="67"/>
  <c r="G116" i="67"/>
  <c r="F116" i="67"/>
  <c r="E116" i="67"/>
  <c r="D116" i="67"/>
  <c r="M115" i="67"/>
  <c r="L115" i="67"/>
  <c r="K115" i="67"/>
  <c r="J115" i="67"/>
  <c r="I115" i="67"/>
  <c r="H115" i="67"/>
  <c r="M114" i="67"/>
  <c r="L114" i="67"/>
  <c r="K114" i="67"/>
  <c r="J114" i="67"/>
  <c r="I114" i="67"/>
  <c r="H114" i="67"/>
  <c r="G114" i="67"/>
  <c r="F114" i="67"/>
  <c r="E114" i="67"/>
  <c r="D114" i="67"/>
  <c r="G113" i="67"/>
  <c r="F113" i="67"/>
  <c r="E113" i="67"/>
  <c r="D113" i="67"/>
  <c r="M112" i="67"/>
  <c r="L112" i="67"/>
  <c r="K112" i="67"/>
  <c r="J112" i="67"/>
  <c r="I112" i="67"/>
  <c r="M111" i="67"/>
  <c r="L111" i="67"/>
  <c r="K111" i="67"/>
  <c r="J111" i="67"/>
  <c r="I111" i="67"/>
  <c r="H111" i="67"/>
  <c r="M110" i="67"/>
  <c r="L110" i="67"/>
  <c r="K110" i="67"/>
  <c r="J110" i="67"/>
  <c r="I110" i="67"/>
  <c r="H110" i="67"/>
  <c r="G110" i="67"/>
  <c r="F110" i="67"/>
  <c r="E110" i="67"/>
  <c r="D110" i="67"/>
  <c r="M109" i="67"/>
  <c r="L109" i="67"/>
  <c r="K109" i="67"/>
  <c r="J109" i="67"/>
  <c r="I109" i="67"/>
  <c r="H109" i="67"/>
  <c r="F109" i="67"/>
  <c r="E109" i="67"/>
  <c r="L108" i="67"/>
  <c r="L90" i="67" s="1"/>
  <c r="K108" i="67"/>
  <c r="J108" i="67"/>
  <c r="J90" i="67" s="1"/>
  <c r="H108" i="67"/>
  <c r="H90" i="67" s="1"/>
  <c r="M105" i="67"/>
  <c r="L105" i="67"/>
  <c r="K105" i="67"/>
  <c r="J105" i="67"/>
  <c r="I105" i="67"/>
  <c r="H105" i="67"/>
  <c r="M104" i="67"/>
  <c r="L104" i="67"/>
  <c r="K104" i="67"/>
  <c r="J104" i="67"/>
  <c r="I104" i="67"/>
  <c r="H104" i="67"/>
  <c r="M103" i="67"/>
  <c r="L103" i="67"/>
  <c r="K103" i="67"/>
  <c r="J103" i="67"/>
  <c r="I103" i="67"/>
  <c r="H103" i="67"/>
  <c r="M102" i="67"/>
  <c r="L102" i="67"/>
  <c r="K102" i="67"/>
  <c r="J102" i="67"/>
  <c r="I102" i="67"/>
  <c r="H102" i="67"/>
  <c r="H101" i="67"/>
  <c r="M96" i="67"/>
  <c r="L96" i="67"/>
  <c r="K96" i="67"/>
  <c r="J96" i="67"/>
  <c r="I96" i="67"/>
  <c r="H96" i="67"/>
  <c r="M95" i="67"/>
  <c r="L95" i="67"/>
  <c r="K95" i="67"/>
  <c r="J95" i="67"/>
  <c r="I95" i="67"/>
  <c r="H95" i="67"/>
  <c r="M94" i="67"/>
  <c r="L94" i="67"/>
  <c r="K94" i="67"/>
  <c r="J94" i="67"/>
  <c r="I94" i="67"/>
  <c r="H94" i="67"/>
  <c r="M93" i="67"/>
  <c r="L93" i="67"/>
  <c r="K93" i="67"/>
  <c r="J93" i="67"/>
  <c r="I93" i="67"/>
  <c r="H93" i="67"/>
  <c r="M92" i="67"/>
  <c r="L92" i="67"/>
  <c r="K92" i="67"/>
  <c r="J92" i="67"/>
  <c r="I92" i="67"/>
  <c r="H92" i="67"/>
  <c r="M90" i="67"/>
  <c r="K90" i="67"/>
  <c r="I90" i="67"/>
  <c r="I97" i="67" s="1"/>
  <c r="G87" i="67"/>
  <c r="F87" i="67"/>
  <c r="E87" i="67"/>
  <c r="D87" i="67"/>
  <c r="I79" i="67"/>
  <c r="I91" i="67" s="1"/>
  <c r="H73" i="67"/>
  <c r="H113" i="67" s="1"/>
  <c r="I61" i="67"/>
  <c r="J61" i="67" s="1"/>
  <c r="D54" i="67"/>
  <c r="H65" i="21" s="1"/>
  <c r="H111" i="21" s="1"/>
  <c r="E52" i="67"/>
  <c r="F52" i="67" s="1"/>
  <c r="G52" i="67" s="1"/>
  <c r="H52" i="67" s="1"/>
  <c r="I52" i="67" s="1"/>
  <c r="J52" i="67" s="1"/>
  <c r="K52" i="67" s="1"/>
  <c r="L52" i="67" s="1"/>
  <c r="M52" i="67" s="1"/>
  <c r="E51" i="67"/>
  <c r="F51" i="67" s="1"/>
  <c r="G51" i="67" s="1"/>
  <c r="H51" i="67" s="1"/>
  <c r="I51" i="67" s="1"/>
  <c r="J51" i="67" s="1"/>
  <c r="K51" i="67" s="1"/>
  <c r="L51" i="67" s="1"/>
  <c r="M51" i="67" s="1"/>
  <c r="E50" i="67"/>
  <c r="F50" i="67" s="1"/>
  <c r="G50" i="67" s="1"/>
  <c r="H50" i="67" s="1"/>
  <c r="I50" i="67" s="1"/>
  <c r="J50" i="67" s="1"/>
  <c r="K50" i="67" s="1"/>
  <c r="L50" i="67" s="1"/>
  <c r="M50" i="67" s="1"/>
  <c r="E49" i="67"/>
  <c r="F49" i="67" s="1"/>
  <c r="G49" i="67" s="1"/>
  <c r="H49" i="67" s="1"/>
  <c r="I49" i="67" s="1"/>
  <c r="J49" i="67" s="1"/>
  <c r="K49" i="67" s="1"/>
  <c r="L49" i="67" s="1"/>
  <c r="M49" i="67" s="1"/>
  <c r="E48" i="67"/>
  <c r="F48" i="67" s="1"/>
  <c r="G48" i="67" s="1"/>
  <c r="H48" i="67" s="1"/>
  <c r="I48" i="67" s="1"/>
  <c r="J48" i="67" s="1"/>
  <c r="K48" i="67" s="1"/>
  <c r="L48" i="67" s="1"/>
  <c r="M48" i="67" s="1"/>
  <c r="E47" i="67"/>
  <c r="F47" i="67" s="1"/>
  <c r="G47" i="67" s="1"/>
  <c r="H47" i="67" s="1"/>
  <c r="I47" i="67" s="1"/>
  <c r="J47" i="67" s="1"/>
  <c r="K47" i="67" s="1"/>
  <c r="L47" i="67" s="1"/>
  <c r="M47" i="67" s="1"/>
  <c r="H46" i="67"/>
  <c r="I46" i="67" s="1"/>
  <c r="J46" i="67" s="1"/>
  <c r="K46" i="67" s="1"/>
  <c r="L46" i="67" s="1"/>
  <c r="M46" i="67" s="1"/>
  <c r="E46" i="67"/>
  <c r="F46" i="67" s="1"/>
  <c r="E45" i="67"/>
  <c r="F45" i="67" s="1"/>
  <c r="G45" i="67" s="1"/>
  <c r="H45" i="67" s="1"/>
  <c r="I45" i="67" s="1"/>
  <c r="J45" i="67" s="1"/>
  <c r="K45" i="67" s="1"/>
  <c r="L45" i="67" s="1"/>
  <c r="M45" i="67" s="1"/>
  <c r="E44" i="67"/>
  <c r="F44" i="67" s="1"/>
  <c r="G44" i="67" s="1"/>
  <c r="H44" i="67" s="1"/>
  <c r="I44" i="67" s="1"/>
  <c r="J44" i="67" s="1"/>
  <c r="K44" i="67" s="1"/>
  <c r="L44" i="67" s="1"/>
  <c r="M44" i="67" s="1"/>
  <c r="E43" i="67"/>
  <c r="F43" i="67" s="1"/>
  <c r="G43" i="67" s="1"/>
  <c r="H43" i="67" s="1"/>
  <c r="I43" i="67" s="1"/>
  <c r="J43" i="67" s="1"/>
  <c r="K43" i="67" s="1"/>
  <c r="L43" i="67" s="1"/>
  <c r="M43" i="67" s="1"/>
  <c r="E42" i="67"/>
  <c r="F42" i="67" s="1"/>
  <c r="G42" i="67" s="1"/>
  <c r="H42" i="67" s="1"/>
  <c r="I42" i="67" s="1"/>
  <c r="J42" i="67" s="1"/>
  <c r="K42" i="67" s="1"/>
  <c r="L42" i="67" s="1"/>
  <c r="M42" i="67" s="1"/>
  <c r="E41" i="67"/>
  <c r="F41" i="67" s="1"/>
  <c r="G41" i="67" s="1"/>
  <c r="H41" i="67" s="1"/>
  <c r="I41" i="67" s="1"/>
  <c r="J41" i="67" s="1"/>
  <c r="K41" i="67" s="1"/>
  <c r="L41" i="67" s="1"/>
  <c r="M41" i="67" s="1"/>
  <c r="E40" i="67"/>
  <c r="F40" i="67" s="1"/>
  <c r="D38" i="67"/>
  <c r="D56" i="67" s="1"/>
  <c r="H36" i="67"/>
  <c r="I36" i="67" s="1"/>
  <c r="J36" i="67" s="1"/>
  <c r="K36" i="67" s="1"/>
  <c r="L36" i="67" s="1"/>
  <c r="M36" i="67" s="1"/>
  <c r="H35" i="67"/>
  <c r="I35" i="67" s="1"/>
  <c r="J35" i="67" s="1"/>
  <c r="K35" i="67" s="1"/>
  <c r="L35" i="67" s="1"/>
  <c r="M35" i="67" s="1"/>
  <c r="E34" i="67"/>
  <c r="F34" i="67" s="1"/>
  <c r="G34" i="67" s="1"/>
  <c r="H34" i="67" s="1"/>
  <c r="I34" i="67" s="1"/>
  <c r="J34" i="67" s="1"/>
  <c r="K34" i="67" s="1"/>
  <c r="L34" i="67" s="1"/>
  <c r="M34" i="67" s="1"/>
  <c r="H33" i="67"/>
  <c r="I33" i="67" s="1"/>
  <c r="J33" i="67" s="1"/>
  <c r="K33" i="67" s="1"/>
  <c r="L33" i="67" s="1"/>
  <c r="M33" i="67" s="1"/>
  <c r="E32" i="67"/>
  <c r="G24" i="67"/>
  <c r="G26" i="67" s="1"/>
  <c r="F24" i="67"/>
  <c r="E24" i="67"/>
  <c r="E26" i="67" s="1"/>
  <c r="D24" i="67"/>
  <c r="G17" i="67"/>
  <c r="F17" i="67"/>
  <c r="E17" i="67"/>
  <c r="D17" i="67"/>
  <c r="D26" i="67" s="1"/>
  <c r="A2" i="67"/>
  <c r="G187" i="67" l="1"/>
  <c r="D187" i="67"/>
  <c r="E187" i="67"/>
  <c r="F199" i="67"/>
  <c r="I207" i="67"/>
  <c r="J207" i="67"/>
  <c r="K207" i="67"/>
  <c r="D127" i="67"/>
  <c r="D193" i="67" s="1"/>
  <c r="D195" i="67" s="1"/>
  <c r="G132" i="61" s="1"/>
  <c r="F127" i="67"/>
  <c r="F193" i="67" s="1"/>
  <c r="F26" i="67"/>
  <c r="I101" i="67"/>
  <c r="L207" i="67"/>
  <c r="F158" i="67"/>
  <c r="F198" i="67" s="1"/>
  <c r="F200" i="67" s="1"/>
  <c r="I130" i="61" s="1"/>
  <c r="D199" i="67"/>
  <c r="H70" i="21"/>
  <c r="H97" i="67"/>
  <c r="M207" i="67"/>
  <c r="E38" i="67"/>
  <c r="E127" i="67"/>
  <c r="D158" i="67"/>
  <c r="G127" i="67"/>
  <c r="G193" i="67" s="1"/>
  <c r="I10" i="67"/>
  <c r="J10" i="67" s="1"/>
  <c r="M139" i="61" s="1"/>
  <c r="E54" i="67"/>
  <c r="E56" i="67" s="1"/>
  <c r="I9" i="67"/>
  <c r="J9" i="67" s="1"/>
  <c r="M138" i="61" s="1"/>
  <c r="F32" i="67"/>
  <c r="F38" i="67" s="1"/>
  <c r="J22" i="67"/>
  <c r="L134" i="61"/>
  <c r="J13" i="67"/>
  <c r="L142" i="61"/>
  <c r="I15" i="67"/>
  <c r="I11" i="67"/>
  <c r="D198" i="67"/>
  <c r="G158" i="67"/>
  <c r="H127" i="67"/>
  <c r="I73" i="67"/>
  <c r="H144" i="67"/>
  <c r="H158" i="67" s="1"/>
  <c r="H87" i="67"/>
  <c r="E129" i="67"/>
  <c r="E193" i="67"/>
  <c r="G40" i="67"/>
  <c r="F54" i="67"/>
  <c r="K61" i="67"/>
  <c r="J101" i="67"/>
  <c r="E158" i="67"/>
  <c r="H185" i="67"/>
  <c r="J79" i="67"/>
  <c r="I164" i="67"/>
  <c r="E199" i="67"/>
  <c r="L138" i="61" l="1"/>
  <c r="D200" i="67"/>
  <c r="H69" i="21"/>
  <c r="D160" i="67"/>
  <c r="D129" i="67"/>
  <c r="F160" i="67"/>
  <c r="F129" i="67"/>
  <c r="K10" i="67"/>
  <c r="L10" i="67" s="1"/>
  <c r="G195" i="67"/>
  <c r="J132" i="61" s="1"/>
  <c r="K69" i="21"/>
  <c r="L139" i="61"/>
  <c r="E195" i="67"/>
  <c r="H132" i="61" s="1"/>
  <c r="I69" i="21"/>
  <c r="F195" i="67"/>
  <c r="I132" i="61" s="1"/>
  <c r="J69" i="21"/>
  <c r="F56" i="67"/>
  <c r="D202" i="67"/>
  <c r="D204" i="67" s="1"/>
  <c r="G130" i="61"/>
  <c r="L140" i="61"/>
  <c r="J11" i="67"/>
  <c r="L144" i="61"/>
  <c r="J15" i="67"/>
  <c r="K22" i="67"/>
  <c r="M134" i="61"/>
  <c r="K13" i="67"/>
  <c r="M142" i="61"/>
  <c r="G32" i="67"/>
  <c r="G38" i="67" s="1"/>
  <c r="K9" i="67"/>
  <c r="N138" i="61" s="1"/>
  <c r="H198" i="67"/>
  <c r="H160" i="67"/>
  <c r="J91" i="67"/>
  <c r="J97" i="67" s="1"/>
  <c r="K79" i="67"/>
  <c r="G54" i="67"/>
  <c r="H40" i="67"/>
  <c r="H32" i="67"/>
  <c r="I113" i="67"/>
  <c r="I127" i="67" s="1"/>
  <c r="J73" i="67"/>
  <c r="I87" i="67"/>
  <c r="I144" i="67"/>
  <c r="I158" i="67" s="1"/>
  <c r="L61" i="67"/>
  <c r="K101" i="67"/>
  <c r="G198" i="67"/>
  <c r="G200" i="67" s="1"/>
  <c r="J130" i="61" s="1"/>
  <c r="G160" i="67"/>
  <c r="H187" i="67"/>
  <c r="H199" i="67"/>
  <c r="E198" i="67"/>
  <c r="E200" i="67" s="1"/>
  <c r="E160" i="67"/>
  <c r="H193" i="67"/>
  <c r="M70" i="21"/>
  <c r="J164" i="67"/>
  <c r="I185" i="67"/>
  <c r="N139" i="61" l="1"/>
  <c r="L9" i="67"/>
  <c r="O138" i="61" s="1"/>
  <c r="H195" i="67"/>
  <c r="K132" i="61" s="1"/>
  <c r="L69" i="21"/>
  <c r="G202" i="67"/>
  <c r="G204" i="67" s="1"/>
  <c r="E202" i="67"/>
  <c r="E204" i="67" s="1"/>
  <c r="H130" i="61"/>
  <c r="F202" i="67"/>
  <c r="F204" i="67" s="1"/>
  <c r="L13" i="67"/>
  <c r="N142" i="61"/>
  <c r="L22" i="67"/>
  <c r="N134" i="61"/>
  <c r="K15" i="67"/>
  <c r="M144" i="61"/>
  <c r="M10" i="67"/>
  <c r="P139" i="61" s="1"/>
  <c r="O139" i="61"/>
  <c r="M140" i="61"/>
  <c r="K11" i="67"/>
  <c r="M9" i="67"/>
  <c r="L101" i="67"/>
  <c r="M61" i="67"/>
  <c r="H38" i="67"/>
  <c r="I32" i="67"/>
  <c r="G56" i="67"/>
  <c r="G129" i="67"/>
  <c r="L79" i="67"/>
  <c r="K91" i="67"/>
  <c r="K97" i="67" s="1"/>
  <c r="I187" i="67"/>
  <c r="I199" i="67"/>
  <c r="K164" i="67"/>
  <c r="N70" i="21"/>
  <c r="J185" i="67"/>
  <c r="J144" i="67"/>
  <c r="J158" i="67" s="1"/>
  <c r="K73" i="67"/>
  <c r="J113" i="67"/>
  <c r="J127" i="67" s="1"/>
  <c r="J87" i="67"/>
  <c r="I193" i="67"/>
  <c r="H54" i="67"/>
  <c r="I40" i="67"/>
  <c r="I198" i="67"/>
  <c r="I200" i="67" s="1"/>
  <c r="L130" i="61" s="1"/>
  <c r="I160" i="67"/>
  <c r="H200" i="67"/>
  <c r="I195" i="67" l="1"/>
  <c r="L132" i="61" s="1"/>
  <c r="M69" i="21"/>
  <c r="H202" i="67"/>
  <c r="H20" i="67" s="1"/>
  <c r="H24" i="67" s="1"/>
  <c r="K130" i="61"/>
  <c r="P138" i="61"/>
  <c r="M22" i="67"/>
  <c r="P134" i="61" s="1"/>
  <c r="O134" i="61"/>
  <c r="H204" i="67"/>
  <c r="L15" i="67"/>
  <c r="N144" i="61"/>
  <c r="N140" i="61"/>
  <c r="L11" i="67"/>
  <c r="M13" i="67"/>
  <c r="P142" i="61" s="1"/>
  <c r="O142" i="61"/>
  <c r="J198" i="67"/>
  <c r="J160" i="67"/>
  <c r="M79" i="67"/>
  <c r="M91" i="67" s="1"/>
  <c r="M97" i="67" s="1"/>
  <c r="L91" i="67"/>
  <c r="L97" i="67" s="1"/>
  <c r="I54" i="67"/>
  <c r="J40" i="67"/>
  <c r="J199" i="67"/>
  <c r="J187" i="67"/>
  <c r="J32" i="67"/>
  <c r="I38" i="67"/>
  <c r="M101" i="67"/>
  <c r="I202" i="67"/>
  <c r="I20" i="67" s="1"/>
  <c r="I24" i="67" s="1"/>
  <c r="J193" i="67"/>
  <c r="I204" i="67"/>
  <c r="K185" i="67"/>
  <c r="L164" i="67"/>
  <c r="O70" i="21"/>
  <c r="H56" i="67"/>
  <c r="H12" i="67" s="1"/>
  <c r="H129" i="67"/>
  <c r="L73" i="67"/>
  <c r="K113" i="67"/>
  <c r="K127" i="67" s="1"/>
  <c r="K144" i="67"/>
  <c r="K158" i="67" s="1"/>
  <c r="K87" i="67"/>
  <c r="J195" i="67" l="1"/>
  <c r="M132" i="61" s="1"/>
  <c r="N69" i="21"/>
  <c r="M15" i="67"/>
  <c r="P144" i="61" s="1"/>
  <c r="O144" i="61"/>
  <c r="O140" i="61"/>
  <c r="M11" i="67"/>
  <c r="K141" i="61"/>
  <c r="H17" i="67"/>
  <c r="H26" i="67" s="1"/>
  <c r="K193" i="67"/>
  <c r="M164" i="67"/>
  <c r="L185" i="67"/>
  <c r="P70" i="21"/>
  <c r="I56" i="67"/>
  <c r="I12" i="67" s="1"/>
  <c r="I129" i="67"/>
  <c r="K198" i="67"/>
  <c r="K160" i="67"/>
  <c r="M73" i="67"/>
  <c r="L113" i="67"/>
  <c r="L127" i="67" s="1"/>
  <c r="L144" i="67"/>
  <c r="L158" i="67" s="1"/>
  <c r="L87" i="67"/>
  <c r="J54" i="67"/>
  <c r="K40" i="67"/>
  <c r="K199" i="67"/>
  <c r="K187" i="67"/>
  <c r="K32" i="67"/>
  <c r="J38" i="67"/>
  <c r="J200" i="67"/>
  <c r="J202" i="67" l="1"/>
  <c r="J20" i="67" s="1"/>
  <c r="J24" i="67" s="1"/>
  <c r="M130" i="61"/>
  <c r="K195" i="67"/>
  <c r="N132" i="61" s="1"/>
  <c r="O69" i="21"/>
  <c r="P140" i="61"/>
  <c r="L141" i="61"/>
  <c r="I17" i="67"/>
  <c r="I26" i="67" s="1"/>
  <c r="L187" i="67"/>
  <c r="L199" i="67"/>
  <c r="M113" i="67"/>
  <c r="M127" i="67" s="1"/>
  <c r="M144" i="67"/>
  <c r="M158" i="67" s="1"/>
  <c r="M87" i="67"/>
  <c r="J56" i="67"/>
  <c r="J12" i="67" s="1"/>
  <c r="J129" i="67"/>
  <c r="L198" i="67"/>
  <c r="L160" i="67"/>
  <c r="L193" i="67"/>
  <c r="L32" i="67"/>
  <c r="K38" i="67"/>
  <c r="Q70" i="21"/>
  <c r="M185" i="67"/>
  <c r="L40" i="67"/>
  <c r="K54" i="67"/>
  <c r="K200" i="67"/>
  <c r="J204" i="67" l="1"/>
  <c r="L200" i="67"/>
  <c r="O130" i="61" s="1"/>
  <c r="K202" i="67"/>
  <c r="K20" i="67" s="1"/>
  <c r="K24" i="67" s="1"/>
  <c r="N130" i="61"/>
  <c r="L195" i="67"/>
  <c r="O132" i="61" s="1"/>
  <c r="P69" i="21"/>
  <c r="M141" i="61"/>
  <c r="J17" i="67"/>
  <c r="J26" i="67" s="1"/>
  <c r="K56" i="67"/>
  <c r="K12" i="67" s="1"/>
  <c r="K129" i="67"/>
  <c r="M198" i="67"/>
  <c r="M160" i="67"/>
  <c r="M193" i="67"/>
  <c r="M32" i="67"/>
  <c r="M38" i="67" s="1"/>
  <c r="L38" i="67"/>
  <c r="M40" i="67"/>
  <c r="M54" i="67" s="1"/>
  <c r="L54" i="67"/>
  <c r="M187" i="67"/>
  <c r="M199" i="67"/>
  <c r="K204" i="67" l="1"/>
  <c r="M195" i="67"/>
  <c r="P132" i="61" s="1"/>
  <c r="Q69" i="21"/>
  <c r="L202" i="67"/>
  <c r="L20" i="67" s="1"/>
  <c r="L24" i="67" s="1"/>
  <c r="M56" i="67"/>
  <c r="M12" i="67" s="1"/>
  <c r="P141" i="61"/>
  <c r="M17" i="67"/>
  <c r="N141" i="61"/>
  <c r="K17" i="67"/>
  <c r="K26" i="67" s="1"/>
  <c r="M129" i="67"/>
  <c r="M200" i="67"/>
  <c r="P130" i="61" s="1"/>
  <c r="M202" i="67"/>
  <c r="M20" i="67" s="1"/>
  <c r="M24" i="67" s="1"/>
  <c r="L56" i="67"/>
  <c r="L12" i="67" s="1"/>
  <c r="L129" i="67"/>
  <c r="M204" i="67" l="1"/>
  <c r="M26" i="67"/>
  <c r="L204" i="67"/>
  <c r="O141" i="61"/>
  <c r="L17" i="67"/>
  <c r="L26" i="67" s="1"/>
  <c r="I24" i="21"/>
  <c r="I25" i="21"/>
  <c r="J25" i="21"/>
  <c r="K25" i="21"/>
  <c r="L25" i="21"/>
  <c r="M25" i="21"/>
  <c r="N25" i="21"/>
  <c r="O25" i="21"/>
  <c r="P25" i="21"/>
  <c r="Q25" i="21"/>
  <c r="H25" i="21"/>
  <c r="H20" i="21"/>
  <c r="K61" i="61"/>
  <c r="V139" i="61" s="1"/>
  <c r="K62" i="61"/>
  <c r="V140" i="61" s="1"/>
  <c r="L62" i="61"/>
  <c r="W140" i="61" s="1"/>
  <c r="M62" i="61"/>
  <c r="X140" i="61" s="1"/>
  <c r="N62" i="61"/>
  <c r="Y140" i="61" s="1"/>
  <c r="K65" i="61"/>
  <c r="V143" i="61" s="1"/>
  <c r="L65" i="61"/>
  <c r="W143" i="61" s="1"/>
  <c r="M65" i="61"/>
  <c r="X143" i="61" s="1"/>
  <c r="N65" i="61"/>
  <c r="Y143" i="61" s="1"/>
  <c r="O65" i="61"/>
  <c r="Z143" i="61" s="1"/>
  <c r="P65" i="61"/>
  <c r="AA143" i="61" s="1"/>
  <c r="K66" i="61"/>
  <c r="V144" i="61" s="1"/>
  <c r="H21" i="66"/>
  <c r="I21" i="66" s="1"/>
  <c r="J21" i="66" s="1"/>
  <c r="K21" i="66" s="1"/>
  <c r="L21" i="66" s="1"/>
  <c r="M21" i="66" s="1"/>
  <c r="H8" i="66"/>
  <c r="K60" i="61" s="1"/>
  <c r="V138" i="61" s="1"/>
  <c r="H12" i="66"/>
  <c r="K64" i="61" s="1"/>
  <c r="V142" i="61" s="1"/>
  <c r="I20" i="66"/>
  <c r="J20" i="66"/>
  <c r="K20" i="66"/>
  <c r="L20" i="66"/>
  <c r="M20" i="66"/>
  <c r="H20" i="66"/>
  <c r="I10" i="66"/>
  <c r="J10" i="66"/>
  <c r="K10" i="66"/>
  <c r="L10" i="66"/>
  <c r="O62" i="61" s="1"/>
  <c r="Z140" i="61" s="1"/>
  <c r="I12" i="66"/>
  <c r="L64" i="61" s="1"/>
  <c r="W142" i="61" s="1"/>
  <c r="J12" i="66"/>
  <c r="K12" i="66" s="1"/>
  <c r="I13" i="66"/>
  <c r="J13" i="66"/>
  <c r="K13" i="66"/>
  <c r="L13" i="66"/>
  <c r="M13" i="66"/>
  <c r="I14" i="66"/>
  <c r="J14" i="66" s="1"/>
  <c r="H14" i="66"/>
  <c r="H13" i="66"/>
  <c r="H10" i="66"/>
  <c r="H9" i="66"/>
  <c r="I9" i="66" s="1"/>
  <c r="H60" i="61"/>
  <c r="S138" i="61" s="1"/>
  <c r="I60" i="61"/>
  <c r="T138" i="61" s="1"/>
  <c r="J60" i="61"/>
  <c r="U138" i="61" s="1"/>
  <c r="H61" i="61"/>
  <c r="S139" i="61" s="1"/>
  <c r="I61" i="61"/>
  <c r="T139" i="61" s="1"/>
  <c r="J61" i="61"/>
  <c r="U139" i="61" s="1"/>
  <c r="H62" i="61"/>
  <c r="S140" i="61" s="1"/>
  <c r="I62" i="61"/>
  <c r="T140" i="61" s="1"/>
  <c r="J62" i="61"/>
  <c r="U140" i="61" s="1"/>
  <c r="H63" i="61"/>
  <c r="S141" i="61" s="1"/>
  <c r="I63" i="61"/>
  <c r="T141" i="61" s="1"/>
  <c r="J63" i="61"/>
  <c r="U141" i="61" s="1"/>
  <c r="H64" i="61"/>
  <c r="S142" i="61" s="1"/>
  <c r="I64" i="61"/>
  <c r="T142" i="61" s="1"/>
  <c r="J64" i="61"/>
  <c r="U142" i="61" s="1"/>
  <c r="H65" i="61"/>
  <c r="S143" i="61" s="1"/>
  <c r="I65" i="61"/>
  <c r="T143" i="61" s="1"/>
  <c r="J65" i="61"/>
  <c r="U143" i="61" s="1"/>
  <c r="H66" i="61"/>
  <c r="S144" i="61" s="1"/>
  <c r="I66" i="61"/>
  <c r="T144" i="61" s="1"/>
  <c r="J66" i="61"/>
  <c r="U144" i="61" s="1"/>
  <c r="G66" i="61"/>
  <c r="R144" i="61" s="1"/>
  <c r="G65" i="61"/>
  <c r="R143" i="61" s="1"/>
  <c r="G64" i="61"/>
  <c r="R142" i="61" s="1"/>
  <c r="G61" i="61"/>
  <c r="R139" i="61" s="1"/>
  <c r="G60" i="61"/>
  <c r="R138" i="61" s="1"/>
  <c r="G63" i="61"/>
  <c r="R141" i="61" s="1"/>
  <c r="G62" i="61"/>
  <c r="R140" i="61" s="1"/>
  <c r="H56" i="61"/>
  <c r="S134" i="61" s="1"/>
  <c r="I56" i="61"/>
  <c r="T134" i="61" s="1"/>
  <c r="J56" i="61"/>
  <c r="U134" i="61" s="1"/>
  <c r="G56" i="61"/>
  <c r="R134" i="61" s="1"/>
  <c r="H55" i="61"/>
  <c r="S133" i="61" s="1"/>
  <c r="I55" i="61"/>
  <c r="T133" i="61" s="1"/>
  <c r="J55" i="61"/>
  <c r="U133" i="61" s="1"/>
  <c r="G55" i="61"/>
  <c r="R133" i="61" s="1"/>
  <c r="G185" i="66"/>
  <c r="H171" i="66"/>
  <c r="H185" i="66" s="1"/>
  <c r="G171" i="66"/>
  <c r="F171" i="66"/>
  <c r="F185" i="66" s="1"/>
  <c r="E171" i="66"/>
  <c r="E173" i="66" s="1"/>
  <c r="E174" i="66" s="1"/>
  <c r="D171" i="66"/>
  <c r="D173" i="66" s="1"/>
  <c r="D174" i="66" s="1"/>
  <c r="I169" i="66"/>
  <c r="I171" i="66" s="1"/>
  <c r="M139" i="66"/>
  <c r="L139" i="66"/>
  <c r="K139" i="66"/>
  <c r="J139" i="66"/>
  <c r="I139" i="66"/>
  <c r="L133" i="66"/>
  <c r="M132" i="66"/>
  <c r="L132" i="66"/>
  <c r="K132" i="66"/>
  <c r="J132" i="66"/>
  <c r="I132" i="66"/>
  <c r="M131" i="66"/>
  <c r="L131" i="66"/>
  <c r="K131" i="66"/>
  <c r="J131" i="66"/>
  <c r="I131" i="66"/>
  <c r="G128" i="66"/>
  <c r="G143" i="66" s="1"/>
  <c r="G184" i="66" s="1"/>
  <c r="F128" i="66"/>
  <c r="F143" i="66" s="1"/>
  <c r="F184" i="66" s="1"/>
  <c r="E128" i="66"/>
  <c r="E143" i="66" s="1"/>
  <c r="E184" i="66" s="1"/>
  <c r="D128" i="66"/>
  <c r="D143" i="66" s="1"/>
  <c r="D184" i="66" s="1"/>
  <c r="M126" i="66"/>
  <c r="L126" i="66"/>
  <c r="K126" i="66"/>
  <c r="J126" i="66"/>
  <c r="I126" i="66"/>
  <c r="M125" i="66"/>
  <c r="L125" i="66"/>
  <c r="K125" i="66"/>
  <c r="J125" i="66"/>
  <c r="I125" i="66"/>
  <c r="M111" i="66"/>
  <c r="L111" i="66"/>
  <c r="K111" i="66"/>
  <c r="J111" i="66"/>
  <c r="I111" i="66"/>
  <c r="L110" i="66"/>
  <c r="K110" i="66"/>
  <c r="J110" i="66"/>
  <c r="I110" i="66"/>
  <c r="M109" i="66"/>
  <c r="L109" i="66"/>
  <c r="K109" i="66"/>
  <c r="J109" i="66"/>
  <c r="I109" i="66"/>
  <c r="M108" i="66"/>
  <c r="L108" i="66"/>
  <c r="K108" i="66"/>
  <c r="J108" i="66"/>
  <c r="I108" i="66"/>
  <c r="M106" i="66"/>
  <c r="L106" i="66"/>
  <c r="K106" i="66"/>
  <c r="J106" i="66"/>
  <c r="I106" i="66"/>
  <c r="M104" i="66"/>
  <c r="L104" i="66"/>
  <c r="K104" i="66"/>
  <c r="J104" i="66"/>
  <c r="I104" i="66"/>
  <c r="L103" i="66"/>
  <c r="K103" i="66"/>
  <c r="J103" i="66"/>
  <c r="I103" i="66"/>
  <c r="L102" i="66"/>
  <c r="K102" i="66"/>
  <c r="J102" i="66"/>
  <c r="I102" i="66"/>
  <c r="L101" i="66"/>
  <c r="K101" i="66"/>
  <c r="J101" i="66"/>
  <c r="I101" i="66"/>
  <c r="M100" i="66"/>
  <c r="L100" i="66"/>
  <c r="J100" i="66"/>
  <c r="I100" i="66"/>
  <c r="H98" i="66"/>
  <c r="H113" i="66" s="1"/>
  <c r="H179" i="66" s="1"/>
  <c r="H181" i="66" s="1"/>
  <c r="G98" i="66"/>
  <c r="G113" i="66" s="1"/>
  <c r="G179" i="66" s="1"/>
  <c r="F98" i="66"/>
  <c r="F113" i="66" s="1"/>
  <c r="F179" i="66" s="1"/>
  <c r="F181" i="66" s="1"/>
  <c r="E98" i="66"/>
  <c r="E113" i="66" s="1"/>
  <c r="D98" i="66"/>
  <c r="D113" i="66" s="1"/>
  <c r="M97" i="66"/>
  <c r="L97" i="66"/>
  <c r="K97" i="66"/>
  <c r="J97" i="66"/>
  <c r="I97" i="66"/>
  <c r="M95" i="66"/>
  <c r="L95" i="66"/>
  <c r="K95" i="66"/>
  <c r="J95" i="66"/>
  <c r="I95" i="66"/>
  <c r="M94" i="66"/>
  <c r="L94" i="66"/>
  <c r="K94" i="66"/>
  <c r="J94" i="66"/>
  <c r="I94" i="66"/>
  <c r="M92" i="66"/>
  <c r="L92" i="66"/>
  <c r="K92" i="66"/>
  <c r="J92" i="66"/>
  <c r="I92" i="66"/>
  <c r="L91" i="66"/>
  <c r="K91" i="66"/>
  <c r="J91" i="66"/>
  <c r="I91" i="66"/>
  <c r="M90" i="66"/>
  <c r="L90" i="66"/>
  <c r="K90" i="66"/>
  <c r="J90" i="66"/>
  <c r="I90" i="66"/>
  <c r="L89" i="66"/>
  <c r="K89" i="66"/>
  <c r="J89" i="66"/>
  <c r="I89" i="66"/>
  <c r="H83" i="66"/>
  <c r="H173" i="66" s="1"/>
  <c r="G83" i="66"/>
  <c r="F83" i="66"/>
  <c r="E83" i="66"/>
  <c r="D83" i="66"/>
  <c r="I75" i="66"/>
  <c r="I135" i="66" s="1"/>
  <c r="I68" i="66"/>
  <c r="I98" i="66" s="1"/>
  <c r="I58" i="66"/>
  <c r="I88" i="66" s="1"/>
  <c r="D51" i="66"/>
  <c r="E49" i="66"/>
  <c r="F49" i="66" s="1"/>
  <c r="G49" i="66" s="1"/>
  <c r="H49" i="66" s="1"/>
  <c r="I49" i="66" s="1"/>
  <c r="J49" i="66" s="1"/>
  <c r="K49" i="66" s="1"/>
  <c r="L49" i="66" s="1"/>
  <c r="M49" i="66" s="1"/>
  <c r="E48" i="66"/>
  <c r="F48" i="66" s="1"/>
  <c r="G48" i="66" s="1"/>
  <c r="H48" i="66" s="1"/>
  <c r="I48" i="66" s="1"/>
  <c r="J48" i="66" s="1"/>
  <c r="K48" i="66" s="1"/>
  <c r="L48" i="66" s="1"/>
  <c r="M48" i="66" s="1"/>
  <c r="E47" i="66"/>
  <c r="F47" i="66" s="1"/>
  <c r="G47" i="66" s="1"/>
  <c r="H47" i="66" s="1"/>
  <c r="I47" i="66" s="1"/>
  <c r="J47" i="66" s="1"/>
  <c r="K47" i="66" s="1"/>
  <c r="L47" i="66" s="1"/>
  <c r="M47" i="66" s="1"/>
  <c r="E46" i="66"/>
  <c r="F46" i="66" s="1"/>
  <c r="G46" i="66" s="1"/>
  <c r="H46" i="66" s="1"/>
  <c r="I46" i="66" s="1"/>
  <c r="J46" i="66" s="1"/>
  <c r="K46" i="66" s="1"/>
  <c r="L46" i="66" s="1"/>
  <c r="M46" i="66" s="1"/>
  <c r="E45" i="66"/>
  <c r="F45" i="66" s="1"/>
  <c r="G45" i="66" s="1"/>
  <c r="H45" i="66" s="1"/>
  <c r="I45" i="66" s="1"/>
  <c r="J45" i="66" s="1"/>
  <c r="K45" i="66" s="1"/>
  <c r="L45" i="66" s="1"/>
  <c r="M45" i="66" s="1"/>
  <c r="H44" i="66"/>
  <c r="I44" i="66" s="1"/>
  <c r="J44" i="66" s="1"/>
  <c r="K44" i="66" s="1"/>
  <c r="L44" i="66" s="1"/>
  <c r="M44" i="66" s="1"/>
  <c r="E44" i="66"/>
  <c r="F44" i="66" s="1"/>
  <c r="E43" i="66"/>
  <c r="F43" i="66" s="1"/>
  <c r="G43" i="66" s="1"/>
  <c r="H43" i="66" s="1"/>
  <c r="I43" i="66" s="1"/>
  <c r="J43" i="66" s="1"/>
  <c r="K43" i="66" s="1"/>
  <c r="L43" i="66" s="1"/>
  <c r="M43" i="66" s="1"/>
  <c r="E42" i="66"/>
  <c r="F42" i="66" s="1"/>
  <c r="G42" i="66" s="1"/>
  <c r="H42" i="66" s="1"/>
  <c r="I42" i="66" s="1"/>
  <c r="J42" i="66" s="1"/>
  <c r="K42" i="66" s="1"/>
  <c r="L42" i="66" s="1"/>
  <c r="M42" i="66" s="1"/>
  <c r="E41" i="66"/>
  <c r="F41" i="66" s="1"/>
  <c r="G41" i="66" s="1"/>
  <c r="H41" i="66" s="1"/>
  <c r="I41" i="66" s="1"/>
  <c r="J41" i="66" s="1"/>
  <c r="K41" i="66" s="1"/>
  <c r="L41" i="66" s="1"/>
  <c r="M41" i="66" s="1"/>
  <c r="E40" i="66"/>
  <c r="F40" i="66" s="1"/>
  <c r="G40" i="66" s="1"/>
  <c r="H40" i="66" s="1"/>
  <c r="I40" i="66" s="1"/>
  <c r="J40" i="66" s="1"/>
  <c r="K40" i="66" s="1"/>
  <c r="L40" i="66" s="1"/>
  <c r="M40" i="66" s="1"/>
  <c r="E39" i="66"/>
  <c r="F39" i="66" s="1"/>
  <c r="G39" i="66" s="1"/>
  <c r="H39" i="66" s="1"/>
  <c r="I39" i="66" s="1"/>
  <c r="J39" i="66" s="1"/>
  <c r="K39" i="66" s="1"/>
  <c r="L39" i="66" s="1"/>
  <c r="M39" i="66" s="1"/>
  <c r="E38" i="66"/>
  <c r="F38" i="66" s="1"/>
  <c r="H37" i="66"/>
  <c r="G35" i="66"/>
  <c r="F35" i="66"/>
  <c r="E35" i="66"/>
  <c r="D35" i="66"/>
  <c r="D53" i="66" s="1"/>
  <c r="H33" i="66"/>
  <c r="I33" i="66" s="1"/>
  <c r="J33" i="66" s="1"/>
  <c r="K33" i="66" s="1"/>
  <c r="L33" i="66" s="1"/>
  <c r="M33" i="66" s="1"/>
  <c r="H32" i="66"/>
  <c r="I32" i="66" s="1"/>
  <c r="J32" i="66" s="1"/>
  <c r="K32" i="66" s="1"/>
  <c r="L32" i="66" s="1"/>
  <c r="M32" i="66" s="1"/>
  <c r="H31" i="66"/>
  <c r="I31" i="66" s="1"/>
  <c r="J31" i="66" s="1"/>
  <c r="K31" i="66" s="1"/>
  <c r="L31" i="66" s="1"/>
  <c r="M31" i="66" s="1"/>
  <c r="H30" i="66"/>
  <c r="I30" i="66" s="1"/>
  <c r="A1" i="66"/>
  <c r="G181" i="66" l="1"/>
  <c r="J54" i="61" s="1"/>
  <c r="U132" i="61" s="1"/>
  <c r="K24" i="21"/>
  <c r="J24" i="21"/>
  <c r="L24" i="21"/>
  <c r="K14" i="66"/>
  <c r="M66" i="61"/>
  <c r="X144" i="61" s="1"/>
  <c r="L61" i="61"/>
  <c r="W139" i="61" s="1"/>
  <c r="J9" i="66"/>
  <c r="L12" i="66"/>
  <c r="N64" i="61"/>
  <c r="Y142" i="61" s="1"/>
  <c r="L66" i="61"/>
  <c r="W144" i="61" s="1"/>
  <c r="M64" i="61"/>
  <c r="X142" i="61" s="1"/>
  <c r="M10" i="66"/>
  <c r="P62" i="61" s="1"/>
  <c r="AA140" i="61" s="1"/>
  <c r="I8" i="66"/>
  <c r="E145" i="66"/>
  <c r="E146" i="66" s="1"/>
  <c r="E179" i="66"/>
  <c r="E181" i="66" s="1"/>
  <c r="K54" i="61"/>
  <c r="V132" i="61" s="1"/>
  <c r="I54" i="61"/>
  <c r="T132" i="61" s="1"/>
  <c r="G186" i="66"/>
  <c r="F186" i="66"/>
  <c r="I52" i="61" s="1"/>
  <c r="T130" i="61" s="1"/>
  <c r="D145" i="66"/>
  <c r="D146" i="66" s="1"/>
  <c r="D179" i="66"/>
  <c r="I185" i="66"/>
  <c r="D185" i="66"/>
  <c r="D186" i="66" s="1"/>
  <c r="G52" i="61" s="1"/>
  <c r="R130" i="61" s="1"/>
  <c r="H128" i="66"/>
  <c r="H143" i="66" s="1"/>
  <c r="H184" i="66" s="1"/>
  <c r="H186" i="66" s="1"/>
  <c r="K52" i="61" s="1"/>
  <c r="V130" i="61" s="1"/>
  <c r="E185" i="66"/>
  <c r="E186" i="66" s="1"/>
  <c r="H52" i="61" s="1"/>
  <c r="S130" i="61" s="1"/>
  <c r="C23" i="66"/>
  <c r="D16" i="66"/>
  <c r="D23" i="66"/>
  <c r="E16" i="66"/>
  <c r="E25" i="66"/>
  <c r="J58" i="66"/>
  <c r="J88" i="66" s="1"/>
  <c r="I128" i="66"/>
  <c r="I143" i="66" s="1"/>
  <c r="F23" i="66"/>
  <c r="J68" i="66"/>
  <c r="J128" i="66" s="1"/>
  <c r="I83" i="66"/>
  <c r="I173" i="66" s="1"/>
  <c r="F173" i="66"/>
  <c r="F174" i="66" s="1"/>
  <c r="G173" i="66"/>
  <c r="G174" i="66" s="1"/>
  <c r="F16" i="66"/>
  <c r="G23" i="66"/>
  <c r="G16" i="66"/>
  <c r="J75" i="66"/>
  <c r="J135" i="66" s="1"/>
  <c r="I113" i="66"/>
  <c r="I179" i="66" s="1"/>
  <c r="E23" i="66"/>
  <c r="F25" i="66" s="1"/>
  <c r="B16" i="66"/>
  <c r="C16" i="66"/>
  <c r="D25" i="66" s="1"/>
  <c r="B23" i="66"/>
  <c r="E148" i="66"/>
  <c r="G145" i="66"/>
  <c r="G146" i="66" s="1"/>
  <c r="G148" i="66"/>
  <c r="F148" i="66"/>
  <c r="F145" i="66"/>
  <c r="F146" i="66" s="1"/>
  <c r="J30" i="66"/>
  <c r="I35" i="66"/>
  <c r="F51" i="66"/>
  <c r="G38" i="66"/>
  <c r="I37" i="66"/>
  <c r="H35" i="66"/>
  <c r="E51" i="66"/>
  <c r="D148" i="66"/>
  <c r="J169" i="66"/>
  <c r="K58" i="66"/>
  <c r="D181" i="66" l="1"/>
  <c r="H24" i="21"/>
  <c r="F188" i="66"/>
  <c r="E53" i="66"/>
  <c r="I20" i="21"/>
  <c r="J8" i="66"/>
  <c r="L60" i="61"/>
  <c r="W138" i="61" s="1"/>
  <c r="F53" i="66"/>
  <c r="J20" i="21"/>
  <c r="M12" i="66"/>
  <c r="P64" i="61" s="1"/>
  <c r="AA142" i="61" s="1"/>
  <c r="O64" i="61"/>
  <c r="Z142" i="61" s="1"/>
  <c r="I148" i="66"/>
  <c r="M19" i="21"/>
  <c r="M61" i="61"/>
  <c r="X139" i="61" s="1"/>
  <c r="K9" i="66"/>
  <c r="I181" i="66"/>
  <c r="L54" i="61" s="1"/>
  <c r="W132" i="61" s="1"/>
  <c r="M24" i="21"/>
  <c r="H148" i="66"/>
  <c r="L19" i="21"/>
  <c r="L14" i="66"/>
  <c r="N66" i="61"/>
  <c r="Y144" i="61" s="1"/>
  <c r="J143" i="66"/>
  <c r="J184" i="66" s="1"/>
  <c r="I145" i="66"/>
  <c r="I146" i="66" s="1"/>
  <c r="I184" i="66"/>
  <c r="H188" i="66"/>
  <c r="I186" i="66"/>
  <c r="L52" i="61" s="1"/>
  <c r="W130" i="61" s="1"/>
  <c r="D188" i="66"/>
  <c r="D189" i="66" s="1"/>
  <c r="G54" i="61"/>
  <c r="R132" i="61" s="1"/>
  <c r="K68" i="66"/>
  <c r="H145" i="66"/>
  <c r="H146" i="66" s="1"/>
  <c r="H54" i="61"/>
  <c r="S132" i="61" s="1"/>
  <c r="E188" i="66"/>
  <c r="E189" i="66" s="1"/>
  <c r="J52" i="61"/>
  <c r="U130" i="61" s="1"/>
  <c r="G188" i="66"/>
  <c r="G189" i="66" s="1"/>
  <c r="F189" i="66"/>
  <c r="J98" i="66"/>
  <c r="J113" i="66" s="1"/>
  <c r="J179" i="66" s="1"/>
  <c r="B25" i="66"/>
  <c r="G25" i="66"/>
  <c r="J83" i="66"/>
  <c r="K75" i="66"/>
  <c r="L75" i="66" s="1"/>
  <c r="H25" i="66"/>
  <c r="K135" i="66"/>
  <c r="K88" i="66"/>
  <c r="L58" i="66"/>
  <c r="J37" i="66"/>
  <c r="J171" i="66"/>
  <c r="J173" i="66" s="1"/>
  <c r="K169" i="66"/>
  <c r="J35" i="66"/>
  <c r="K30" i="66"/>
  <c r="K128" i="66"/>
  <c r="L68" i="66"/>
  <c r="K98" i="66"/>
  <c r="G51" i="66"/>
  <c r="H38" i="66"/>
  <c r="H189" i="66" l="1"/>
  <c r="H19" i="66"/>
  <c r="H23" i="66" s="1"/>
  <c r="G53" i="66"/>
  <c r="K20" i="21"/>
  <c r="J145" i="66"/>
  <c r="J146" i="66" s="1"/>
  <c r="M14" i="66"/>
  <c r="P66" i="61" s="1"/>
  <c r="AA144" i="61" s="1"/>
  <c r="O66" i="61"/>
  <c r="Z144" i="61" s="1"/>
  <c r="J181" i="66"/>
  <c r="M54" i="61" s="1"/>
  <c r="X132" i="61" s="1"/>
  <c r="N24" i="21"/>
  <c r="L9" i="66"/>
  <c r="N61" i="61"/>
  <c r="Y139" i="61" s="1"/>
  <c r="M60" i="61"/>
  <c r="X138" i="61" s="1"/>
  <c r="K8" i="66"/>
  <c r="J148" i="66"/>
  <c r="N19" i="21"/>
  <c r="K83" i="66"/>
  <c r="K143" i="66"/>
  <c r="K184" i="66" s="1"/>
  <c r="J185" i="66"/>
  <c r="J186" i="66" s="1"/>
  <c r="M52" i="61" s="1"/>
  <c r="X130" i="61" s="1"/>
  <c r="K113" i="66"/>
  <c r="K179" i="66" s="1"/>
  <c r="I188" i="66"/>
  <c r="I38" i="66"/>
  <c r="H51" i="66"/>
  <c r="L128" i="66"/>
  <c r="M68" i="66"/>
  <c r="L98" i="66"/>
  <c r="L83" i="66"/>
  <c r="M58" i="66"/>
  <c r="L88" i="66"/>
  <c r="L113" i="66" s="1"/>
  <c r="L179" i="66" s="1"/>
  <c r="K35" i="66"/>
  <c r="O19" i="21" s="1"/>
  <c r="L30" i="66"/>
  <c r="M75" i="66"/>
  <c r="M135" i="66" s="1"/>
  <c r="L135" i="66"/>
  <c r="K37" i="66"/>
  <c r="K171" i="66"/>
  <c r="L169" i="66"/>
  <c r="M9" i="66" l="1"/>
  <c r="P61" i="61" s="1"/>
  <c r="AA139" i="61" s="1"/>
  <c r="O61" i="61"/>
  <c r="Z139" i="61" s="1"/>
  <c r="L181" i="66"/>
  <c r="O54" i="61" s="1"/>
  <c r="Z132" i="61" s="1"/>
  <c r="P24" i="21"/>
  <c r="K181" i="66"/>
  <c r="N54" i="61" s="1"/>
  <c r="Y132" i="61" s="1"/>
  <c r="O24" i="21"/>
  <c r="I189" i="66"/>
  <c r="I19" i="66"/>
  <c r="I23" i="66" s="1"/>
  <c r="N60" i="61"/>
  <c r="Y138" i="61" s="1"/>
  <c r="L8" i="66"/>
  <c r="H53" i="66"/>
  <c r="H11" i="66" s="1"/>
  <c r="L20" i="21"/>
  <c r="K173" i="66"/>
  <c r="K185" i="66"/>
  <c r="K186" i="66" s="1"/>
  <c r="K148" i="66"/>
  <c r="K145" i="66"/>
  <c r="K146" i="66" s="1"/>
  <c r="J188" i="66"/>
  <c r="M83" i="66"/>
  <c r="M88" i="66"/>
  <c r="M169" i="66"/>
  <c r="L171" i="66"/>
  <c r="L37" i="66"/>
  <c r="M128" i="66"/>
  <c r="M143" i="66" s="1"/>
  <c r="M184" i="66" s="1"/>
  <c r="M98" i="66"/>
  <c r="L143" i="66"/>
  <c r="L35" i="66"/>
  <c r="M30" i="66"/>
  <c r="M35" i="66" s="1"/>
  <c r="Q19" i="21" s="1"/>
  <c r="J38" i="66"/>
  <c r="I51" i="66"/>
  <c r="H16" i="66" l="1"/>
  <c r="K63" i="61"/>
  <c r="V141" i="61" s="1"/>
  <c r="J189" i="66"/>
  <c r="J19" i="66"/>
  <c r="J23" i="66" s="1"/>
  <c r="O60" i="61"/>
  <c r="Z138" i="61" s="1"/>
  <c r="M8" i="66"/>
  <c r="L148" i="66"/>
  <c r="P19" i="21"/>
  <c r="I53" i="66"/>
  <c r="I11" i="66" s="1"/>
  <c r="M20" i="21"/>
  <c r="N52" i="61"/>
  <c r="Y130" i="61" s="1"/>
  <c r="K188" i="66"/>
  <c r="L145" i="66"/>
  <c r="L146" i="66" s="1"/>
  <c r="L184" i="66"/>
  <c r="L173" i="66"/>
  <c r="L185" i="66"/>
  <c r="M171" i="66"/>
  <c r="K38" i="66"/>
  <c r="J51" i="66"/>
  <c r="M37" i="66"/>
  <c r="M113" i="66"/>
  <c r="M179" i="66" s="1"/>
  <c r="Q24" i="21" s="1"/>
  <c r="K189" i="66" l="1"/>
  <c r="K19" i="66"/>
  <c r="K23" i="66" s="1"/>
  <c r="M181" i="66"/>
  <c r="J53" i="66"/>
  <c r="J11" i="66" s="1"/>
  <c r="N20" i="21"/>
  <c r="L63" i="61"/>
  <c r="W141" i="61" s="1"/>
  <c r="I16" i="66"/>
  <c r="P60" i="61"/>
  <c r="AA138" i="61" s="1"/>
  <c r="M173" i="66"/>
  <c r="M185" i="66"/>
  <c r="M186" i="66" s="1"/>
  <c r="P52" i="61" s="1"/>
  <c r="AA130" i="61" s="1"/>
  <c r="L186" i="66"/>
  <c r="P54" i="61"/>
  <c r="AA132" i="61" s="1"/>
  <c r="M148" i="66"/>
  <c r="M145" i="66"/>
  <c r="M146" i="66" s="1"/>
  <c r="L38" i="66"/>
  <c r="K51" i="66"/>
  <c r="M188" i="66" l="1"/>
  <c r="M189" i="66"/>
  <c r="M19" i="66"/>
  <c r="M23" i="66" s="1"/>
  <c r="M63" i="61"/>
  <c r="X141" i="61" s="1"/>
  <c r="J16" i="66"/>
  <c r="K53" i="66"/>
  <c r="K11" i="66" s="1"/>
  <c r="O20" i="21"/>
  <c r="O52" i="61"/>
  <c r="Z130" i="61" s="1"/>
  <c r="L188" i="66"/>
  <c r="M38" i="66"/>
  <c r="M51" i="66" s="1"/>
  <c r="L51" i="66"/>
  <c r="L53" i="66" l="1"/>
  <c r="L11" i="66" s="1"/>
  <c r="P20" i="21"/>
  <c r="L189" i="66"/>
  <c r="L19" i="66"/>
  <c r="L23" i="66" s="1"/>
  <c r="N63" i="61"/>
  <c r="Y141" i="61" s="1"/>
  <c r="K16" i="66"/>
  <c r="M53" i="66"/>
  <c r="M11" i="66" s="1"/>
  <c r="Q20" i="21"/>
  <c r="I141" i="44"/>
  <c r="G94" i="44"/>
  <c r="J249" i="42"/>
  <c r="F236" i="42"/>
  <c r="F237" i="42"/>
  <c r="P63" i="61" l="1"/>
  <c r="AA141" i="61" s="1"/>
  <c r="M16" i="66"/>
  <c r="O63" i="61"/>
  <c r="Z141" i="61" s="1"/>
  <c r="L16" i="66"/>
  <c r="G222" i="42"/>
  <c r="H222" i="42" s="1"/>
  <c r="I222" i="42" s="1"/>
  <c r="J222" i="42" s="1"/>
  <c r="K222" i="42" s="1"/>
  <c r="L222" i="42" s="1"/>
  <c r="M222" i="42" s="1"/>
  <c r="N222" i="42" s="1"/>
  <c r="O222" i="42" s="1"/>
  <c r="P222" i="42" s="1"/>
  <c r="Q222" i="42" s="1"/>
  <c r="F222" i="42"/>
  <c r="W49" i="44"/>
  <c r="X49" i="44" s="1"/>
  <c r="Y49" i="44" s="1"/>
  <c r="E49" i="44"/>
  <c r="F49" i="44" s="1"/>
  <c r="G49" i="44" s="1"/>
  <c r="H49" i="44" s="1"/>
  <c r="I49" i="44" s="1"/>
  <c r="J49" i="44" s="1"/>
  <c r="K49" i="44" s="1"/>
  <c r="L49" i="44" s="1"/>
  <c r="M49" i="44" s="1"/>
  <c r="N49" i="44" s="1"/>
  <c r="O49" i="44" s="1"/>
  <c r="P49" i="44" s="1"/>
  <c r="Q49" i="44" s="1"/>
  <c r="R49" i="44" s="1"/>
  <c r="S49" i="44" s="1"/>
  <c r="T49" i="44" s="1"/>
  <c r="U49" i="44" s="1"/>
  <c r="V49" i="44" s="1"/>
  <c r="D49" i="44"/>
  <c r="E40" i="62"/>
  <c r="E32" i="62"/>
  <c r="H55" i="65"/>
  <c r="B30" i="65"/>
  <c r="D7" i="65"/>
  <c r="C7" i="65"/>
  <c r="C9" i="65"/>
  <c r="B80" i="61"/>
  <c r="C80" i="61"/>
  <c r="D80" i="61"/>
  <c r="E80" i="61"/>
  <c r="F80" i="61"/>
  <c r="C30" i="65" s="1"/>
  <c r="G80" i="61"/>
  <c r="G91" i="61" s="1"/>
  <c r="E134" i="68" s="1"/>
  <c r="A80" i="61"/>
  <c r="H6" i="61"/>
  <c r="H16" i="61" s="1"/>
  <c r="F43" i="69" s="1"/>
  <c r="F46" i="69" s="1"/>
  <c r="G8" i="61"/>
  <c r="H8" i="61" s="1"/>
  <c r="I8" i="61" s="1"/>
  <c r="J8" i="61" s="1"/>
  <c r="G9" i="65" s="1"/>
  <c r="D30" i="65" l="1"/>
  <c r="D9" i="65"/>
  <c r="F9" i="65"/>
  <c r="E7" i="65"/>
  <c r="H80" i="61"/>
  <c r="E9" i="65"/>
  <c r="I6" i="61"/>
  <c r="I80" i="61" l="1"/>
  <c r="F7" i="65"/>
  <c r="E30" i="65"/>
  <c r="H91" i="61"/>
  <c r="F134" i="68" s="1"/>
  <c r="J6" i="61"/>
  <c r="I16" i="61"/>
  <c r="G43" i="69" s="1"/>
  <c r="G46" i="69" s="1"/>
  <c r="J16" i="61" l="1"/>
  <c r="H43" i="69" s="1"/>
  <c r="H46" i="69" s="1"/>
  <c r="G7" i="65"/>
  <c r="J80" i="61"/>
  <c r="I91" i="61"/>
  <c r="G134" i="68" s="1"/>
  <c r="F30" i="65"/>
  <c r="F14" i="44"/>
  <c r="G30" i="65" l="1"/>
  <c r="J91" i="61"/>
  <c r="H134" i="68" s="1"/>
  <c r="M69" i="65"/>
  <c r="M68" i="65"/>
  <c r="M67" i="65"/>
  <c r="E69" i="65"/>
  <c r="E68" i="65"/>
  <c r="E67" i="65"/>
  <c r="E63" i="65"/>
  <c r="M64" i="65"/>
  <c r="M63" i="65"/>
  <c r="D70" i="65"/>
  <c r="C70" i="65"/>
  <c r="H70" i="65"/>
  <c r="G70" i="65"/>
  <c r="I69" i="65"/>
  <c r="I68" i="65"/>
  <c r="I67" i="65"/>
  <c r="I63" i="65"/>
  <c r="L70" i="65"/>
  <c r="K70" i="65"/>
  <c r="H59" i="65"/>
  <c r="G56" i="65"/>
  <c r="I56" i="65" s="1"/>
  <c r="J102" i="61" s="1"/>
  <c r="H147" i="68" s="1"/>
  <c r="G55" i="65"/>
  <c r="I55" i="65" s="1"/>
  <c r="I58" i="65"/>
  <c r="J108" i="61" s="1"/>
  <c r="I57" i="65"/>
  <c r="J105" i="61" s="1"/>
  <c r="I54" i="65"/>
  <c r="I51" i="65"/>
  <c r="J88" i="61" s="1"/>
  <c r="G129" i="49"/>
  <c r="H129" i="49"/>
  <c r="I129" i="49"/>
  <c r="H140" i="49"/>
  <c r="H130" i="49"/>
  <c r="I130" i="49"/>
  <c r="G54" i="49"/>
  <c r="H54" i="49"/>
  <c r="I54" i="49"/>
  <c r="J54" i="49"/>
  <c r="G175" i="45"/>
  <c r="F139" i="46"/>
  <c r="C32" i="65"/>
  <c r="C31" i="65"/>
  <c r="C8" i="65"/>
  <c r="L220" i="42"/>
  <c r="M220" i="42" s="1"/>
  <c r="N220" i="42" s="1"/>
  <c r="O220" i="42" s="1"/>
  <c r="P220" i="42" s="1"/>
  <c r="Q220" i="42" s="1"/>
  <c r="K227" i="42"/>
  <c r="L227" i="42" s="1"/>
  <c r="M227" i="42" s="1"/>
  <c r="N227" i="42" s="1"/>
  <c r="O227" i="42" s="1"/>
  <c r="P227" i="42" s="1"/>
  <c r="Q227" i="42" s="1"/>
  <c r="K220" i="42"/>
  <c r="K64" i="49"/>
  <c r="L64" i="49"/>
  <c r="M64" i="49"/>
  <c r="N64" i="49"/>
  <c r="O64" i="49"/>
  <c r="P64" i="49"/>
  <c r="I60" i="42"/>
  <c r="H60" i="42"/>
  <c r="G60" i="42"/>
  <c r="F60" i="42"/>
  <c r="E60" i="42"/>
  <c r="D60" i="42"/>
  <c r="J61" i="42"/>
  <c r="E61" i="42"/>
  <c r="F61" i="42"/>
  <c r="G61" i="42"/>
  <c r="D61" i="42"/>
  <c r="G264" i="42"/>
  <c r="H264" i="42"/>
  <c r="I264" i="42"/>
  <c r="G265" i="42"/>
  <c r="H265" i="42"/>
  <c r="H267" i="42" s="1"/>
  <c r="H268" i="42" s="1"/>
  <c r="G266" i="42"/>
  <c r="H266" i="42"/>
  <c r="I266" i="42"/>
  <c r="I267" i="42" s="1"/>
  <c r="I268" i="42" s="1"/>
  <c r="F267" i="42"/>
  <c r="F268" i="42" s="1"/>
  <c r="F266" i="42"/>
  <c r="F264" i="42"/>
  <c r="V260" i="42"/>
  <c r="U260" i="42"/>
  <c r="T260" i="42"/>
  <c r="S260" i="42"/>
  <c r="R260" i="42"/>
  <c r="Q260" i="42"/>
  <c r="P260" i="42"/>
  <c r="O260" i="42"/>
  <c r="N260" i="42"/>
  <c r="M260" i="42"/>
  <c r="L260" i="42"/>
  <c r="K260" i="42"/>
  <c r="J260" i="42"/>
  <c r="I260" i="42"/>
  <c r="H260" i="42"/>
  <c r="G260" i="42"/>
  <c r="F260" i="42"/>
  <c r="E260" i="42"/>
  <c r="D260" i="42"/>
  <c r="H253" i="42"/>
  <c r="G253" i="42"/>
  <c r="F253" i="42"/>
  <c r="E253" i="42"/>
  <c r="D253" i="42"/>
  <c r="K250" i="42"/>
  <c r="L250" i="42" s="1"/>
  <c r="L61" i="42" s="1"/>
  <c r="H83" i="61"/>
  <c r="H103" i="61" s="1"/>
  <c r="F145" i="68" s="1"/>
  <c r="I83" i="61"/>
  <c r="F32" i="65" s="1"/>
  <c r="J83" i="61"/>
  <c r="G32" i="65" s="1"/>
  <c r="G83" i="61"/>
  <c r="D32" i="65" s="1"/>
  <c r="F101" i="61"/>
  <c r="I26" i="61"/>
  <c r="G51" i="69" s="1"/>
  <c r="J26" i="61"/>
  <c r="H51" i="69" s="1"/>
  <c r="H26" i="61"/>
  <c r="F51" i="69" s="1"/>
  <c r="G26" i="61"/>
  <c r="E51" i="69" s="1"/>
  <c r="K211" i="61"/>
  <c r="H152" i="44"/>
  <c r="H145" i="44"/>
  <c r="S89" i="44"/>
  <c r="R89" i="44"/>
  <c r="K89" i="44"/>
  <c r="J89" i="44"/>
  <c r="H93" i="44"/>
  <c r="I93" i="44"/>
  <c r="J93" i="44"/>
  <c r="K93" i="44"/>
  <c r="L93" i="44"/>
  <c r="M93" i="44"/>
  <c r="N93" i="44"/>
  <c r="O93" i="44"/>
  <c r="P93" i="44"/>
  <c r="Q93" i="44"/>
  <c r="R93" i="44"/>
  <c r="S93" i="44"/>
  <c r="T93" i="44"/>
  <c r="U93" i="44"/>
  <c r="V93" i="44"/>
  <c r="W93" i="44"/>
  <c r="X93" i="44"/>
  <c r="Y93" i="44"/>
  <c r="H95" i="44"/>
  <c r="I95" i="44"/>
  <c r="J95" i="44"/>
  <c r="K95" i="44"/>
  <c r="L95" i="44"/>
  <c r="M95" i="44"/>
  <c r="N95" i="44"/>
  <c r="O95" i="44"/>
  <c r="P95" i="44"/>
  <c r="Q95" i="44"/>
  <c r="R95" i="44"/>
  <c r="S95" i="44"/>
  <c r="T95" i="44"/>
  <c r="U95" i="44"/>
  <c r="V95" i="44"/>
  <c r="W95" i="44"/>
  <c r="X95" i="44"/>
  <c r="Y95" i="44"/>
  <c r="J84" i="44"/>
  <c r="K84" i="44"/>
  <c r="L84" i="44"/>
  <c r="M84" i="44"/>
  <c r="N84" i="44"/>
  <c r="O84" i="44"/>
  <c r="P84" i="44"/>
  <c r="Q84" i="44"/>
  <c r="R84" i="44"/>
  <c r="S84" i="44"/>
  <c r="T84" i="44"/>
  <c r="U84" i="44"/>
  <c r="V84" i="44"/>
  <c r="W84" i="44"/>
  <c r="X84" i="44"/>
  <c r="Y84" i="44"/>
  <c r="M89" i="44"/>
  <c r="N89" i="44"/>
  <c r="O89" i="44"/>
  <c r="Q89" i="44"/>
  <c r="U89" i="44"/>
  <c r="V89" i="44"/>
  <c r="W89" i="44"/>
  <c r="Y89" i="44"/>
  <c r="G84" i="44"/>
  <c r="H84" i="44"/>
  <c r="I84" i="44"/>
  <c r="G89" i="44"/>
  <c r="G93" i="44"/>
  <c r="G95" i="44"/>
  <c r="K71" i="42"/>
  <c r="L71" i="42"/>
  <c r="M71" i="42"/>
  <c r="N71" i="42"/>
  <c r="O71" i="42"/>
  <c r="O73" i="42" s="1"/>
  <c r="P71" i="42"/>
  <c r="P73" i="42" s="1"/>
  <c r="Q71" i="42"/>
  <c r="Q73" i="42" s="1"/>
  <c r="R71" i="42"/>
  <c r="R73" i="42" s="1"/>
  <c r="S71" i="42"/>
  <c r="T71" i="42"/>
  <c r="U71" i="42"/>
  <c r="V71" i="42"/>
  <c r="K73" i="42"/>
  <c r="L73" i="42"/>
  <c r="M73" i="42"/>
  <c r="N73" i="42"/>
  <c r="S73" i="42"/>
  <c r="T73" i="42"/>
  <c r="U73" i="42"/>
  <c r="V73" i="42"/>
  <c r="R75" i="42"/>
  <c r="S75" i="42"/>
  <c r="T75" i="42"/>
  <c r="U75" i="42"/>
  <c r="V75" i="42"/>
  <c r="R77" i="42"/>
  <c r="S77" i="42"/>
  <c r="T77" i="42"/>
  <c r="T78" i="42" s="1"/>
  <c r="U77" i="42"/>
  <c r="V77" i="42"/>
  <c r="V78" i="42" s="1"/>
  <c r="J71" i="42"/>
  <c r="D77" i="42"/>
  <c r="D75" i="42"/>
  <c r="D78" i="42" s="1"/>
  <c r="F52" i="61"/>
  <c r="G59" i="65" l="1"/>
  <c r="U26" i="61"/>
  <c r="E32" i="65"/>
  <c r="S26" i="61"/>
  <c r="G103" i="61"/>
  <c r="E145" i="68" s="1"/>
  <c r="I59" i="65"/>
  <c r="J103" i="61"/>
  <c r="H145" i="68" s="1"/>
  <c r="U78" i="42"/>
  <c r="R78" i="42"/>
  <c r="I253" i="42"/>
  <c r="I61" i="42"/>
  <c r="H99" i="49"/>
  <c r="H175" i="45"/>
  <c r="S78" i="42"/>
  <c r="K26" i="61"/>
  <c r="V26" i="61" s="1"/>
  <c r="I103" i="61"/>
  <c r="G145" i="68" s="1"/>
  <c r="H12" i="49"/>
  <c r="G139" i="46"/>
  <c r="M250" i="42"/>
  <c r="K61" i="42"/>
  <c r="G267" i="42"/>
  <c r="G268" i="42" s="1"/>
  <c r="H61" i="42"/>
  <c r="E70" i="65"/>
  <c r="I70" i="65"/>
  <c r="M70" i="65"/>
  <c r="T26" i="61"/>
  <c r="X89" i="44"/>
  <c r="H89" i="44"/>
  <c r="P89" i="44"/>
  <c r="I89" i="44"/>
  <c r="T89" i="44"/>
  <c r="L89" i="44"/>
  <c r="C37" i="64"/>
  <c r="C40" i="64" s="1"/>
  <c r="C35" i="64"/>
  <c r="F16" i="64"/>
  <c r="E16" i="64"/>
  <c r="D16" i="64"/>
  <c r="C16" i="64"/>
  <c r="F12" i="64"/>
  <c r="F15" i="64" s="1"/>
  <c r="F17" i="64" s="1"/>
  <c r="H110" i="46" s="1"/>
  <c r="E12" i="64"/>
  <c r="E15" i="64" s="1"/>
  <c r="E17" i="64" s="1"/>
  <c r="G110" i="46" s="1"/>
  <c r="D12" i="64"/>
  <c r="D15" i="64" s="1"/>
  <c r="C11" i="64"/>
  <c r="F6" i="64"/>
  <c r="E6" i="64"/>
  <c r="D6" i="64"/>
  <c r="C6" i="64"/>
  <c r="B6" i="64"/>
  <c r="L26" i="61" l="1"/>
  <c r="W26" i="61" s="1"/>
  <c r="H139" i="46"/>
  <c r="J12" i="49" s="1"/>
  <c r="I12" i="49"/>
  <c r="I99" i="49"/>
  <c r="I175" i="45"/>
  <c r="J99" i="49" s="1"/>
  <c r="N250" i="42"/>
  <c r="M61" i="42"/>
  <c r="D17" i="64"/>
  <c r="F110" i="46" s="1"/>
  <c r="C12" i="64"/>
  <c r="C15" i="64" s="1"/>
  <c r="C17" i="64" s="1"/>
  <c r="E110" i="46" s="1"/>
  <c r="D33" i="64"/>
  <c r="M26" i="61" l="1"/>
  <c r="N26" i="61" s="1"/>
  <c r="O250" i="42"/>
  <c r="N61" i="42"/>
  <c r="D35" i="64"/>
  <c r="D37" i="64" s="1"/>
  <c r="X26" i="61" l="1"/>
  <c r="P250" i="42"/>
  <c r="O61" i="42"/>
  <c r="Y26" i="61"/>
  <c r="O26" i="61"/>
  <c r="E33" i="64"/>
  <c r="D40" i="64"/>
  <c r="Q250" i="42" l="1"/>
  <c r="P61" i="42"/>
  <c r="Z26" i="61"/>
  <c r="P26" i="61"/>
  <c r="AA26" i="61" s="1"/>
  <c r="E35" i="64"/>
  <c r="E37" i="64" s="1"/>
  <c r="R250" i="42" l="1"/>
  <c r="Q61" i="42"/>
  <c r="E40" i="64"/>
  <c r="F33" i="64"/>
  <c r="S250" i="42" l="1"/>
  <c r="R61" i="42"/>
  <c r="F35" i="64"/>
  <c r="F37" i="64"/>
  <c r="F40" i="64" s="1"/>
  <c r="T250" i="42" l="1"/>
  <c r="U250" i="42" s="1"/>
  <c r="V250" i="42" s="1"/>
  <c r="S61" i="42"/>
  <c r="T61" i="42" s="1"/>
  <c r="U61" i="42" s="1"/>
  <c r="V61" i="42" s="1"/>
  <c r="V164" i="61"/>
  <c r="W164" i="61"/>
  <c r="X164" i="61"/>
  <c r="Y164" i="61"/>
  <c r="Z164" i="61"/>
  <c r="AA164" i="61"/>
  <c r="R94" i="61"/>
  <c r="S94" i="61"/>
  <c r="T94" i="61"/>
  <c r="U94" i="61"/>
  <c r="V94" i="61"/>
  <c r="W94" i="61"/>
  <c r="X94" i="61"/>
  <c r="Y94" i="61"/>
  <c r="Z94" i="61"/>
  <c r="AA94" i="61"/>
  <c r="G49" i="48"/>
  <c r="F49" i="48"/>
  <c r="E49" i="48"/>
  <c r="D49" i="48"/>
  <c r="E6" i="52" l="1"/>
  <c r="G51" i="49"/>
  <c r="H51" i="49"/>
  <c r="I51" i="49"/>
  <c r="J51" i="49"/>
  <c r="K51" i="49"/>
  <c r="L51" i="49"/>
  <c r="M51" i="49"/>
  <c r="N51" i="49"/>
  <c r="O51" i="49"/>
  <c r="P51" i="49"/>
  <c r="F51" i="49"/>
  <c r="F18" i="51"/>
  <c r="G18" i="51" s="1"/>
  <c r="H18" i="51" s="1"/>
  <c r="I18" i="51" s="1"/>
  <c r="J18" i="51" s="1"/>
  <c r="K18" i="51" s="1"/>
  <c r="L18" i="51" s="1"/>
  <c r="M18" i="51" s="1"/>
  <c r="N18" i="51" s="1"/>
  <c r="O18" i="51" s="1"/>
  <c r="P18" i="51" s="1"/>
  <c r="H80" i="50"/>
  <c r="J129" i="49"/>
  <c r="K129" i="49" s="1"/>
  <c r="L129" i="49" s="1"/>
  <c r="M129" i="49" s="1"/>
  <c r="N129" i="49" s="1"/>
  <c r="O129" i="49" s="1"/>
  <c r="P129" i="49" s="1"/>
  <c r="K99" i="49"/>
  <c r="L99" i="49" s="1"/>
  <c r="M99" i="49" s="1"/>
  <c r="N99" i="49" s="1"/>
  <c r="O99" i="49" s="1"/>
  <c r="P99" i="49" s="1"/>
  <c r="K54" i="49"/>
  <c r="L54" i="49" s="1"/>
  <c r="M54" i="49" s="1"/>
  <c r="N54" i="49" s="1"/>
  <c r="O54" i="49" s="1"/>
  <c r="P54" i="49" s="1"/>
  <c r="D8" i="48" l="1"/>
  <c r="E8" i="48"/>
  <c r="F8" i="48"/>
  <c r="G8" i="48"/>
  <c r="H8" i="48"/>
  <c r="I8" i="48"/>
  <c r="J8" i="48"/>
  <c r="K8" i="48"/>
  <c r="L8" i="48"/>
  <c r="M8" i="48"/>
  <c r="C8" i="48"/>
  <c r="I49" i="48"/>
  <c r="J49" i="48"/>
  <c r="K49" i="48"/>
  <c r="L49" i="48"/>
  <c r="M49" i="48"/>
  <c r="H49" i="48"/>
  <c r="D668" i="29" l="1"/>
  <c r="D657" i="29"/>
  <c r="D348" i="29"/>
  <c r="D337" i="29"/>
  <c r="D29" i="29"/>
  <c r="D18" i="29"/>
  <c r="K28" i="4"/>
  <c r="L28" i="4"/>
  <c r="M28" i="4"/>
  <c r="N28" i="4"/>
  <c r="O28" i="4"/>
  <c r="P28" i="4"/>
  <c r="K29" i="4"/>
  <c r="L29" i="4"/>
  <c r="M29" i="4"/>
  <c r="N29" i="4"/>
  <c r="O29" i="4"/>
  <c r="P29" i="4"/>
  <c r="K17" i="57"/>
  <c r="L17" i="57" s="1"/>
  <c r="M17" i="57" s="1"/>
  <c r="N17" i="57" s="1"/>
  <c r="O17" i="57" s="1"/>
  <c r="P17" i="57" s="1"/>
  <c r="K17" i="38"/>
  <c r="L17" i="38" s="1"/>
  <c r="M17" i="38" s="1"/>
  <c r="N17" i="38" s="1"/>
  <c r="O17" i="38" s="1"/>
  <c r="P17" i="38" s="1"/>
  <c r="M54" i="38"/>
  <c r="K12" i="49"/>
  <c r="L12" i="49" s="1"/>
  <c r="M12" i="49" s="1"/>
  <c r="N12" i="49" s="1"/>
  <c r="O12" i="49" s="1"/>
  <c r="P12" i="49" s="1"/>
  <c r="E41" i="40" l="1"/>
  <c r="E40" i="40"/>
  <c r="E32" i="40"/>
  <c r="E27" i="40"/>
  <c r="E26" i="40"/>
  <c r="E25" i="40"/>
  <c r="E9" i="40"/>
  <c r="E8" i="40"/>
  <c r="E15" i="40"/>
  <c r="E16" i="40"/>
  <c r="E16" i="41"/>
  <c r="E99" i="49"/>
  <c r="E100" i="49"/>
  <c r="E101" i="49"/>
  <c r="E102" i="49"/>
  <c r="E103" i="49"/>
  <c r="E104" i="49"/>
  <c r="E105" i="49"/>
  <c r="E98" i="49"/>
  <c r="E85" i="49"/>
  <c r="E86" i="49"/>
  <c r="E87" i="49"/>
  <c r="E88" i="49"/>
  <c r="E89" i="49"/>
  <c r="E92" i="49"/>
  <c r="E93" i="49"/>
  <c r="E40" i="52"/>
  <c r="G131" i="38"/>
  <c r="H131" i="38"/>
  <c r="I131" i="38"/>
  <c r="J131" i="38"/>
  <c r="I98" i="49"/>
  <c r="J98" i="49"/>
  <c r="I100" i="49"/>
  <c r="J100" i="49"/>
  <c r="I101" i="49"/>
  <c r="J101" i="49"/>
  <c r="I102" i="49"/>
  <c r="J102" i="49"/>
  <c r="I105" i="49"/>
  <c r="J105" i="49"/>
  <c r="H105" i="49"/>
  <c r="H102" i="49"/>
  <c r="H101" i="49"/>
  <c r="H100" i="49"/>
  <c r="H98" i="49"/>
  <c r="G105" i="49"/>
  <c r="G102" i="49"/>
  <c r="G101" i="49"/>
  <c r="G100" i="49"/>
  <c r="G99" i="49"/>
  <c r="G98" i="49"/>
  <c r="F105" i="49"/>
  <c r="F102" i="49"/>
  <c r="F101" i="49"/>
  <c r="F100" i="49"/>
  <c r="F99" i="49"/>
  <c r="F98" i="49"/>
  <c r="I85" i="49"/>
  <c r="J85" i="49"/>
  <c r="H85" i="49"/>
  <c r="G85" i="49"/>
  <c r="F85" i="49"/>
  <c r="I84" i="38"/>
  <c r="J84" i="38"/>
  <c r="B105" i="44"/>
  <c r="G106" i="61" l="1"/>
  <c r="H106" i="61"/>
  <c r="I106" i="61"/>
  <c r="J106" i="61"/>
  <c r="K106" i="61"/>
  <c r="L106" i="61"/>
  <c r="M106" i="61"/>
  <c r="N106" i="61"/>
  <c r="O106" i="61"/>
  <c r="P106" i="61"/>
  <c r="G107" i="61"/>
  <c r="H107" i="61"/>
  <c r="S107" i="61" s="1"/>
  <c r="I107" i="61"/>
  <c r="J107" i="61"/>
  <c r="K107" i="61"/>
  <c r="L107" i="61"/>
  <c r="M107" i="61"/>
  <c r="X107" i="61" s="1"/>
  <c r="N107" i="61"/>
  <c r="Y107" i="61" s="1"/>
  <c r="O107" i="61"/>
  <c r="P107" i="61"/>
  <c r="F107" i="61"/>
  <c r="F177" i="61" s="1"/>
  <c r="F106" i="61"/>
  <c r="F176" i="61" s="1"/>
  <c r="J23" i="57"/>
  <c r="J24" i="57"/>
  <c r="J25" i="57"/>
  <c r="J26" i="57"/>
  <c r="J27" i="57"/>
  <c r="J30" i="57"/>
  <c r="J19" i="58" s="1"/>
  <c r="H23" i="57"/>
  <c r="I23" i="57"/>
  <c r="H24" i="57"/>
  <c r="I24" i="57"/>
  <c r="I17" i="58" s="1"/>
  <c r="H25" i="57"/>
  <c r="I25" i="57"/>
  <c r="H26" i="57"/>
  <c r="I26" i="57"/>
  <c r="I16" i="58" s="1"/>
  <c r="H27" i="57"/>
  <c r="I27" i="57"/>
  <c r="H30" i="57"/>
  <c r="I30" i="57"/>
  <c r="I19" i="58" s="1"/>
  <c r="G27" i="57"/>
  <c r="G25" i="57"/>
  <c r="G24" i="57"/>
  <c r="G23" i="57"/>
  <c r="G15" i="58" s="1"/>
  <c r="F26" i="57"/>
  <c r="F27" i="57"/>
  <c r="F25" i="57"/>
  <c r="F24" i="57"/>
  <c r="F23" i="57"/>
  <c r="G28" i="4"/>
  <c r="H28" i="4"/>
  <c r="H30" i="34" s="1"/>
  <c r="I28" i="4"/>
  <c r="J28" i="4"/>
  <c r="G29" i="4"/>
  <c r="G31" i="34" s="1"/>
  <c r="H29" i="4"/>
  <c r="I29" i="4"/>
  <c r="J29" i="4"/>
  <c r="F28" i="4"/>
  <c r="F30" i="34" s="1"/>
  <c r="F29" i="4"/>
  <c r="J25" i="61"/>
  <c r="J27" i="61"/>
  <c r="J28" i="61"/>
  <c r="G54" i="66" s="1"/>
  <c r="J31" i="61"/>
  <c r="G153" i="49"/>
  <c r="H153" i="49"/>
  <c r="I153" i="49"/>
  <c r="J153" i="49"/>
  <c r="K160" i="4"/>
  <c r="L160" i="4"/>
  <c r="M160" i="4"/>
  <c r="N160" i="4"/>
  <c r="O160" i="4"/>
  <c r="P160" i="4"/>
  <c r="K139" i="4"/>
  <c r="K136" i="34" s="1"/>
  <c r="L139" i="4"/>
  <c r="L136" i="34" s="1"/>
  <c r="M139" i="4"/>
  <c r="M136" i="34" s="1"/>
  <c r="N139" i="4"/>
  <c r="N136" i="34" s="1"/>
  <c r="O139" i="4"/>
  <c r="O136" i="34" s="1"/>
  <c r="P139" i="4"/>
  <c r="P136" i="34" s="1"/>
  <c r="G127" i="4"/>
  <c r="G124" i="34" s="1"/>
  <c r="H127" i="4"/>
  <c r="H124" i="34" s="1"/>
  <c r="I127" i="4"/>
  <c r="I124" i="34" s="1"/>
  <c r="J127" i="4"/>
  <c r="J124" i="34" s="1"/>
  <c r="K127" i="4"/>
  <c r="L127" i="4"/>
  <c r="M127" i="4"/>
  <c r="N127" i="4"/>
  <c r="O127" i="4"/>
  <c r="P127" i="4"/>
  <c r="F127" i="4"/>
  <c r="G91" i="4"/>
  <c r="S91" i="4" s="1"/>
  <c r="H91" i="4"/>
  <c r="T91" i="4" s="1"/>
  <c r="I91" i="4"/>
  <c r="U91" i="4" s="1"/>
  <c r="J91" i="4"/>
  <c r="V91" i="4" s="1"/>
  <c r="K91" i="4"/>
  <c r="W91" i="4" s="1"/>
  <c r="L91" i="4"/>
  <c r="X91" i="4" s="1"/>
  <c r="M91" i="4"/>
  <c r="Y91" i="4" s="1"/>
  <c r="N91" i="4"/>
  <c r="Z91" i="4" s="1"/>
  <c r="O91" i="4"/>
  <c r="AA91" i="4" s="1"/>
  <c r="P91" i="4"/>
  <c r="AB91" i="4" s="1"/>
  <c r="F91" i="4"/>
  <c r="G52" i="4"/>
  <c r="G54" i="34" s="1"/>
  <c r="H52" i="4"/>
  <c r="H54" i="34" s="1"/>
  <c r="I52" i="4"/>
  <c r="I54" i="34" s="1"/>
  <c r="J52" i="4"/>
  <c r="J54" i="34" s="1"/>
  <c r="K52" i="4"/>
  <c r="L52" i="4"/>
  <c r="M52" i="4"/>
  <c r="N52" i="4"/>
  <c r="O52" i="4"/>
  <c r="P52" i="4"/>
  <c r="F52" i="4"/>
  <c r="F54" i="34" s="1"/>
  <c r="F53" i="4"/>
  <c r="F51" i="4"/>
  <c r="L30" i="34"/>
  <c r="P30" i="34"/>
  <c r="N31" i="34"/>
  <c r="O31" i="34"/>
  <c r="D163" i="61"/>
  <c r="E163" i="61"/>
  <c r="D174" i="61"/>
  <c r="E174" i="61"/>
  <c r="H18" i="61"/>
  <c r="I18" i="61"/>
  <c r="I17" i="4" s="1"/>
  <c r="J18" i="61"/>
  <c r="J17" i="4" s="1"/>
  <c r="G18" i="61"/>
  <c r="F18" i="61"/>
  <c r="F17" i="4" s="1"/>
  <c r="I15" i="4"/>
  <c r="I206" i="61"/>
  <c r="H134" i="4"/>
  <c r="H208" i="61"/>
  <c r="I208" i="61"/>
  <c r="J135" i="4"/>
  <c r="H209" i="61"/>
  <c r="I209" i="61"/>
  <c r="J209" i="61"/>
  <c r="H211" i="61"/>
  <c r="H130" i="54" s="1"/>
  <c r="I211" i="61"/>
  <c r="I130" i="54" s="1"/>
  <c r="J77" i="54"/>
  <c r="H91" i="54"/>
  <c r="I91" i="54"/>
  <c r="J212" i="61"/>
  <c r="H140" i="4"/>
  <c r="G80" i="54"/>
  <c r="G212" i="61"/>
  <c r="G144" i="54" s="1"/>
  <c r="G77" i="54"/>
  <c r="G209" i="61"/>
  <c r="G134" i="4"/>
  <c r="G206" i="61"/>
  <c r="F144" i="61"/>
  <c r="F213" i="61" s="1"/>
  <c r="F133" i="54" s="1"/>
  <c r="F143" i="61"/>
  <c r="F212" i="61" s="1"/>
  <c r="F144" i="54" s="1"/>
  <c r="F142" i="61"/>
  <c r="F211" i="61" s="1"/>
  <c r="F130" i="54" s="1"/>
  <c r="F141" i="61"/>
  <c r="F140" i="61"/>
  <c r="F209" i="61" s="1"/>
  <c r="F139" i="61"/>
  <c r="F135" i="4" s="1"/>
  <c r="F138" i="61"/>
  <c r="F137" i="61"/>
  <c r="H94" i="54"/>
  <c r="H72" i="62"/>
  <c r="I203" i="61"/>
  <c r="I136" i="54" s="1"/>
  <c r="F134" i="61"/>
  <c r="F203" i="61" s="1"/>
  <c r="F136" i="54" s="1"/>
  <c r="F133" i="61"/>
  <c r="F202" i="61" s="1"/>
  <c r="F147" i="54" s="1"/>
  <c r="U103" i="61"/>
  <c r="I104" i="61"/>
  <c r="J104" i="61"/>
  <c r="I105" i="61"/>
  <c r="I103" i="4"/>
  <c r="U103" i="4" s="1"/>
  <c r="I108" i="61"/>
  <c r="I105" i="4" s="1"/>
  <c r="U105" i="4" s="1"/>
  <c r="H108" i="61"/>
  <c r="H72" i="54" s="1"/>
  <c r="H105" i="61"/>
  <c r="H104" i="61"/>
  <c r="H176" i="61"/>
  <c r="S176" i="61" s="1"/>
  <c r="H104" i="4"/>
  <c r="T104" i="4" s="1"/>
  <c r="G108" i="61"/>
  <c r="G72" i="54" s="1"/>
  <c r="G105" i="61"/>
  <c r="G104" i="61"/>
  <c r="G102" i="61"/>
  <c r="G103" i="4"/>
  <c r="S103" i="4" s="1"/>
  <c r="F108" i="61"/>
  <c r="F178" i="61" s="1"/>
  <c r="F125" i="54" s="1"/>
  <c r="F105" i="61"/>
  <c r="F175" i="61" s="1"/>
  <c r="F104" i="61"/>
  <c r="F174" i="61" s="1"/>
  <c r="F103" i="61"/>
  <c r="F102" i="61"/>
  <c r="I93" i="61"/>
  <c r="J93" i="61"/>
  <c r="H93" i="61"/>
  <c r="G93" i="61"/>
  <c r="F93" i="61"/>
  <c r="F163" i="61" s="1"/>
  <c r="F159" i="4" s="1"/>
  <c r="E657" i="29" s="1"/>
  <c r="I87" i="61"/>
  <c r="I60" i="54" s="1"/>
  <c r="J87" i="61"/>
  <c r="J60" i="54" s="1"/>
  <c r="I88" i="61"/>
  <c r="J61" i="54"/>
  <c r="I89" i="61"/>
  <c r="I62" i="54" s="1"/>
  <c r="J89" i="61"/>
  <c r="J62" i="54" s="1"/>
  <c r="I90" i="61"/>
  <c r="J90" i="61"/>
  <c r="H90" i="61"/>
  <c r="H89" i="61"/>
  <c r="H62" i="54" s="1"/>
  <c r="H88" i="61"/>
  <c r="H85" i="4" s="1"/>
  <c r="H87" i="61"/>
  <c r="H60" i="54" s="1"/>
  <c r="G90" i="61"/>
  <c r="G89" i="61"/>
  <c r="G88" i="61"/>
  <c r="G61" i="54" s="1"/>
  <c r="G87" i="61"/>
  <c r="G60" i="54" s="1"/>
  <c r="F91" i="61"/>
  <c r="F88" i="4" s="1"/>
  <c r="F90" i="61"/>
  <c r="F87" i="4" s="1"/>
  <c r="F88" i="61"/>
  <c r="F85" i="4" s="1"/>
  <c r="F89" i="61"/>
  <c r="F86" i="4" s="1"/>
  <c r="F87" i="61"/>
  <c r="F84" i="4" s="1"/>
  <c r="H58" i="49"/>
  <c r="H58" i="4" s="1"/>
  <c r="I58" i="49"/>
  <c r="I58" i="4" s="1"/>
  <c r="J58" i="49"/>
  <c r="J58" i="4" s="1"/>
  <c r="H61" i="49"/>
  <c r="H61" i="4" s="1"/>
  <c r="I61" i="49"/>
  <c r="I61" i="4" s="1"/>
  <c r="J61" i="49"/>
  <c r="H62" i="49"/>
  <c r="H62" i="4" s="1"/>
  <c r="I62" i="49"/>
  <c r="I62" i="4" s="1"/>
  <c r="J62" i="49"/>
  <c r="J62" i="4" s="1"/>
  <c r="H63" i="49"/>
  <c r="H24" i="50" s="1"/>
  <c r="I63" i="49"/>
  <c r="J63" i="49"/>
  <c r="J24" i="54" s="1"/>
  <c r="H64" i="49"/>
  <c r="I64" i="49"/>
  <c r="I38" i="50" s="1"/>
  <c r="J64" i="49"/>
  <c r="J38" i="54" s="1"/>
  <c r="H65" i="49"/>
  <c r="H65" i="4" s="1"/>
  <c r="I65" i="49"/>
  <c r="J65" i="49"/>
  <c r="J65" i="4" s="1"/>
  <c r="H54" i="4"/>
  <c r="I54" i="4"/>
  <c r="J54" i="4"/>
  <c r="H55" i="49"/>
  <c r="H30" i="54" s="1"/>
  <c r="I55" i="49"/>
  <c r="I30" i="54" s="1"/>
  <c r="J55" i="49"/>
  <c r="G55" i="49"/>
  <c r="G65" i="49"/>
  <c r="G65" i="4" s="1"/>
  <c r="G64" i="49"/>
  <c r="G63" i="49"/>
  <c r="G24" i="50" s="1"/>
  <c r="G62" i="49"/>
  <c r="G62" i="4" s="1"/>
  <c r="G61" i="49"/>
  <c r="G58" i="49"/>
  <c r="H59" i="4"/>
  <c r="I59" i="4"/>
  <c r="J59" i="4"/>
  <c r="H60" i="4"/>
  <c r="I60" i="4"/>
  <c r="J61" i="4"/>
  <c r="G60" i="4"/>
  <c r="G59" i="4"/>
  <c r="F61" i="61"/>
  <c r="F60" i="4" s="1"/>
  <c r="F60" i="61"/>
  <c r="F59" i="4" s="1"/>
  <c r="K56" i="61"/>
  <c r="V134" i="61" s="1"/>
  <c r="G41" i="54"/>
  <c r="H25" i="61"/>
  <c r="I25" i="61"/>
  <c r="H27" i="61"/>
  <c r="I27" i="61"/>
  <c r="H28" i="61"/>
  <c r="E54" i="66" s="1"/>
  <c r="I28" i="61"/>
  <c r="F54" i="66" s="1"/>
  <c r="H31" i="61"/>
  <c r="H30" i="4" s="1"/>
  <c r="I31" i="61"/>
  <c r="I30" i="4" s="1"/>
  <c r="G31" i="61"/>
  <c r="G28" i="61"/>
  <c r="D54" i="66" s="1"/>
  <c r="G27" i="61"/>
  <c r="G25" i="61"/>
  <c r="F31" i="61"/>
  <c r="F19" i="54" s="1"/>
  <c r="F28" i="61"/>
  <c r="F27" i="61"/>
  <c r="F26" i="61"/>
  <c r="R26" i="61" s="1"/>
  <c r="F25" i="61"/>
  <c r="F17" i="54" s="1"/>
  <c r="F24" i="61"/>
  <c r="H12" i="61"/>
  <c r="I12" i="61"/>
  <c r="I11" i="4" s="1"/>
  <c r="J12" i="61"/>
  <c r="K12" i="61" s="1"/>
  <c r="H13" i="61"/>
  <c r="H8" i="54" s="1"/>
  <c r="I13" i="61"/>
  <c r="J13" i="61"/>
  <c r="J12" i="4" s="1"/>
  <c r="H14" i="61"/>
  <c r="I14" i="61"/>
  <c r="J14" i="61"/>
  <c r="H15" i="61"/>
  <c r="H12" i="54" s="1"/>
  <c r="I15" i="61"/>
  <c r="J15" i="61"/>
  <c r="S16" i="61"/>
  <c r="G15" i="61"/>
  <c r="G14" i="61"/>
  <c r="G13" i="4" s="1"/>
  <c r="G13" i="61"/>
  <c r="G8" i="54" s="1"/>
  <c r="G12" i="61"/>
  <c r="F16" i="61"/>
  <c r="F15" i="4" s="1"/>
  <c r="F15" i="61"/>
  <c r="F14" i="4" s="1"/>
  <c r="F16" i="34" s="1"/>
  <c r="F13" i="61"/>
  <c r="F14" i="61"/>
  <c r="F12" i="61"/>
  <c r="F7" i="54" s="1"/>
  <c r="K91" i="54"/>
  <c r="L91" i="54"/>
  <c r="M91" i="54"/>
  <c r="N91" i="54"/>
  <c r="O91" i="54"/>
  <c r="P91" i="54"/>
  <c r="G84" i="54"/>
  <c r="H84" i="54"/>
  <c r="I84" i="54"/>
  <c r="J84" i="54"/>
  <c r="K84" i="54"/>
  <c r="L84" i="54"/>
  <c r="M84" i="54"/>
  <c r="N84" i="54"/>
  <c r="O84" i="54"/>
  <c r="P84" i="54"/>
  <c r="F84" i="54"/>
  <c r="F78" i="54"/>
  <c r="F70" i="54"/>
  <c r="F68" i="54"/>
  <c r="G31" i="54"/>
  <c r="H31" i="54"/>
  <c r="I31" i="54"/>
  <c r="J31" i="54"/>
  <c r="K31" i="54"/>
  <c r="L31" i="54"/>
  <c r="M31" i="54"/>
  <c r="N31" i="54"/>
  <c r="O31" i="54"/>
  <c r="P31" i="54"/>
  <c r="F31" i="54"/>
  <c r="F32" i="54" s="1"/>
  <c r="G9" i="54"/>
  <c r="P118" i="62"/>
  <c r="P26" i="62"/>
  <c r="F18" i="62"/>
  <c r="G18" i="62" s="1"/>
  <c r="H18" i="62" s="1"/>
  <c r="I18" i="62" s="1"/>
  <c r="J18" i="62" s="1"/>
  <c r="K18" i="62" s="1"/>
  <c r="L18" i="62" s="1"/>
  <c r="M18" i="62" s="1"/>
  <c r="N18" i="62" s="1"/>
  <c r="O18" i="62" s="1"/>
  <c r="P18" i="62" s="1"/>
  <c r="D170" i="49"/>
  <c r="E170" i="49"/>
  <c r="I170" i="49"/>
  <c r="J170" i="49"/>
  <c r="G69" i="50"/>
  <c r="I69" i="50"/>
  <c r="H133" i="49"/>
  <c r="I133" i="49"/>
  <c r="J133" i="49"/>
  <c r="H136" i="49"/>
  <c r="I136" i="49"/>
  <c r="J136" i="49"/>
  <c r="H137" i="49"/>
  <c r="I137" i="49"/>
  <c r="J137" i="49"/>
  <c r="H138" i="49"/>
  <c r="H77" i="50" s="1"/>
  <c r="I138" i="49"/>
  <c r="I77" i="50" s="1"/>
  <c r="J138" i="49"/>
  <c r="H139" i="49"/>
  <c r="H91" i="50" s="1"/>
  <c r="I139" i="49"/>
  <c r="I91" i="50" s="1"/>
  <c r="J139" i="49"/>
  <c r="J91" i="50" s="1"/>
  <c r="I140" i="49"/>
  <c r="I80" i="50" s="1"/>
  <c r="J140" i="49"/>
  <c r="G140" i="49"/>
  <c r="G139" i="49"/>
  <c r="G91" i="50" s="1"/>
  <c r="G138" i="49"/>
  <c r="G137" i="49"/>
  <c r="G136" i="49"/>
  <c r="G133" i="49"/>
  <c r="F140" i="49"/>
  <c r="F139" i="49"/>
  <c r="F138" i="49"/>
  <c r="F137" i="49"/>
  <c r="F136" i="49"/>
  <c r="F133" i="49"/>
  <c r="J126" i="49"/>
  <c r="J128" i="49"/>
  <c r="I72" i="51"/>
  <c r="J130" i="49"/>
  <c r="J83" i="50" s="1"/>
  <c r="H126" i="49"/>
  <c r="I126" i="49"/>
  <c r="H128" i="49"/>
  <c r="I128" i="49"/>
  <c r="G72" i="51"/>
  <c r="H72" i="51"/>
  <c r="I83" i="50"/>
  <c r="G130" i="49"/>
  <c r="G94" i="50"/>
  <c r="G126" i="49"/>
  <c r="G128" i="49"/>
  <c r="F129" i="49"/>
  <c r="F130" i="49"/>
  <c r="K128" i="49"/>
  <c r="L128" i="49"/>
  <c r="M128" i="49"/>
  <c r="N128" i="49"/>
  <c r="O128" i="49"/>
  <c r="P128" i="49"/>
  <c r="F126" i="49"/>
  <c r="J70" i="50"/>
  <c r="J69" i="50"/>
  <c r="J105" i="4"/>
  <c r="H170" i="49"/>
  <c r="H100" i="4"/>
  <c r="F85" i="68" s="1"/>
  <c r="H99" i="4"/>
  <c r="H72" i="50"/>
  <c r="G170" i="49"/>
  <c r="G100" i="4"/>
  <c r="E85" i="68" s="1"/>
  <c r="G72" i="50"/>
  <c r="F170" i="49"/>
  <c r="F98" i="4"/>
  <c r="F68" i="50"/>
  <c r="J61" i="50"/>
  <c r="G30" i="50"/>
  <c r="F63" i="49"/>
  <c r="F24" i="50" s="1"/>
  <c r="F65" i="49"/>
  <c r="F27" i="50" s="1"/>
  <c r="F64" i="49"/>
  <c r="F65" i="61" s="1"/>
  <c r="F64" i="4" s="1"/>
  <c r="F62" i="49"/>
  <c r="F63" i="61" s="1"/>
  <c r="F61" i="49"/>
  <c r="F62" i="61" s="1"/>
  <c r="F61" i="4" s="1"/>
  <c r="F58" i="49"/>
  <c r="F59" i="61" s="1"/>
  <c r="F58" i="4" s="1"/>
  <c r="F55" i="49"/>
  <c r="F54" i="49"/>
  <c r="F55" i="61" s="1"/>
  <c r="F54" i="4" s="1"/>
  <c r="K26" i="49"/>
  <c r="L26" i="49" s="1"/>
  <c r="M26" i="49" s="1"/>
  <c r="N26" i="49" s="1"/>
  <c r="O26" i="49" s="1"/>
  <c r="P26" i="49" s="1"/>
  <c r="H23" i="49"/>
  <c r="H15" i="50" s="1"/>
  <c r="I23" i="49"/>
  <c r="J23" i="49"/>
  <c r="H17" i="50"/>
  <c r="H25" i="49"/>
  <c r="H16" i="50" s="1"/>
  <c r="I25" i="49"/>
  <c r="J25" i="49"/>
  <c r="J16" i="50" s="1"/>
  <c r="H26" i="49"/>
  <c r="I26" i="49"/>
  <c r="I16" i="50" s="1"/>
  <c r="J26" i="49"/>
  <c r="H27" i="49"/>
  <c r="I27" i="49"/>
  <c r="J27" i="49"/>
  <c r="H30" i="49"/>
  <c r="I30" i="49"/>
  <c r="J30" i="49"/>
  <c r="H11" i="49"/>
  <c r="I11" i="49"/>
  <c r="J11" i="49"/>
  <c r="J11" i="4" s="1"/>
  <c r="J8" i="50"/>
  <c r="F19" i="50"/>
  <c r="F15" i="50"/>
  <c r="G30" i="49"/>
  <c r="G27" i="49"/>
  <c r="G26" i="49"/>
  <c r="G25" i="49"/>
  <c r="G16" i="50" s="1"/>
  <c r="G24" i="49"/>
  <c r="H24" i="49" s="1"/>
  <c r="G23" i="49"/>
  <c r="H19" i="50"/>
  <c r="E31" i="49"/>
  <c r="F30" i="49"/>
  <c r="F27" i="49"/>
  <c r="F26" i="49"/>
  <c r="F31" i="49" s="1"/>
  <c r="F25" i="49"/>
  <c r="F24" i="49"/>
  <c r="F17" i="50" s="1"/>
  <c r="F23" i="49"/>
  <c r="I8" i="50"/>
  <c r="G12" i="49"/>
  <c r="G11" i="49"/>
  <c r="F12" i="49"/>
  <c r="F8" i="50" s="1"/>
  <c r="F11" i="49"/>
  <c r="E50" i="50"/>
  <c r="K91" i="50"/>
  <c r="L91" i="50"/>
  <c r="M91" i="50"/>
  <c r="N91" i="50"/>
  <c r="O91" i="50"/>
  <c r="P91" i="50"/>
  <c r="H94" i="50"/>
  <c r="J94" i="50"/>
  <c r="H83" i="50"/>
  <c r="F84" i="50"/>
  <c r="G78" i="50"/>
  <c r="I78" i="50"/>
  <c r="J78" i="50"/>
  <c r="K78" i="50"/>
  <c r="L78" i="50"/>
  <c r="M78" i="50"/>
  <c r="N78" i="50"/>
  <c r="O78" i="50"/>
  <c r="P78" i="50"/>
  <c r="I72" i="50"/>
  <c r="G70" i="50"/>
  <c r="H70" i="50"/>
  <c r="I70" i="50"/>
  <c r="G65" i="50"/>
  <c r="H65" i="50"/>
  <c r="I65" i="50"/>
  <c r="J65" i="50"/>
  <c r="G68" i="50"/>
  <c r="I68" i="50"/>
  <c r="G60" i="50"/>
  <c r="H60" i="50"/>
  <c r="I60" i="50"/>
  <c r="J60" i="50"/>
  <c r="G61" i="50"/>
  <c r="I61" i="50"/>
  <c r="G62" i="50"/>
  <c r="G63" i="50"/>
  <c r="H63" i="50"/>
  <c r="I63" i="50"/>
  <c r="J63" i="50"/>
  <c r="G41" i="50"/>
  <c r="J30" i="50"/>
  <c r="G31" i="50"/>
  <c r="H31" i="50"/>
  <c r="I31" i="50"/>
  <c r="J31" i="50"/>
  <c r="K31" i="50"/>
  <c r="L31" i="50"/>
  <c r="M31" i="50"/>
  <c r="N31" i="50"/>
  <c r="O31" i="50"/>
  <c r="P31" i="50"/>
  <c r="F31" i="50"/>
  <c r="F32" i="50" s="1"/>
  <c r="G15" i="50"/>
  <c r="I15" i="50"/>
  <c r="J15" i="50"/>
  <c r="G17" i="50"/>
  <c r="I19" i="50"/>
  <c r="J19" i="50"/>
  <c r="G7" i="50"/>
  <c r="H7" i="50"/>
  <c r="I7" i="50"/>
  <c r="J7" i="50"/>
  <c r="H8" i="50"/>
  <c r="G9" i="50"/>
  <c r="H9" i="50"/>
  <c r="I9" i="50"/>
  <c r="J9" i="50"/>
  <c r="G10" i="50"/>
  <c r="H10" i="50"/>
  <c r="I10" i="50"/>
  <c r="J10" i="50"/>
  <c r="G12" i="50"/>
  <c r="H12" i="50"/>
  <c r="I12" i="50"/>
  <c r="J12" i="50"/>
  <c r="F12" i="50"/>
  <c r="F10" i="50"/>
  <c r="F9" i="50"/>
  <c r="P118" i="51"/>
  <c r="F26" i="51"/>
  <c r="I93" i="38"/>
  <c r="J93" i="38"/>
  <c r="I94" i="38"/>
  <c r="J94" i="38"/>
  <c r="I95" i="38"/>
  <c r="J95" i="38"/>
  <c r="I96" i="38"/>
  <c r="I164" i="38" s="1"/>
  <c r="J96" i="38"/>
  <c r="J164" i="38" s="1"/>
  <c r="I97" i="38"/>
  <c r="J97" i="38"/>
  <c r="I98" i="38"/>
  <c r="J98" i="38"/>
  <c r="I99" i="38"/>
  <c r="J99" i="38"/>
  <c r="I100" i="38"/>
  <c r="J100" i="38"/>
  <c r="H100" i="38"/>
  <c r="H97" i="38"/>
  <c r="H96" i="38"/>
  <c r="H164" i="38" s="1"/>
  <c r="H95" i="38"/>
  <c r="H94" i="38"/>
  <c r="H93" i="38"/>
  <c r="H98" i="38"/>
  <c r="H99" i="38"/>
  <c r="G100" i="38"/>
  <c r="G97" i="38"/>
  <c r="G96" i="38"/>
  <c r="G164" i="38" s="1"/>
  <c r="G95" i="38"/>
  <c r="G94" i="38"/>
  <c r="G93" i="38"/>
  <c r="G98" i="38"/>
  <c r="G99" i="38"/>
  <c r="F94" i="38"/>
  <c r="F100" i="38"/>
  <c r="F97" i="38"/>
  <c r="F96" i="38"/>
  <c r="F69" i="39" s="1"/>
  <c r="F95" i="38"/>
  <c r="F93" i="38"/>
  <c r="I80" i="38"/>
  <c r="J80" i="38"/>
  <c r="I81" i="38"/>
  <c r="J81" i="38"/>
  <c r="I82" i="38"/>
  <c r="J82" i="38"/>
  <c r="I83" i="38"/>
  <c r="J83" i="38"/>
  <c r="H84" i="38"/>
  <c r="H83" i="38"/>
  <c r="H82" i="38"/>
  <c r="H81" i="38"/>
  <c r="H80" i="38"/>
  <c r="H86" i="38"/>
  <c r="H88" i="38"/>
  <c r="H89" i="38"/>
  <c r="I80" i="57"/>
  <c r="I60" i="58" s="1"/>
  <c r="J80" i="57"/>
  <c r="J60" i="58" s="1"/>
  <c r="I81" i="57"/>
  <c r="J81" i="57"/>
  <c r="I82" i="57"/>
  <c r="J82" i="57"/>
  <c r="I83" i="57"/>
  <c r="J83" i="57"/>
  <c r="I84" i="57"/>
  <c r="J84" i="57"/>
  <c r="I86" i="57"/>
  <c r="J86" i="57"/>
  <c r="I88" i="57"/>
  <c r="J88" i="57"/>
  <c r="I89" i="57"/>
  <c r="J89" i="57"/>
  <c r="I93" i="57"/>
  <c r="I68" i="58" s="1"/>
  <c r="J93" i="57"/>
  <c r="J68" i="58" s="1"/>
  <c r="I94" i="57"/>
  <c r="J94" i="57"/>
  <c r="J70" i="58" s="1"/>
  <c r="I95" i="57"/>
  <c r="J95" i="57"/>
  <c r="I96" i="57"/>
  <c r="J96" i="57"/>
  <c r="J164" i="57" s="1"/>
  <c r="I97" i="57"/>
  <c r="J97" i="57"/>
  <c r="I98" i="57"/>
  <c r="J98" i="57"/>
  <c r="I99" i="57"/>
  <c r="J99" i="57"/>
  <c r="I100" i="57"/>
  <c r="J100" i="57"/>
  <c r="J72" i="58" s="1"/>
  <c r="H100" i="57"/>
  <c r="H97" i="57"/>
  <c r="H96" i="57"/>
  <c r="H164" i="57" s="1"/>
  <c r="H95" i="57"/>
  <c r="H94" i="57"/>
  <c r="H93" i="57"/>
  <c r="H68" i="58" s="1"/>
  <c r="H84" i="57"/>
  <c r="H82" i="57"/>
  <c r="H62" i="58" s="1"/>
  <c r="H81" i="57"/>
  <c r="H80" i="57"/>
  <c r="H60" i="58" s="1"/>
  <c r="G84" i="38"/>
  <c r="G83" i="38"/>
  <c r="G82" i="38"/>
  <c r="G81" i="38"/>
  <c r="G80" i="38"/>
  <c r="F84" i="38"/>
  <c r="F83" i="38"/>
  <c r="F81" i="38"/>
  <c r="F82" i="38"/>
  <c r="F80" i="38"/>
  <c r="H11" i="38"/>
  <c r="I11" i="38"/>
  <c r="J11" i="38"/>
  <c r="H12" i="38"/>
  <c r="I12" i="38"/>
  <c r="J12" i="38"/>
  <c r="K12" i="38" s="1"/>
  <c r="L12" i="38" s="1"/>
  <c r="M12" i="38" s="1"/>
  <c r="N12" i="38" s="1"/>
  <c r="O12" i="38" s="1"/>
  <c r="P12" i="38" s="1"/>
  <c r="H13" i="38"/>
  <c r="I13" i="38"/>
  <c r="J13" i="38"/>
  <c r="H15" i="38"/>
  <c r="I15" i="38"/>
  <c r="J15" i="38"/>
  <c r="H98" i="57"/>
  <c r="H99" i="57"/>
  <c r="G100" i="57"/>
  <c r="G97" i="57"/>
  <c r="G96" i="57"/>
  <c r="G164" i="57" s="1"/>
  <c r="G95" i="57"/>
  <c r="G94" i="57"/>
  <c r="G70" i="58" s="1"/>
  <c r="G93" i="57"/>
  <c r="G68" i="58" s="1"/>
  <c r="G98" i="57"/>
  <c r="G99" i="57"/>
  <c r="F100" i="57"/>
  <c r="F72" i="58" s="1"/>
  <c r="F97" i="57"/>
  <c r="F96" i="57"/>
  <c r="F95" i="57"/>
  <c r="F94" i="57"/>
  <c r="F93" i="57"/>
  <c r="H61" i="58"/>
  <c r="J61" i="58"/>
  <c r="I62" i="58"/>
  <c r="H83" i="57"/>
  <c r="G84" i="57"/>
  <c r="G82" i="57"/>
  <c r="G81" i="57"/>
  <c r="G61" i="58" s="1"/>
  <c r="G80" i="57"/>
  <c r="G60" i="58" s="1"/>
  <c r="G83" i="57"/>
  <c r="F84" i="57"/>
  <c r="F81" i="57"/>
  <c r="F61" i="58" s="1"/>
  <c r="F82" i="57"/>
  <c r="F80" i="57"/>
  <c r="F60" i="58" s="1"/>
  <c r="H128" i="57"/>
  <c r="I128" i="57"/>
  <c r="J128" i="57"/>
  <c r="H129" i="57"/>
  <c r="I129" i="57"/>
  <c r="J129" i="57"/>
  <c r="H130" i="57"/>
  <c r="I130" i="57"/>
  <c r="J130" i="57"/>
  <c r="H132" i="57"/>
  <c r="I132" i="57"/>
  <c r="J132" i="57"/>
  <c r="H133" i="57"/>
  <c r="I133" i="57"/>
  <c r="J133" i="57"/>
  <c r="H134" i="57"/>
  <c r="I134" i="57"/>
  <c r="J134" i="57"/>
  <c r="G134" i="57"/>
  <c r="G133" i="57"/>
  <c r="G132" i="57"/>
  <c r="G130" i="57"/>
  <c r="G129" i="57"/>
  <c r="G128" i="57"/>
  <c r="F134" i="57"/>
  <c r="F133" i="57"/>
  <c r="F132" i="57"/>
  <c r="F129" i="57"/>
  <c r="F130" i="57"/>
  <c r="F128" i="57"/>
  <c r="H121" i="57"/>
  <c r="I121" i="57"/>
  <c r="J121" i="57"/>
  <c r="H123" i="57"/>
  <c r="I123" i="57"/>
  <c r="J123" i="57"/>
  <c r="H124" i="57"/>
  <c r="I124" i="57"/>
  <c r="J124" i="57"/>
  <c r="H125" i="57"/>
  <c r="I125" i="57"/>
  <c r="J125" i="57"/>
  <c r="G125" i="57"/>
  <c r="G124" i="57"/>
  <c r="G121" i="57"/>
  <c r="G123" i="57"/>
  <c r="F125" i="57"/>
  <c r="F124" i="57"/>
  <c r="F121" i="57"/>
  <c r="H63" i="57"/>
  <c r="I63" i="57"/>
  <c r="J63" i="57"/>
  <c r="H64" i="57"/>
  <c r="I64" i="57"/>
  <c r="J64" i="57"/>
  <c r="G64" i="57"/>
  <c r="G63" i="57"/>
  <c r="F63" i="57"/>
  <c r="F64" i="57"/>
  <c r="H63" i="38"/>
  <c r="I63" i="38"/>
  <c r="J63" i="38"/>
  <c r="K63" i="38"/>
  <c r="L63" i="38"/>
  <c r="M63" i="38"/>
  <c r="N63" i="38"/>
  <c r="O63" i="38"/>
  <c r="P63" i="38"/>
  <c r="H64" i="38"/>
  <c r="I64" i="38"/>
  <c r="J64" i="38"/>
  <c r="K64" i="38"/>
  <c r="L64" i="38"/>
  <c r="M64" i="38"/>
  <c r="N64" i="38"/>
  <c r="O64" i="38"/>
  <c r="P64" i="38"/>
  <c r="F65" i="38"/>
  <c r="F64" i="38"/>
  <c r="F63" i="38"/>
  <c r="F62" i="38"/>
  <c r="F60" i="38"/>
  <c r="F59" i="38"/>
  <c r="F58" i="38"/>
  <c r="F55" i="38"/>
  <c r="F54" i="38"/>
  <c r="F51" i="38"/>
  <c r="G64" i="38"/>
  <c r="G63" i="38"/>
  <c r="H51" i="38"/>
  <c r="I51" i="38"/>
  <c r="J51" i="38"/>
  <c r="H54" i="38"/>
  <c r="I54" i="38"/>
  <c r="J54" i="38"/>
  <c r="H55" i="38"/>
  <c r="I55" i="38"/>
  <c r="J55" i="38"/>
  <c r="H58" i="38"/>
  <c r="I58" i="38"/>
  <c r="J58" i="38"/>
  <c r="H59" i="38"/>
  <c r="I59" i="38"/>
  <c r="J59" i="38"/>
  <c r="H60" i="38"/>
  <c r="I60" i="38"/>
  <c r="J60" i="38"/>
  <c r="H62" i="38"/>
  <c r="H132" i="38" s="1"/>
  <c r="I62" i="38"/>
  <c r="I132" i="38" s="1"/>
  <c r="J62" i="38"/>
  <c r="J132" i="38" s="1"/>
  <c r="H65" i="38"/>
  <c r="I65" i="38"/>
  <c r="J65" i="38"/>
  <c r="G65" i="38"/>
  <c r="G62" i="38"/>
  <c r="G132" i="38" s="1"/>
  <c r="G59" i="38"/>
  <c r="G60" i="38"/>
  <c r="G58" i="38"/>
  <c r="G51" i="38"/>
  <c r="G54" i="38"/>
  <c r="G55" i="38"/>
  <c r="H58" i="57"/>
  <c r="I58" i="57"/>
  <c r="J58" i="57"/>
  <c r="H59" i="57"/>
  <c r="I59" i="57"/>
  <c r="J59" i="57"/>
  <c r="H60" i="57"/>
  <c r="I60" i="57"/>
  <c r="J60" i="57"/>
  <c r="H62" i="57"/>
  <c r="I62" i="57"/>
  <c r="J62" i="57"/>
  <c r="H65" i="57"/>
  <c r="I65" i="57"/>
  <c r="J65" i="57"/>
  <c r="K65" i="57"/>
  <c r="L65" i="57"/>
  <c r="M65" i="57"/>
  <c r="N65" i="57"/>
  <c r="O65" i="57"/>
  <c r="P65" i="57"/>
  <c r="H51" i="57"/>
  <c r="I51" i="57"/>
  <c r="J51" i="57"/>
  <c r="H54" i="57"/>
  <c r="I54" i="57"/>
  <c r="J54" i="57"/>
  <c r="H55" i="57"/>
  <c r="I55" i="57"/>
  <c r="J55" i="57"/>
  <c r="G51" i="57"/>
  <c r="G65" i="57"/>
  <c r="G62" i="57"/>
  <c r="G59" i="57"/>
  <c r="G60" i="57"/>
  <c r="G58" i="57"/>
  <c r="G55" i="57"/>
  <c r="G54" i="57"/>
  <c r="F65" i="57"/>
  <c r="F62" i="57"/>
  <c r="F59" i="57"/>
  <c r="F60" i="57"/>
  <c r="F58" i="57"/>
  <c r="F55" i="57"/>
  <c r="F54" i="57"/>
  <c r="F51" i="57"/>
  <c r="E86" i="38"/>
  <c r="E154" i="38" s="1"/>
  <c r="F86" i="38"/>
  <c r="G86" i="38"/>
  <c r="I86" i="38"/>
  <c r="I65" i="39" s="1"/>
  <c r="J86" i="38"/>
  <c r="D86" i="38"/>
  <c r="G154" i="38"/>
  <c r="D154" i="38"/>
  <c r="F154" i="38"/>
  <c r="G69" i="39"/>
  <c r="J16" i="39"/>
  <c r="F16" i="39"/>
  <c r="G12" i="39"/>
  <c r="H12" i="39"/>
  <c r="I12" i="39"/>
  <c r="J12" i="39"/>
  <c r="F12" i="39"/>
  <c r="F85" i="37"/>
  <c r="G85" i="37"/>
  <c r="H85" i="37"/>
  <c r="I85" i="37"/>
  <c r="J85" i="37"/>
  <c r="K85" i="37"/>
  <c r="L85" i="37"/>
  <c r="M85" i="37"/>
  <c r="N85" i="37"/>
  <c r="O85" i="37"/>
  <c r="P85" i="37"/>
  <c r="E85" i="37"/>
  <c r="F75" i="37"/>
  <c r="G75" i="37"/>
  <c r="H75" i="37"/>
  <c r="I75" i="37"/>
  <c r="J75" i="37"/>
  <c r="K75" i="37"/>
  <c r="L75" i="37"/>
  <c r="M75" i="37"/>
  <c r="N75" i="37"/>
  <c r="O75" i="37"/>
  <c r="P75" i="37"/>
  <c r="E75" i="37"/>
  <c r="E94" i="37" s="1"/>
  <c r="F51" i="37"/>
  <c r="G51" i="37"/>
  <c r="H51" i="37"/>
  <c r="I51" i="37"/>
  <c r="J51" i="37"/>
  <c r="K51" i="37"/>
  <c r="L51" i="37"/>
  <c r="M51" i="37"/>
  <c r="N51" i="37"/>
  <c r="O51" i="37"/>
  <c r="P51" i="37"/>
  <c r="E51" i="37"/>
  <c r="F41" i="37"/>
  <c r="G41" i="37"/>
  <c r="H41" i="37"/>
  <c r="I41" i="37"/>
  <c r="J41" i="37"/>
  <c r="K41" i="37"/>
  <c r="L41" i="37"/>
  <c r="M41" i="37"/>
  <c r="N41" i="37"/>
  <c r="O41" i="37"/>
  <c r="P41" i="37"/>
  <c r="E41" i="37"/>
  <c r="F20" i="37"/>
  <c r="G20" i="37"/>
  <c r="H20" i="37"/>
  <c r="I20" i="37"/>
  <c r="J20" i="37"/>
  <c r="K20" i="37"/>
  <c r="L20" i="37"/>
  <c r="M20" i="37"/>
  <c r="N20" i="37"/>
  <c r="O20" i="37"/>
  <c r="P20" i="37"/>
  <c r="E20" i="37"/>
  <c r="E17" i="37"/>
  <c r="F7" i="37"/>
  <c r="G7" i="37"/>
  <c r="H7" i="37"/>
  <c r="I7" i="37"/>
  <c r="J7" i="37"/>
  <c r="K7" i="37"/>
  <c r="L7" i="37"/>
  <c r="M7" i="37"/>
  <c r="N7" i="37"/>
  <c r="O7" i="37"/>
  <c r="P7" i="37"/>
  <c r="E7" i="37"/>
  <c r="S123" i="36"/>
  <c r="E33" i="36"/>
  <c r="E31" i="36"/>
  <c r="E27" i="36"/>
  <c r="E18" i="36"/>
  <c r="E17" i="36"/>
  <c r="E10" i="36"/>
  <c r="E11" i="36"/>
  <c r="E7" i="36"/>
  <c r="F117" i="35"/>
  <c r="G117" i="35"/>
  <c r="H117" i="35"/>
  <c r="I117" i="35"/>
  <c r="J117" i="35"/>
  <c r="K117" i="35"/>
  <c r="L117" i="35"/>
  <c r="M117" i="35"/>
  <c r="N117" i="35"/>
  <c r="O117" i="35"/>
  <c r="P117" i="35"/>
  <c r="F124" i="35"/>
  <c r="G124" i="35"/>
  <c r="H124" i="35"/>
  <c r="I124" i="35"/>
  <c r="J124" i="35"/>
  <c r="K124" i="35"/>
  <c r="L124" i="35"/>
  <c r="M124" i="35"/>
  <c r="N124" i="35"/>
  <c r="O124" i="35"/>
  <c r="P124" i="35"/>
  <c r="F132" i="35"/>
  <c r="G132" i="35"/>
  <c r="H132" i="35"/>
  <c r="I132" i="35"/>
  <c r="J132" i="35"/>
  <c r="K132" i="35"/>
  <c r="L132" i="35"/>
  <c r="M132" i="35"/>
  <c r="N132" i="35"/>
  <c r="O132" i="35"/>
  <c r="P132" i="35"/>
  <c r="F79" i="35"/>
  <c r="G79" i="35"/>
  <c r="H79" i="35"/>
  <c r="I79" i="35"/>
  <c r="J79" i="35"/>
  <c r="K79" i="35"/>
  <c r="L79" i="35"/>
  <c r="M79" i="35"/>
  <c r="N79" i="35"/>
  <c r="O79" i="35"/>
  <c r="P79" i="35"/>
  <c r="F64" i="35"/>
  <c r="G64" i="35"/>
  <c r="H64" i="35"/>
  <c r="I64" i="35"/>
  <c r="J64" i="35"/>
  <c r="K64" i="35"/>
  <c r="L64" i="35"/>
  <c r="M64" i="35"/>
  <c r="N64" i="35"/>
  <c r="O64" i="35"/>
  <c r="P64" i="35"/>
  <c r="F71" i="35"/>
  <c r="G71" i="35"/>
  <c r="H71" i="35"/>
  <c r="I71" i="35"/>
  <c r="J71" i="35"/>
  <c r="K71" i="35"/>
  <c r="L71" i="35"/>
  <c r="M71" i="35"/>
  <c r="N71" i="35"/>
  <c r="O71" i="35"/>
  <c r="P71" i="35"/>
  <c r="F25" i="35"/>
  <c r="G25" i="35"/>
  <c r="H25" i="35"/>
  <c r="I25" i="35"/>
  <c r="J25" i="35"/>
  <c r="K25" i="35"/>
  <c r="L25" i="35"/>
  <c r="M25" i="35"/>
  <c r="N25" i="35"/>
  <c r="O25" i="35"/>
  <c r="P25" i="35"/>
  <c r="F26" i="35"/>
  <c r="G26" i="35"/>
  <c r="H26" i="35"/>
  <c r="I26" i="35"/>
  <c r="J26" i="35"/>
  <c r="K26" i="35"/>
  <c r="L26" i="35"/>
  <c r="M26" i="35"/>
  <c r="N26" i="35"/>
  <c r="O26" i="35"/>
  <c r="P26" i="35"/>
  <c r="E25" i="35"/>
  <c r="E26" i="35"/>
  <c r="F11" i="35"/>
  <c r="G11" i="35"/>
  <c r="H11" i="35"/>
  <c r="I11" i="35"/>
  <c r="J11" i="35"/>
  <c r="K11" i="35"/>
  <c r="L11" i="35"/>
  <c r="M11" i="35"/>
  <c r="N11" i="35"/>
  <c r="O11" i="35"/>
  <c r="P11" i="35"/>
  <c r="E19" i="35"/>
  <c r="E18" i="35"/>
  <c r="E17" i="35"/>
  <c r="E16" i="35"/>
  <c r="E15" i="35"/>
  <c r="E8" i="35"/>
  <c r="E9" i="35"/>
  <c r="E10" i="35"/>
  <c r="E11" i="35"/>
  <c r="E12" i="35"/>
  <c r="E7" i="35"/>
  <c r="E156" i="34"/>
  <c r="D137" i="34"/>
  <c r="D136" i="34"/>
  <c r="D135" i="34"/>
  <c r="D133" i="34"/>
  <c r="D132" i="34"/>
  <c r="D131" i="34"/>
  <c r="D130" i="34"/>
  <c r="E124" i="34"/>
  <c r="F124" i="34"/>
  <c r="D124" i="34"/>
  <c r="D125" i="34"/>
  <c r="D126" i="34"/>
  <c r="D127" i="34"/>
  <c r="D123" i="34"/>
  <c r="E61" i="34"/>
  <c r="E62" i="34"/>
  <c r="E63" i="34"/>
  <c r="E65" i="34"/>
  <c r="E66" i="34"/>
  <c r="E67" i="34"/>
  <c r="E60" i="34"/>
  <c r="E54" i="34"/>
  <c r="E55" i="34"/>
  <c r="E56" i="34"/>
  <c r="E57" i="34"/>
  <c r="E53" i="34"/>
  <c r="K30" i="34"/>
  <c r="M30" i="34"/>
  <c r="N30" i="34"/>
  <c r="O30" i="34"/>
  <c r="K31" i="34"/>
  <c r="L31" i="34"/>
  <c r="M31" i="34"/>
  <c r="P31" i="34"/>
  <c r="E28" i="34"/>
  <c r="E31" i="34"/>
  <c r="F22" i="34"/>
  <c r="G22" i="34"/>
  <c r="H22" i="34"/>
  <c r="I22" i="34"/>
  <c r="J22" i="34"/>
  <c r="K22" i="34"/>
  <c r="L22" i="34"/>
  <c r="M22" i="34"/>
  <c r="N22" i="34"/>
  <c r="O22" i="34"/>
  <c r="P22" i="34"/>
  <c r="E22" i="34"/>
  <c r="E19" i="34"/>
  <c r="P118" i="59"/>
  <c r="P72" i="59"/>
  <c r="F87" i="59"/>
  <c r="H65" i="58"/>
  <c r="G12" i="58"/>
  <c r="H12" i="58"/>
  <c r="I12" i="58"/>
  <c r="J12" i="58"/>
  <c r="K12" i="58"/>
  <c r="F12" i="58"/>
  <c r="J16" i="58"/>
  <c r="F16" i="58"/>
  <c r="Q133" i="58"/>
  <c r="K91" i="58"/>
  <c r="L91" i="58"/>
  <c r="M91" i="58"/>
  <c r="N91" i="58"/>
  <c r="O91" i="58"/>
  <c r="P91" i="58"/>
  <c r="G80" i="58"/>
  <c r="H80" i="58"/>
  <c r="I80" i="58"/>
  <c r="J80" i="58"/>
  <c r="K80" i="58"/>
  <c r="L80" i="58"/>
  <c r="M80" i="58"/>
  <c r="N80" i="58"/>
  <c r="O80" i="58"/>
  <c r="P80" i="58"/>
  <c r="I72" i="58"/>
  <c r="G62" i="58"/>
  <c r="F62" i="58"/>
  <c r="G31" i="58"/>
  <c r="H31" i="58"/>
  <c r="I31" i="58"/>
  <c r="J31" i="58"/>
  <c r="F31" i="58"/>
  <c r="G19" i="58"/>
  <c r="H19" i="58"/>
  <c r="H15" i="58"/>
  <c r="I15" i="58"/>
  <c r="J15" i="58"/>
  <c r="G17" i="58"/>
  <c r="H17" i="58"/>
  <c r="J17" i="58"/>
  <c r="G7" i="58"/>
  <c r="G8" i="58"/>
  <c r="H8" i="58"/>
  <c r="I8" i="58"/>
  <c r="H9" i="58"/>
  <c r="J9" i="58"/>
  <c r="F17" i="58"/>
  <c r="F15" i="58"/>
  <c r="F8" i="58"/>
  <c r="F7" i="58"/>
  <c r="P26" i="59"/>
  <c r="G33" i="59"/>
  <c r="H33" i="59" s="1"/>
  <c r="I33" i="59" s="1"/>
  <c r="J33" i="59" s="1"/>
  <c r="K33" i="59" s="1"/>
  <c r="L33" i="59" s="1"/>
  <c r="M33" i="59" s="1"/>
  <c r="N33" i="59" s="1"/>
  <c r="O33" i="59" s="1"/>
  <c r="P33" i="59" s="1"/>
  <c r="E16" i="60"/>
  <c r="E41" i="59"/>
  <c r="E41" i="36" s="1"/>
  <c r="E40" i="59"/>
  <c r="E32" i="59"/>
  <c r="E32" i="36" s="1"/>
  <c r="E27" i="59"/>
  <c r="E26" i="59"/>
  <c r="E25" i="59"/>
  <c r="E16" i="59"/>
  <c r="E15" i="59"/>
  <c r="E9" i="59"/>
  <c r="E8" i="59"/>
  <c r="F8" i="59" s="1"/>
  <c r="G8" i="59" s="1"/>
  <c r="E50" i="58"/>
  <c r="E103" i="58" s="1"/>
  <c r="I164" i="57"/>
  <c r="G30" i="57"/>
  <c r="F30" i="57"/>
  <c r="F19" i="58" s="1"/>
  <c r="G26" i="57"/>
  <c r="G16" i="58" s="1"/>
  <c r="D96" i="38"/>
  <c r="D164" i="38" s="1"/>
  <c r="E96" i="38"/>
  <c r="E98" i="34" s="1"/>
  <c r="H23" i="38"/>
  <c r="I23" i="38"/>
  <c r="J23" i="38"/>
  <c r="H24" i="38"/>
  <c r="I24" i="38"/>
  <c r="J24" i="38"/>
  <c r="H25" i="38"/>
  <c r="H16" i="39" s="1"/>
  <c r="I25" i="38"/>
  <c r="I16" i="39" s="1"/>
  <c r="J25" i="38"/>
  <c r="H26" i="38"/>
  <c r="I26" i="38"/>
  <c r="J26" i="38"/>
  <c r="K26" i="38" s="1"/>
  <c r="L26" i="38" s="1"/>
  <c r="M26" i="38" s="1"/>
  <c r="N26" i="38" s="1"/>
  <c r="O26" i="38" s="1"/>
  <c r="P26" i="38" s="1"/>
  <c r="H27" i="38"/>
  <c r="I27" i="38"/>
  <c r="J27" i="38"/>
  <c r="H30" i="38"/>
  <c r="I30" i="38"/>
  <c r="J30" i="38"/>
  <c r="G30" i="38"/>
  <c r="G27" i="38"/>
  <c r="G26" i="38"/>
  <c r="G25" i="38"/>
  <c r="G16" i="39" s="1"/>
  <c r="G24" i="38"/>
  <c r="G23" i="38"/>
  <c r="F30" i="38"/>
  <c r="F26" i="38"/>
  <c r="F27" i="38"/>
  <c r="F25" i="38"/>
  <c r="F24" i="38"/>
  <c r="F23" i="38"/>
  <c r="G15" i="38"/>
  <c r="G13" i="38"/>
  <c r="G12" i="38"/>
  <c r="G11" i="38"/>
  <c r="F15" i="38"/>
  <c r="F13" i="38"/>
  <c r="F12" i="38"/>
  <c r="F11" i="38"/>
  <c r="K26" i="57"/>
  <c r="L26" i="57" s="1"/>
  <c r="L96" i="57" s="1"/>
  <c r="L164" i="57" s="1"/>
  <c r="F86" i="57"/>
  <c r="G86" i="57"/>
  <c r="H86" i="57"/>
  <c r="E86" i="57"/>
  <c r="K96" i="57"/>
  <c r="K164" i="57" s="1"/>
  <c r="E96" i="57"/>
  <c r="J11" i="57"/>
  <c r="J7" i="58" s="1"/>
  <c r="J12" i="57"/>
  <c r="J13" i="57"/>
  <c r="J15" i="57"/>
  <c r="H11" i="57"/>
  <c r="H7" i="58" s="1"/>
  <c r="I11" i="57"/>
  <c r="I7" i="58" s="1"/>
  <c r="H12" i="57"/>
  <c r="I12" i="57"/>
  <c r="H13" i="57"/>
  <c r="I13" i="57"/>
  <c r="I9" i="58" s="1"/>
  <c r="H15" i="57"/>
  <c r="I15" i="57"/>
  <c r="G15" i="57"/>
  <c r="G13" i="57"/>
  <c r="G9" i="58" s="1"/>
  <c r="G12" i="57"/>
  <c r="G11" i="57"/>
  <c r="F15" i="57"/>
  <c r="F13" i="57"/>
  <c r="F9" i="58" s="1"/>
  <c r="F12" i="57"/>
  <c r="F11" i="57"/>
  <c r="E30" i="57"/>
  <c r="E27" i="57"/>
  <c r="E25" i="57"/>
  <c r="E24" i="57"/>
  <c r="E23" i="57"/>
  <c r="E16" i="57"/>
  <c r="E15" i="57"/>
  <c r="E14" i="57"/>
  <c r="E13" i="57"/>
  <c r="E12" i="57"/>
  <c r="E11" i="57"/>
  <c r="E30" i="38"/>
  <c r="E27" i="38"/>
  <c r="E25" i="38"/>
  <c r="E24" i="38"/>
  <c r="E23" i="38"/>
  <c r="E16" i="38"/>
  <c r="E15" i="38"/>
  <c r="E14" i="38"/>
  <c r="E13" i="38"/>
  <c r="E12" i="38"/>
  <c r="E11" i="38"/>
  <c r="B100" i="63"/>
  <c r="P94" i="63"/>
  <c r="O94" i="63"/>
  <c r="N94" i="63"/>
  <c r="M94" i="63"/>
  <c r="L94" i="63"/>
  <c r="K94" i="63"/>
  <c r="J94" i="63"/>
  <c r="I94" i="63"/>
  <c r="H94" i="63"/>
  <c r="G94" i="63"/>
  <c r="F94" i="63"/>
  <c r="E94" i="63"/>
  <c r="D94" i="63"/>
  <c r="C94" i="63"/>
  <c r="B94" i="63"/>
  <c r="B93" i="63"/>
  <c r="B95" i="63" s="1"/>
  <c r="D86" i="63"/>
  <c r="B86" i="63"/>
  <c r="B89" i="63" s="1"/>
  <c r="B90" i="63" s="1"/>
  <c r="C84" i="63" s="1"/>
  <c r="C86" i="63" s="1"/>
  <c r="D84" i="63"/>
  <c r="D76" i="63"/>
  <c r="B76" i="63"/>
  <c r="D74" i="63"/>
  <c r="B66" i="63"/>
  <c r="P60" i="63"/>
  <c r="O60" i="63"/>
  <c r="N60" i="63"/>
  <c r="M60" i="63"/>
  <c r="L60" i="63"/>
  <c r="K60" i="63"/>
  <c r="J60" i="63"/>
  <c r="I60" i="63"/>
  <c r="H60" i="63"/>
  <c r="G60" i="63"/>
  <c r="F60" i="63"/>
  <c r="E60" i="63"/>
  <c r="D60" i="63"/>
  <c r="C60" i="63"/>
  <c r="B60" i="63"/>
  <c r="B59" i="63"/>
  <c r="B61" i="63" s="1"/>
  <c r="P54" i="63"/>
  <c r="O54" i="63"/>
  <c r="O88" i="63" s="1"/>
  <c r="O100" i="63" s="1"/>
  <c r="N54" i="63"/>
  <c r="N88" i="63" s="1"/>
  <c r="N100" i="63" s="1"/>
  <c r="M54" i="63"/>
  <c r="M88" i="63" s="1"/>
  <c r="M100" i="63" s="1"/>
  <c r="L54" i="63"/>
  <c r="L88" i="63" s="1"/>
  <c r="L100" i="63" s="1"/>
  <c r="K54" i="63"/>
  <c r="K66" i="63" s="1"/>
  <c r="J54" i="63"/>
  <c r="J66" i="63" s="1"/>
  <c r="I54" i="63"/>
  <c r="I66" i="63" s="1"/>
  <c r="H54" i="63"/>
  <c r="H66" i="63" s="1"/>
  <c r="G54" i="63"/>
  <c r="G88" i="63" s="1"/>
  <c r="G100" i="63" s="1"/>
  <c r="F54" i="63"/>
  <c r="F88" i="63" s="1"/>
  <c r="F100" i="63" s="1"/>
  <c r="E54" i="63"/>
  <c r="E88" i="63" s="1"/>
  <c r="E100" i="63" s="1"/>
  <c r="D54" i="63"/>
  <c r="D88" i="63" s="1"/>
  <c r="B52" i="63"/>
  <c r="B55" i="63" s="1"/>
  <c r="B56" i="63" s="1"/>
  <c r="C50" i="63" s="1"/>
  <c r="D50" i="63"/>
  <c r="D42" i="63"/>
  <c r="C42" i="63"/>
  <c r="B42" i="63"/>
  <c r="D40" i="63"/>
  <c r="P32" i="63"/>
  <c r="O32" i="63"/>
  <c r="N32" i="63"/>
  <c r="M32" i="63"/>
  <c r="L32" i="63"/>
  <c r="K32" i="63"/>
  <c r="J32" i="63"/>
  <c r="I32" i="63"/>
  <c r="H32" i="63"/>
  <c r="G32" i="63"/>
  <c r="F32" i="63"/>
  <c r="E32" i="63"/>
  <c r="D32" i="63"/>
  <c r="C32" i="63"/>
  <c r="C54" i="63" s="1"/>
  <c r="B32" i="63"/>
  <c r="P26" i="63"/>
  <c r="O26" i="63"/>
  <c r="N26" i="63"/>
  <c r="M26" i="63"/>
  <c r="L26" i="63"/>
  <c r="K26" i="63"/>
  <c r="J26" i="63"/>
  <c r="I26" i="63"/>
  <c r="H26" i="63"/>
  <c r="G26" i="63"/>
  <c r="F26" i="63"/>
  <c r="E26" i="63"/>
  <c r="D26" i="63"/>
  <c r="C26" i="63"/>
  <c r="B26" i="63"/>
  <c r="D25" i="63"/>
  <c r="C25" i="63"/>
  <c r="B25" i="63"/>
  <c r="C22" i="63"/>
  <c r="D18" i="63"/>
  <c r="D21" i="63" s="1"/>
  <c r="D22" i="63" s="1"/>
  <c r="C18" i="63"/>
  <c r="C21" i="63" s="1"/>
  <c r="B18" i="63"/>
  <c r="B21" i="63" s="1"/>
  <c r="B22" i="63" s="1"/>
  <c r="E16" i="63"/>
  <c r="D8" i="63"/>
  <c r="C8" i="63"/>
  <c r="B8" i="63"/>
  <c r="C134" i="62"/>
  <c r="B134" i="62"/>
  <c r="B128" i="62"/>
  <c r="C126" i="62"/>
  <c r="B126" i="62"/>
  <c r="C120" i="62"/>
  <c r="C128" i="62" s="1"/>
  <c r="B120" i="62"/>
  <c r="E119" i="62"/>
  <c r="F119" i="62" s="1"/>
  <c r="G119" i="62" s="1"/>
  <c r="H119" i="62" s="1"/>
  <c r="I119" i="62" s="1"/>
  <c r="J119" i="62" s="1"/>
  <c r="K119" i="62" s="1"/>
  <c r="L119" i="62" s="1"/>
  <c r="M119" i="62" s="1"/>
  <c r="N119" i="62" s="1"/>
  <c r="O119" i="62" s="1"/>
  <c r="P119" i="62" s="1"/>
  <c r="C111" i="62"/>
  <c r="B111" i="62"/>
  <c r="E108" i="62"/>
  <c r="D108" i="62"/>
  <c r="C104" i="62"/>
  <c r="B104" i="62"/>
  <c r="B113" i="62" s="1"/>
  <c r="C88" i="62"/>
  <c r="B88" i="62"/>
  <c r="D87" i="62"/>
  <c r="D133" i="62" s="1"/>
  <c r="D86" i="62"/>
  <c r="D88" i="62" s="1"/>
  <c r="C80" i="62"/>
  <c r="B80" i="62"/>
  <c r="E79" i="62"/>
  <c r="E125" i="62" s="1"/>
  <c r="F125" i="62" s="1"/>
  <c r="G125" i="62" s="1"/>
  <c r="H125" i="62" s="1"/>
  <c r="I125" i="62" s="1"/>
  <c r="J125" i="62" s="1"/>
  <c r="K125" i="62" s="1"/>
  <c r="L125" i="62" s="1"/>
  <c r="M125" i="62" s="1"/>
  <c r="N125" i="62" s="1"/>
  <c r="O125" i="62" s="1"/>
  <c r="P125" i="62" s="1"/>
  <c r="D79" i="62"/>
  <c r="D125" i="62" s="1"/>
  <c r="E78" i="62"/>
  <c r="E124" i="62" s="1"/>
  <c r="D78" i="62"/>
  <c r="E77" i="62"/>
  <c r="E123" i="62" s="1"/>
  <c r="D77" i="62"/>
  <c r="D123" i="62" s="1"/>
  <c r="C74" i="62"/>
  <c r="C82" i="62" s="1"/>
  <c r="B74" i="62"/>
  <c r="B82" i="62" s="1"/>
  <c r="E73" i="62"/>
  <c r="F73" i="62" s="1"/>
  <c r="G73" i="62" s="1"/>
  <c r="H73" i="62" s="1"/>
  <c r="I73" i="62" s="1"/>
  <c r="J73" i="62" s="1"/>
  <c r="K73" i="62" s="1"/>
  <c r="L73" i="62" s="1"/>
  <c r="M73" i="62" s="1"/>
  <c r="N73" i="62" s="1"/>
  <c r="O73" i="62" s="1"/>
  <c r="P73" i="62" s="1"/>
  <c r="D73" i="62"/>
  <c r="D119" i="62" s="1"/>
  <c r="D72" i="62"/>
  <c r="D118" i="62" s="1"/>
  <c r="D71" i="62"/>
  <c r="D117" i="62" s="1"/>
  <c r="C65" i="62"/>
  <c r="B65" i="62"/>
  <c r="E64" i="62"/>
  <c r="E110" i="62" s="1"/>
  <c r="D64" i="62"/>
  <c r="D110" i="62" s="1"/>
  <c r="A64" i="62"/>
  <c r="A110" i="62" s="1"/>
  <c r="E63" i="62"/>
  <c r="E109" i="62" s="1"/>
  <c r="D63" i="62"/>
  <c r="D109" i="62" s="1"/>
  <c r="A63" i="62"/>
  <c r="A109" i="62" s="1"/>
  <c r="D62" i="62"/>
  <c r="D61" i="62"/>
  <c r="D107" i="62" s="1"/>
  <c r="A61" i="62"/>
  <c r="A107" i="62" s="1"/>
  <c r="C58" i="62"/>
  <c r="B58" i="62"/>
  <c r="B67" i="62" s="1"/>
  <c r="B83" i="62" s="1"/>
  <c r="B90" i="62" s="1"/>
  <c r="E57" i="62"/>
  <c r="D57" i="62"/>
  <c r="D103" i="62" s="1"/>
  <c r="E56" i="62"/>
  <c r="F56" i="62" s="1"/>
  <c r="G56" i="62" s="1"/>
  <c r="H56" i="62" s="1"/>
  <c r="I56" i="62" s="1"/>
  <c r="J56" i="62" s="1"/>
  <c r="K56" i="62" s="1"/>
  <c r="L56" i="62" s="1"/>
  <c r="M56" i="62" s="1"/>
  <c r="N56" i="62" s="1"/>
  <c r="O56" i="62" s="1"/>
  <c r="P56" i="62" s="1"/>
  <c r="D56" i="62"/>
  <c r="D102" i="62" s="1"/>
  <c r="D55" i="62"/>
  <c r="D101" i="62" s="1"/>
  <c r="D54" i="62"/>
  <c r="D100" i="62" s="1"/>
  <c r="E53" i="62"/>
  <c r="E99" i="62" s="1"/>
  <c r="D53" i="62"/>
  <c r="D42" i="62"/>
  <c r="C42" i="62"/>
  <c r="B42" i="62"/>
  <c r="E42" i="62"/>
  <c r="C36" i="62"/>
  <c r="E34" i="62"/>
  <c r="D34" i="62"/>
  <c r="C34" i="62"/>
  <c r="B34" i="62"/>
  <c r="F33" i="62"/>
  <c r="G33" i="62" s="1"/>
  <c r="H33" i="62" s="1"/>
  <c r="I33" i="62" s="1"/>
  <c r="J33" i="62" s="1"/>
  <c r="K33" i="62" s="1"/>
  <c r="L33" i="62" s="1"/>
  <c r="M33" i="62" s="1"/>
  <c r="N33" i="62" s="1"/>
  <c r="O33" i="62" s="1"/>
  <c r="P33" i="62" s="1"/>
  <c r="F31" i="62"/>
  <c r="G31" i="62" s="1"/>
  <c r="D28" i="62"/>
  <c r="C28" i="62"/>
  <c r="B28" i="62"/>
  <c r="F27" i="62"/>
  <c r="G27" i="62" s="1"/>
  <c r="H27" i="62" s="1"/>
  <c r="I27" i="62" s="1"/>
  <c r="J27" i="62" s="1"/>
  <c r="K27" i="62" s="1"/>
  <c r="L27" i="62" s="1"/>
  <c r="M27" i="62" s="1"/>
  <c r="N27" i="62" s="1"/>
  <c r="O27" i="62" s="1"/>
  <c r="P27" i="62" s="1"/>
  <c r="E26" i="62"/>
  <c r="E72" i="62" s="1"/>
  <c r="E25" i="62"/>
  <c r="E71" i="62" s="1"/>
  <c r="D21" i="62"/>
  <c r="D19" i="62"/>
  <c r="C19" i="62"/>
  <c r="B19" i="62"/>
  <c r="F17" i="62"/>
  <c r="F63" i="62" s="1"/>
  <c r="F109" i="62" s="1"/>
  <c r="E16" i="62"/>
  <c r="E62" i="62" s="1"/>
  <c r="E15" i="62"/>
  <c r="D12" i="62"/>
  <c r="C12" i="62"/>
  <c r="C21" i="62" s="1"/>
  <c r="B12" i="62"/>
  <c r="B21" i="62" s="1"/>
  <c r="I11" i="62"/>
  <c r="J11" i="62" s="1"/>
  <c r="K11" i="62" s="1"/>
  <c r="L11" i="62" s="1"/>
  <c r="M11" i="62" s="1"/>
  <c r="N11" i="62" s="1"/>
  <c r="O11" i="62" s="1"/>
  <c r="P11" i="62" s="1"/>
  <c r="F11" i="62"/>
  <c r="G11" i="62" s="1"/>
  <c r="H11" i="62" s="1"/>
  <c r="J10" i="62"/>
  <c r="K10" i="62" s="1"/>
  <c r="L10" i="62" s="1"/>
  <c r="M10" i="62" s="1"/>
  <c r="N10" i="62" s="1"/>
  <c r="O10" i="62" s="1"/>
  <c r="P10" i="62" s="1"/>
  <c r="F10" i="62"/>
  <c r="G10" i="62" s="1"/>
  <c r="H10" i="62" s="1"/>
  <c r="I10" i="62" s="1"/>
  <c r="E9" i="62"/>
  <c r="E8" i="62"/>
  <c r="C218" i="61"/>
  <c r="D213" i="61"/>
  <c r="D212" i="61"/>
  <c r="D211" i="61"/>
  <c r="D209" i="61"/>
  <c r="D208" i="61"/>
  <c r="D207" i="61"/>
  <c r="D206" i="61"/>
  <c r="D203" i="61"/>
  <c r="D202" i="61"/>
  <c r="D201" i="61"/>
  <c r="J200" i="61"/>
  <c r="I200" i="61"/>
  <c r="I137" i="54" s="1"/>
  <c r="H200" i="61"/>
  <c r="H137" i="54" s="1"/>
  <c r="G200" i="61"/>
  <c r="G137" i="54" s="1"/>
  <c r="F200" i="61"/>
  <c r="F137" i="54" s="1"/>
  <c r="E200" i="61"/>
  <c r="D200" i="61"/>
  <c r="D199" i="61"/>
  <c r="D195" i="61"/>
  <c r="C178" i="61"/>
  <c r="B178" i="61"/>
  <c r="P177" i="61"/>
  <c r="AA177" i="61" s="1"/>
  <c r="O177" i="61"/>
  <c r="Z177" i="61" s="1"/>
  <c r="N177" i="61"/>
  <c r="Y177" i="61" s="1"/>
  <c r="M177" i="61"/>
  <c r="X177" i="61" s="1"/>
  <c r="L177" i="61"/>
  <c r="K177" i="61"/>
  <c r="V177" i="61" s="1"/>
  <c r="G177" i="61"/>
  <c r="R177" i="61" s="1"/>
  <c r="P176" i="61"/>
  <c r="AA176" i="61" s="1"/>
  <c r="O176" i="61"/>
  <c r="Z176" i="61" s="1"/>
  <c r="N176" i="61"/>
  <c r="M176" i="61"/>
  <c r="X176" i="61" s="1"/>
  <c r="L176" i="61"/>
  <c r="K176" i="61"/>
  <c r="V176" i="61" s="1"/>
  <c r="G176" i="61"/>
  <c r="R176" i="61" s="1"/>
  <c r="C175" i="61"/>
  <c r="C210" i="61" s="1"/>
  <c r="B175" i="61"/>
  <c r="B210" i="61" s="1"/>
  <c r="C173" i="61"/>
  <c r="B173" i="61"/>
  <c r="C171" i="61"/>
  <c r="B171" i="61"/>
  <c r="P166" i="61"/>
  <c r="AA166" i="61" s="1"/>
  <c r="O166" i="61"/>
  <c r="N166" i="61"/>
  <c r="M166" i="61"/>
  <c r="L166" i="61"/>
  <c r="K166" i="61"/>
  <c r="P165" i="61"/>
  <c r="O165" i="61"/>
  <c r="N165" i="61"/>
  <c r="Y165" i="61" s="1"/>
  <c r="M165" i="61"/>
  <c r="L165" i="61"/>
  <c r="K165" i="61"/>
  <c r="C165" i="61"/>
  <c r="B165" i="61"/>
  <c r="J164" i="61"/>
  <c r="U164" i="61" s="1"/>
  <c r="I164" i="61"/>
  <c r="T164" i="61" s="1"/>
  <c r="H164" i="61"/>
  <c r="S164" i="61" s="1"/>
  <c r="G164" i="61"/>
  <c r="F164" i="61"/>
  <c r="E164" i="61"/>
  <c r="D164" i="61"/>
  <c r="C162" i="61"/>
  <c r="B162" i="61"/>
  <c r="C161" i="61"/>
  <c r="B161" i="61"/>
  <c r="C160" i="61"/>
  <c r="B160" i="61"/>
  <c r="C159" i="61"/>
  <c r="B159" i="61"/>
  <c r="C158" i="61"/>
  <c r="B158" i="61"/>
  <c r="C157" i="61"/>
  <c r="B157" i="61"/>
  <c r="C149" i="61"/>
  <c r="E144" i="61"/>
  <c r="E213" i="61" s="1"/>
  <c r="E143" i="61"/>
  <c r="E212" i="61" s="1"/>
  <c r="E142" i="61"/>
  <c r="E211" i="61" s="1"/>
  <c r="E140" i="61"/>
  <c r="E209" i="61" s="1"/>
  <c r="E139" i="61"/>
  <c r="E208" i="61" s="1"/>
  <c r="E138" i="61"/>
  <c r="E207" i="61" s="1"/>
  <c r="E137" i="61"/>
  <c r="E206" i="61" s="1"/>
  <c r="D135" i="61"/>
  <c r="E134" i="61"/>
  <c r="E203" i="61" s="1"/>
  <c r="H202" i="61"/>
  <c r="H147" i="54" s="1"/>
  <c r="G118" i="62" s="1"/>
  <c r="E133" i="61"/>
  <c r="E202" i="61" s="1"/>
  <c r="F132" i="61"/>
  <c r="F201" i="61" s="1"/>
  <c r="E132" i="61"/>
  <c r="E201" i="61" s="1"/>
  <c r="E130" i="61"/>
  <c r="D108" i="61"/>
  <c r="D178" i="61" s="1"/>
  <c r="C108" i="61"/>
  <c r="B108" i="61"/>
  <c r="E107" i="61"/>
  <c r="E177" i="61" s="1"/>
  <c r="D107" i="61"/>
  <c r="D177" i="61" s="1"/>
  <c r="A107" i="61"/>
  <c r="A177" i="61" s="1"/>
  <c r="E106" i="61"/>
  <c r="E176" i="61" s="1"/>
  <c r="D106" i="61"/>
  <c r="D176" i="61" s="1"/>
  <c r="A106" i="61"/>
  <c r="A176" i="61" s="1"/>
  <c r="D105" i="61"/>
  <c r="D175" i="61" s="1"/>
  <c r="D210" i="61" s="1"/>
  <c r="C105" i="61"/>
  <c r="C141" i="61" s="1"/>
  <c r="B105" i="61"/>
  <c r="B141" i="61" s="1"/>
  <c r="A105" i="61"/>
  <c r="D103" i="61"/>
  <c r="D173" i="61" s="1"/>
  <c r="C103" i="61"/>
  <c r="B103" i="61"/>
  <c r="A103" i="61"/>
  <c r="D102" i="61"/>
  <c r="D172" i="61" s="1"/>
  <c r="A102" i="61"/>
  <c r="D101" i="61"/>
  <c r="D171" i="61" s="1"/>
  <c r="C101" i="61"/>
  <c r="B101" i="61"/>
  <c r="A101" i="61"/>
  <c r="P96" i="61"/>
  <c r="O96" i="61"/>
  <c r="N96" i="61"/>
  <c r="M96" i="61"/>
  <c r="L96" i="61"/>
  <c r="K96" i="61"/>
  <c r="J96" i="61"/>
  <c r="I96" i="61"/>
  <c r="I93" i="4" s="1"/>
  <c r="H96" i="61"/>
  <c r="H93" i="4" s="1"/>
  <c r="G96" i="61"/>
  <c r="G93" i="4" s="1"/>
  <c r="F96" i="61"/>
  <c r="F166" i="61" s="1"/>
  <c r="E96" i="61"/>
  <c r="E166" i="61" s="1"/>
  <c r="D96" i="61"/>
  <c r="D166" i="61" s="1"/>
  <c r="P95" i="61"/>
  <c r="O95" i="61"/>
  <c r="N95" i="61"/>
  <c r="M95" i="61"/>
  <c r="L95" i="61"/>
  <c r="K95" i="61"/>
  <c r="J95" i="61"/>
  <c r="I95" i="61"/>
  <c r="I92" i="4" s="1"/>
  <c r="U92" i="4" s="1"/>
  <c r="H95" i="61"/>
  <c r="G95" i="61"/>
  <c r="G92" i="4" s="1"/>
  <c r="S92" i="4" s="1"/>
  <c r="F95" i="61"/>
  <c r="F165" i="61" s="1"/>
  <c r="E95" i="61"/>
  <c r="E165" i="61" s="1"/>
  <c r="D95" i="61"/>
  <c r="D165" i="61" s="1"/>
  <c r="C95" i="61"/>
  <c r="B95" i="61"/>
  <c r="D92" i="61"/>
  <c r="D162" i="61" s="1"/>
  <c r="C92" i="61"/>
  <c r="B92" i="61"/>
  <c r="D91" i="61"/>
  <c r="D161" i="61" s="1"/>
  <c r="C91" i="61"/>
  <c r="B91" i="61"/>
  <c r="D90" i="61"/>
  <c r="D160" i="61" s="1"/>
  <c r="C90" i="61"/>
  <c r="B90" i="61"/>
  <c r="D89" i="61"/>
  <c r="D159" i="61" s="1"/>
  <c r="C89" i="61"/>
  <c r="B89" i="61"/>
  <c r="D88" i="61"/>
  <c r="D158" i="61" s="1"/>
  <c r="C88" i="61"/>
  <c r="B88" i="61"/>
  <c r="F157" i="61"/>
  <c r="F113" i="54" s="1"/>
  <c r="D87" i="61"/>
  <c r="C87" i="61"/>
  <c r="B87" i="61"/>
  <c r="C71" i="61"/>
  <c r="O38" i="54"/>
  <c r="M38" i="54"/>
  <c r="L38" i="54"/>
  <c r="K38" i="54"/>
  <c r="D63" i="61"/>
  <c r="D67" i="61" s="1"/>
  <c r="C63" i="61"/>
  <c r="B63" i="61"/>
  <c r="E57" i="61"/>
  <c r="D57" i="61"/>
  <c r="D32" i="61"/>
  <c r="C32" i="61"/>
  <c r="B32" i="61"/>
  <c r="AE31" i="61"/>
  <c r="E31" i="61"/>
  <c r="E108" i="61" s="1"/>
  <c r="E178" i="61" s="1"/>
  <c r="AE28" i="61"/>
  <c r="E28" i="61"/>
  <c r="E63" i="61" s="1"/>
  <c r="AE26" i="61"/>
  <c r="E26" i="61"/>
  <c r="E103" i="61" s="1"/>
  <c r="E173" i="61" s="1"/>
  <c r="E25" i="61"/>
  <c r="E102" i="61" s="1"/>
  <c r="E172" i="61" s="1"/>
  <c r="AE24" i="61"/>
  <c r="E24" i="61"/>
  <c r="D22" i="61"/>
  <c r="C22" i="61"/>
  <c r="B22" i="61"/>
  <c r="AE20" i="61"/>
  <c r="AE17" i="61"/>
  <c r="E17" i="61"/>
  <c r="E92" i="61" s="1"/>
  <c r="E162" i="61" s="1"/>
  <c r="AE16" i="61"/>
  <c r="E16" i="61"/>
  <c r="E91" i="61" s="1"/>
  <c r="E161" i="61" s="1"/>
  <c r="AE15" i="61"/>
  <c r="E15" i="61"/>
  <c r="E90" i="61" s="1"/>
  <c r="E160" i="61" s="1"/>
  <c r="AE14" i="61"/>
  <c r="E14" i="61"/>
  <c r="E89" i="61" s="1"/>
  <c r="E159" i="61" s="1"/>
  <c r="AE13" i="61"/>
  <c r="E13" i="61"/>
  <c r="E88" i="61" s="1"/>
  <c r="E158" i="61" s="1"/>
  <c r="AE12" i="61"/>
  <c r="E12" i="61"/>
  <c r="AE10" i="61"/>
  <c r="B100" i="60"/>
  <c r="P94" i="60"/>
  <c r="O94" i="60"/>
  <c r="N94" i="60"/>
  <c r="M94" i="60"/>
  <c r="L94" i="60"/>
  <c r="K94" i="60"/>
  <c r="J94" i="60"/>
  <c r="I94" i="60"/>
  <c r="H94" i="60"/>
  <c r="G94" i="60"/>
  <c r="F94" i="60"/>
  <c r="E94" i="60"/>
  <c r="D94" i="60"/>
  <c r="C94" i="60"/>
  <c r="B94" i="60"/>
  <c r="B93" i="60"/>
  <c r="B95" i="60" s="1"/>
  <c r="P88" i="60"/>
  <c r="P100" i="60" s="1"/>
  <c r="H88" i="60"/>
  <c r="H100" i="60" s="1"/>
  <c r="E88" i="60"/>
  <c r="E100" i="60" s="1"/>
  <c r="B86" i="60"/>
  <c r="B89" i="60" s="1"/>
  <c r="B90" i="60" s="1"/>
  <c r="C84" i="60" s="1"/>
  <c r="C86" i="60" s="1"/>
  <c r="E84" i="60"/>
  <c r="E86" i="60" s="1"/>
  <c r="D84" i="60"/>
  <c r="D86" i="60" s="1"/>
  <c r="B76" i="60"/>
  <c r="D74" i="60"/>
  <c r="D76" i="60" s="1"/>
  <c r="B66" i="60"/>
  <c r="P60" i="60"/>
  <c r="O60" i="60"/>
  <c r="N60" i="60"/>
  <c r="M60" i="60"/>
  <c r="L60" i="60"/>
  <c r="K60" i="60"/>
  <c r="J60" i="60"/>
  <c r="I60" i="60"/>
  <c r="H60" i="60"/>
  <c r="G60" i="60"/>
  <c r="F60" i="60"/>
  <c r="E60" i="60"/>
  <c r="D60" i="60"/>
  <c r="C60" i="60"/>
  <c r="B60" i="60"/>
  <c r="D59" i="60"/>
  <c r="B59" i="60"/>
  <c r="B61" i="60" s="1"/>
  <c r="P54" i="60"/>
  <c r="P66" i="60" s="1"/>
  <c r="O54" i="60"/>
  <c r="O88" i="60" s="1"/>
  <c r="O100" i="60" s="1"/>
  <c r="N54" i="60"/>
  <c r="N88" i="60" s="1"/>
  <c r="N100" i="60" s="1"/>
  <c r="M54" i="60"/>
  <c r="L54" i="60"/>
  <c r="L88" i="60" s="1"/>
  <c r="L100" i="60" s="1"/>
  <c r="K54" i="60"/>
  <c r="K66" i="60" s="1"/>
  <c r="J54" i="60"/>
  <c r="J66" i="60" s="1"/>
  <c r="I54" i="60"/>
  <c r="I66" i="60" s="1"/>
  <c r="H54" i="60"/>
  <c r="H66" i="60" s="1"/>
  <c r="G54" i="60"/>
  <c r="G88" i="60" s="1"/>
  <c r="G100" i="60" s="1"/>
  <c r="F54" i="60"/>
  <c r="F88" i="60" s="1"/>
  <c r="F100" i="60" s="1"/>
  <c r="E54" i="60"/>
  <c r="E66" i="60" s="1"/>
  <c r="D54" i="60"/>
  <c r="D88" i="60" s="1"/>
  <c r="D100" i="60" s="1"/>
  <c r="D52" i="60"/>
  <c r="D55" i="60" s="1"/>
  <c r="D56" i="60" s="1"/>
  <c r="B52" i="60"/>
  <c r="B55" i="60" s="1"/>
  <c r="B56" i="60" s="1"/>
  <c r="C50" i="60" s="1"/>
  <c r="E50" i="60"/>
  <c r="E52" i="60" s="1"/>
  <c r="E55" i="60" s="1"/>
  <c r="E56" i="60" s="1"/>
  <c r="F50" i="60" s="1"/>
  <c r="F52" i="60" s="1"/>
  <c r="F55" i="60" s="1"/>
  <c r="F56" i="60" s="1"/>
  <c r="G50" i="60" s="1"/>
  <c r="G52" i="60" s="1"/>
  <c r="G55" i="60" s="1"/>
  <c r="G56" i="60" s="1"/>
  <c r="D50" i="60"/>
  <c r="D42" i="60"/>
  <c r="C42" i="60"/>
  <c r="B42" i="60"/>
  <c r="D40" i="60"/>
  <c r="P32" i="60"/>
  <c r="O32" i="60"/>
  <c r="N32" i="60"/>
  <c r="M32" i="60"/>
  <c r="L32" i="60"/>
  <c r="K32" i="60"/>
  <c r="J32" i="60"/>
  <c r="I32" i="60"/>
  <c r="H32" i="60"/>
  <c r="G32" i="60"/>
  <c r="F32" i="60"/>
  <c r="E32" i="60"/>
  <c r="D32" i="60"/>
  <c r="C32" i="60"/>
  <c r="C54" i="60" s="1"/>
  <c r="B32" i="60"/>
  <c r="P26" i="60"/>
  <c r="O26" i="60"/>
  <c r="N26" i="60"/>
  <c r="M26" i="60"/>
  <c r="L26" i="60"/>
  <c r="K26" i="60"/>
  <c r="J26" i="60"/>
  <c r="I26" i="60"/>
  <c r="H26" i="60"/>
  <c r="G26" i="60"/>
  <c r="F26" i="60"/>
  <c r="E26" i="60"/>
  <c r="D26" i="60"/>
  <c r="C26" i="60"/>
  <c r="B26" i="60"/>
  <c r="D25" i="60"/>
  <c r="D27" i="60" s="1"/>
  <c r="C25" i="60"/>
  <c r="B25" i="60"/>
  <c r="E18" i="60"/>
  <c r="E21" i="60" s="1"/>
  <c r="E22" i="60" s="1"/>
  <c r="D18" i="60"/>
  <c r="D21" i="60" s="1"/>
  <c r="D22" i="60" s="1"/>
  <c r="C18" i="60"/>
  <c r="C21" i="60" s="1"/>
  <c r="C22" i="60" s="1"/>
  <c r="B18" i="60"/>
  <c r="B21" i="60" s="1"/>
  <c r="B22" i="60" s="1"/>
  <c r="D8" i="60"/>
  <c r="C8" i="60"/>
  <c r="B8" i="60"/>
  <c r="C134" i="59"/>
  <c r="B134" i="59"/>
  <c r="D133" i="59"/>
  <c r="D132" i="59"/>
  <c r="D134" i="59" s="1"/>
  <c r="C126" i="59"/>
  <c r="B126" i="59"/>
  <c r="D125" i="59"/>
  <c r="D124" i="59"/>
  <c r="C120" i="59"/>
  <c r="B120" i="59"/>
  <c r="D119" i="59"/>
  <c r="D118" i="59"/>
  <c r="D117" i="59"/>
  <c r="C111" i="59"/>
  <c r="C113" i="59" s="1"/>
  <c r="B111" i="59"/>
  <c r="I110" i="59"/>
  <c r="D110" i="59"/>
  <c r="K109" i="59"/>
  <c r="J109" i="59"/>
  <c r="I109" i="59"/>
  <c r="G109" i="59"/>
  <c r="D109" i="59"/>
  <c r="D108" i="59"/>
  <c r="D107" i="59"/>
  <c r="C104" i="59"/>
  <c r="B104" i="59"/>
  <c r="D103" i="59"/>
  <c r="D102" i="59"/>
  <c r="D101" i="59"/>
  <c r="D100" i="59"/>
  <c r="D99" i="59"/>
  <c r="D88" i="59"/>
  <c r="C88" i="59"/>
  <c r="B88" i="59"/>
  <c r="E86" i="59"/>
  <c r="E132" i="59" s="1"/>
  <c r="C80" i="59"/>
  <c r="B80" i="59"/>
  <c r="E79" i="59"/>
  <c r="E77" i="59"/>
  <c r="E123" i="59" s="1"/>
  <c r="D77" i="59"/>
  <c r="D74" i="59"/>
  <c r="C74" i="59"/>
  <c r="C82" i="59" s="1"/>
  <c r="B74" i="59"/>
  <c r="C67" i="59"/>
  <c r="D65" i="59"/>
  <c r="C65" i="59"/>
  <c r="B65" i="59"/>
  <c r="P64" i="59"/>
  <c r="P110" i="59" s="1"/>
  <c r="O64" i="59"/>
  <c r="O110" i="59" s="1"/>
  <c r="N64" i="59"/>
  <c r="N110" i="59" s="1"/>
  <c r="M64" i="59"/>
  <c r="M110" i="59" s="1"/>
  <c r="L64" i="59"/>
  <c r="L110" i="59" s="1"/>
  <c r="K64" i="59"/>
  <c r="K110" i="59" s="1"/>
  <c r="J64" i="59"/>
  <c r="J110" i="59" s="1"/>
  <c r="I64" i="59"/>
  <c r="H64" i="59"/>
  <c r="H110" i="59" s="1"/>
  <c r="G64" i="59"/>
  <c r="G110" i="59" s="1"/>
  <c r="F64" i="59"/>
  <c r="F110" i="59" s="1"/>
  <c r="E64" i="59"/>
  <c r="E110" i="59" s="1"/>
  <c r="A64" i="59"/>
  <c r="A110" i="59" s="1"/>
  <c r="P63" i="59"/>
  <c r="P109" i="59" s="1"/>
  <c r="O63" i="59"/>
  <c r="O109" i="59" s="1"/>
  <c r="N63" i="59"/>
  <c r="N109" i="59" s="1"/>
  <c r="M63" i="59"/>
  <c r="M109" i="59" s="1"/>
  <c r="L63" i="59"/>
  <c r="L109" i="59" s="1"/>
  <c r="K63" i="59"/>
  <c r="J63" i="59"/>
  <c r="I63" i="59"/>
  <c r="H63" i="59"/>
  <c r="H109" i="59" s="1"/>
  <c r="G63" i="59"/>
  <c r="F63" i="59"/>
  <c r="F109" i="59" s="1"/>
  <c r="E63" i="59"/>
  <c r="E109" i="59" s="1"/>
  <c r="A63" i="59"/>
  <c r="A109" i="59" s="1"/>
  <c r="E61" i="59"/>
  <c r="A61" i="59"/>
  <c r="A107" i="59" s="1"/>
  <c r="D58" i="59"/>
  <c r="C58" i="59"/>
  <c r="B58" i="59"/>
  <c r="B67" i="59" s="1"/>
  <c r="E57" i="59"/>
  <c r="F57" i="59" s="1"/>
  <c r="G57" i="59" s="1"/>
  <c r="H57" i="59" s="1"/>
  <c r="I57" i="59" s="1"/>
  <c r="J57" i="59" s="1"/>
  <c r="K57" i="59" s="1"/>
  <c r="L57" i="59" s="1"/>
  <c r="M57" i="59" s="1"/>
  <c r="N57" i="59" s="1"/>
  <c r="O57" i="59" s="1"/>
  <c r="P57" i="59" s="1"/>
  <c r="E56" i="59"/>
  <c r="F56" i="59" s="1"/>
  <c r="G56" i="59" s="1"/>
  <c r="H56" i="59" s="1"/>
  <c r="I56" i="59" s="1"/>
  <c r="J56" i="59" s="1"/>
  <c r="K56" i="59" s="1"/>
  <c r="L56" i="59" s="1"/>
  <c r="M56" i="59" s="1"/>
  <c r="N56" i="59" s="1"/>
  <c r="O56" i="59" s="1"/>
  <c r="P56" i="59" s="1"/>
  <c r="E55" i="59"/>
  <c r="E53" i="59"/>
  <c r="D42" i="59"/>
  <c r="C42" i="59"/>
  <c r="B42" i="59"/>
  <c r="E87" i="59"/>
  <c r="E133" i="59" s="1"/>
  <c r="E42" i="59"/>
  <c r="D34" i="59"/>
  <c r="D36" i="59" s="1"/>
  <c r="C34" i="59"/>
  <c r="B34" i="59"/>
  <c r="F33" i="59"/>
  <c r="F31" i="59"/>
  <c r="G31" i="59" s="1"/>
  <c r="H31" i="59" s="1"/>
  <c r="I31" i="59" s="1"/>
  <c r="J31" i="59" s="1"/>
  <c r="K31" i="59" s="1"/>
  <c r="L31" i="59" s="1"/>
  <c r="M31" i="59" s="1"/>
  <c r="N31" i="59" s="1"/>
  <c r="O31" i="59" s="1"/>
  <c r="P31" i="59" s="1"/>
  <c r="D28" i="59"/>
  <c r="C28" i="59"/>
  <c r="B28" i="59"/>
  <c r="B36" i="59" s="1"/>
  <c r="E73" i="59"/>
  <c r="C21" i="59"/>
  <c r="B21" i="59"/>
  <c r="D19" i="59"/>
  <c r="D21" i="59" s="1"/>
  <c r="C19" i="59"/>
  <c r="B19" i="59"/>
  <c r="D12" i="59"/>
  <c r="C12" i="59"/>
  <c r="B12" i="59"/>
  <c r="F11" i="59"/>
  <c r="G11" i="59" s="1"/>
  <c r="H11" i="59" s="1"/>
  <c r="I11" i="59" s="1"/>
  <c r="J11" i="59" s="1"/>
  <c r="K11" i="59" s="1"/>
  <c r="L11" i="59" s="1"/>
  <c r="M11" i="59" s="1"/>
  <c r="N11" i="59" s="1"/>
  <c r="O11" i="59" s="1"/>
  <c r="P11" i="59" s="1"/>
  <c r="F10" i="59"/>
  <c r="G10" i="59" s="1"/>
  <c r="H10" i="59" s="1"/>
  <c r="I10" i="59" s="1"/>
  <c r="J10" i="59" s="1"/>
  <c r="K10" i="59" s="1"/>
  <c r="L10" i="59" s="1"/>
  <c r="M10" i="59" s="1"/>
  <c r="N10" i="59" s="1"/>
  <c r="O10" i="59" s="1"/>
  <c r="P10" i="59" s="1"/>
  <c r="F9" i="59"/>
  <c r="G9" i="59" s="1"/>
  <c r="H9" i="59" s="1"/>
  <c r="I9" i="59" s="1"/>
  <c r="J9" i="59" s="1"/>
  <c r="K9" i="59" s="1"/>
  <c r="L9" i="59" s="1"/>
  <c r="M9" i="59" s="1"/>
  <c r="N9" i="59" s="1"/>
  <c r="O9" i="59" s="1"/>
  <c r="P9" i="59" s="1"/>
  <c r="E12" i="59"/>
  <c r="C148" i="58"/>
  <c r="B148" i="58"/>
  <c r="D147" i="58"/>
  <c r="D144" i="58"/>
  <c r="D148" i="58" s="1"/>
  <c r="B140" i="58"/>
  <c r="P139" i="58"/>
  <c r="O139" i="58"/>
  <c r="N139" i="58"/>
  <c r="M139" i="58"/>
  <c r="L139" i="58"/>
  <c r="K139" i="58"/>
  <c r="J139" i="58"/>
  <c r="I139" i="58"/>
  <c r="H139" i="58"/>
  <c r="G139" i="58"/>
  <c r="F139" i="58"/>
  <c r="C139" i="58"/>
  <c r="P137" i="58"/>
  <c r="O137" i="58"/>
  <c r="N137" i="58"/>
  <c r="M137" i="58"/>
  <c r="L137" i="58"/>
  <c r="K137" i="58"/>
  <c r="J137" i="58"/>
  <c r="I137" i="58"/>
  <c r="H137" i="58"/>
  <c r="G137" i="58"/>
  <c r="F137" i="58"/>
  <c r="C133" i="58"/>
  <c r="E126" i="58"/>
  <c r="B126" i="58"/>
  <c r="C118" i="58"/>
  <c r="L108" i="58"/>
  <c r="D103" i="58"/>
  <c r="D156" i="58" s="1"/>
  <c r="D99" i="58"/>
  <c r="D152" i="58" s="1"/>
  <c r="C95" i="58"/>
  <c r="B95" i="58"/>
  <c r="D94" i="58"/>
  <c r="D91" i="58"/>
  <c r="D95" i="58" s="1"/>
  <c r="B87" i="58"/>
  <c r="D86" i="58"/>
  <c r="D139" i="58" s="1"/>
  <c r="C86" i="58"/>
  <c r="D85" i="58"/>
  <c r="D138" i="58" s="1"/>
  <c r="C85" i="58"/>
  <c r="C138" i="58" s="1"/>
  <c r="D84" i="58"/>
  <c r="D137" i="58" s="1"/>
  <c r="A84" i="58"/>
  <c r="A137" i="58" s="1"/>
  <c r="D83" i="58"/>
  <c r="D136" i="58" s="1"/>
  <c r="C83" i="58"/>
  <c r="D80" i="58"/>
  <c r="D133" i="58" s="1"/>
  <c r="C80" i="58"/>
  <c r="E79" i="58"/>
  <c r="E132" i="58" s="1"/>
  <c r="D79" i="58"/>
  <c r="D132" i="58" s="1"/>
  <c r="C79" i="58"/>
  <c r="C132" i="58" s="1"/>
  <c r="E78" i="58"/>
  <c r="E131" i="58" s="1"/>
  <c r="D78" i="58"/>
  <c r="D131" i="58" s="1"/>
  <c r="A78" i="58"/>
  <c r="A131" i="58" s="1"/>
  <c r="D77" i="58"/>
  <c r="D130" i="58" s="1"/>
  <c r="D140" i="58" s="1"/>
  <c r="C77" i="58"/>
  <c r="C130" i="58" s="1"/>
  <c r="B73" i="58"/>
  <c r="E72" i="58"/>
  <c r="D72" i="58"/>
  <c r="D125" i="58" s="1"/>
  <c r="C72" i="58"/>
  <c r="C125" i="58" s="1"/>
  <c r="E71" i="58"/>
  <c r="D71" i="58"/>
  <c r="D124" i="58" s="1"/>
  <c r="C71" i="58"/>
  <c r="C124" i="58" s="1"/>
  <c r="E70" i="58"/>
  <c r="D70" i="58"/>
  <c r="D123" i="58" s="1"/>
  <c r="E69" i="58"/>
  <c r="D69" i="58"/>
  <c r="D122" i="58" s="1"/>
  <c r="C69" i="58"/>
  <c r="C122" i="58" s="1"/>
  <c r="E68" i="58"/>
  <c r="D68" i="58"/>
  <c r="D121" i="58" s="1"/>
  <c r="C68" i="58"/>
  <c r="C121" i="58" s="1"/>
  <c r="E65" i="58"/>
  <c r="D65" i="58"/>
  <c r="D118" i="58" s="1"/>
  <c r="C65" i="58"/>
  <c r="E64" i="58"/>
  <c r="D64" i="58"/>
  <c r="D117" i="58" s="1"/>
  <c r="C64" i="58"/>
  <c r="C117" i="58" s="1"/>
  <c r="E63" i="58"/>
  <c r="D63" i="58"/>
  <c r="D116" i="58" s="1"/>
  <c r="C63" i="58"/>
  <c r="C116" i="58" s="1"/>
  <c r="E62" i="58"/>
  <c r="D62" i="58"/>
  <c r="D115" i="58" s="1"/>
  <c r="C62" i="58"/>
  <c r="C115" i="58" s="1"/>
  <c r="E61" i="58"/>
  <c r="D61" i="58"/>
  <c r="D114" i="58" s="1"/>
  <c r="C61" i="58"/>
  <c r="E60" i="58"/>
  <c r="D60" i="58"/>
  <c r="D113" i="58" s="1"/>
  <c r="C60" i="58"/>
  <c r="C113" i="58" s="1"/>
  <c r="P55" i="58"/>
  <c r="P108" i="58" s="1"/>
  <c r="O55" i="58"/>
  <c r="O108" i="58" s="1"/>
  <c r="N55" i="58"/>
  <c r="N108" i="58" s="1"/>
  <c r="M55" i="58"/>
  <c r="M108" i="58" s="1"/>
  <c r="L55" i="58"/>
  <c r="K55" i="58"/>
  <c r="K108" i="58" s="1"/>
  <c r="J55" i="58"/>
  <c r="J108" i="58" s="1"/>
  <c r="I55" i="58"/>
  <c r="I108" i="58" s="1"/>
  <c r="H55" i="58"/>
  <c r="H108" i="58" s="1"/>
  <c r="G55" i="58"/>
  <c r="G108" i="58" s="1"/>
  <c r="F55" i="58"/>
  <c r="F108" i="58" s="1"/>
  <c r="E55" i="58"/>
  <c r="E108" i="58" s="1"/>
  <c r="D55" i="58"/>
  <c r="D108" i="58" s="1"/>
  <c r="C50" i="58"/>
  <c r="D42" i="58"/>
  <c r="C42" i="58"/>
  <c r="B42" i="58"/>
  <c r="E41" i="58"/>
  <c r="E94" i="58" s="1"/>
  <c r="E38" i="58"/>
  <c r="E91" i="58" s="1"/>
  <c r="D34" i="58"/>
  <c r="C34" i="58"/>
  <c r="B34" i="58"/>
  <c r="P33" i="58"/>
  <c r="O33" i="58"/>
  <c r="N33" i="58"/>
  <c r="M33" i="58"/>
  <c r="L33" i="58"/>
  <c r="K33" i="58"/>
  <c r="J33" i="58"/>
  <c r="I33" i="58"/>
  <c r="H33" i="58"/>
  <c r="G33" i="58"/>
  <c r="F33" i="58"/>
  <c r="E33" i="58"/>
  <c r="E86" i="58" s="1"/>
  <c r="E139" i="58" s="1"/>
  <c r="E32" i="58"/>
  <c r="E85" i="58" s="1"/>
  <c r="E138" i="58" s="1"/>
  <c r="E31" i="58"/>
  <c r="E84" i="58" s="1"/>
  <c r="E137" i="58" s="1"/>
  <c r="E30" i="58"/>
  <c r="E83" i="58" s="1"/>
  <c r="E136" i="58" s="1"/>
  <c r="E27" i="58"/>
  <c r="E80" i="58" s="1"/>
  <c r="E133" i="58" s="1"/>
  <c r="E24" i="58"/>
  <c r="E20" i="58"/>
  <c r="D20" i="58"/>
  <c r="D44" i="58" s="1"/>
  <c r="D48" i="58" s="1"/>
  <c r="D52" i="58" s="1"/>
  <c r="C20" i="58"/>
  <c r="C44" i="58" s="1"/>
  <c r="B20" i="58"/>
  <c r="B44" i="58" s="1"/>
  <c r="B48" i="58" s="1"/>
  <c r="B52" i="58" s="1"/>
  <c r="P18" i="58"/>
  <c r="O18" i="58"/>
  <c r="N18" i="58"/>
  <c r="M18" i="58"/>
  <c r="L18" i="58"/>
  <c r="K18" i="58"/>
  <c r="J18" i="58"/>
  <c r="I18" i="58"/>
  <c r="H18" i="58"/>
  <c r="G18" i="58"/>
  <c r="F18" i="58"/>
  <c r="F87" i="68" l="1"/>
  <c r="U14" i="61"/>
  <c r="W176" i="61"/>
  <c r="W177" i="61"/>
  <c r="F55" i="34"/>
  <c r="I32" i="34"/>
  <c r="H32" i="34"/>
  <c r="B150" i="58"/>
  <c r="B154" i="58" s="1"/>
  <c r="B97" i="58"/>
  <c r="B101" i="58" s="1"/>
  <c r="S18" i="61"/>
  <c r="F102" i="4"/>
  <c r="J16" i="38"/>
  <c r="G27" i="50"/>
  <c r="S12" i="61"/>
  <c r="F208" i="61"/>
  <c r="I7" i="54"/>
  <c r="F159" i="61"/>
  <c r="F115" i="54" s="1"/>
  <c r="H26" i="4"/>
  <c r="T15" i="61"/>
  <c r="F69" i="54"/>
  <c r="H105" i="4"/>
  <c r="T105" i="4" s="1"/>
  <c r="R25" i="61"/>
  <c r="I17" i="34"/>
  <c r="G12" i="69" s="1"/>
  <c r="G15" i="69" s="1"/>
  <c r="R15" i="61"/>
  <c r="U31" i="61"/>
  <c r="F30" i="4"/>
  <c r="F32" i="34" s="1"/>
  <c r="R16" i="61"/>
  <c r="T14" i="61"/>
  <c r="T102" i="61"/>
  <c r="H17" i="4"/>
  <c r="T18" i="61"/>
  <c r="W166" i="61"/>
  <c r="E125" i="59"/>
  <c r="F125" i="59" s="1"/>
  <c r="G125" i="59" s="1"/>
  <c r="H125" i="59" s="1"/>
  <c r="I125" i="59" s="1"/>
  <c r="J125" i="59" s="1"/>
  <c r="K125" i="59" s="1"/>
  <c r="L125" i="59" s="1"/>
  <c r="M125" i="59" s="1"/>
  <c r="N125" i="59" s="1"/>
  <c r="O125" i="59" s="1"/>
  <c r="P125" i="59" s="1"/>
  <c r="F79" i="59"/>
  <c r="G79" i="59" s="1"/>
  <c r="H79" i="59" s="1"/>
  <c r="I79" i="59" s="1"/>
  <c r="J79" i="59" s="1"/>
  <c r="K79" i="59" s="1"/>
  <c r="L79" i="59" s="1"/>
  <c r="M79" i="59" s="1"/>
  <c r="N79" i="59" s="1"/>
  <c r="O79" i="59" s="1"/>
  <c r="P79" i="59" s="1"/>
  <c r="E61" i="62"/>
  <c r="E107" i="62" s="1"/>
  <c r="F15" i="62"/>
  <c r="G15" i="62" s="1"/>
  <c r="G61" i="62" s="1"/>
  <c r="H61" i="62" s="1"/>
  <c r="I61" i="62" s="1"/>
  <c r="E62" i="59"/>
  <c r="E108" i="59" s="1"/>
  <c r="E19" i="59"/>
  <c r="F11" i="4"/>
  <c r="F13" i="34" s="1"/>
  <c r="F7" i="50"/>
  <c r="C87" i="58"/>
  <c r="E78" i="59"/>
  <c r="D67" i="59"/>
  <c r="E19" i="62"/>
  <c r="B129" i="62"/>
  <c r="B136" i="62" s="1"/>
  <c r="M26" i="57"/>
  <c r="H65" i="39"/>
  <c r="E55" i="62"/>
  <c r="E101" i="62" s="1"/>
  <c r="F101" i="62" s="1"/>
  <c r="G101" i="62" s="1"/>
  <c r="H101" i="62" s="1"/>
  <c r="I101" i="62" s="1"/>
  <c r="J101" i="62" s="1"/>
  <c r="K101" i="62" s="1"/>
  <c r="L101" i="62" s="1"/>
  <c r="M101" i="62" s="1"/>
  <c r="N101" i="62" s="1"/>
  <c r="O101" i="62" s="1"/>
  <c r="P101" i="62" s="1"/>
  <c r="F9" i="62"/>
  <c r="G9" i="62" s="1"/>
  <c r="H9" i="62" s="1"/>
  <c r="I9" i="62" s="1"/>
  <c r="J9" i="62" s="1"/>
  <c r="K9" i="62" s="1"/>
  <c r="L9" i="62" s="1"/>
  <c r="M9" i="62" s="1"/>
  <c r="N9" i="62" s="1"/>
  <c r="O9" i="62" s="1"/>
  <c r="P9" i="62" s="1"/>
  <c r="K12" i="57"/>
  <c r="J8" i="58"/>
  <c r="H50" i="60"/>
  <c r="H52" i="60" s="1"/>
  <c r="H55" i="60" s="1"/>
  <c r="H56" i="60" s="1"/>
  <c r="G87" i="59"/>
  <c r="M66" i="60"/>
  <c r="M88" i="60"/>
  <c r="M100" i="60" s="1"/>
  <c r="B36" i="62"/>
  <c r="E18" i="63"/>
  <c r="E21" i="63" s="1"/>
  <c r="E22" i="63" s="1"/>
  <c r="F16" i="63" s="1"/>
  <c r="F18" i="63" s="1"/>
  <c r="F21" i="63" s="1"/>
  <c r="F22" i="63" s="1"/>
  <c r="E84" i="63"/>
  <c r="E86" i="63" s="1"/>
  <c r="P66" i="63"/>
  <c r="P88" i="63"/>
  <c r="P100" i="63" s="1"/>
  <c r="G65" i="58"/>
  <c r="F65" i="39"/>
  <c r="E164" i="38"/>
  <c r="E166" i="34" s="1"/>
  <c r="H56" i="38"/>
  <c r="I27" i="50"/>
  <c r="I65" i="4"/>
  <c r="H55" i="4"/>
  <c r="C103" i="58"/>
  <c r="E103" i="59"/>
  <c r="F103" i="59" s="1"/>
  <c r="G103" i="59" s="1"/>
  <c r="H103" i="59" s="1"/>
  <c r="I103" i="59" s="1"/>
  <c r="J103" i="59" s="1"/>
  <c r="K103" i="59" s="1"/>
  <c r="L103" i="59" s="1"/>
  <c r="M103" i="59" s="1"/>
  <c r="N103" i="59" s="1"/>
  <c r="O103" i="59" s="1"/>
  <c r="P103" i="59" s="1"/>
  <c r="B128" i="59"/>
  <c r="B27" i="60"/>
  <c r="N66" i="60"/>
  <c r="E89" i="60"/>
  <c r="E90" i="60" s="1"/>
  <c r="F84" i="60" s="1"/>
  <c r="F86" i="60" s="1"/>
  <c r="J88" i="60"/>
  <c r="J100" i="60" s="1"/>
  <c r="L92" i="4"/>
  <c r="X92" i="4" s="1"/>
  <c r="L161" i="4"/>
  <c r="W165" i="61"/>
  <c r="AA165" i="61"/>
  <c r="Y166" i="61"/>
  <c r="D36" i="62"/>
  <c r="D37" i="62" s="1"/>
  <c r="D44" i="62" s="1"/>
  <c r="C67" i="62"/>
  <c r="C83" i="62" s="1"/>
  <c r="C90" i="62" s="1"/>
  <c r="C113" i="62"/>
  <c r="C129" i="62" s="1"/>
  <c r="C136" i="62" s="1"/>
  <c r="D59" i="63"/>
  <c r="D61" i="63" s="1"/>
  <c r="J65" i="58"/>
  <c r="H38" i="50"/>
  <c r="F16" i="51"/>
  <c r="G16" i="51" s="1"/>
  <c r="H16" i="51" s="1"/>
  <c r="I16" i="51" s="1"/>
  <c r="J16" i="51" s="1"/>
  <c r="G85" i="4"/>
  <c r="F13" i="4"/>
  <c r="F15" i="34" s="1"/>
  <c r="F9" i="54"/>
  <c r="K11" i="4"/>
  <c r="V12" i="61"/>
  <c r="I8" i="54"/>
  <c r="T13" i="61"/>
  <c r="F26" i="4"/>
  <c r="E29" i="29" s="1"/>
  <c r="I19" i="54"/>
  <c r="T31" i="61"/>
  <c r="I26" i="4"/>
  <c r="I28" i="34" s="1"/>
  <c r="T27" i="61"/>
  <c r="I13" i="34"/>
  <c r="J25" i="4"/>
  <c r="J27" i="34" s="1"/>
  <c r="H20" i="69" s="1"/>
  <c r="R107" i="61"/>
  <c r="G104" i="4"/>
  <c r="S104" i="4" s="1"/>
  <c r="T105" i="61"/>
  <c r="I102" i="4"/>
  <c r="G15" i="34"/>
  <c r="B37" i="59"/>
  <c r="B44" i="59" s="1"/>
  <c r="D61" i="60"/>
  <c r="V165" i="61"/>
  <c r="Z165" i="61"/>
  <c r="X166" i="61"/>
  <c r="B37" i="62"/>
  <c r="B44" i="62" s="1"/>
  <c r="D58" i="62"/>
  <c r="G30" i="54"/>
  <c r="G56" i="49"/>
  <c r="K28" i="61"/>
  <c r="U28" i="61"/>
  <c r="E54" i="59"/>
  <c r="D104" i="59"/>
  <c r="E73" i="58"/>
  <c r="C128" i="59"/>
  <c r="C34" i="61"/>
  <c r="C39" i="61" s="1"/>
  <c r="C70" i="61" s="1"/>
  <c r="C72" i="61" s="1"/>
  <c r="D71" i="61" s="1"/>
  <c r="H91" i="34"/>
  <c r="R164" i="61"/>
  <c r="M161" i="4"/>
  <c r="X165" i="61"/>
  <c r="V166" i="61"/>
  <c r="Z166" i="61"/>
  <c r="Y176" i="61"/>
  <c r="F25" i="62"/>
  <c r="G25" i="62" s="1"/>
  <c r="E28" i="62"/>
  <c r="E36" i="62" s="1"/>
  <c r="D27" i="63"/>
  <c r="E88" i="34"/>
  <c r="J154" i="38"/>
  <c r="I65" i="58"/>
  <c r="J27" i="50"/>
  <c r="G8" i="50"/>
  <c r="G12" i="4"/>
  <c r="G14" i="34" s="1"/>
  <c r="F16" i="50"/>
  <c r="I24" i="49"/>
  <c r="H24" i="4"/>
  <c r="H26" i="34" s="1"/>
  <c r="G31" i="49"/>
  <c r="G19" i="50"/>
  <c r="G30" i="4"/>
  <c r="G32" i="34" s="1"/>
  <c r="J13" i="34"/>
  <c r="G11" i="4"/>
  <c r="R12" i="61"/>
  <c r="K15" i="61"/>
  <c r="L15" i="61" s="1"/>
  <c r="W15" i="61" s="1"/>
  <c r="U15" i="61"/>
  <c r="J12" i="54"/>
  <c r="J14" i="4"/>
  <c r="J16" i="34" s="1"/>
  <c r="H12" i="4"/>
  <c r="H14" i="34" s="1"/>
  <c r="S13" i="61"/>
  <c r="G26" i="4"/>
  <c r="G28" i="34" s="1"/>
  <c r="R27" i="61"/>
  <c r="H19" i="54"/>
  <c r="S31" i="61"/>
  <c r="S27" i="61"/>
  <c r="F66" i="61"/>
  <c r="F65" i="4" s="1"/>
  <c r="F130" i="4"/>
  <c r="R13" i="61"/>
  <c r="K16" i="61"/>
  <c r="U16" i="61"/>
  <c r="H9" i="54"/>
  <c r="S14" i="61"/>
  <c r="J7" i="54"/>
  <c r="U12" i="61"/>
  <c r="G27" i="4"/>
  <c r="G29" i="34" s="1"/>
  <c r="R28" i="61"/>
  <c r="I27" i="4"/>
  <c r="I29" i="34" s="1"/>
  <c r="T28" i="61"/>
  <c r="I17" i="54"/>
  <c r="T25" i="61"/>
  <c r="G17" i="4"/>
  <c r="G19" i="34" s="1"/>
  <c r="R18" i="61"/>
  <c r="K27" i="61"/>
  <c r="V27" i="61" s="1"/>
  <c r="U27" i="61"/>
  <c r="F172" i="4"/>
  <c r="I16" i="38"/>
  <c r="G65" i="39"/>
  <c r="I69" i="58"/>
  <c r="J80" i="50"/>
  <c r="F17" i="34"/>
  <c r="R14" i="61"/>
  <c r="T16" i="61"/>
  <c r="H14" i="4"/>
  <c r="H16" i="34" s="1"/>
  <c r="S15" i="61"/>
  <c r="U13" i="61"/>
  <c r="T12" i="61"/>
  <c r="G19" i="54"/>
  <c r="R31" i="61"/>
  <c r="H27" i="4"/>
  <c r="H29" i="34" s="1"/>
  <c r="S28" i="61"/>
  <c r="H17" i="54"/>
  <c r="S25" i="61"/>
  <c r="T108" i="61"/>
  <c r="I14" i="4"/>
  <c r="I12" i="2" s="1"/>
  <c r="K18" i="61"/>
  <c r="U18" i="61"/>
  <c r="I12" i="54"/>
  <c r="U25" i="61"/>
  <c r="H16" i="58"/>
  <c r="F56" i="38"/>
  <c r="F164" i="38"/>
  <c r="I72" i="54"/>
  <c r="G69" i="58"/>
  <c r="F161" i="61"/>
  <c r="F133" i="4"/>
  <c r="J38" i="50"/>
  <c r="G17" i="61"/>
  <c r="G22" i="61" s="1"/>
  <c r="H16" i="38"/>
  <c r="F38" i="50"/>
  <c r="G58" i="4"/>
  <c r="F41" i="50"/>
  <c r="G55" i="4"/>
  <c r="G38" i="50"/>
  <c r="F56" i="61"/>
  <c r="F30" i="54" s="1"/>
  <c r="F64" i="61"/>
  <c r="F24" i="54" s="1"/>
  <c r="G24" i="54"/>
  <c r="I24" i="54"/>
  <c r="G38" i="54"/>
  <c r="H24" i="54"/>
  <c r="F62" i="4"/>
  <c r="F30" i="50"/>
  <c r="J24" i="50"/>
  <c r="I56" i="38"/>
  <c r="I24" i="50"/>
  <c r="P38" i="54"/>
  <c r="I38" i="54"/>
  <c r="J56" i="38"/>
  <c r="I212" i="61"/>
  <c r="I144" i="54" s="1"/>
  <c r="G72" i="62"/>
  <c r="J133" i="4"/>
  <c r="I133" i="4"/>
  <c r="I137" i="4"/>
  <c r="I94" i="54"/>
  <c r="G138" i="4"/>
  <c r="I136" i="4"/>
  <c r="I133" i="34" s="1"/>
  <c r="I130" i="4"/>
  <c r="I83" i="54"/>
  <c r="H207" i="61"/>
  <c r="I202" i="61"/>
  <c r="I147" i="54" s="1"/>
  <c r="H118" i="62" s="1"/>
  <c r="F129" i="4"/>
  <c r="G137" i="4"/>
  <c r="J136" i="4"/>
  <c r="J133" i="34" s="1"/>
  <c r="H212" i="61"/>
  <c r="H144" i="54" s="1"/>
  <c r="I85" i="57"/>
  <c r="I90" i="57" s="1"/>
  <c r="F137" i="4"/>
  <c r="H136" i="4"/>
  <c r="H133" i="34" s="1"/>
  <c r="J4" i="61"/>
  <c r="G4" i="61"/>
  <c r="J166" i="61"/>
  <c r="U166" i="61" s="1"/>
  <c r="U96" i="61"/>
  <c r="J93" i="4"/>
  <c r="V96" i="61"/>
  <c r="F12" i="4"/>
  <c r="F14" i="34" s="1"/>
  <c r="F8" i="54"/>
  <c r="G15" i="4"/>
  <c r="G17" i="34" s="1"/>
  <c r="E12" i="69" s="1"/>
  <c r="E15" i="69" s="1"/>
  <c r="I9" i="54"/>
  <c r="I13" i="4"/>
  <c r="I15" i="34" s="1"/>
  <c r="F15" i="54"/>
  <c r="F23" i="4"/>
  <c r="F25" i="34" s="1"/>
  <c r="F32" i="61"/>
  <c r="G16" i="54"/>
  <c r="G25" i="4"/>
  <c r="S100" i="4" s="1"/>
  <c r="H38" i="54"/>
  <c r="H64" i="4"/>
  <c r="J60" i="4"/>
  <c r="G87" i="4"/>
  <c r="R90" i="61"/>
  <c r="J19" i="34"/>
  <c r="I18" i="29"/>
  <c r="G65" i="54"/>
  <c r="J177" i="61"/>
  <c r="U177" i="61" s="1"/>
  <c r="U107" i="61"/>
  <c r="W106" i="61"/>
  <c r="F41" i="54"/>
  <c r="F12" i="2"/>
  <c r="I19" i="34"/>
  <c r="H18" i="29"/>
  <c r="F12" i="54"/>
  <c r="I177" i="61"/>
  <c r="T177" i="61" s="1"/>
  <c r="T107" i="61"/>
  <c r="V106" i="61"/>
  <c r="AA95" i="61"/>
  <c r="J137" i="54"/>
  <c r="K172" i="4"/>
  <c r="G61" i="4"/>
  <c r="Z95" i="61"/>
  <c r="F19" i="34"/>
  <c r="E18" i="29"/>
  <c r="S91" i="61"/>
  <c r="H88" i="4"/>
  <c r="T88" i="61"/>
  <c r="I85" i="4"/>
  <c r="I61" i="54"/>
  <c r="J72" i="54"/>
  <c r="U108" i="61"/>
  <c r="T103" i="61"/>
  <c r="I100" i="4"/>
  <c r="G85" i="68" s="1"/>
  <c r="G94" i="54"/>
  <c r="G202" i="61"/>
  <c r="G147" i="54" s="1"/>
  <c r="F118" i="62" s="1"/>
  <c r="F124" i="62" s="1"/>
  <c r="G124" i="62" s="1"/>
  <c r="F72" i="62"/>
  <c r="F78" i="62" s="1"/>
  <c r="G165" i="61"/>
  <c r="R165" i="61" s="1"/>
  <c r="R95" i="61"/>
  <c r="N38" i="54"/>
  <c r="H165" i="61"/>
  <c r="S165" i="61" s="1"/>
  <c r="S95" i="61"/>
  <c r="H92" i="4"/>
  <c r="T92" i="4" s="1"/>
  <c r="L172" i="4"/>
  <c r="G14" i="4"/>
  <c r="G12" i="54"/>
  <c r="J13" i="4"/>
  <c r="J15" i="34" s="1"/>
  <c r="J9" i="54"/>
  <c r="H11" i="4"/>
  <c r="I4" i="61"/>
  <c r="H4" i="61"/>
  <c r="H7" i="54"/>
  <c r="G17" i="54"/>
  <c r="G24" i="4"/>
  <c r="G26" i="34" s="1"/>
  <c r="G86" i="4"/>
  <c r="S86" i="4" s="1"/>
  <c r="R89" i="61"/>
  <c r="G62" i="54"/>
  <c r="J88" i="4"/>
  <c r="U91" i="61"/>
  <c r="J84" i="4"/>
  <c r="V84" i="4" s="1"/>
  <c r="U87" i="61"/>
  <c r="F172" i="61"/>
  <c r="F123" i="54" s="1"/>
  <c r="F99" i="4"/>
  <c r="U102" i="61"/>
  <c r="J70" i="54"/>
  <c r="G83" i="54"/>
  <c r="G203" i="61"/>
  <c r="G136" i="54" s="1"/>
  <c r="F134" i="4"/>
  <c r="F207" i="61"/>
  <c r="J17" i="54"/>
  <c r="H28" i="34"/>
  <c r="G29" i="29"/>
  <c r="R91" i="61"/>
  <c r="I88" i="4"/>
  <c r="T91" i="61"/>
  <c r="I84" i="4"/>
  <c r="U84" i="4" s="1"/>
  <c r="T87" i="61"/>
  <c r="R102" i="61"/>
  <c r="H19" i="34"/>
  <c r="G18" i="29"/>
  <c r="F93" i="4"/>
  <c r="AA107" i="61"/>
  <c r="J176" i="61"/>
  <c r="U176" i="61" s="1"/>
  <c r="U106" i="61"/>
  <c r="J165" i="61"/>
  <c r="U165" i="61" s="1"/>
  <c r="U95" i="61"/>
  <c r="X96" i="61"/>
  <c r="N173" i="4"/>
  <c r="F100" i="4"/>
  <c r="F138" i="4"/>
  <c r="I70" i="54"/>
  <c r="J94" i="54"/>
  <c r="K13" i="61"/>
  <c r="V13" i="61" s="1"/>
  <c r="F16" i="54"/>
  <c r="I16" i="54"/>
  <c r="J87" i="4"/>
  <c r="U90" i="61"/>
  <c r="R103" i="61"/>
  <c r="H70" i="54"/>
  <c r="S102" i="61"/>
  <c r="J102" i="4"/>
  <c r="U105" i="61"/>
  <c r="I12" i="4"/>
  <c r="I14" i="34" s="1"/>
  <c r="F92" i="4"/>
  <c r="F27" i="4"/>
  <c r="F29" i="34" s="1"/>
  <c r="J27" i="4"/>
  <c r="J29" i="34" s="1"/>
  <c r="Z107" i="61"/>
  <c r="T106" i="61"/>
  <c r="J140" i="4"/>
  <c r="H138" i="4"/>
  <c r="G70" i="54"/>
  <c r="H16" i="54"/>
  <c r="S87" i="61"/>
  <c r="I65" i="54"/>
  <c r="T90" i="61"/>
  <c r="G90" i="4"/>
  <c r="S90" i="4" s="1"/>
  <c r="R93" i="61"/>
  <c r="G101" i="4"/>
  <c r="R104" i="61"/>
  <c r="H69" i="54"/>
  <c r="S103" i="61"/>
  <c r="J15" i="4"/>
  <c r="J17" i="34" s="1"/>
  <c r="H12" i="69" s="1"/>
  <c r="H15" i="69" s="1"/>
  <c r="G88" i="4"/>
  <c r="K31" i="61"/>
  <c r="V31" i="61" s="1"/>
  <c r="J19" i="54"/>
  <c r="I25" i="4"/>
  <c r="AA106" i="61"/>
  <c r="S106" i="61"/>
  <c r="I99" i="4"/>
  <c r="G87" i="68" s="1"/>
  <c r="J137" i="4"/>
  <c r="S88" i="61"/>
  <c r="U89" i="61"/>
  <c r="H90" i="4"/>
  <c r="T90" i="4" s="1"/>
  <c r="S93" i="61"/>
  <c r="H163" i="61"/>
  <c r="S163" i="61" s="1"/>
  <c r="G102" i="4"/>
  <c r="S102" i="4" s="1"/>
  <c r="R105" i="61"/>
  <c r="H174" i="61"/>
  <c r="S174" i="61" s="1"/>
  <c r="S104" i="61"/>
  <c r="J101" i="4"/>
  <c r="V101" i="4" s="1"/>
  <c r="U104" i="61"/>
  <c r="J64" i="4"/>
  <c r="J92" i="4"/>
  <c r="V92" i="4" s="1"/>
  <c r="H84" i="4"/>
  <c r="T84" i="4" s="1"/>
  <c r="F25" i="4"/>
  <c r="H25" i="4"/>
  <c r="H16" i="2" s="1"/>
  <c r="Z106" i="61"/>
  <c r="R106" i="61"/>
  <c r="W96" i="61"/>
  <c r="Y96" i="61"/>
  <c r="Z96" i="61"/>
  <c r="X95" i="61"/>
  <c r="H166" i="61"/>
  <c r="S166" i="61" s="1"/>
  <c r="S96" i="61"/>
  <c r="AA96" i="61"/>
  <c r="G99" i="4"/>
  <c r="G7" i="54"/>
  <c r="H61" i="54"/>
  <c r="H17" i="61"/>
  <c r="R87" i="61"/>
  <c r="S89" i="61"/>
  <c r="T89" i="61"/>
  <c r="U93" i="61"/>
  <c r="J163" i="61"/>
  <c r="U163" i="61" s="1"/>
  <c r="G105" i="4"/>
  <c r="S105" i="4" s="1"/>
  <c r="R108" i="61"/>
  <c r="H102" i="4"/>
  <c r="T102" i="4" s="1"/>
  <c r="S105" i="61"/>
  <c r="I174" i="61"/>
  <c r="T174" i="61" s="1"/>
  <c r="T104" i="61"/>
  <c r="H15" i="4"/>
  <c r="H17" i="34" s="1"/>
  <c r="F12" i="69" s="1"/>
  <c r="F15" i="69" s="1"/>
  <c r="J55" i="4"/>
  <c r="G84" i="4"/>
  <c r="N172" i="4"/>
  <c r="F24" i="4"/>
  <c r="F26" i="34" s="1"/>
  <c r="W107" i="61"/>
  <c r="Y106" i="61"/>
  <c r="I165" i="61"/>
  <c r="T165" i="61" s="1"/>
  <c r="T95" i="61"/>
  <c r="F173" i="61"/>
  <c r="F122" i="54" s="1"/>
  <c r="V95" i="61"/>
  <c r="W95" i="61"/>
  <c r="G166" i="61"/>
  <c r="R166" i="61" s="1"/>
  <c r="R96" i="61"/>
  <c r="F110" i="62"/>
  <c r="G110" i="62" s="1"/>
  <c r="H110" i="62" s="1"/>
  <c r="I110" i="62" s="1"/>
  <c r="J110" i="62" s="1"/>
  <c r="Y95" i="61"/>
  <c r="I166" i="61"/>
  <c r="T166" i="61" s="1"/>
  <c r="T96" i="61"/>
  <c r="G30" i="34"/>
  <c r="H177" i="61"/>
  <c r="S177" i="61" s="1"/>
  <c r="I16" i="34"/>
  <c r="H137" i="4"/>
  <c r="F38" i="54"/>
  <c r="R88" i="61"/>
  <c r="H65" i="54"/>
  <c r="S90" i="61"/>
  <c r="U88" i="61"/>
  <c r="I90" i="4"/>
  <c r="U90" i="4" s="1"/>
  <c r="T93" i="61"/>
  <c r="I163" i="61"/>
  <c r="T163" i="61" s="1"/>
  <c r="S108" i="61"/>
  <c r="H13" i="4"/>
  <c r="H15" i="34" s="1"/>
  <c r="G69" i="54"/>
  <c r="I55" i="4"/>
  <c r="J63" i="4"/>
  <c r="O162" i="4"/>
  <c r="J16" i="54"/>
  <c r="J30" i="4"/>
  <c r="V105" i="4" s="1"/>
  <c r="J26" i="4"/>
  <c r="I29" i="29" s="1"/>
  <c r="V107" i="61"/>
  <c r="X106" i="61"/>
  <c r="F26" i="62"/>
  <c r="G54" i="4"/>
  <c r="F105" i="4"/>
  <c r="F102" i="34" s="1"/>
  <c r="I69" i="54"/>
  <c r="J174" i="61"/>
  <c r="H170" i="4"/>
  <c r="I101" i="4"/>
  <c r="J69" i="54"/>
  <c r="F72" i="54"/>
  <c r="G174" i="61"/>
  <c r="F170" i="4"/>
  <c r="E668" i="29" s="1"/>
  <c r="F158" i="61"/>
  <c r="F114" i="54" s="1"/>
  <c r="F160" i="61"/>
  <c r="H87" i="4"/>
  <c r="I87" i="4"/>
  <c r="U87" i="4" s="1"/>
  <c r="F90" i="4"/>
  <c r="J90" i="4"/>
  <c r="V90" i="4" s="1"/>
  <c r="J65" i="54"/>
  <c r="G163" i="61"/>
  <c r="R163" i="61" s="1"/>
  <c r="F65" i="54"/>
  <c r="H69" i="39"/>
  <c r="J69" i="39"/>
  <c r="I69" i="39"/>
  <c r="J69" i="58"/>
  <c r="H69" i="58"/>
  <c r="F69" i="50"/>
  <c r="H61" i="50"/>
  <c r="H68" i="50"/>
  <c r="H69" i="50"/>
  <c r="H101" i="4"/>
  <c r="T101" i="4" s="1"/>
  <c r="J100" i="4"/>
  <c r="J72" i="50"/>
  <c r="J85" i="4"/>
  <c r="V85" i="4" s="1"/>
  <c r="F101" i="4"/>
  <c r="J99" i="4"/>
  <c r="H87" i="68" s="1"/>
  <c r="J68" i="50"/>
  <c r="G207" i="61"/>
  <c r="F136" i="4"/>
  <c r="G133" i="4"/>
  <c r="G129" i="4"/>
  <c r="J85" i="57"/>
  <c r="J90" i="57" s="1"/>
  <c r="I77" i="54"/>
  <c r="F72" i="51"/>
  <c r="J130" i="4"/>
  <c r="G140" i="4"/>
  <c r="G136" i="4"/>
  <c r="G133" i="34" s="1"/>
  <c r="I92" i="61"/>
  <c r="I162" i="61" s="1"/>
  <c r="T162" i="61" s="1"/>
  <c r="G139" i="4"/>
  <c r="H130" i="4"/>
  <c r="I138" i="4"/>
  <c r="G77" i="50"/>
  <c r="I140" i="4"/>
  <c r="H133" i="4"/>
  <c r="F140" i="4"/>
  <c r="I134" i="4"/>
  <c r="G208" i="61"/>
  <c r="G92" i="61"/>
  <c r="G135" i="4"/>
  <c r="J92" i="61"/>
  <c r="J162" i="61" s="1"/>
  <c r="U162" i="61" s="1"/>
  <c r="J134" i="4"/>
  <c r="G130" i="4"/>
  <c r="G83" i="50"/>
  <c r="J77" i="50"/>
  <c r="J138" i="4"/>
  <c r="F139" i="4"/>
  <c r="H203" i="61"/>
  <c r="H136" i="54" s="1"/>
  <c r="H83" i="54"/>
  <c r="I139" i="4"/>
  <c r="I135" i="4"/>
  <c r="I72" i="62"/>
  <c r="H92" i="61"/>
  <c r="H139" i="4"/>
  <c r="H135" i="4"/>
  <c r="J83" i="54"/>
  <c r="J91" i="54"/>
  <c r="J129" i="4"/>
  <c r="I94" i="50"/>
  <c r="I129" i="4"/>
  <c r="J202" i="61"/>
  <c r="F130" i="61"/>
  <c r="F126" i="4" s="1"/>
  <c r="H129" i="4"/>
  <c r="J139" i="4"/>
  <c r="J104" i="4"/>
  <c r="V104" i="4" s="1"/>
  <c r="I104" i="4"/>
  <c r="U104" i="4" s="1"/>
  <c r="J31" i="34"/>
  <c r="J30" i="34"/>
  <c r="G17" i="62"/>
  <c r="H17" i="62" s="1"/>
  <c r="I17" i="62" s="1"/>
  <c r="J17" i="62" s="1"/>
  <c r="K17" i="62" s="1"/>
  <c r="L17" i="62" s="1"/>
  <c r="M17" i="62" s="1"/>
  <c r="N17" i="62" s="1"/>
  <c r="O17" i="62" s="1"/>
  <c r="P17" i="62" s="1"/>
  <c r="I31" i="34"/>
  <c r="F31" i="34"/>
  <c r="H31" i="34"/>
  <c r="F104" i="4"/>
  <c r="J103" i="4"/>
  <c r="V103" i="4" s="1"/>
  <c r="G101" i="34"/>
  <c r="I176" i="61"/>
  <c r="T176" i="61" s="1"/>
  <c r="I100" i="34"/>
  <c r="F103" i="4"/>
  <c r="H101" i="34"/>
  <c r="H103" i="4"/>
  <c r="T103" i="4" s="1"/>
  <c r="F156" i="34"/>
  <c r="L18" i="61"/>
  <c r="W18" i="61" s="1"/>
  <c r="J14" i="34"/>
  <c r="J144" i="54"/>
  <c r="H77" i="54"/>
  <c r="I207" i="61"/>
  <c r="J207" i="61"/>
  <c r="G211" i="61"/>
  <c r="G130" i="54" s="1"/>
  <c r="G91" i="54"/>
  <c r="H27" i="54"/>
  <c r="H213" i="61"/>
  <c r="H133" i="54" s="1"/>
  <c r="H27" i="50"/>
  <c r="J17" i="61"/>
  <c r="I17" i="61"/>
  <c r="H26" i="62"/>
  <c r="I41" i="54"/>
  <c r="H41" i="54"/>
  <c r="G26" i="62"/>
  <c r="I26" i="62"/>
  <c r="J41" i="54"/>
  <c r="L56" i="61"/>
  <c r="W134" i="61" s="1"/>
  <c r="K30" i="54"/>
  <c r="I30" i="50"/>
  <c r="H30" i="50"/>
  <c r="J30" i="54"/>
  <c r="J41" i="50"/>
  <c r="I41" i="50"/>
  <c r="I56" i="49"/>
  <c r="H41" i="50"/>
  <c r="G26" i="51"/>
  <c r="H56" i="49"/>
  <c r="J80" i="54"/>
  <c r="I213" i="61"/>
  <c r="I133" i="54" s="1"/>
  <c r="I80" i="54"/>
  <c r="J27" i="54"/>
  <c r="H80" i="54"/>
  <c r="G27" i="54"/>
  <c r="F80" i="54"/>
  <c r="F91" i="54"/>
  <c r="F77" i="54"/>
  <c r="F83" i="54"/>
  <c r="K54" i="4"/>
  <c r="F94" i="54"/>
  <c r="J8" i="54"/>
  <c r="K4" i="61"/>
  <c r="K7" i="54"/>
  <c r="F61" i="54"/>
  <c r="F62" i="54"/>
  <c r="F60" i="54"/>
  <c r="I26" i="51"/>
  <c r="H26" i="51"/>
  <c r="J56" i="49"/>
  <c r="G100" i="34"/>
  <c r="H154" i="38"/>
  <c r="J62" i="58"/>
  <c r="F68" i="58"/>
  <c r="F70" i="58"/>
  <c r="F164" i="57"/>
  <c r="F69" i="58"/>
  <c r="J65" i="39"/>
  <c r="I70" i="58"/>
  <c r="H70" i="58"/>
  <c r="H72" i="58"/>
  <c r="G72" i="58"/>
  <c r="I61" i="58"/>
  <c r="I154" i="38"/>
  <c r="F16" i="60"/>
  <c r="F18" i="60" s="1"/>
  <c r="F21" i="60" s="1"/>
  <c r="F22" i="60" s="1"/>
  <c r="E134" i="59"/>
  <c r="E21" i="59"/>
  <c r="E32" i="61"/>
  <c r="C97" i="61"/>
  <c r="AE32" i="61"/>
  <c r="C109" i="61"/>
  <c r="D34" i="61"/>
  <c r="D39" i="61" s="1"/>
  <c r="D44" i="61" s="1"/>
  <c r="D70" i="61"/>
  <c r="C167" i="61"/>
  <c r="E22" i="61"/>
  <c r="B34" i="61"/>
  <c r="B39" i="61" s="1"/>
  <c r="B46" i="61" s="1"/>
  <c r="B50" i="61" s="1"/>
  <c r="E101" i="61"/>
  <c r="E171" i="61" s="1"/>
  <c r="D141" i="61"/>
  <c r="D145" i="61" s="1"/>
  <c r="D148" i="61" s="1"/>
  <c r="D204" i="61"/>
  <c r="B167" i="61"/>
  <c r="AE22" i="61"/>
  <c r="E95" i="58"/>
  <c r="F64" i="62"/>
  <c r="G64" i="62" s="1"/>
  <c r="H64" i="62" s="1"/>
  <c r="I64" i="62" s="1"/>
  <c r="J64" i="62" s="1"/>
  <c r="K64" i="62" s="1"/>
  <c r="L64" i="62" s="1"/>
  <c r="M64" i="62" s="1"/>
  <c r="N64" i="62" s="1"/>
  <c r="O64" i="62" s="1"/>
  <c r="P64" i="62" s="1"/>
  <c r="F17" i="61"/>
  <c r="J213" i="61"/>
  <c r="B27" i="63"/>
  <c r="E50" i="63"/>
  <c r="E52" i="63" s="1"/>
  <c r="E55" i="63" s="1"/>
  <c r="E56" i="63" s="1"/>
  <c r="F50" i="63" s="1"/>
  <c r="F52" i="63" s="1"/>
  <c r="F55" i="63" s="1"/>
  <c r="F56" i="63" s="1"/>
  <c r="H88" i="63"/>
  <c r="H100" i="63" s="1"/>
  <c r="D52" i="63"/>
  <c r="D55" i="63" s="1"/>
  <c r="D56" i="63" s="1"/>
  <c r="D93" i="63"/>
  <c r="D95" i="63" s="1"/>
  <c r="J88" i="63"/>
  <c r="J100" i="63" s="1"/>
  <c r="K88" i="63"/>
  <c r="K100" i="63" s="1"/>
  <c r="C59" i="63"/>
  <c r="C61" i="63" s="1"/>
  <c r="C52" i="63"/>
  <c r="C55" i="63" s="1"/>
  <c r="C56" i="63" s="1"/>
  <c r="D100" i="63"/>
  <c r="D89" i="63"/>
  <c r="D90" i="63" s="1"/>
  <c r="L66" i="63"/>
  <c r="N66" i="63"/>
  <c r="E89" i="63"/>
  <c r="E90" i="63" s="1"/>
  <c r="C27" i="63"/>
  <c r="C66" i="63"/>
  <c r="C88" i="63"/>
  <c r="D66" i="63"/>
  <c r="F66" i="63"/>
  <c r="E66" i="63"/>
  <c r="M66" i="63"/>
  <c r="I88" i="63"/>
  <c r="I100" i="63" s="1"/>
  <c r="G66" i="63"/>
  <c r="O66" i="63"/>
  <c r="F107" i="62"/>
  <c r="E111" i="62"/>
  <c r="D120" i="62"/>
  <c r="D65" i="62"/>
  <c r="D67" i="62" s="1"/>
  <c r="F55" i="62"/>
  <c r="G55" i="62" s="1"/>
  <c r="H55" i="62" s="1"/>
  <c r="I55" i="62" s="1"/>
  <c r="J55" i="62" s="1"/>
  <c r="K55" i="62" s="1"/>
  <c r="L55" i="62" s="1"/>
  <c r="M55" i="62" s="1"/>
  <c r="N55" i="62" s="1"/>
  <c r="O55" i="62" s="1"/>
  <c r="P55" i="62" s="1"/>
  <c r="E102" i="62"/>
  <c r="F102" i="62" s="1"/>
  <c r="G102" i="62" s="1"/>
  <c r="H102" i="62" s="1"/>
  <c r="I102" i="62" s="1"/>
  <c r="J102" i="62" s="1"/>
  <c r="K102" i="62" s="1"/>
  <c r="L102" i="62" s="1"/>
  <c r="M102" i="62" s="1"/>
  <c r="N102" i="62" s="1"/>
  <c r="O102" i="62" s="1"/>
  <c r="P102" i="62" s="1"/>
  <c r="D124" i="62"/>
  <c r="D126" i="62" s="1"/>
  <c r="D80" i="62"/>
  <c r="E118" i="62"/>
  <c r="H25" i="62"/>
  <c r="E54" i="62"/>
  <c r="E100" i="62" s="1"/>
  <c r="E12" i="62"/>
  <c r="C37" i="62"/>
  <c r="C44" i="62" s="1"/>
  <c r="D99" i="62"/>
  <c r="D104" i="62" s="1"/>
  <c r="D111" i="62"/>
  <c r="D132" i="62"/>
  <c r="D134" i="62" s="1"/>
  <c r="H31" i="62"/>
  <c r="E126" i="62"/>
  <c r="F123" i="62"/>
  <c r="E74" i="62"/>
  <c r="F71" i="62"/>
  <c r="E117" i="62"/>
  <c r="E103" i="62"/>
  <c r="F103" i="62" s="1"/>
  <c r="G103" i="62" s="1"/>
  <c r="H103" i="62" s="1"/>
  <c r="I103" i="62" s="1"/>
  <c r="J103" i="62" s="1"/>
  <c r="K103" i="62" s="1"/>
  <c r="L103" i="62" s="1"/>
  <c r="M103" i="62" s="1"/>
  <c r="N103" i="62" s="1"/>
  <c r="O103" i="62" s="1"/>
  <c r="P103" i="62" s="1"/>
  <c r="F57" i="62"/>
  <c r="G57" i="62" s="1"/>
  <c r="H57" i="62" s="1"/>
  <c r="I57" i="62" s="1"/>
  <c r="J57" i="62" s="1"/>
  <c r="K57" i="62" s="1"/>
  <c r="L57" i="62" s="1"/>
  <c r="M57" i="62" s="1"/>
  <c r="N57" i="62" s="1"/>
  <c r="O57" i="62" s="1"/>
  <c r="P57" i="62" s="1"/>
  <c r="F77" i="62"/>
  <c r="E65" i="62"/>
  <c r="E80" i="62"/>
  <c r="D74" i="62"/>
  <c r="F79" i="62"/>
  <c r="G79" i="62" s="1"/>
  <c r="H79" i="62" s="1"/>
  <c r="I79" i="62" s="1"/>
  <c r="J79" i="62" s="1"/>
  <c r="K79" i="62" s="1"/>
  <c r="L79" i="62" s="1"/>
  <c r="M79" i="62" s="1"/>
  <c r="N79" i="62" s="1"/>
  <c r="O79" i="62" s="1"/>
  <c r="P79" i="62" s="1"/>
  <c r="E210" i="61"/>
  <c r="E214" i="61" s="1"/>
  <c r="E141" i="61"/>
  <c r="E145" i="61" s="1"/>
  <c r="E67" i="61"/>
  <c r="E70" i="61" s="1"/>
  <c r="G213" i="61"/>
  <c r="G133" i="54" s="1"/>
  <c r="G145" i="61"/>
  <c r="B97" i="61"/>
  <c r="D179" i="61"/>
  <c r="E105" i="61"/>
  <c r="E175" i="61" s="1"/>
  <c r="D157" i="61"/>
  <c r="D167" i="61" s="1"/>
  <c r="D97" i="61"/>
  <c r="F92" i="61"/>
  <c r="F171" i="61"/>
  <c r="F109" i="61"/>
  <c r="J203" i="61"/>
  <c r="E87" i="61"/>
  <c r="J206" i="61"/>
  <c r="J145" i="61"/>
  <c r="F206" i="61"/>
  <c r="H206" i="61"/>
  <c r="H145" i="61"/>
  <c r="L12" i="61"/>
  <c r="W12" i="61" s="1"/>
  <c r="J67" i="61"/>
  <c r="F210" i="61"/>
  <c r="F145" i="61"/>
  <c r="B109" i="61"/>
  <c r="E199" i="61"/>
  <c r="E204" i="61" s="1"/>
  <c r="E135" i="61"/>
  <c r="D109" i="61"/>
  <c r="J208" i="61"/>
  <c r="I145" i="61"/>
  <c r="C179" i="61"/>
  <c r="D214" i="61"/>
  <c r="B179" i="61"/>
  <c r="J211" i="61"/>
  <c r="C59" i="60"/>
  <c r="C61" i="60" s="1"/>
  <c r="C52" i="60"/>
  <c r="C55" i="60" s="1"/>
  <c r="C56" i="60" s="1"/>
  <c r="C27" i="60"/>
  <c r="C66" i="60"/>
  <c r="C88" i="60"/>
  <c r="C100" i="60" s="1"/>
  <c r="D66" i="60"/>
  <c r="F66" i="60"/>
  <c r="D89" i="60"/>
  <c r="D90" i="60" s="1"/>
  <c r="L66" i="60"/>
  <c r="F89" i="60"/>
  <c r="F90" i="60" s="1"/>
  <c r="I88" i="60"/>
  <c r="I100" i="60" s="1"/>
  <c r="D93" i="60"/>
  <c r="D95" i="60" s="1"/>
  <c r="G66" i="60"/>
  <c r="O66" i="60"/>
  <c r="K88" i="60"/>
  <c r="K100" i="60" s="1"/>
  <c r="E28" i="59"/>
  <c r="E71" i="59"/>
  <c r="F25" i="59"/>
  <c r="G25" i="59" s="1"/>
  <c r="H25" i="59" s="1"/>
  <c r="I25" i="59" s="1"/>
  <c r="J25" i="59" s="1"/>
  <c r="K25" i="59" s="1"/>
  <c r="L25" i="59" s="1"/>
  <c r="M25" i="59" s="1"/>
  <c r="N25" i="59" s="1"/>
  <c r="O25" i="59" s="1"/>
  <c r="P25" i="59" s="1"/>
  <c r="P28" i="59" s="1"/>
  <c r="E101" i="59"/>
  <c r="F101" i="59" s="1"/>
  <c r="G101" i="59" s="1"/>
  <c r="H101" i="59" s="1"/>
  <c r="I101" i="59" s="1"/>
  <c r="J101" i="59" s="1"/>
  <c r="K101" i="59" s="1"/>
  <c r="L101" i="59" s="1"/>
  <c r="M101" i="59" s="1"/>
  <c r="N101" i="59" s="1"/>
  <c r="O101" i="59" s="1"/>
  <c r="P101" i="59" s="1"/>
  <c r="F55" i="59"/>
  <c r="G55" i="59" s="1"/>
  <c r="H55" i="59" s="1"/>
  <c r="I55" i="59" s="1"/>
  <c r="J55" i="59" s="1"/>
  <c r="K55" i="59" s="1"/>
  <c r="L55" i="59" s="1"/>
  <c r="M55" i="59" s="1"/>
  <c r="N55" i="59" s="1"/>
  <c r="O55" i="59" s="1"/>
  <c r="P55" i="59" s="1"/>
  <c r="E58" i="59"/>
  <c r="E99" i="59"/>
  <c r="E124" i="59"/>
  <c r="E126" i="59" s="1"/>
  <c r="D123" i="59"/>
  <c r="D126" i="59" s="1"/>
  <c r="D80" i="59"/>
  <c r="D82" i="59" s="1"/>
  <c r="E34" i="59"/>
  <c r="F73" i="59"/>
  <c r="G73" i="59" s="1"/>
  <c r="H73" i="59" s="1"/>
  <c r="I73" i="59" s="1"/>
  <c r="J73" i="59" s="1"/>
  <c r="K73" i="59" s="1"/>
  <c r="L73" i="59" s="1"/>
  <c r="M73" i="59" s="1"/>
  <c r="N73" i="59" s="1"/>
  <c r="O73" i="59" s="1"/>
  <c r="P73" i="59" s="1"/>
  <c r="E119" i="59"/>
  <c r="F119" i="59" s="1"/>
  <c r="G119" i="59" s="1"/>
  <c r="H119" i="59" s="1"/>
  <c r="I119" i="59" s="1"/>
  <c r="J119" i="59" s="1"/>
  <c r="K119" i="59" s="1"/>
  <c r="L119" i="59" s="1"/>
  <c r="M119" i="59" s="1"/>
  <c r="N119" i="59" s="1"/>
  <c r="O119" i="59" s="1"/>
  <c r="P119" i="59" s="1"/>
  <c r="F27" i="59"/>
  <c r="G27" i="59" s="1"/>
  <c r="H27" i="59" s="1"/>
  <c r="I27" i="59" s="1"/>
  <c r="J27" i="59" s="1"/>
  <c r="K27" i="59" s="1"/>
  <c r="L27" i="59" s="1"/>
  <c r="M27" i="59" s="1"/>
  <c r="N27" i="59" s="1"/>
  <c r="O27" i="59" s="1"/>
  <c r="P27" i="59" s="1"/>
  <c r="D37" i="59"/>
  <c r="D44" i="59" s="1"/>
  <c r="E88" i="59"/>
  <c r="E107" i="59"/>
  <c r="E111" i="59" s="1"/>
  <c r="E65" i="59"/>
  <c r="H8" i="59"/>
  <c r="E102" i="59"/>
  <c r="F102" i="59" s="1"/>
  <c r="G102" i="59" s="1"/>
  <c r="H102" i="59" s="1"/>
  <c r="I102" i="59" s="1"/>
  <c r="J102" i="59" s="1"/>
  <c r="K102" i="59" s="1"/>
  <c r="L102" i="59" s="1"/>
  <c r="M102" i="59" s="1"/>
  <c r="N102" i="59" s="1"/>
  <c r="O102" i="59" s="1"/>
  <c r="P102" i="59" s="1"/>
  <c r="E72" i="59"/>
  <c r="E118" i="59" s="1"/>
  <c r="C83" i="59"/>
  <c r="C90" i="59" s="1"/>
  <c r="E80" i="59"/>
  <c r="C129" i="59"/>
  <c r="C136" i="59" s="1"/>
  <c r="F123" i="59"/>
  <c r="B113" i="59"/>
  <c r="B129" i="59" s="1"/>
  <c r="B136" i="59" s="1"/>
  <c r="D111" i="59"/>
  <c r="D113" i="59" s="1"/>
  <c r="E100" i="59"/>
  <c r="F54" i="59"/>
  <c r="F77" i="59"/>
  <c r="C36" i="59"/>
  <c r="C37" i="59" s="1"/>
  <c r="C44" i="59" s="1"/>
  <c r="D120" i="59"/>
  <c r="B82" i="59"/>
  <c r="B83" i="59" s="1"/>
  <c r="B90" i="59" s="1"/>
  <c r="B105" i="58"/>
  <c r="C99" i="58"/>
  <c r="E34" i="58"/>
  <c r="E77" i="58"/>
  <c r="D73" i="58"/>
  <c r="C152" i="58"/>
  <c r="B158" i="58"/>
  <c r="E156" i="58"/>
  <c r="E42" i="58"/>
  <c r="E144" i="58"/>
  <c r="C114" i="58"/>
  <c r="C126" i="58" s="1"/>
  <c r="C73" i="58"/>
  <c r="C97" i="58" s="1"/>
  <c r="D126" i="58"/>
  <c r="D150" i="58" s="1"/>
  <c r="D154" i="58" s="1"/>
  <c r="D158" i="58" s="1"/>
  <c r="C46" i="58"/>
  <c r="C48" i="58" s="1"/>
  <c r="C52" i="58" s="1"/>
  <c r="C136" i="58"/>
  <c r="C156" i="58" s="1"/>
  <c r="D87" i="58"/>
  <c r="E147" i="58"/>
  <c r="C208" i="57"/>
  <c r="P203" i="57"/>
  <c r="P133" i="58" s="1"/>
  <c r="O203" i="57"/>
  <c r="O133" i="58" s="1"/>
  <c r="N203" i="57"/>
  <c r="N133" i="58" s="1"/>
  <c r="M203" i="57"/>
  <c r="M133" i="58" s="1"/>
  <c r="L203" i="57"/>
  <c r="L133" i="58" s="1"/>
  <c r="K203" i="57"/>
  <c r="K133" i="58" s="1"/>
  <c r="J203" i="57"/>
  <c r="J133" i="58" s="1"/>
  <c r="I203" i="57"/>
  <c r="I133" i="58" s="1"/>
  <c r="H203" i="57"/>
  <c r="H133" i="58" s="1"/>
  <c r="G203" i="57"/>
  <c r="G133" i="58" s="1"/>
  <c r="D203" i="57"/>
  <c r="P202" i="57"/>
  <c r="P144" i="58" s="1"/>
  <c r="O202" i="57"/>
  <c r="O144" i="58" s="1"/>
  <c r="N202" i="57"/>
  <c r="N144" i="58" s="1"/>
  <c r="M202" i="57"/>
  <c r="M144" i="58" s="1"/>
  <c r="L202" i="57"/>
  <c r="L144" i="58" s="1"/>
  <c r="K202" i="57"/>
  <c r="K144" i="58" s="1"/>
  <c r="D202" i="57"/>
  <c r="D201" i="57"/>
  <c r="P199" i="57"/>
  <c r="O199" i="57"/>
  <c r="N199" i="57"/>
  <c r="M199" i="57"/>
  <c r="L199" i="57"/>
  <c r="K199" i="57"/>
  <c r="J199" i="57"/>
  <c r="I199" i="57"/>
  <c r="H199" i="57"/>
  <c r="G199" i="57"/>
  <c r="D199" i="57"/>
  <c r="P198" i="57"/>
  <c r="O198" i="57"/>
  <c r="N198" i="57"/>
  <c r="M198" i="57"/>
  <c r="L198" i="57"/>
  <c r="K198" i="57"/>
  <c r="D198" i="57"/>
  <c r="D197" i="57"/>
  <c r="D196" i="57"/>
  <c r="D193" i="57"/>
  <c r="D192" i="57"/>
  <c r="D191" i="57"/>
  <c r="J190" i="57"/>
  <c r="I190" i="57"/>
  <c r="H190" i="57"/>
  <c r="G190" i="57"/>
  <c r="F190" i="57"/>
  <c r="E190" i="57"/>
  <c r="D190" i="57"/>
  <c r="D189" i="57"/>
  <c r="D185" i="57"/>
  <c r="C168" i="57"/>
  <c r="B168" i="57"/>
  <c r="Q167" i="57"/>
  <c r="J167" i="57"/>
  <c r="I167" i="57"/>
  <c r="H167" i="57"/>
  <c r="G167" i="57"/>
  <c r="Q166" i="57"/>
  <c r="J166" i="57"/>
  <c r="I166" i="57"/>
  <c r="H166" i="57"/>
  <c r="G166" i="57"/>
  <c r="C165" i="57"/>
  <c r="C200" i="57" s="1"/>
  <c r="B165" i="57"/>
  <c r="B200" i="57" s="1"/>
  <c r="C163" i="57"/>
  <c r="B163" i="57"/>
  <c r="D161" i="57"/>
  <c r="C161" i="57"/>
  <c r="B161" i="57"/>
  <c r="C156" i="57"/>
  <c r="B156" i="57"/>
  <c r="P155" i="57"/>
  <c r="O155" i="57"/>
  <c r="N155" i="57"/>
  <c r="M155" i="57"/>
  <c r="L155" i="57"/>
  <c r="K155" i="57"/>
  <c r="J155" i="57"/>
  <c r="I155" i="57"/>
  <c r="H155" i="57"/>
  <c r="G155" i="57"/>
  <c r="F155" i="57"/>
  <c r="E155" i="57"/>
  <c r="D155" i="57"/>
  <c r="C153" i="57"/>
  <c r="B153" i="57"/>
  <c r="C152" i="57"/>
  <c r="B152" i="57"/>
  <c r="C151" i="57"/>
  <c r="B151" i="57"/>
  <c r="C150" i="57"/>
  <c r="B150" i="57"/>
  <c r="C149" i="57"/>
  <c r="B149" i="57"/>
  <c r="C148" i="57"/>
  <c r="B148" i="57"/>
  <c r="C140" i="57"/>
  <c r="E135" i="57"/>
  <c r="E203" i="57" s="1"/>
  <c r="E134" i="57"/>
  <c r="E202" i="57" s="1"/>
  <c r="E133" i="57"/>
  <c r="E201" i="57" s="1"/>
  <c r="E131" i="57"/>
  <c r="E199" i="57" s="1"/>
  <c r="E130" i="57"/>
  <c r="E198" i="57" s="1"/>
  <c r="E129" i="57"/>
  <c r="E128" i="57"/>
  <c r="E196" i="57" s="1"/>
  <c r="D126" i="57"/>
  <c r="E125" i="57"/>
  <c r="E193" i="57" s="1"/>
  <c r="E124" i="57"/>
  <c r="E192" i="57" s="1"/>
  <c r="I191" i="57"/>
  <c r="H191" i="57"/>
  <c r="G191" i="57"/>
  <c r="F123" i="57"/>
  <c r="F191" i="57" s="1"/>
  <c r="E123" i="57"/>
  <c r="E191" i="57" s="1"/>
  <c r="E121" i="57"/>
  <c r="E189" i="57" s="1"/>
  <c r="J168" i="57"/>
  <c r="I168" i="57"/>
  <c r="H168" i="57"/>
  <c r="G168" i="57"/>
  <c r="F168" i="57"/>
  <c r="D100" i="57"/>
  <c r="D168" i="57" s="1"/>
  <c r="C100" i="57"/>
  <c r="B100" i="57"/>
  <c r="P99" i="57"/>
  <c r="P167" i="57" s="1"/>
  <c r="O99" i="57"/>
  <c r="O167" i="57" s="1"/>
  <c r="N99" i="57"/>
  <c r="N167" i="57" s="1"/>
  <c r="M99" i="57"/>
  <c r="M167" i="57" s="1"/>
  <c r="L99" i="57"/>
  <c r="L167" i="57" s="1"/>
  <c r="K99" i="57"/>
  <c r="K167" i="57" s="1"/>
  <c r="F99" i="57"/>
  <c r="E99" i="57"/>
  <c r="E167" i="57" s="1"/>
  <c r="D99" i="57"/>
  <c r="D167" i="57" s="1"/>
  <c r="A99" i="57"/>
  <c r="A167" i="57" s="1"/>
  <c r="P98" i="57"/>
  <c r="P166" i="57" s="1"/>
  <c r="O98" i="57"/>
  <c r="O166" i="57" s="1"/>
  <c r="N98" i="57"/>
  <c r="N166" i="57" s="1"/>
  <c r="M98" i="57"/>
  <c r="M166" i="57" s="1"/>
  <c r="L98" i="57"/>
  <c r="L166" i="57" s="1"/>
  <c r="K98" i="57"/>
  <c r="K166" i="57" s="1"/>
  <c r="F98" i="57"/>
  <c r="D98" i="57"/>
  <c r="D166" i="57" s="1"/>
  <c r="A98" i="57"/>
  <c r="A166" i="57" s="1"/>
  <c r="H165" i="57"/>
  <c r="G200" i="57"/>
  <c r="F165" i="57"/>
  <c r="D97" i="57"/>
  <c r="D132" i="57" s="1"/>
  <c r="C97" i="57"/>
  <c r="C132" i="57" s="1"/>
  <c r="B97" i="57"/>
  <c r="A97" i="57"/>
  <c r="J163" i="57"/>
  <c r="I163" i="57"/>
  <c r="H163" i="57"/>
  <c r="G163" i="57"/>
  <c r="D95" i="57"/>
  <c r="D163" i="57" s="1"/>
  <c r="C95" i="57"/>
  <c r="B95" i="57"/>
  <c r="A95" i="57"/>
  <c r="J162" i="57"/>
  <c r="I162" i="57"/>
  <c r="H162" i="57"/>
  <c r="G162" i="57"/>
  <c r="F162" i="57"/>
  <c r="D94" i="57"/>
  <c r="D162" i="57" s="1"/>
  <c r="A94" i="57"/>
  <c r="I161" i="57"/>
  <c r="D93" i="57"/>
  <c r="C93" i="57"/>
  <c r="B93" i="57"/>
  <c r="A93" i="57"/>
  <c r="P89" i="57"/>
  <c r="P157" i="57" s="1"/>
  <c r="O89" i="57"/>
  <c r="O157" i="57" s="1"/>
  <c r="N89" i="57"/>
  <c r="N157" i="57" s="1"/>
  <c r="M89" i="57"/>
  <c r="M157" i="57" s="1"/>
  <c r="L89" i="57"/>
  <c r="L157" i="57" s="1"/>
  <c r="K89" i="57"/>
  <c r="K157" i="57" s="1"/>
  <c r="J157" i="57"/>
  <c r="I157" i="57"/>
  <c r="H89" i="57"/>
  <c r="H157" i="57" s="1"/>
  <c r="G89" i="57"/>
  <c r="G157" i="57" s="1"/>
  <c r="F89" i="57"/>
  <c r="F157" i="57" s="1"/>
  <c r="E89" i="57"/>
  <c r="E157" i="57" s="1"/>
  <c r="D89" i="57"/>
  <c r="D157" i="57" s="1"/>
  <c r="P88" i="57"/>
  <c r="P156" i="57" s="1"/>
  <c r="O88" i="57"/>
  <c r="O156" i="57" s="1"/>
  <c r="N88" i="57"/>
  <c r="N156" i="57" s="1"/>
  <c r="M88" i="57"/>
  <c r="M156" i="57" s="1"/>
  <c r="L88" i="57"/>
  <c r="L156" i="57" s="1"/>
  <c r="K88" i="57"/>
  <c r="K156" i="57" s="1"/>
  <c r="J156" i="57"/>
  <c r="I156" i="57"/>
  <c r="H88" i="57"/>
  <c r="H156" i="57" s="1"/>
  <c r="G88" i="57"/>
  <c r="G156" i="57" s="1"/>
  <c r="F88" i="57"/>
  <c r="F156" i="57" s="1"/>
  <c r="E88" i="57"/>
  <c r="E156" i="57" s="1"/>
  <c r="D88" i="57"/>
  <c r="D156" i="57" s="1"/>
  <c r="C88" i="57"/>
  <c r="B88" i="57"/>
  <c r="D85" i="57"/>
  <c r="D153" i="57" s="1"/>
  <c r="C85" i="57"/>
  <c r="B85" i="57"/>
  <c r="J152" i="57"/>
  <c r="I152" i="57"/>
  <c r="H152" i="57"/>
  <c r="G152" i="57"/>
  <c r="F152" i="57"/>
  <c r="D84" i="57"/>
  <c r="D152" i="57" s="1"/>
  <c r="C84" i="57"/>
  <c r="B84" i="57"/>
  <c r="J151" i="57"/>
  <c r="I151" i="57"/>
  <c r="H151" i="57"/>
  <c r="G151" i="57"/>
  <c r="F83" i="57"/>
  <c r="D83" i="57"/>
  <c r="D151" i="57" s="1"/>
  <c r="C83" i="57"/>
  <c r="B83" i="57"/>
  <c r="J150" i="57"/>
  <c r="I150" i="57"/>
  <c r="H150" i="57"/>
  <c r="G150" i="57"/>
  <c r="F150" i="57"/>
  <c r="D82" i="57"/>
  <c r="D150" i="57" s="1"/>
  <c r="C82" i="57"/>
  <c r="B82" i="57"/>
  <c r="I149" i="57"/>
  <c r="H149" i="57"/>
  <c r="G149" i="57"/>
  <c r="F149" i="57"/>
  <c r="D81" i="57"/>
  <c r="D149" i="57" s="1"/>
  <c r="C81" i="57"/>
  <c r="B81" i="57"/>
  <c r="J148" i="57"/>
  <c r="I148" i="57"/>
  <c r="G148" i="57"/>
  <c r="F148" i="57"/>
  <c r="D80" i="57"/>
  <c r="D148" i="57" s="1"/>
  <c r="C80" i="57"/>
  <c r="B80" i="57"/>
  <c r="C70" i="57"/>
  <c r="P27" i="58"/>
  <c r="O27" i="58"/>
  <c r="N27" i="58"/>
  <c r="M27" i="58"/>
  <c r="L27" i="58"/>
  <c r="K27" i="58"/>
  <c r="J27" i="58"/>
  <c r="I27" i="58"/>
  <c r="H27" i="58"/>
  <c r="G27" i="58"/>
  <c r="J24" i="58"/>
  <c r="F200" i="57"/>
  <c r="E62" i="57"/>
  <c r="E132" i="57" s="1"/>
  <c r="E200" i="57" s="1"/>
  <c r="D62" i="57"/>
  <c r="D66" i="57" s="1"/>
  <c r="C62" i="57"/>
  <c r="B62" i="57"/>
  <c r="F131" i="57"/>
  <c r="F199" i="57" s="1"/>
  <c r="J198" i="57"/>
  <c r="I198" i="57"/>
  <c r="H198" i="57"/>
  <c r="G198" i="57"/>
  <c r="F197" i="57"/>
  <c r="G196" i="57"/>
  <c r="E56" i="57"/>
  <c r="D56" i="57"/>
  <c r="G30" i="58"/>
  <c r="I32" i="58"/>
  <c r="H32" i="58"/>
  <c r="F31" i="57"/>
  <c r="D31" i="57"/>
  <c r="C31" i="57"/>
  <c r="B31" i="57"/>
  <c r="AE30" i="57"/>
  <c r="K30" i="57"/>
  <c r="E100" i="57"/>
  <c r="E168" i="57" s="1"/>
  <c r="E28" i="57"/>
  <c r="E98" i="57" s="1"/>
  <c r="E166" i="57" s="1"/>
  <c r="AE27" i="57"/>
  <c r="K27" i="57"/>
  <c r="L27" i="57" s="1"/>
  <c r="E97" i="57"/>
  <c r="E165" i="57" s="1"/>
  <c r="AE25" i="57"/>
  <c r="K25" i="57"/>
  <c r="K73" i="57"/>
  <c r="L73" i="57" s="1"/>
  <c r="M73" i="57" s="1"/>
  <c r="N73" i="57" s="1"/>
  <c r="O73" i="57" s="1"/>
  <c r="P73" i="57" s="1"/>
  <c r="I31" i="57"/>
  <c r="H31" i="57"/>
  <c r="G31" i="57"/>
  <c r="F163" i="57"/>
  <c r="E95" i="57"/>
  <c r="E163" i="57" s="1"/>
  <c r="E94" i="57"/>
  <c r="E162" i="57" s="1"/>
  <c r="AE23" i="57"/>
  <c r="K23" i="57"/>
  <c r="E93" i="57"/>
  <c r="D21" i="57"/>
  <c r="C21" i="57"/>
  <c r="C33" i="57" s="1"/>
  <c r="C38" i="57" s="1"/>
  <c r="B21" i="57"/>
  <c r="AE19" i="57"/>
  <c r="AE16" i="57"/>
  <c r="E85" i="57"/>
  <c r="E153" i="57" s="1"/>
  <c r="AE15" i="57"/>
  <c r="K15" i="57"/>
  <c r="L15" i="57" s="1"/>
  <c r="M15" i="57" s="1"/>
  <c r="N15" i="57" s="1"/>
  <c r="O15" i="57" s="1"/>
  <c r="P15" i="57" s="1"/>
  <c r="E84" i="57"/>
  <c r="E152" i="57" s="1"/>
  <c r="AE14" i="57"/>
  <c r="L14" i="57"/>
  <c r="E83" i="57"/>
  <c r="E151" i="57" s="1"/>
  <c r="AE13" i="57"/>
  <c r="E82" i="57"/>
  <c r="E150" i="57" s="1"/>
  <c r="AE12" i="57"/>
  <c r="E81" i="57"/>
  <c r="E149" i="57" s="1"/>
  <c r="AE11" i="57"/>
  <c r="K11" i="57"/>
  <c r="E80" i="57"/>
  <c r="AE9" i="57"/>
  <c r="J4" i="57"/>
  <c r="I4" i="57"/>
  <c r="H4" i="57"/>
  <c r="G4" i="57"/>
  <c r="C148" i="54"/>
  <c r="B148" i="54"/>
  <c r="E147" i="54"/>
  <c r="E148" i="54" s="1"/>
  <c r="D147" i="54"/>
  <c r="D148" i="54" s="1"/>
  <c r="E144" i="54"/>
  <c r="D144" i="54"/>
  <c r="B140" i="54"/>
  <c r="N139" i="54"/>
  <c r="F139" i="54"/>
  <c r="E139" i="54"/>
  <c r="C138" i="54"/>
  <c r="E132" i="54"/>
  <c r="G131" i="54"/>
  <c r="F131" i="54"/>
  <c r="E130" i="54"/>
  <c r="D130" i="54"/>
  <c r="B126" i="54"/>
  <c r="D118" i="54"/>
  <c r="C118" i="54"/>
  <c r="M108" i="54"/>
  <c r="L108" i="54"/>
  <c r="D99" i="54"/>
  <c r="D152" i="54" s="1"/>
  <c r="C95" i="54"/>
  <c r="B95" i="54"/>
  <c r="E94" i="54"/>
  <c r="D94" i="54"/>
  <c r="E91" i="54"/>
  <c r="D91" i="54"/>
  <c r="D95" i="54" s="1"/>
  <c r="B87" i="54"/>
  <c r="B97" i="54" s="1"/>
  <c r="B101" i="54" s="1"/>
  <c r="O86" i="54"/>
  <c r="O139" i="54" s="1"/>
  <c r="N86" i="54"/>
  <c r="M86" i="54"/>
  <c r="M139" i="54" s="1"/>
  <c r="L86" i="54"/>
  <c r="L139" i="54" s="1"/>
  <c r="K86" i="54"/>
  <c r="K139" i="54" s="1"/>
  <c r="J86" i="54"/>
  <c r="J139" i="54" s="1"/>
  <c r="I86" i="54"/>
  <c r="I139" i="54" s="1"/>
  <c r="H86" i="54"/>
  <c r="H139" i="54" s="1"/>
  <c r="G86" i="54"/>
  <c r="G139" i="54" s="1"/>
  <c r="F86" i="54"/>
  <c r="E86" i="54"/>
  <c r="D86" i="54"/>
  <c r="D139" i="54" s="1"/>
  <c r="C86" i="54"/>
  <c r="C139" i="54" s="1"/>
  <c r="E85" i="54"/>
  <c r="E138" i="54" s="1"/>
  <c r="D85" i="54"/>
  <c r="D138" i="54" s="1"/>
  <c r="C85" i="54"/>
  <c r="E84" i="54"/>
  <c r="E137" i="54" s="1"/>
  <c r="D84" i="54"/>
  <c r="D137" i="54" s="1"/>
  <c r="A84" i="54"/>
  <c r="A137" i="54" s="1"/>
  <c r="E83" i="54"/>
  <c r="E136" i="54" s="1"/>
  <c r="D83" i="54"/>
  <c r="D136" i="54" s="1"/>
  <c r="C83" i="54"/>
  <c r="E80" i="54"/>
  <c r="E133" i="54" s="1"/>
  <c r="D80" i="54"/>
  <c r="D133" i="54" s="1"/>
  <c r="C80" i="54"/>
  <c r="C133" i="54" s="1"/>
  <c r="E79" i="54"/>
  <c r="D79" i="54"/>
  <c r="D132" i="54" s="1"/>
  <c r="C79" i="54"/>
  <c r="C132" i="54" s="1"/>
  <c r="P78" i="54"/>
  <c r="P131" i="54" s="1"/>
  <c r="O78" i="54"/>
  <c r="O131" i="54" s="1"/>
  <c r="N78" i="54"/>
  <c r="N131" i="54" s="1"/>
  <c r="M78" i="54"/>
  <c r="M131" i="54" s="1"/>
  <c r="L78" i="54"/>
  <c r="L131" i="54" s="1"/>
  <c r="K78" i="54"/>
  <c r="K131" i="54" s="1"/>
  <c r="J78" i="54"/>
  <c r="J131" i="54" s="1"/>
  <c r="I78" i="54"/>
  <c r="I131" i="54" s="1"/>
  <c r="H78" i="54"/>
  <c r="H131" i="54" s="1"/>
  <c r="G78" i="54"/>
  <c r="E78" i="54"/>
  <c r="D78" i="54"/>
  <c r="D87" i="54" s="1"/>
  <c r="A78" i="54"/>
  <c r="A131" i="54" s="1"/>
  <c r="E77" i="54"/>
  <c r="D77" i="54"/>
  <c r="C77" i="54"/>
  <c r="B73" i="54"/>
  <c r="E72" i="54"/>
  <c r="E125" i="54" s="1"/>
  <c r="D72" i="54"/>
  <c r="D125" i="54" s="1"/>
  <c r="C72" i="54"/>
  <c r="C125" i="54" s="1"/>
  <c r="E71" i="54"/>
  <c r="E124" i="54" s="1"/>
  <c r="D71" i="54"/>
  <c r="D124" i="54" s="1"/>
  <c r="C71" i="54"/>
  <c r="C124" i="54" s="1"/>
  <c r="E70" i="54"/>
  <c r="E123" i="54" s="1"/>
  <c r="D70" i="54"/>
  <c r="D123" i="54" s="1"/>
  <c r="E69" i="54"/>
  <c r="E122" i="54" s="1"/>
  <c r="D69" i="54"/>
  <c r="D122" i="54" s="1"/>
  <c r="C69" i="54"/>
  <c r="C122" i="54" s="1"/>
  <c r="E68" i="54"/>
  <c r="E121" i="54" s="1"/>
  <c r="D68" i="54"/>
  <c r="D121" i="54" s="1"/>
  <c r="C68" i="54"/>
  <c r="C121" i="54" s="1"/>
  <c r="E65" i="54"/>
  <c r="E118" i="54" s="1"/>
  <c r="D65" i="54"/>
  <c r="C65" i="54"/>
  <c r="E64" i="54"/>
  <c r="E117" i="54" s="1"/>
  <c r="D64" i="54"/>
  <c r="D117" i="54" s="1"/>
  <c r="C64" i="54"/>
  <c r="C117" i="54" s="1"/>
  <c r="E63" i="54"/>
  <c r="E116" i="54" s="1"/>
  <c r="D63" i="54"/>
  <c r="D116" i="54" s="1"/>
  <c r="C63" i="54"/>
  <c r="C116" i="54" s="1"/>
  <c r="E62" i="54"/>
  <c r="E115" i="54" s="1"/>
  <c r="D62" i="54"/>
  <c r="D115" i="54" s="1"/>
  <c r="C62" i="54"/>
  <c r="C115" i="54" s="1"/>
  <c r="E61" i="54"/>
  <c r="E114" i="54" s="1"/>
  <c r="D61" i="54"/>
  <c r="D114" i="54" s="1"/>
  <c r="C61" i="54"/>
  <c r="C114" i="54" s="1"/>
  <c r="E60" i="54"/>
  <c r="D60" i="54"/>
  <c r="C60" i="54"/>
  <c r="C113" i="54" s="1"/>
  <c r="P55" i="54"/>
  <c r="P108" i="54" s="1"/>
  <c r="O55" i="54"/>
  <c r="O108" i="54" s="1"/>
  <c r="N55" i="54"/>
  <c r="N108" i="54" s="1"/>
  <c r="M55" i="54"/>
  <c r="L55" i="54"/>
  <c r="K55" i="54"/>
  <c r="K108" i="54" s="1"/>
  <c r="J55" i="54"/>
  <c r="J108" i="54" s="1"/>
  <c r="I55" i="54"/>
  <c r="I108" i="54" s="1"/>
  <c r="H55" i="54"/>
  <c r="H108" i="54" s="1"/>
  <c r="G55" i="54"/>
  <c r="G108" i="54" s="1"/>
  <c r="F55" i="54"/>
  <c r="F108" i="54" s="1"/>
  <c r="E55" i="54"/>
  <c r="E108" i="54" s="1"/>
  <c r="D55" i="54"/>
  <c r="D108" i="54" s="1"/>
  <c r="D50" i="54"/>
  <c r="D103" i="54" s="1"/>
  <c r="D156" i="54" s="1"/>
  <c r="C50" i="54"/>
  <c r="E42" i="54"/>
  <c r="D42" i="54"/>
  <c r="C42" i="54"/>
  <c r="B42" i="54"/>
  <c r="E34" i="54"/>
  <c r="D34" i="54"/>
  <c r="C34" i="54"/>
  <c r="B34" i="54"/>
  <c r="P33" i="54"/>
  <c r="P86" i="54" s="1"/>
  <c r="P139" i="54" s="1"/>
  <c r="E20" i="54"/>
  <c r="E44" i="54" s="1"/>
  <c r="D20" i="54"/>
  <c r="C20" i="54"/>
  <c r="C44" i="54" s="1"/>
  <c r="B20" i="54"/>
  <c r="B44" i="54" s="1"/>
  <c r="B48" i="54" s="1"/>
  <c r="B100" i="52"/>
  <c r="P94" i="52"/>
  <c r="O94" i="52"/>
  <c r="N94" i="52"/>
  <c r="M94" i="52"/>
  <c r="L94" i="52"/>
  <c r="K94" i="52"/>
  <c r="J94" i="52"/>
  <c r="I94" i="52"/>
  <c r="H94" i="52"/>
  <c r="G94" i="52"/>
  <c r="F94" i="52"/>
  <c r="E94" i="52"/>
  <c r="D94" i="52"/>
  <c r="C94" i="52"/>
  <c r="B94" i="52"/>
  <c r="B93" i="52"/>
  <c r="J88" i="52"/>
  <c r="J100" i="52" s="1"/>
  <c r="B86" i="52"/>
  <c r="B89" i="52" s="1"/>
  <c r="B90" i="52" s="1"/>
  <c r="C84" i="52" s="1"/>
  <c r="C86" i="52" s="1"/>
  <c r="E84" i="52"/>
  <c r="E86" i="52" s="1"/>
  <c r="E89" i="52" s="1"/>
  <c r="E90" i="52" s="1"/>
  <c r="D84" i="52"/>
  <c r="D86" i="52" s="1"/>
  <c r="B76" i="52"/>
  <c r="D74" i="52"/>
  <c r="D76" i="52" s="1"/>
  <c r="G66" i="52"/>
  <c r="B66" i="52"/>
  <c r="P60" i="52"/>
  <c r="O60" i="52"/>
  <c r="N60" i="52"/>
  <c r="M60" i="52"/>
  <c r="L60" i="52"/>
  <c r="K60" i="52"/>
  <c r="J60" i="52"/>
  <c r="I60" i="52"/>
  <c r="H60" i="52"/>
  <c r="G60" i="52"/>
  <c r="F60" i="52"/>
  <c r="E60" i="52"/>
  <c r="D60" i="52"/>
  <c r="C60" i="52"/>
  <c r="B60" i="52"/>
  <c r="B59" i="52"/>
  <c r="P54" i="52"/>
  <c r="P66" i="52" s="1"/>
  <c r="O54" i="52"/>
  <c r="O88" i="52" s="1"/>
  <c r="O100" i="52" s="1"/>
  <c r="N54" i="52"/>
  <c r="N88" i="52" s="1"/>
  <c r="N100" i="52" s="1"/>
  <c r="M54" i="52"/>
  <c r="M88" i="52" s="1"/>
  <c r="M100" i="52" s="1"/>
  <c r="L54" i="52"/>
  <c r="L88" i="52" s="1"/>
  <c r="L100" i="52" s="1"/>
  <c r="K54" i="52"/>
  <c r="K66" i="52" s="1"/>
  <c r="J54" i="52"/>
  <c r="J66" i="52" s="1"/>
  <c r="I54" i="52"/>
  <c r="I66" i="52" s="1"/>
  <c r="H54" i="52"/>
  <c r="H66" i="52" s="1"/>
  <c r="G54" i="52"/>
  <c r="G88" i="52" s="1"/>
  <c r="G100" i="52" s="1"/>
  <c r="F54" i="52"/>
  <c r="F88" i="52" s="1"/>
  <c r="F100" i="52" s="1"/>
  <c r="E54" i="52"/>
  <c r="E88" i="52" s="1"/>
  <c r="E100" i="52" s="1"/>
  <c r="D54" i="52"/>
  <c r="D88" i="52" s="1"/>
  <c r="D100" i="52" s="1"/>
  <c r="E52" i="52"/>
  <c r="E55" i="52" s="1"/>
  <c r="E56" i="52" s="1"/>
  <c r="B52" i="52"/>
  <c r="B55" i="52" s="1"/>
  <c r="B56" i="52" s="1"/>
  <c r="C50" i="52" s="1"/>
  <c r="E50" i="52"/>
  <c r="D50" i="52"/>
  <c r="D59" i="52" s="1"/>
  <c r="D61" i="52" s="1"/>
  <c r="D42" i="52"/>
  <c r="C42" i="52"/>
  <c r="B42" i="52"/>
  <c r="P32" i="52"/>
  <c r="O32" i="52"/>
  <c r="N32" i="52"/>
  <c r="M32" i="52"/>
  <c r="L32" i="52"/>
  <c r="K32" i="52"/>
  <c r="J32" i="52"/>
  <c r="I32" i="52"/>
  <c r="H32" i="52"/>
  <c r="G32" i="52"/>
  <c r="F32" i="52"/>
  <c r="E32" i="52"/>
  <c r="D32" i="52"/>
  <c r="C32" i="52"/>
  <c r="C54" i="52" s="1"/>
  <c r="C66" i="52" s="1"/>
  <c r="B32" i="52"/>
  <c r="P26" i="52"/>
  <c r="O26" i="52"/>
  <c r="N26" i="52"/>
  <c r="M26" i="52"/>
  <c r="L26" i="52"/>
  <c r="K26" i="52"/>
  <c r="J26" i="52"/>
  <c r="I26" i="52"/>
  <c r="H26" i="52"/>
  <c r="G26" i="52"/>
  <c r="F26" i="52"/>
  <c r="E26" i="52"/>
  <c r="D26" i="52"/>
  <c r="C26" i="52"/>
  <c r="B26" i="52"/>
  <c r="D25" i="52"/>
  <c r="D27" i="52" s="1"/>
  <c r="C25" i="52"/>
  <c r="C27" i="52" s="1"/>
  <c r="B25" i="52"/>
  <c r="C21" i="52"/>
  <c r="C22" i="52" s="1"/>
  <c r="E18" i="52"/>
  <c r="E21" i="52" s="1"/>
  <c r="E22" i="52" s="1"/>
  <c r="F16" i="52" s="1"/>
  <c r="F18" i="52" s="1"/>
  <c r="F21" i="52" s="1"/>
  <c r="F22" i="52" s="1"/>
  <c r="D18" i="52"/>
  <c r="D21" i="52" s="1"/>
  <c r="D22" i="52" s="1"/>
  <c r="C18" i="52"/>
  <c r="B18" i="52"/>
  <c r="B21" i="52" s="1"/>
  <c r="B22" i="52" s="1"/>
  <c r="D8" i="52"/>
  <c r="C8" i="52"/>
  <c r="B8" i="52"/>
  <c r="C134" i="51"/>
  <c r="B134" i="51"/>
  <c r="C126" i="51"/>
  <c r="B126" i="51"/>
  <c r="C120" i="51"/>
  <c r="C128" i="51" s="1"/>
  <c r="B120" i="51"/>
  <c r="B128" i="51" s="1"/>
  <c r="C111" i="51"/>
  <c r="B111" i="51"/>
  <c r="B113" i="51" s="1"/>
  <c r="B129" i="51" s="1"/>
  <c r="B136" i="51" s="1"/>
  <c r="C104" i="51"/>
  <c r="B104" i="51"/>
  <c r="C88" i="51"/>
  <c r="B88" i="51"/>
  <c r="D87" i="51"/>
  <c r="D133" i="51" s="1"/>
  <c r="D86" i="51"/>
  <c r="C80" i="51"/>
  <c r="B80" i="51"/>
  <c r="E79" i="51"/>
  <c r="F79" i="51" s="1"/>
  <c r="G79" i="51" s="1"/>
  <c r="H79" i="51" s="1"/>
  <c r="I79" i="51" s="1"/>
  <c r="J79" i="51" s="1"/>
  <c r="K79" i="51" s="1"/>
  <c r="L79" i="51" s="1"/>
  <c r="M79" i="51" s="1"/>
  <c r="N79" i="51" s="1"/>
  <c r="O79" i="51" s="1"/>
  <c r="P79" i="51" s="1"/>
  <c r="D79" i="51"/>
  <c r="D125" i="51" s="1"/>
  <c r="E78" i="51"/>
  <c r="D78" i="51"/>
  <c r="D124" i="51" s="1"/>
  <c r="E77" i="51"/>
  <c r="E123" i="51" s="1"/>
  <c r="D77" i="51"/>
  <c r="D123" i="51" s="1"/>
  <c r="C74" i="51"/>
  <c r="C82" i="51" s="1"/>
  <c r="B74" i="51"/>
  <c r="B82" i="51" s="1"/>
  <c r="E73" i="51"/>
  <c r="D73" i="51"/>
  <c r="D119" i="51" s="1"/>
  <c r="D72" i="51"/>
  <c r="D118" i="51" s="1"/>
  <c r="D71" i="51"/>
  <c r="D117" i="51" s="1"/>
  <c r="C65" i="51"/>
  <c r="B65" i="51"/>
  <c r="E64" i="51"/>
  <c r="D64" i="51"/>
  <c r="D110" i="51" s="1"/>
  <c r="A64" i="51"/>
  <c r="A110" i="51" s="1"/>
  <c r="E63" i="51"/>
  <c r="E109" i="51" s="1"/>
  <c r="D63" i="51"/>
  <c r="D109" i="51" s="1"/>
  <c r="A63" i="51"/>
  <c r="A109" i="51" s="1"/>
  <c r="D62" i="51"/>
  <c r="D108" i="51" s="1"/>
  <c r="D61" i="51"/>
  <c r="D107" i="51" s="1"/>
  <c r="A61" i="51"/>
  <c r="A107" i="51" s="1"/>
  <c r="C58" i="51"/>
  <c r="C67" i="51" s="1"/>
  <c r="C83" i="51" s="1"/>
  <c r="C90" i="51" s="1"/>
  <c r="B58" i="51"/>
  <c r="E57" i="51"/>
  <c r="D57" i="51"/>
  <c r="D103" i="51" s="1"/>
  <c r="E56" i="51"/>
  <c r="F56" i="51" s="1"/>
  <c r="G56" i="51" s="1"/>
  <c r="H56" i="51" s="1"/>
  <c r="I56" i="51" s="1"/>
  <c r="J56" i="51" s="1"/>
  <c r="K56" i="51" s="1"/>
  <c r="L56" i="51" s="1"/>
  <c r="M56" i="51" s="1"/>
  <c r="N56" i="51" s="1"/>
  <c r="O56" i="51" s="1"/>
  <c r="P56" i="51" s="1"/>
  <c r="D56" i="51"/>
  <c r="D102" i="51" s="1"/>
  <c r="D55" i="51"/>
  <c r="D101" i="51" s="1"/>
  <c r="D54" i="51"/>
  <c r="D100" i="51" s="1"/>
  <c r="E53" i="51"/>
  <c r="E99" i="51" s="1"/>
  <c r="D53" i="51"/>
  <c r="D42" i="51"/>
  <c r="C42" i="51"/>
  <c r="B42" i="51"/>
  <c r="E34" i="51"/>
  <c r="D34" i="51"/>
  <c r="C34" i="51"/>
  <c r="B34" i="51"/>
  <c r="F33" i="51"/>
  <c r="G33" i="51" s="1"/>
  <c r="H33" i="51" s="1"/>
  <c r="I33" i="51" s="1"/>
  <c r="J33" i="51" s="1"/>
  <c r="K33" i="51" s="1"/>
  <c r="L33" i="51" s="1"/>
  <c r="M33" i="51" s="1"/>
  <c r="N33" i="51" s="1"/>
  <c r="O33" i="51" s="1"/>
  <c r="P33" i="51" s="1"/>
  <c r="F31" i="51"/>
  <c r="D28" i="51"/>
  <c r="C28" i="51"/>
  <c r="B28" i="51"/>
  <c r="B36" i="51" s="1"/>
  <c r="F27" i="51"/>
  <c r="G27" i="51" s="1"/>
  <c r="H27" i="51" s="1"/>
  <c r="I27" i="51" s="1"/>
  <c r="J27" i="51" s="1"/>
  <c r="K27" i="51" s="1"/>
  <c r="L27" i="51" s="1"/>
  <c r="M27" i="51" s="1"/>
  <c r="N27" i="51" s="1"/>
  <c r="O27" i="51" s="1"/>
  <c r="P27" i="51" s="1"/>
  <c r="F25" i="51"/>
  <c r="D19" i="51"/>
  <c r="C19" i="51"/>
  <c r="B19" i="51"/>
  <c r="F17" i="51"/>
  <c r="E61" i="51"/>
  <c r="D12" i="51"/>
  <c r="C12" i="51"/>
  <c r="C21" i="51" s="1"/>
  <c r="B12" i="51"/>
  <c r="B21" i="51" s="1"/>
  <c r="B37" i="51" s="1"/>
  <c r="B44" i="51" s="1"/>
  <c r="F11" i="51"/>
  <c r="G11" i="51" s="1"/>
  <c r="H11" i="51" s="1"/>
  <c r="I11" i="51" s="1"/>
  <c r="J11" i="51" s="1"/>
  <c r="K11" i="51" s="1"/>
  <c r="L11" i="51" s="1"/>
  <c r="M11" i="51" s="1"/>
  <c r="N11" i="51" s="1"/>
  <c r="O11" i="51" s="1"/>
  <c r="P11" i="51" s="1"/>
  <c r="F10" i="51"/>
  <c r="G10" i="51" s="1"/>
  <c r="H10" i="51" s="1"/>
  <c r="I10" i="51" s="1"/>
  <c r="J10" i="51" s="1"/>
  <c r="K10" i="51" s="1"/>
  <c r="L10" i="51" s="1"/>
  <c r="M10" i="51" s="1"/>
  <c r="N10" i="51" s="1"/>
  <c r="O10" i="51" s="1"/>
  <c r="P10" i="51" s="1"/>
  <c r="F9" i="51"/>
  <c r="G9" i="51" s="1"/>
  <c r="H9" i="51" s="1"/>
  <c r="I9" i="51" s="1"/>
  <c r="J9" i="51" s="1"/>
  <c r="K9" i="51" s="1"/>
  <c r="L9" i="51" s="1"/>
  <c r="M9" i="51" s="1"/>
  <c r="N9" i="51" s="1"/>
  <c r="O9" i="51" s="1"/>
  <c r="P9" i="51" s="1"/>
  <c r="E55" i="51"/>
  <c r="E54" i="51"/>
  <c r="E103" i="50" s="1"/>
  <c r="C148" i="50"/>
  <c r="B148" i="50"/>
  <c r="E147" i="50"/>
  <c r="D147" i="50"/>
  <c r="E144" i="50"/>
  <c r="E148" i="50" s="1"/>
  <c r="D144" i="50"/>
  <c r="D148" i="50" s="1"/>
  <c r="B140" i="50"/>
  <c r="D139" i="50"/>
  <c r="C130" i="50"/>
  <c r="B126" i="50"/>
  <c r="B150" i="50" s="1"/>
  <c r="B154" i="50" s="1"/>
  <c r="C116" i="50"/>
  <c r="K108" i="50"/>
  <c r="D99" i="50"/>
  <c r="D152" i="50" s="1"/>
  <c r="C95" i="50"/>
  <c r="B95" i="50"/>
  <c r="E94" i="50"/>
  <c r="D94" i="50"/>
  <c r="E91" i="50"/>
  <c r="E95" i="50" s="1"/>
  <c r="D91" i="50"/>
  <c r="B87" i="50"/>
  <c r="O86" i="50"/>
  <c r="O139" i="50" s="1"/>
  <c r="N86" i="50"/>
  <c r="N139" i="50" s="1"/>
  <c r="M86" i="50"/>
  <c r="M139" i="50" s="1"/>
  <c r="L86" i="50"/>
  <c r="L139" i="50" s="1"/>
  <c r="K86" i="50"/>
  <c r="K139" i="50" s="1"/>
  <c r="J86" i="50"/>
  <c r="J139" i="50" s="1"/>
  <c r="I86" i="50"/>
  <c r="I139" i="50" s="1"/>
  <c r="H86" i="50"/>
  <c r="H139" i="50" s="1"/>
  <c r="G86" i="50"/>
  <c r="G139" i="50" s="1"/>
  <c r="F86" i="50"/>
  <c r="F139" i="50" s="1"/>
  <c r="E86" i="50"/>
  <c r="E139" i="50" s="1"/>
  <c r="D86" i="50"/>
  <c r="C86" i="50"/>
  <c r="C139" i="50" s="1"/>
  <c r="E85" i="50"/>
  <c r="E138" i="50" s="1"/>
  <c r="D85" i="50"/>
  <c r="D138" i="50" s="1"/>
  <c r="C85" i="50"/>
  <c r="C138" i="50" s="1"/>
  <c r="P84" i="50"/>
  <c r="O84" i="50"/>
  <c r="N84" i="50"/>
  <c r="M84" i="50"/>
  <c r="L84" i="50"/>
  <c r="K84" i="50"/>
  <c r="J84" i="50"/>
  <c r="I84" i="50"/>
  <c r="H84" i="50"/>
  <c r="G84" i="50"/>
  <c r="E84" i="50"/>
  <c r="E137" i="50" s="1"/>
  <c r="D84" i="50"/>
  <c r="D137" i="50" s="1"/>
  <c r="A84" i="50"/>
  <c r="A137" i="50" s="1"/>
  <c r="E83" i="50"/>
  <c r="E136" i="50" s="1"/>
  <c r="D83" i="50"/>
  <c r="D136" i="50" s="1"/>
  <c r="C83" i="50"/>
  <c r="C136" i="50" s="1"/>
  <c r="E80" i="50"/>
  <c r="E133" i="50" s="1"/>
  <c r="D80" i="50"/>
  <c r="D133" i="50" s="1"/>
  <c r="C80" i="50"/>
  <c r="C133" i="50" s="1"/>
  <c r="E79" i="50"/>
  <c r="E132" i="50" s="1"/>
  <c r="D79" i="50"/>
  <c r="D132" i="50" s="1"/>
  <c r="C79" i="50"/>
  <c r="C132" i="50" s="1"/>
  <c r="P131" i="50"/>
  <c r="N131" i="50"/>
  <c r="M131" i="50"/>
  <c r="L131" i="50"/>
  <c r="K131" i="50"/>
  <c r="J131" i="50"/>
  <c r="I131" i="50"/>
  <c r="H131" i="50"/>
  <c r="F78" i="50"/>
  <c r="F131" i="50" s="1"/>
  <c r="E78" i="50"/>
  <c r="E131" i="50" s="1"/>
  <c r="D78" i="50"/>
  <c r="D131" i="50" s="1"/>
  <c r="A78" i="50"/>
  <c r="A131" i="50" s="1"/>
  <c r="E77" i="50"/>
  <c r="D77" i="50"/>
  <c r="C77" i="50"/>
  <c r="B73" i="50"/>
  <c r="E72" i="50"/>
  <c r="E125" i="50" s="1"/>
  <c r="D72" i="50"/>
  <c r="D125" i="50" s="1"/>
  <c r="C72" i="50"/>
  <c r="C125" i="50" s="1"/>
  <c r="E71" i="50"/>
  <c r="E124" i="50" s="1"/>
  <c r="D71" i="50"/>
  <c r="D124" i="50" s="1"/>
  <c r="C71" i="50"/>
  <c r="C124" i="50" s="1"/>
  <c r="E70" i="50"/>
  <c r="E123" i="50" s="1"/>
  <c r="D70" i="50"/>
  <c r="D123" i="50" s="1"/>
  <c r="E69" i="50"/>
  <c r="E122" i="50" s="1"/>
  <c r="D69" i="50"/>
  <c r="D122" i="50" s="1"/>
  <c r="C69" i="50"/>
  <c r="C122" i="50" s="1"/>
  <c r="E68" i="50"/>
  <c r="E121" i="50" s="1"/>
  <c r="D68" i="50"/>
  <c r="D121" i="50" s="1"/>
  <c r="C68" i="50"/>
  <c r="C121" i="50" s="1"/>
  <c r="E65" i="50"/>
  <c r="E118" i="50" s="1"/>
  <c r="D65" i="50"/>
  <c r="D118" i="50" s="1"/>
  <c r="C65" i="50"/>
  <c r="C118" i="50" s="1"/>
  <c r="E64" i="50"/>
  <c r="E117" i="50" s="1"/>
  <c r="D64" i="50"/>
  <c r="D117" i="50" s="1"/>
  <c r="C64" i="50"/>
  <c r="C117" i="50" s="1"/>
  <c r="E63" i="50"/>
  <c r="E116" i="50" s="1"/>
  <c r="D63" i="50"/>
  <c r="D116" i="50" s="1"/>
  <c r="C63" i="50"/>
  <c r="E62" i="50"/>
  <c r="E115" i="50" s="1"/>
  <c r="D62" i="50"/>
  <c r="D115" i="50" s="1"/>
  <c r="C62" i="50"/>
  <c r="C115" i="50" s="1"/>
  <c r="E61" i="50"/>
  <c r="E114" i="50" s="1"/>
  <c r="D61" i="50"/>
  <c r="D114" i="50" s="1"/>
  <c r="C61" i="50"/>
  <c r="C114" i="50" s="1"/>
  <c r="E60" i="50"/>
  <c r="E113" i="50" s="1"/>
  <c r="D60" i="50"/>
  <c r="D113" i="50" s="1"/>
  <c r="C60" i="50"/>
  <c r="C113" i="50" s="1"/>
  <c r="P55" i="50"/>
  <c r="P108" i="50" s="1"/>
  <c r="O55" i="50"/>
  <c r="O108" i="50" s="1"/>
  <c r="N55" i="50"/>
  <c r="N108" i="50" s="1"/>
  <c r="M55" i="50"/>
  <c r="M108" i="50" s="1"/>
  <c r="L55" i="50"/>
  <c r="L108" i="50" s="1"/>
  <c r="K55" i="50"/>
  <c r="J55" i="50"/>
  <c r="J108" i="50" s="1"/>
  <c r="I55" i="50"/>
  <c r="I108" i="50" s="1"/>
  <c r="H55" i="50"/>
  <c r="H108" i="50" s="1"/>
  <c r="G55" i="50"/>
  <c r="G108" i="50" s="1"/>
  <c r="F55" i="50"/>
  <c r="F108" i="50" s="1"/>
  <c r="E55" i="50"/>
  <c r="E108" i="50" s="1"/>
  <c r="D55" i="50"/>
  <c r="D108" i="50" s="1"/>
  <c r="D103" i="50"/>
  <c r="D156" i="50" s="1"/>
  <c r="C50" i="50"/>
  <c r="E42" i="50"/>
  <c r="D42" i="50"/>
  <c r="C42" i="50"/>
  <c r="B42" i="50"/>
  <c r="E34" i="50"/>
  <c r="D34" i="50"/>
  <c r="C34" i="50"/>
  <c r="B34" i="50"/>
  <c r="P33" i="50"/>
  <c r="P86" i="50" s="1"/>
  <c r="P139" i="50" s="1"/>
  <c r="E20" i="50"/>
  <c r="D20" i="50"/>
  <c r="D44" i="50" s="1"/>
  <c r="D48" i="50" s="1"/>
  <c r="C20" i="50"/>
  <c r="C44" i="50" s="1"/>
  <c r="B20" i="50"/>
  <c r="C214" i="49"/>
  <c r="D209" i="49"/>
  <c r="D208" i="49"/>
  <c r="D207" i="49"/>
  <c r="D205" i="49"/>
  <c r="D204" i="49"/>
  <c r="D203" i="49"/>
  <c r="D202" i="49"/>
  <c r="D199" i="49"/>
  <c r="D198" i="49"/>
  <c r="D197" i="49"/>
  <c r="J196" i="49"/>
  <c r="J196" i="4" s="1"/>
  <c r="I196" i="49"/>
  <c r="H196" i="49"/>
  <c r="H137" i="50" s="1"/>
  <c r="G196" i="49"/>
  <c r="F196" i="49"/>
  <c r="E196" i="49"/>
  <c r="D196" i="49"/>
  <c r="D195" i="49"/>
  <c r="D191" i="49"/>
  <c r="C174" i="49"/>
  <c r="B174" i="49"/>
  <c r="P173" i="49"/>
  <c r="P173" i="4" s="1"/>
  <c r="O173" i="49"/>
  <c r="O173" i="4" s="1"/>
  <c r="N173" i="49"/>
  <c r="M173" i="49"/>
  <c r="M173" i="4" s="1"/>
  <c r="L173" i="49"/>
  <c r="L173" i="4" s="1"/>
  <c r="K173" i="49"/>
  <c r="K173" i="4" s="1"/>
  <c r="J173" i="49"/>
  <c r="I173" i="49"/>
  <c r="H173" i="49"/>
  <c r="H173" i="4" s="1"/>
  <c r="G173" i="49"/>
  <c r="G173" i="4" s="1"/>
  <c r="P172" i="49"/>
  <c r="P172" i="4" s="1"/>
  <c r="O172" i="49"/>
  <c r="O172" i="4" s="1"/>
  <c r="N172" i="49"/>
  <c r="M172" i="49"/>
  <c r="M172" i="4" s="1"/>
  <c r="L172" i="49"/>
  <c r="K172" i="49"/>
  <c r="J172" i="49"/>
  <c r="I172" i="49"/>
  <c r="H172" i="49"/>
  <c r="H172" i="4" s="1"/>
  <c r="G172" i="49"/>
  <c r="G172" i="4" s="1"/>
  <c r="C171" i="49"/>
  <c r="C206" i="49" s="1"/>
  <c r="B171" i="49"/>
  <c r="B206" i="49" s="1"/>
  <c r="C169" i="49"/>
  <c r="B169" i="49"/>
  <c r="C167" i="49"/>
  <c r="B167" i="49"/>
  <c r="P162" i="49"/>
  <c r="P162" i="4" s="1"/>
  <c r="O162" i="49"/>
  <c r="N162" i="49"/>
  <c r="N162" i="4" s="1"/>
  <c r="M162" i="49"/>
  <c r="M162" i="4" s="1"/>
  <c r="L162" i="49"/>
  <c r="L162" i="4" s="1"/>
  <c r="K162" i="49"/>
  <c r="K162" i="4" s="1"/>
  <c r="P161" i="49"/>
  <c r="P161" i="4" s="1"/>
  <c r="O161" i="49"/>
  <c r="O161" i="4" s="1"/>
  <c r="N161" i="49"/>
  <c r="N161" i="4" s="1"/>
  <c r="M161" i="49"/>
  <c r="L161" i="49"/>
  <c r="K161" i="49"/>
  <c r="K161" i="4" s="1"/>
  <c r="C161" i="49"/>
  <c r="B161" i="49"/>
  <c r="J160" i="49"/>
  <c r="J160" i="4" s="1"/>
  <c r="I160" i="49"/>
  <c r="I160" i="4" s="1"/>
  <c r="H160" i="49"/>
  <c r="H160" i="4" s="1"/>
  <c r="G160" i="49"/>
  <c r="G160" i="4" s="1"/>
  <c r="F160" i="49"/>
  <c r="F160" i="4" s="1"/>
  <c r="E160" i="49"/>
  <c r="D160" i="49"/>
  <c r="C158" i="49"/>
  <c r="B158" i="49"/>
  <c r="C157" i="49"/>
  <c r="B157" i="49"/>
  <c r="C156" i="49"/>
  <c r="B156" i="49"/>
  <c r="C155" i="49"/>
  <c r="B155" i="49"/>
  <c r="C154" i="49"/>
  <c r="B154" i="49"/>
  <c r="C153" i="49"/>
  <c r="B153" i="49"/>
  <c r="C145" i="49"/>
  <c r="E140" i="49"/>
  <c r="E209" i="49" s="1"/>
  <c r="J208" i="49"/>
  <c r="J208" i="4" s="1"/>
  <c r="I208" i="49"/>
  <c r="H208" i="49"/>
  <c r="G208" i="49"/>
  <c r="E139" i="49"/>
  <c r="E208" i="49" s="1"/>
  <c r="I207" i="49"/>
  <c r="H207" i="49"/>
  <c r="G207" i="49"/>
  <c r="E138" i="49"/>
  <c r="E207" i="49" s="1"/>
  <c r="J205" i="49"/>
  <c r="I205" i="49"/>
  <c r="I205" i="4" s="1"/>
  <c r="H205" i="49"/>
  <c r="H205" i="4" s="1"/>
  <c r="G205" i="49"/>
  <c r="G205" i="4" s="1"/>
  <c r="E136" i="49"/>
  <c r="E205" i="49" s="1"/>
  <c r="J204" i="49"/>
  <c r="I204" i="49"/>
  <c r="I204" i="4" s="1"/>
  <c r="H204" i="49"/>
  <c r="H204" i="4" s="1"/>
  <c r="G204" i="49"/>
  <c r="E135" i="49"/>
  <c r="E204" i="49" s="1"/>
  <c r="I203" i="49"/>
  <c r="H203" i="49"/>
  <c r="G203" i="49"/>
  <c r="E134" i="49"/>
  <c r="E203" i="49" s="1"/>
  <c r="J202" i="49"/>
  <c r="H202" i="49"/>
  <c r="E133" i="49"/>
  <c r="D131" i="49"/>
  <c r="I199" i="49"/>
  <c r="H199" i="49"/>
  <c r="G199" i="49"/>
  <c r="E130" i="49"/>
  <c r="E199" i="49" s="1"/>
  <c r="J198" i="49"/>
  <c r="I198" i="49"/>
  <c r="H198" i="49"/>
  <c r="G198" i="49"/>
  <c r="E129" i="49"/>
  <c r="E198" i="49" s="1"/>
  <c r="F128" i="49"/>
  <c r="F197" i="49" s="1"/>
  <c r="F197" i="4" s="1"/>
  <c r="E128" i="49"/>
  <c r="E126" i="49"/>
  <c r="E195" i="49" s="1"/>
  <c r="D105" i="49"/>
  <c r="D174" i="49" s="1"/>
  <c r="C105" i="49"/>
  <c r="B105" i="49"/>
  <c r="P104" i="49"/>
  <c r="P104" i="4" s="1"/>
  <c r="AB104" i="4" s="1"/>
  <c r="O104" i="49"/>
  <c r="O104" i="4" s="1"/>
  <c r="AA104" i="4" s="1"/>
  <c r="N104" i="49"/>
  <c r="N104" i="4" s="1"/>
  <c r="Z104" i="4" s="1"/>
  <c r="M104" i="49"/>
  <c r="M104" i="4" s="1"/>
  <c r="Y104" i="4" s="1"/>
  <c r="L104" i="49"/>
  <c r="L104" i="4" s="1"/>
  <c r="X104" i="4" s="1"/>
  <c r="K104" i="49"/>
  <c r="K104" i="4" s="1"/>
  <c r="W104" i="4" s="1"/>
  <c r="F173" i="49"/>
  <c r="F173" i="4" s="1"/>
  <c r="E173" i="49"/>
  <c r="D104" i="49"/>
  <c r="D173" i="49" s="1"/>
  <c r="A104" i="49"/>
  <c r="A173" i="49" s="1"/>
  <c r="P103" i="49"/>
  <c r="P103" i="4" s="1"/>
  <c r="AB103" i="4" s="1"/>
  <c r="O103" i="49"/>
  <c r="O103" i="4" s="1"/>
  <c r="AA103" i="4" s="1"/>
  <c r="N103" i="49"/>
  <c r="N103" i="4" s="1"/>
  <c r="Z103" i="4" s="1"/>
  <c r="M103" i="49"/>
  <c r="M103" i="4" s="1"/>
  <c r="Y103" i="4" s="1"/>
  <c r="L103" i="49"/>
  <c r="L103" i="4" s="1"/>
  <c r="X103" i="4" s="1"/>
  <c r="K103" i="49"/>
  <c r="K103" i="4" s="1"/>
  <c r="W103" i="4" s="1"/>
  <c r="F172" i="49"/>
  <c r="E172" i="49"/>
  <c r="D103" i="49"/>
  <c r="D172" i="49" s="1"/>
  <c r="A103" i="49"/>
  <c r="A172" i="49" s="1"/>
  <c r="F171" i="49"/>
  <c r="F171" i="4" s="1"/>
  <c r="D102" i="49"/>
  <c r="D171" i="49" s="1"/>
  <c r="D206" i="49" s="1"/>
  <c r="C102" i="49"/>
  <c r="C137" i="49" s="1"/>
  <c r="B102" i="49"/>
  <c r="B137" i="49" s="1"/>
  <c r="A102" i="49"/>
  <c r="D100" i="49"/>
  <c r="D169" i="49" s="1"/>
  <c r="C100" i="49"/>
  <c r="B100" i="49"/>
  <c r="A100" i="49"/>
  <c r="D99" i="49"/>
  <c r="D168" i="49" s="1"/>
  <c r="A99" i="49"/>
  <c r="D98" i="49"/>
  <c r="C98" i="49"/>
  <c r="B98" i="49"/>
  <c r="A98" i="49"/>
  <c r="P93" i="49"/>
  <c r="P93" i="4" s="1"/>
  <c r="O93" i="49"/>
  <c r="O93" i="4" s="1"/>
  <c r="N93" i="49"/>
  <c r="N93" i="4" s="1"/>
  <c r="M93" i="49"/>
  <c r="M93" i="4" s="1"/>
  <c r="L93" i="49"/>
  <c r="L93" i="4" s="1"/>
  <c r="K93" i="49"/>
  <c r="K93" i="4" s="1"/>
  <c r="J162" i="49"/>
  <c r="I162" i="49"/>
  <c r="H162" i="49"/>
  <c r="G162" i="49"/>
  <c r="F162" i="49"/>
  <c r="F162" i="4" s="1"/>
  <c r="E162" i="49"/>
  <c r="D93" i="49"/>
  <c r="D162" i="49" s="1"/>
  <c r="P92" i="49"/>
  <c r="P92" i="4" s="1"/>
  <c r="AB92" i="4" s="1"/>
  <c r="O92" i="49"/>
  <c r="O92" i="4" s="1"/>
  <c r="AA92" i="4" s="1"/>
  <c r="N92" i="49"/>
  <c r="N92" i="4" s="1"/>
  <c r="Z92" i="4" s="1"/>
  <c r="M92" i="49"/>
  <c r="M92" i="4" s="1"/>
  <c r="Y92" i="4" s="1"/>
  <c r="L92" i="49"/>
  <c r="K92" i="49"/>
  <c r="K92" i="4" s="1"/>
  <c r="W92" i="4" s="1"/>
  <c r="J161" i="49"/>
  <c r="I161" i="49"/>
  <c r="H161" i="49"/>
  <c r="G161" i="49"/>
  <c r="F161" i="49"/>
  <c r="F161" i="4" s="1"/>
  <c r="E161" i="49"/>
  <c r="D92" i="49"/>
  <c r="D161" i="49" s="1"/>
  <c r="C92" i="49"/>
  <c r="B92" i="49"/>
  <c r="D89" i="49"/>
  <c r="D158" i="49" s="1"/>
  <c r="C89" i="49"/>
  <c r="B89" i="49"/>
  <c r="D88" i="49"/>
  <c r="D157" i="49" s="1"/>
  <c r="C88" i="49"/>
  <c r="B88" i="49"/>
  <c r="D87" i="49"/>
  <c r="D156" i="49" s="1"/>
  <c r="C87" i="49"/>
  <c r="B87" i="49"/>
  <c r="D86" i="49"/>
  <c r="D155" i="49" s="1"/>
  <c r="C86" i="49"/>
  <c r="B86" i="49"/>
  <c r="D85" i="49"/>
  <c r="D154" i="49" s="1"/>
  <c r="C85" i="49"/>
  <c r="B85" i="49"/>
  <c r="F60" i="50"/>
  <c r="D84" i="49"/>
  <c r="D153" i="49" s="1"/>
  <c r="C84" i="49"/>
  <c r="B84" i="49"/>
  <c r="C70" i="49"/>
  <c r="P38" i="50"/>
  <c r="O38" i="50"/>
  <c r="N38" i="50"/>
  <c r="L38" i="50"/>
  <c r="K38" i="50"/>
  <c r="K63" i="49"/>
  <c r="F206" i="49"/>
  <c r="D62" i="49"/>
  <c r="D66" i="49" s="1"/>
  <c r="C62" i="49"/>
  <c r="B62" i="49"/>
  <c r="K61" i="49"/>
  <c r="L61" i="49" s="1"/>
  <c r="M61" i="49" s="1"/>
  <c r="N61" i="49" s="1"/>
  <c r="O61" i="49" s="1"/>
  <c r="P61" i="49" s="1"/>
  <c r="F205" i="49"/>
  <c r="F205" i="4" s="1"/>
  <c r="K60" i="49"/>
  <c r="L60" i="49" s="1"/>
  <c r="M60" i="49" s="1"/>
  <c r="N60" i="49" s="1"/>
  <c r="O60" i="49" s="1"/>
  <c r="P60" i="49" s="1"/>
  <c r="F204" i="49"/>
  <c r="E56" i="49"/>
  <c r="D56" i="49"/>
  <c r="K55" i="49"/>
  <c r="K55" i="4" s="1"/>
  <c r="D31" i="49"/>
  <c r="C31" i="49"/>
  <c r="B31" i="49"/>
  <c r="AE30" i="49"/>
  <c r="K30" i="49"/>
  <c r="E174" i="49"/>
  <c r="AE27" i="49"/>
  <c r="K27" i="49"/>
  <c r="AE25" i="49"/>
  <c r="I31" i="49"/>
  <c r="H31" i="49"/>
  <c r="E169" i="49"/>
  <c r="E168" i="49"/>
  <c r="AE23" i="49"/>
  <c r="K23" i="49"/>
  <c r="E167" i="49"/>
  <c r="D21" i="49"/>
  <c r="C21" i="49"/>
  <c r="B21" i="49"/>
  <c r="B33" i="49" s="1"/>
  <c r="B38" i="49" s="1"/>
  <c r="B40" i="49" s="1"/>
  <c r="AE19" i="49"/>
  <c r="AE16" i="49"/>
  <c r="E158" i="49"/>
  <c r="AE15" i="49"/>
  <c r="K15" i="49"/>
  <c r="E157" i="49"/>
  <c r="AE14" i="49"/>
  <c r="K14" i="49"/>
  <c r="E156" i="49"/>
  <c r="AE13" i="49"/>
  <c r="E155" i="49"/>
  <c r="AE12" i="49"/>
  <c r="E154" i="49"/>
  <c r="AE11" i="49"/>
  <c r="K11" i="49"/>
  <c r="AE9" i="49"/>
  <c r="H137" i="68" l="1"/>
  <c r="H74" i="68"/>
  <c r="E137" i="68"/>
  <c r="E74" i="68"/>
  <c r="F137" i="68"/>
  <c r="F74" i="68"/>
  <c r="H85" i="68"/>
  <c r="U88" i="4"/>
  <c r="J173" i="4"/>
  <c r="C44" i="61"/>
  <c r="S84" i="4"/>
  <c r="G5" i="34"/>
  <c r="C41" i="61"/>
  <c r="S99" i="4"/>
  <c r="F29" i="29"/>
  <c r="S88" i="4"/>
  <c r="C46" i="61"/>
  <c r="C50" i="61" s="1"/>
  <c r="U101" i="4"/>
  <c r="T87" i="4"/>
  <c r="K15" i="4"/>
  <c r="V87" i="4"/>
  <c r="F348" i="29"/>
  <c r="S101" i="4"/>
  <c r="T99" i="4"/>
  <c r="U85" i="4"/>
  <c r="G13" i="34"/>
  <c r="T88" i="4"/>
  <c r="U102" i="4"/>
  <c r="V100" i="4"/>
  <c r="V88" i="4"/>
  <c r="U100" i="4"/>
  <c r="S85" i="4"/>
  <c r="T85" i="4"/>
  <c r="H13" i="34"/>
  <c r="C160" i="28"/>
  <c r="S87" i="4"/>
  <c r="C158" i="28"/>
  <c r="T100" i="4"/>
  <c r="V102" i="4"/>
  <c r="J32" i="34"/>
  <c r="J101" i="34"/>
  <c r="H100" i="34"/>
  <c r="G337" i="29"/>
  <c r="I348" i="29"/>
  <c r="I101" i="34"/>
  <c r="J100" i="34"/>
  <c r="H90" i="34"/>
  <c r="H5" i="34"/>
  <c r="D72" i="61"/>
  <c r="E71" i="61" s="1"/>
  <c r="H12" i="2"/>
  <c r="G65" i="2"/>
  <c r="F85" i="50"/>
  <c r="F204" i="4"/>
  <c r="J12" i="2"/>
  <c r="H29" i="29"/>
  <c r="L28" i="61"/>
  <c r="I54" i="66" s="1"/>
  <c r="H54" i="66"/>
  <c r="I27" i="54"/>
  <c r="F27" i="54"/>
  <c r="F32" i="51"/>
  <c r="G32" i="51" s="1"/>
  <c r="H32" i="51" s="1"/>
  <c r="I32" i="51" s="1"/>
  <c r="K26" i="4"/>
  <c r="J29" i="29" s="1"/>
  <c r="F57" i="61"/>
  <c r="L27" i="61"/>
  <c r="L26" i="4" s="1"/>
  <c r="K29" i="29" s="1"/>
  <c r="I5" i="34"/>
  <c r="K17" i="61"/>
  <c r="V17" i="61" s="1"/>
  <c r="K14" i="4"/>
  <c r="C181" i="61"/>
  <c r="C186" i="61" s="1"/>
  <c r="C217" i="61" s="1"/>
  <c r="C219" i="61" s="1"/>
  <c r="D218" i="61" s="1"/>
  <c r="K27" i="4"/>
  <c r="F137" i="50"/>
  <c r="F196" i="4"/>
  <c r="M14" i="57"/>
  <c r="L12" i="58"/>
  <c r="E101" i="51"/>
  <c r="F101" i="51" s="1"/>
  <c r="G101" i="51" s="1"/>
  <c r="H101" i="51" s="1"/>
  <c r="I101" i="51" s="1"/>
  <c r="J101" i="51" s="1"/>
  <c r="K101" i="51" s="1"/>
  <c r="L101" i="51" s="1"/>
  <c r="M101" i="51" s="1"/>
  <c r="N101" i="51" s="1"/>
  <c r="O101" i="51" s="1"/>
  <c r="P101" i="51" s="1"/>
  <c r="F55" i="51"/>
  <c r="G55" i="51" s="1"/>
  <c r="H55" i="51" s="1"/>
  <c r="I55" i="51" s="1"/>
  <c r="J55" i="51" s="1"/>
  <c r="K55" i="51" s="1"/>
  <c r="L55" i="51" s="1"/>
  <c r="M55" i="51" s="1"/>
  <c r="N55" i="51" s="1"/>
  <c r="O55" i="51" s="1"/>
  <c r="P55" i="51" s="1"/>
  <c r="G16" i="52"/>
  <c r="G18" i="52" s="1"/>
  <c r="G21" i="52" s="1"/>
  <c r="G22" i="52" s="1"/>
  <c r="F41" i="51"/>
  <c r="F84" i="52"/>
  <c r="F86" i="52" s="1"/>
  <c r="F89" i="52" s="1"/>
  <c r="F90" i="52" s="1"/>
  <c r="E133" i="51"/>
  <c r="F73" i="51"/>
  <c r="G73" i="51" s="1"/>
  <c r="H73" i="51" s="1"/>
  <c r="I73" i="51" s="1"/>
  <c r="J73" i="51" s="1"/>
  <c r="K73" i="51" s="1"/>
  <c r="L73" i="51" s="1"/>
  <c r="M73" i="51" s="1"/>
  <c r="N73" i="51" s="1"/>
  <c r="O73" i="51" s="1"/>
  <c r="P73" i="51" s="1"/>
  <c r="E119" i="51"/>
  <c r="F119" i="51" s="1"/>
  <c r="G119" i="51" s="1"/>
  <c r="H119" i="51" s="1"/>
  <c r="I119" i="51" s="1"/>
  <c r="J119" i="51" s="1"/>
  <c r="K119" i="51" s="1"/>
  <c r="L119" i="51" s="1"/>
  <c r="M119" i="51" s="1"/>
  <c r="N119" i="51" s="1"/>
  <c r="O119" i="51" s="1"/>
  <c r="P119" i="51" s="1"/>
  <c r="E110" i="51"/>
  <c r="F110" i="51" s="1"/>
  <c r="F64" i="51"/>
  <c r="G64" i="51" s="1"/>
  <c r="H64" i="51" s="1"/>
  <c r="I64" i="51" s="1"/>
  <c r="J64" i="51" s="1"/>
  <c r="K64" i="51" s="1"/>
  <c r="L64" i="51" s="1"/>
  <c r="M64" i="51" s="1"/>
  <c r="N64" i="51" s="1"/>
  <c r="O64" i="51" s="1"/>
  <c r="P64" i="51" s="1"/>
  <c r="C113" i="51"/>
  <c r="F50" i="52"/>
  <c r="F52" i="52" s="1"/>
  <c r="F55" i="52" s="1"/>
  <c r="F56" i="52" s="1"/>
  <c r="E87" i="51"/>
  <c r="K88" i="52"/>
  <c r="K100" i="52" s="1"/>
  <c r="B95" i="52"/>
  <c r="L11" i="57"/>
  <c r="L7" i="58" s="1"/>
  <c r="K7" i="58"/>
  <c r="C158" i="57"/>
  <c r="C169" i="57"/>
  <c r="D97" i="58"/>
  <c r="D101" i="58" s="1"/>
  <c r="D105" i="58" s="1"/>
  <c r="G50" i="63"/>
  <c r="G52" i="63" s="1"/>
  <c r="G55" i="63" s="1"/>
  <c r="G56" i="63" s="1"/>
  <c r="F87" i="62"/>
  <c r="E34" i="61"/>
  <c r="E39" i="61" s="1"/>
  <c r="E46" i="61" s="1"/>
  <c r="E50" i="61" s="1"/>
  <c r="G16" i="60"/>
  <c r="G18" i="60" s="1"/>
  <c r="G21" i="60" s="1"/>
  <c r="G22" i="60" s="1"/>
  <c r="F41" i="59"/>
  <c r="I16" i="4"/>
  <c r="T17" i="61"/>
  <c r="G204" i="4"/>
  <c r="F128" i="4"/>
  <c r="C159" i="28" s="1"/>
  <c r="G203" i="4"/>
  <c r="H16" i="4"/>
  <c r="S17" i="61"/>
  <c r="I64" i="4"/>
  <c r="F18" i="29"/>
  <c r="K12" i="54"/>
  <c r="V15" i="61"/>
  <c r="J24" i="49"/>
  <c r="I17" i="50"/>
  <c r="I24" i="4"/>
  <c r="I26" i="34" s="1"/>
  <c r="V28" i="61"/>
  <c r="H196" i="4"/>
  <c r="I50" i="60"/>
  <c r="I52" i="60" s="1"/>
  <c r="I55" i="60" s="1"/>
  <c r="I56" i="60" s="1"/>
  <c r="H87" i="59"/>
  <c r="N26" i="57"/>
  <c r="M96" i="57"/>
  <c r="M164" i="57" s="1"/>
  <c r="G137" i="50"/>
  <c r="G196" i="4"/>
  <c r="B44" i="50"/>
  <c r="B48" i="50" s="1"/>
  <c r="C73" i="50"/>
  <c r="C97" i="50" s="1"/>
  <c r="C87" i="50"/>
  <c r="D95" i="50"/>
  <c r="D58" i="51"/>
  <c r="B67" i="51"/>
  <c r="B83" i="51" s="1"/>
  <c r="B90" i="51" s="1"/>
  <c r="B27" i="52"/>
  <c r="C88" i="52"/>
  <c r="C100" i="52" s="1"/>
  <c r="P88" i="52"/>
  <c r="P100" i="52" s="1"/>
  <c r="E95" i="54"/>
  <c r="D33" i="57"/>
  <c r="D38" i="57" s="1"/>
  <c r="B33" i="57"/>
  <c r="B38" i="57" s="1"/>
  <c r="B158" i="57"/>
  <c r="B171" i="57" s="1"/>
  <c r="B176" i="57" s="1"/>
  <c r="B178" i="57" s="1"/>
  <c r="B169" i="57"/>
  <c r="G84" i="60"/>
  <c r="G86" i="60" s="1"/>
  <c r="G89" i="60" s="1"/>
  <c r="G90" i="60" s="1"/>
  <c r="F133" i="59"/>
  <c r="D41" i="61"/>
  <c r="E21" i="62"/>
  <c r="E37" i="62" s="1"/>
  <c r="E44" i="62" s="1"/>
  <c r="H15" i="62"/>
  <c r="J16" i="4"/>
  <c r="U17" i="61"/>
  <c r="I203" i="4"/>
  <c r="G63" i="4"/>
  <c r="K17" i="4"/>
  <c r="V18" i="61"/>
  <c r="L16" i="61"/>
  <c r="V16" i="61"/>
  <c r="G16" i="63"/>
  <c r="G18" i="63" s="1"/>
  <c r="G21" i="63" s="1"/>
  <c r="G22" i="63" s="1"/>
  <c r="F41" i="62"/>
  <c r="I137" i="50"/>
  <c r="I196" i="4"/>
  <c r="D87" i="50"/>
  <c r="C156" i="50"/>
  <c r="B97" i="50"/>
  <c r="B101" i="50" s="1"/>
  <c r="B105" i="50" s="1"/>
  <c r="C36" i="51"/>
  <c r="B61" i="52"/>
  <c r="H88" i="52"/>
  <c r="H100" i="52" s="1"/>
  <c r="D44" i="54"/>
  <c r="D48" i="54" s="1"/>
  <c r="E46" i="54" s="1"/>
  <c r="E48" i="54" s="1"/>
  <c r="C126" i="54"/>
  <c r="B150" i="54"/>
  <c r="B154" i="54" s="1"/>
  <c r="B158" i="54" s="1"/>
  <c r="D194" i="57"/>
  <c r="B44" i="61"/>
  <c r="F61" i="62"/>
  <c r="F84" i="63"/>
  <c r="F86" i="63" s="1"/>
  <c r="F89" i="63" s="1"/>
  <c r="F90" i="63" s="1"/>
  <c r="E133" i="62"/>
  <c r="F28" i="34"/>
  <c r="G78" i="62"/>
  <c r="H78" i="62" s="1"/>
  <c r="I78" i="62" s="1"/>
  <c r="H203" i="4"/>
  <c r="G16" i="4"/>
  <c r="G10" i="54" s="1"/>
  <c r="R17" i="61"/>
  <c r="F157" i="4"/>
  <c r="F16" i="62"/>
  <c r="L12" i="57"/>
  <c r="M12" i="57" s="1"/>
  <c r="N12" i="57" s="1"/>
  <c r="O12" i="57" s="1"/>
  <c r="P12" i="57" s="1"/>
  <c r="K8" i="58"/>
  <c r="J170" i="4"/>
  <c r="J166" i="34" s="1"/>
  <c r="U174" i="61"/>
  <c r="I65" i="2"/>
  <c r="G98" i="34"/>
  <c r="I170" i="4"/>
  <c r="H668" i="29" s="1"/>
  <c r="G170" i="4"/>
  <c r="F668" i="29" s="1"/>
  <c r="R174" i="61"/>
  <c r="F166" i="34"/>
  <c r="J16" i="2"/>
  <c r="J98" i="34"/>
  <c r="H88" i="34"/>
  <c r="J28" i="34"/>
  <c r="H27" i="34"/>
  <c r="F20" i="69" s="1"/>
  <c r="O64" i="4"/>
  <c r="F67" i="61"/>
  <c r="G64" i="4"/>
  <c r="F206" i="4"/>
  <c r="H67" i="61"/>
  <c r="H63" i="4"/>
  <c r="F32" i="62"/>
  <c r="G32" i="62" s="1"/>
  <c r="H32" i="62" s="1"/>
  <c r="I32" i="62" s="1"/>
  <c r="I67" i="61"/>
  <c r="J22" i="61"/>
  <c r="L64" i="4"/>
  <c r="I63" i="4"/>
  <c r="M38" i="50"/>
  <c r="M64" i="4"/>
  <c r="G67" i="61"/>
  <c r="I22" i="61"/>
  <c r="S92" i="61"/>
  <c r="S97" i="61" s="1"/>
  <c r="N64" i="4"/>
  <c r="P64" i="4"/>
  <c r="F55" i="4"/>
  <c r="K64" i="4"/>
  <c r="K61" i="4"/>
  <c r="F63" i="4"/>
  <c r="H124" i="62"/>
  <c r="I89" i="4"/>
  <c r="U89" i="4" s="1"/>
  <c r="H162" i="61"/>
  <c r="S162" i="61" s="1"/>
  <c r="K77" i="54"/>
  <c r="F85" i="54"/>
  <c r="F88" i="34"/>
  <c r="E337" i="29"/>
  <c r="D217" i="61"/>
  <c r="E179" i="61"/>
  <c r="I63" i="54"/>
  <c r="T92" i="61"/>
  <c r="T97" i="61" s="1"/>
  <c r="F98" i="34"/>
  <c r="E348" i="29"/>
  <c r="G69" i="2"/>
  <c r="H166" i="34"/>
  <c r="G668" i="29"/>
  <c r="K25" i="4"/>
  <c r="K16" i="54"/>
  <c r="L13" i="61"/>
  <c r="W13" i="61" s="1"/>
  <c r="K12" i="4"/>
  <c r="I173" i="4"/>
  <c r="G159" i="4"/>
  <c r="F62" i="62"/>
  <c r="K8" i="54"/>
  <c r="M56" i="61"/>
  <c r="X134" i="61" s="1"/>
  <c r="J69" i="2"/>
  <c r="G166" i="34"/>
  <c r="G162" i="4"/>
  <c r="I161" i="4"/>
  <c r="L61" i="4"/>
  <c r="J162" i="4"/>
  <c r="L7" i="54"/>
  <c r="L14" i="4"/>
  <c r="L12" i="54"/>
  <c r="J65" i="2"/>
  <c r="I337" i="29"/>
  <c r="G162" i="61"/>
  <c r="R162" i="61" s="1"/>
  <c r="R92" i="61"/>
  <c r="R97" i="61" s="1"/>
  <c r="I98" i="34"/>
  <c r="H348" i="29"/>
  <c r="L31" i="61"/>
  <c r="K30" i="4"/>
  <c r="K19" i="54"/>
  <c r="G16" i="2"/>
  <c r="G27" i="34"/>
  <c r="E20" i="69" s="1"/>
  <c r="H65" i="2"/>
  <c r="I88" i="34"/>
  <c r="H337" i="29"/>
  <c r="G161" i="4"/>
  <c r="J198" i="4"/>
  <c r="H22" i="61"/>
  <c r="H98" i="34"/>
  <c r="G348" i="29"/>
  <c r="I162" i="4"/>
  <c r="G88" i="34"/>
  <c r="F337" i="29"/>
  <c r="J161" i="4"/>
  <c r="L17" i="61"/>
  <c r="K60" i="4"/>
  <c r="G12" i="2"/>
  <c r="G16" i="34"/>
  <c r="J172" i="4"/>
  <c r="F22" i="61"/>
  <c r="F34" i="61" s="1"/>
  <c r="F39" i="61" s="1"/>
  <c r="F16" i="4"/>
  <c r="F10" i="54" s="1"/>
  <c r="J88" i="34"/>
  <c r="H202" i="4"/>
  <c r="C111" i="61"/>
  <c r="C116" i="61" s="1"/>
  <c r="C121" i="61" s="1"/>
  <c r="U92" i="61"/>
  <c r="U97" i="61" s="1"/>
  <c r="H162" i="4"/>
  <c r="F16" i="2"/>
  <c r="F27" i="34"/>
  <c r="I16" i="2"/>
  <c r="I27" i="34"/>
  <c r="G20" i="69" s="1"/>
  <c r="H161" i="4"/>
  <c r="J5" i="34"/>
  <c r="I69" i="2"/>
  <c r="H159" i="4"/>
  <c r="I159" i="4"/>
  <c r="F65" i="2"/>
  <c r="J159" i="4"/>
  <c r="F156" i="4"/>
  <c r="F118" i="2" s="1"/>
  <c r="F118" i="54"/>
  <c r="F69" i="2"/>
  <c r="H69" i="2"/>
  <c r="L8" i="58"/>
  <c r="I136" i="50"/>
  <c r="I199" i="4"/>
  <c r="H144" i="50"/>
  <c r="H208" i="4"/>
  <c r="I147" i="50"/>
  <c r="H118" i="51" s="1"/>
  <c r="I198" i="4"/>
  <c r="I144" i="50"/>
  <c r="I208" i="4"/>
  <c r="H136" i="50"/>
  <c r="H199" i="4"/>
  <c r="I130" i="50"/>
  <c r="I207" i="4"/>
  <c r="F63" i="54"/>
  <c r="F89" i="4"/>
  <c r="J204" i="4"/>
  <c r="G147" i="50"/>
  <c r="F118" i="51" s="1"/>
  <c r="G198" i="4"/>
  <c r="J202" i="4"/>
  <c r="G130" i="50"/>
  <c r="G207" i="4"/>
  <c r="H63" i="54"/>
  <c r="H89" i="4"/>
  <c r="G63" i="54"/>
  <c r="G89" i="4"/>
  <c r="G144" i="50"/>
  <c r="G208" i="4"/>
  <c r="H147" i="50"/>
  <c r="G118" i="51" s="1"/>
  <c r="H198" i="4"/>
  <c r="J205" i="4"/>
  <c r="G136" i="50"/>
  <c r="G199" i="4"/>
  <c r="H130" i="50"/>
  <c r="H207" i="4"/>
  <c r="J147" i="54"/>
  <c r="I118" i="62" s="1"/>
  <c r="J63" i="54"/>
  <c r="J89" i="4"/>
  <c r="V89" i="4" s="1"/>
  <c r="L23" i="57"/>
  <c r="M23" i="57" s="1"/>
  <c r="K15" i="58"/>
  <c r="L30" i="57"/>
  <c r="K19" i="58"/>
  <c r="K16" i="58"/>
  <c r="M27" i="57"/>
  <c r="I172" i="4"/>
  <c r="I30" i="34"/>
  <c r="G63" i="62"/>
  <c r="G109" i="62" s="1"/>
  <c r="M18" i="61"/>
  <c r="X18" i="61" s="1"/>
  <c r="L17" i="4"/>
  <c r="J130" i="54"/>
  <c r="J136" i="54"/>
  <c r="F179" i="61"/>
  <c r="F121" i="54"/>
  <c r="L30" i="54"/>
  <c r="K27" i="54"/>
  <c r="J133" i="54"/>
  <c r="L54" i="4"/>
  <c r="J26" i="62"/>
  <c r="K41" i="54"/>
  <c r="M15" i="61"/>
  <c r="X15" i="61" s="1"/>
  <c r="J144" i="50"/>
  <c r="J137" i="50"/>
  <c r="J147" i="50"/>
  <c r="I118" i="51" s="1"/>
  <c r="L55" i="49"/>
  <c r="M55" i="49" s="1"/>
  <c r="K30" i="50"/>
  <c r="K41" i="50"/>
  <c r="J26" i="51"/>
  <c r="L63" i="49"/>
  <c r="K24" i="50"/>
  <c r="H209" i="49"/>
  <c r="H133" i="50" s="1"/>
  <c r="I209" i="49"/>
  <c r="I133" i="50" s="1"/>
  <c r="G209" i="49"/>
  <c r="G80" i="50"/>
  <c r="F209" i="49"/>
  <c r="F80" i="50"/>
  <c r="F208" i="49"/>
  <c r="F91" i="50"/>
  <c r="F207" i="49"/>
  <c r="F77" i="50"/>
  <c r="F199" i="49"/>
  <c r="F83" i="50"/>
  <c r="F198" i="49"/>
  <c r="F94" i="50"/>
  <c r="L30" i="49"/>
  <c r="K19" i="50"/>
  <c r="L23" i="49"/>
  <c r="L15" i="50" s="1"/>
  <c r="K15" i="50"/>
  <c r="F169" i="49"/>
  <c r="F168" i="49"/>
  <c r="F70" i="50"/>
  <c r="F63" i="51"/>
  <c r="F109" i="51" s="1"/>
  <c r="G17" i="51"/>
  <c r="H17" i="51" s="1"/>
  <c r="I17" i="51" s="1"/>
  <c r="J17" i="51" s="1"/>
  <c r="K17" i="51" s="1"/>
  <c r="L17" i="51" s="1"/>
  <c r="M17" i="51" s="1"/>
  <c r="N17" i="51" s="1"/>
  <c r="O17" i="51" s="1"/>
  <c r="P17" i="51" s="1"/>
  <c r="F174" i="49"/>
  <c r="F72" i="50"/>
  <c r="L14" i="49"/>
  <c r="K12" i="50"/>
  <c r="L15" i="49"/>
  <c r="L11" i="49"/>
  <c r="M11" i="49" s="1"/>
  <c r="M7" i="50" s="1"/>
  <c r="K7" i="50"/>
  <c r="K8" i="50"/>
  <c r="F155" i="49"/>
  <c r="F62" i="50"/>
  <c r="F156" i="49"/>
  <c r="F118" i="50" s="1"/>
  <c r="F65" i="50"/>
  <c r="F157" i="49"/>
  <c r="F116" i="50" s="1"/>
  <c r="F63" i="50"/>
  <c r="F154" i="49"/>
  <c r="F61" i="50"/>
  <c r="E124" i="51"/>
  <c r="D52" i="52"/>
  <c r="D55" i="52" s="1"/>
  <c r="D56" i="52" s="1"/>
  <c r="E102" i="51"/>
  <c r="F102" i="51" s="1"/>
  <c r="G102" i="51" s="1"/>
  <c r="H102" i="51" s="1"/>
  <c r="I102" i="51" s="1"/>
  <c r="J102" i="51" s="1"/>
  <c r="K102" i="51" s="1"/>
  <c r="L102" i="51" s="1"/>
  <c r="M102" i="51" s="1"/>
  <c r="N102" i="51" s="1"/>
  <c r="O102" i="51" s="1"/>
  <c r="P102" i="51" s="1"/>
  <c r="D36" i="51"/>
  <c r="D126" i="51"/>
  <c r="E125" i="51"/>
  <c r="F125" i="51" s="1"/>
  <c r="G125" i="51" s="1"/>
  <c r="H125" i="51" s="1"/>
  <c r="I125" i="51" s="1"/>
  <c r="J125" i="51" s="1"/>
  <c r="K125" i="51" s="1"/>
  <c r="L125" i="51" s="1"/>
  <c r="M125" i="51" s="1"/>
  <c r="N125" i="51" s="1"/>
  <c r="O125" i="51" s="1"/>
  <c r="P125" i="51" s="1"/>
  <c r="D21" i="51"/>
  <c r="D99" i="51"/>
  <c r="E44" i="50"/>
  <c r="E87" i="50"/>
  <c r="E73" i="50"/>
  <c r="F166" i="57"/>
  <c r="F151" i="57"/>
  <c r="F118" i="58" s="1"/>
  <c r="F65" i="58"/>
  <c r="F167" i="57"/>
  <c r="H123" i="58"/>
  <c r="H122" i="58"/>
  <c r="J125" i="58"/>
  <c r="I123" i="58"/>
  <c r="I122" i="58"/>
  <c r="I125" i="58"/>
  <c r="I121" i="58"/>
  <c r="J123" i="58"/>
  <c r="J122" i="58"/>
  <c r="H125" i="58"/>
  <c r="G123" i="58"/>
  <c r="G125" i="58"/>
  <c r="G122" i="58"/>
  <c r="F125" i="58"/>
  <c r="F122" i="58"/>
  <c r="F123" i="58"/>
  <c r="H114" i="58"/>
  <c r="H118" i="58"/>
  <c r="I114" i="58"/>
  <c r="I115" i="58"/>
  <c r="I118" i="58"/>
  <c r="J113" i="58"/>
  <c r="J115" i="58"/>
  <c r="J118" i="58"/>
  <c r="H115" i="58"/>
  <c r="I113" i="58"/>
  <c r="G114" i="58"/>
  <c r="G113" i="58"/>
  <c r="G118" i="58"/>
  <c r="G115" i="58"/>
  <c r="F114" i="58"/>
  <c r="F115" i="58"/>
  <c r="F113" i="58"/>
  <c r="J85" i="58"/>
  <c r="J32" i="58"/>
  <c r="F15" i="59"/>
  <c r="G15" i="59" s="1"/>
  <c r="H15" i="59" s="1"/>
  <c r="F30" i="58"/>
  <c r="F24" i="58"/>
  <c r="I38" i="58"/>
  <c r="F135" i="57"/>
  <c r="F27" i="58"/>
  <c r="K31" i="58"/>
  <c r="G24" i="58"/>
  <c r="J38" i="58"/>
  <c r="H30" i="58"/>
  <c r="H24" i="58"/>
  <c r="F189" i="57"/>
  <c r="F32" i="58"/>
  <c r="F16" i="59"/>
  <c r="G16" i="59" s="1"/>
  <c r="H16" i="59" s="1"/>
  <c r="I16" i="59" s="1"/>
  <c r="J16" i="59" s="1"/>
  <c r="G41" i="58"/>
  <c r="F26" i="59"/>
  <c r="J30" i="58"/>
  <c r="I26" i="59"/>
  <c r="I28" i="59" s="1"/>
  <c r="J41" i="58"/>
  <c r="I30" i="58"/>
  <c r="G32" i="58"/>
  <c r="H41" i="58"/>
  <c r="G26" i="59"/>
  <c r="F38" i="58"/>
  <c r="H38" i="58"/>
  <c r="F41" i="58"/>
  <c r="I24" i="58"/>
  <c r="I41" i="58"/>
  <c r="H26" i="59"/>
  <c r="H28" i="59" s="1"/>
  <c r="G38" i="58"/>
  <c r="E67" i="59"/>
  <c r="L25" i="57"/>
  <c r="D46" i="61"/>
  <c r="D50" i="61" s="1"/>
  <c r="E109" i="61"/>
  <c r="B41" i="61"/>
  <c r="B70" i="61"/>
  <c r="B106" i="49"/>
  <c r="C106" i="49"/>
  <c r="B163" i="49"/>
  <c r="B175" i="49"/>
  <c r="D69" i="49"/>
  <c r="D33" i="49"/>
  <c r="D38" i="49" s="1"/>
  <c r="AE31" i="49"/>
  <c r="K25" i="49"/>
  <c r="K16" i="50" s="1"/>
  <c r="C33" i="49"/>
  <c r="C38" i="49" s="1"/>
  <c r="I21" i="49"/>
  <c r="I33" i="49" s="1"/>
  <c r="I38" i="49" s="1"/>
  <c r="I10" i="52" s="1"/>
  <c r="D181" i="61"/>
  <c r="D186" i="61" s="1"/>
  <c r="G21" i="49"/>
  <c r="G33" i="49" s="1"/>
  <c r="G38" i="49" s="1"/>
  <c r="I158" i="49"/>
  <c r="I158" i="4" s="1"/>
  <c r="C163" i="49"/>
  <c r="D165" i="57"/>
  <c r="G16" i="57"/>
  <c r="G10" i="58" s="1"/>
  <c r="K4" i="57"/>
  <c r="D113" i="62"/>
  <c r="J199" i="49"/>
  <c r="J199" i="4" s="1"/>
  <c r="F106" i="49"/>
  <c r="F167" i="49"/>
  <c r="F167" i="4" s="1"/>
  <c r="AE21" i="49"/>
  <c r="B94" i="49"/>
  <c r="B108" i="49" s="1"/>
  <c r="B113" i="49" s="1"/>
  <c r="B120" i="49" s="1"/>
  <c r="B124" i="49" s="1"/>
  <c r="D200" i="49"/>
  <c r="E217" i="61"/>
  <c r="D111" i="61"/>
  <c r="D116" i="61" s="1"/>
  <c r="B181" i="61"/>
  <c r="B186" i="61" s="1"/>
  <c r="B217" i="61" s="1"/>
  <c r="F16" i="57"/>
  <c r="E126" i="57"/>
  <c r="B90" i="57"/>
  <c r="E194" i="57"/>
  <c r="D169" i="57"/>
  <c r="E148" i="58"/>
  <c r="J149" i="57"/>
  <c r="I66" i="57"/>
  <c r="G165" i="57"/>
  <c r="G63" i="51"/>
  <c r="G109" i="51" s="1"/>
  <c r="J158" i="49"/>
  <c r="J158" i="4" s="1"/>
  <c r="H21" i="49"/>
  <c r="H33" i="49" s="1"/>
  <c r="H38" i="49" s="1"/>
  <c r="H10" i="52" s="1"/>
  <c r="F66" i="49"/>
  <c r="I32" i="50"/>
  <c r="G158" i="49"/>
  <c r="F56" i="49"/>
  <c r="I66" i="49"/>
  <c r="H158" i="49"/>
  <c r="C100" i="63"/>
  <c r="C89" i="63"/>
  <c r="C90" i="63" s="1"/>
  <c r="G71" i="62"/>
  <c r="E82" i="62"/>
  <c r="G107" i="62"/>
  <c r="G77" i="62"/>
  <c r="H63" i="62"/>
  <c r="J61" i="62"/>
  <c r="E120" i="62"/>
  <c r="E128" i="62" s="1"/>
  <c r="F117" i="62"/>
  <c r="I31" i="62"/>
  <c r="D82" i="62"/>
  <c r="D128" i="62" s="1"/>
  <c r="E58" i="62"/>
  <c r="E67" i="62" s="1"/>
  <c r="G123" i="62"/>
  <c r="I15" i="62"/>
  <c r="E104" i="62"/>
  <c r="E113" i="62" s="1"/>
  <c r="I25" i="62"/>
  <c r="E148" i="61"/>
  <c r="E157" i="61"/>
  <c r="E167" i="61" s="1"/>
  <c r="E97" i="61"/>
  <c r="F162" i="61"/>
  <c r="F158" i="4" s="1"/>
  <c r="F97" i="61"/>
  <c r="F111" i="61" s="1"/>
  <c r="F116" i="61" s="1"/>
  <c r="F44" i="63" s="1"/>
  <c r="F199" i="61"/>
  <c r="F135" i="61"/>
  <c r="F148" i="61" s="1"/>
  <c r="F150" i="61" s="1"/>
  <c r="G149" i="61" s="1"/>
  <c r="B111" i="61"/>
  <c r="B116" i="61" s="1"/>
  <c r="F214" i="61"/>
  <c r="E72" i="61"/>
  <c r="M12" i="61"/>
  <c r="X12" i="61" s="1"/>
  <c r="L4" i="61"/>
  <c r="C118" i="61"/>
  <c r="C89" i="60"/>
  <c r="C90" i="60" s="1"/>
  <c r="D128" i="59"/>
  <c r="D129" i="59" s="1"/>
  <c r="D136" i="59" s="1"/>
  <c r="D83" i="59"/>
  <c r="D90" i="59" s="1"/>
  <c r="E36" i="59"/>
  <c r="E37" i="59" s="1"/>
  <c r="E44" i="59" s="1"/>
  <c r="I8" i="59"/>
  <c r="E104" i="59"/>
  <c r="E113" i="59" s="1"/>
  <c r="F100" i="59"/>
  <c r="E117" i="59"/>
  <c r="F71" i="59"/>
  <c r="E74" i="59"/>
  <c r="E82" i="59" s="1"/>
  <c r="E83" i="59" s="1"/>
  <c r="E90" i="59" s="1"/>
  <c r="G77" i="59"/>
  <c r="G54" i="59"/>
  <c r="G123" i="59"/>
  <c r="C101" i="58"/>
  <c r="C105" i="58" s="1"/>
  <c r="C140" i="58"/>
  <c r="C150" i="58" s="1"/>
  <c r="C154" i="58" s="1"/>
  <c r="C158" i="58" s="1"/>
  <c r="E87" i="58"/>
  <c r="E97" i="58" s="1"/>
  <c r="E101" i="58" s="1"/>
  <c r="E130" i="58"/>
  <c r="E140" i="58" s="1"/>
  <c r="E44" i="58"/>
  <c r="E48" i="58" s="1"/>
  <c r="E148" i="57"/>
  <c r="E158" i="57" s="1"/>
  <c r="E90" i="57"/>
  <c r="E21" i="57"/>
  <c r="H85" i="58"/>
  <c r="H56" i="57"/>
  <c r="G56" i="57"/>
  <c r="AE21" i="57"/>
  <c r="AE31" i="57"/>
  <c r="I56" i="57"/>
  <c r="I85" i="58"/>
  <c r="H16" i="57"/>
  <c r="I196" i="57"/>
  <c r="E161" i="57"/>
  <c r="E169" i="57" s="1"/>
  <c r="E101" i="57"/>
  <c r="H148" i="57"/>
  <c r="D69" i="57"/>
  <c r="G161" i="57"/>
  <c r="G101" i="57"/>
  <c r="B207" i="57"/>
  <c r="I197" i="57"/>
  <c r="F196" i="57"/>
  <c r="N27" i="57"/>
  <c r="C69" i="57"/>
  <c r="C71" i="57" s="1"/>
  <c r="D70" i="57" s="1"/>
  <c r="C40" i="57"/>
  <c r="C43" i="57"/>
  <c r="B40" i="57"/>
  <c r="C45" i="57"/>
  <c r="C49" i="57" s="1"/>
  <c r="J66" i="57"/>
  <c r="H161" i="57"/>
  <c r="H101" i="57"/>
  <c r="F198" i="57"/>
  <c r="J77" i="58"/>
  <c r="J191" i="57"/>
  <c r="M11" i="57"/>
  <c r="M7" i="58" s="1"/>
  <c r="D45" i="57"/>
  <c r="D49" i="57" s="1"/>
  <c r="D40" i="57"/>
  <c r="D43" i="57"/>
  <c r="B132" i="57"/>
  <c r="B101" i="57"/>
  <c r="B103" i="57" s="1"/>
  <c r="B108" i="57" s="1"/>
  <c r="E31" i="57"/>
  <c r="H66" i="57"/>
  <c r="F101" i="57"/>
  <c r="J165" i="57"/>
  <c r="J200" i="57"/>
  <c r="C171" i="57"/>
  <c r="C176" i="57" s="1"/>
  <c r="F56" i="57"/>
  <c r="C90" i="57"/>
  <c r="E197" i="57"/>
  <c r="E204" i="57" s="1"/>
  <c r="E136" i="57"/>
  <c r="J31" i="57"/>
  <c r="E66" i="57"/>
  <c r="E69" i="57" s="1"/>
  <c r="D90" i="57"/>
  <c r="C101" i="57"/>
  <c r="J189" i="57"/>
  <c r="D158" i="57"/>
  <c r="I16" i="57"/>
  <c r="F66" i="57"/>
  <c r="D101" i="57"/>
  <c r="I101" i="57"/>
  <c r="D136" i="57"/>
  <c r="D139" i="57" s="1"/>
  <c r="D200" i="57"/>
  <c r="D204" i="57" s="1"/>
  <c r="J16" i="57"/>
  <c r="J56" i="57"/>
  <c r="G66" i="57"/>
  <c r="I200" i="57"/>
  <c r="I165" i="57"/>
  <c r="J101" i="57"/>
  <c r="J161" i="57"/>
  <c r="F161" i="57"/>
  <c r="H200" i="57"/>
  <c r="B52" i="54"/>
  <c r="C46" i="54"/>
  <c r="C48" i="54" s="1"/>
  <c r="C52" i="54" s="1"/>
  <c r="C99" i="54"/>
  <c r="B105" i="54"/>
  <c r="D73" i="54"/>
  <c r="D97" i="54" s="1"/>
  <c r="D101" i="54" s="1"/>
  <c r="E73" i="54"/>
  <c r="C87" i="54"/>
  <c r="E87" i="54"/>
  <c r="D113" i="54"/>
  <c r="D126" i="54" s="1"/>
  <c r="C130" i="54"/>
  <c r="E131" i="54"/>
  <c r="E140" i="54" s="1"/>
  <c r="D52" i="54"/>
  <c r="E113" i="54"/>
  <c r="E126" i="54" s="1"/>
  <c r="C73" i="54"/>
  <c r="C97" i="54" s="1"/>
  <c r="C101" i="54" s="1"/>
  <c r="D131" i="54"/>
  <c r="D140" i="54" s="1"/>
  <c r="C136" i="54"/>
  <c r="C156" i="54" s="1"/>
  <c r="C103" i="54"/>
  <c r="C59" i="52"/>
  <c r="C61" i="52" s="1"/>
  <c r="C52" i="52"/>
  <c r="C55" i="52" s="1"/>
  <c r="C56" i="52" s="1"/>
  <c r="L66" i="52"/>
  <c r="N66" i="52"/>
  <c r="O66" i="52"/>
  <c r="D66" i="52"/>
  <c r="D89" i="52"/>
  <c r="D90" i="52" s="1"/>
  <c r="F66" i="52"/>
  <c r="E66" i="52"/>
  <c r="M66" i="52"/>
  <c r="I88" i="52"/>
  <c r="I100" i="52" s="1"/>
  <c r="D93" i="52"/>
  <c r="D95" i="52" s="1"/>
  <c r="C37" i="51"/>
  <c r="C44" i="51" s="1"/>
  <c r="E72" i="51"/>
  <c r="E28" i="51"/>
  <c r="E36" i="51" s="1"/>
  <c r="E100" i="51"/>
  <c r="E58" i="51"/>
  <c r="D37" i="51"/>
  <c r="D44" i="51" s="1"/>
  <c r="G25" i="51"/>
  <c r="E107" i="51"/>
  <c r="E19" i="51"/>
  <c r="E103" i="51"/>
  <c r="F103" i="51" s="1"/>
  <c r="G103" i="51" s="1"/>
  <c r="H103" i="51" s="1"/>
  <c r="I103" i="51" s="1"/>
  <c r="J103" i="51" s="1"/>
  <c r="K103" i="51" s="1"/>
  <c r="L103" i="51" s="1"/>
  <c r="M103" i="51" s="1"/>
  <c r="N103" i="51" s="1"/>
  <c r="O103" i="51" s="1"/>
  <c r="P103" i="51" s="1"/>
  <c r="F57" i="51"/>
  <c r="G57" i="51" s="1"/>
  <c r="H57" i="51" s="1"/>
  <c r="I57" i="51" s="1"/>
  <c r="J57" i="51" s="1"/>
  <c r="K57" i="51" s="1"/>
  <c r="L57" i="51" s="1"/>
  <c r="M57" i="51" s="1"/>
  <c r="N57" i="51" s="1"/>
  <c r="O57" i="51" s="1"/>
  <c r="P57" i="51" s="1"/>
  <c r="F15" i="51"/>
  <c r="G15" i="51" s="1"/>
  <c r="H15" i="51" s="1"/>
  <c r="I15" i="51" s="1"/>
  <c r="J15" i="51" s="1"/>
  <c r="K15" i="51" s="1"/>
  <c r="L15" i="51" s="1"/>
  <c r="M15" i="51" s="1"/>
  <c r="D120" i="51"/>
  <c r="G31" i="51"/>
  <c r="C129" i="51"/>
  <c r="C136" i="51" s="1"/>
  <c r="D111" i="51"/>
  <c r="D65" i="51"/>
  <c r="D67" i="51" s="1"/>
  <c r="E62" i="51"/>
  <c r="F62" i="51" s="1"/>
  <c r="E71" i="51"/>
  <c r="D88" i="51"/>
  <c r="D132" i="51"/>
  <c r="D134" i="51" s="1"/>
  <c r="E12" i="51"/>
  <c r="F123" i="51"/>
  <c r="D80" i="51"/>
  <c r="D74" i="51"/>
  <c r="F77" i="51"/>
  <c r="E80" i="51"/>
  <c r="D104" i="51"/>
  <c r="E46" i="50"/>
  <c r="D52" i="50"/>
  <c r="D126" i="50"/>
  <c r="C140" i="50"/>
  <c r="C126" i="50"/>
  <c r="E126" i="50"/>
  <c r="B52" i="50"/>
  <c r="C46" i="50"/>
  <c r="C48" i="50" s="1"/>
  <c r="C52" i="50" s="1"/>
  <c r="C152" i="50"/>
  <c r="B158" i="50"/>
  <c r="D73" i="50"/>
  <c r="D130" i="50"/>
  <c r="D140" i="50" s="1"/>
  <c r="E130" i="50"/>
  <c r="E140" i="50" s="1"/>
  <c r="G131" i="50"/>
  <c r="O131" i="50"/>
  <c r="C103" i="50"/>
  <c r="C45" i="49"/>
  <c r="C49" i="49" s="1"/>
  <c r="C69" i="49"/>
  <c r="C71" i="49" s="1"/>
  <c r="D70" i="49" s="1"/>
  <c r="C40" i="49"/>
  <c r="C43" i="49"/>
  <c r="D45" i="49"/>
  <c r="D49" i="49" s="1"/>
  <c r="E84" i="49"/>
  <c r="E94" i="49" s="1"/>
  <c r="E21" i="49"/>
  <c r="B43" i="49"/>
  <c r="B45" i="49"/>
  <c r="B49" i="49" s="1"/>
  <c r="B69" i="49"/>
  <c r="D167" i="49"/>
  <c r="D175" i="49" s="1"/>
  <c r="D106" i="49"/>
  <c r="F131" i="49"/>
  <c r="F195" i="49"/>
  <c r="E171" i="49"/>
  <c r="E175" i="49" s="1"/>
  <c r="E62" i="49"/>
  <c r="F153" i="49"/>
  <c r="D137" i="49"/>
  <c r="D141" i="49" s="1"/>
  <c r="D144" i="49" s="1"/>
  <c r="H141" i="49"/>
  <c r="H32" i="50"/>
  <c r="D210" i="49"/>
  <c r="D213" i="49" s="1"/>
  <c r="G66" i="49"/>
  <c r="H66" i="49"/>
  <c r="K62" i="49"/>
  <c r="L27" i="49"/>
  <c r="J32" i="50"/>
  <c r="J66" i="49"/>
  <c r="J21" i="49"/>
  <c r="K59" i="49"/>
  <c r="K59" i="4" s="1"/>
  <c r="K65" i="49"/>
  <c r="K16" i="51" s="1"/>
  <c r="E202" i="49"/>
  <c r="F21" i="49"/>
  <c r="F202" i="49"/>
  <c r="F202" i="4" s="1"/>
  <c r="F141" i="49"/>
  <c r="G141" i="49"/>
  <c r="G202" i="49"/>
  <c r="G202" i="4" s="1"/>
  <c r="C94" i="49"/>
  <c r="C108" i="49" s="1"/>
  <c r="C113" i="49" s="1"/>
  <c r="D163" i="49"/>
  <c r="I202" i="49"/>
  <c r="I202" i="4" s="1"/>
  <c r="I141" i="49"/>
  <c r="F203" i="49"/>
  <c r="F203" i="4" s="1"/>
  <c r="F158" i="49"/>
  <c r="D94" i="49"/>
  <c r="E131" i="49"/>
  <c r="J203" i="49"/>
  <c r="E197" i="49"/>
  <c r="E200" i="49" s="1"/>
  <c r="C175" i="49"/>
  <c r="J207" i="49"/>
  <c r="J207" i="4" s="1"/>
  <c r="S89" i="4" l="1"/>
  <c r="F77" i="68"/>
  <c r="E77" i="68"/>
  <c r="H77" i="68"/>
  <c r="G137" i="68"/>
  <c r="G74" i="68"/>
  <c r="W27" i="61"/>
  <c r="M27" i="61"/>
  <c r="E41" i="61"/>
  <c r="E44" i="61"/>
  <c r="E10" i="63"/>
  <c r="E6" i="63" s="1"/>
  <c r="U99" i="4"/>
  <c r="T89" i="4"/>
  <c r="L16" i="54"/>
  <c r="K12" i="2"/>
  <c r="H10" i="54"/>
  <c r="J10" i="54"/>
  <c r="I10" i="54"/>
  <c r="E139" i="57"/>
  <c r="E48" i="50"/>
  <c r="C152" i="54"/>
  <c r="W28" i="61"/>
  <c r="M28" i="61"/>
  <c r="J54" i="66" s="1"/>
  <c r="L27" i="4"/>
  <c r="C193" i="61"/>
  <c r="C197" i="61" s="1"/>
  <c r="C191" i="61"/>
  <c r="C188" i="61"/>
  <c r="C148" i="61"/>
  <c r="C150" i="61" s="1"/>
  <c r="D149" i="61" s="1"/>
  <c r="D150" i="61" s="1"/>
  <c r="E149" i="61" s="1"/>
  <c r="E150" i="61" s="1"/>
  <c r="W17" i="61"/>
  <c r="F70" i="61"/>
  <c r="F72" i="61" s="1"/>
  <c r="G71" i="61" s="1"/>
  <c r="I166" i="34"/>
  <c r="L15" i="4"/>
  <c r="F46" i="54"/>
  <c r="M31" i="61"/>
  <c r="W31" i="61"/>
  <c r="J33" i="49"/>
  <c r="J38" i="49" s="1"/>
  <c r="J10" i="52" s="1"/>
  <c r="K62" i="4"/>
  <c r="D43" i="49"/>
  <c r="D10" i="52"/>
  <c r="E126" i="51"/>
  <c r="F115" i="50"/>
  <c r="F155" i="4"/>
  <c r="L11" i="4"/>
  <c r="M16" i="61"/>
  <c r="W16" i="61"/>
  <c r="B45" i="57"/>
  <c r="B49" i="57" s="1"/>
  <c r="B43" i="57"/>
  <c r="H16" i="60"/>
  <c r="H18" i="60" s="1"/>
  <c r="H21" i="60" s="1"/>
  <c r="H22" i="60" s="1"/>
  <c r="G41" i="59"/>
  <c r="C99" i="50"/>
  <c r="C101" i="50" s="1"/>
  <c r="C105" i="50" s="1"/>
  <c r="B69" i="57"/>
  <c r="B181" i="57"/>
  <c r="C123" i="61"/>
  <c r="C127" i="61" s="1"/>
  <c r="E111" i="61"/>
  <c r="E116" i="61" s="1"/>
  <c r="E44" i="63" s="1"/>
  <c r="E129" i="62"/>
  <c r="J203" i="4"/>
  <c r="I668" i="29"/>
  <c r="G84" i="63"/>
  <c r="G86" i="63" s="1"/>
  <c r="G89" i="63" s="1"/>
  <c r="G90" i="63" s="1"/>
  <c r="F133" i="62"/>
  <c r="H84" i="60"/>
  <c r="H86" i="60" s="1"/>
  <c r="H89" i="60" s="1"/>
  <c r="H90" i="60" s="1"/>
  <c r="G133" i="59"/>
  <c r="J50" i="60"/>
  <c r="J52" i="60" s="1"/>
  <c r="J55" i="60" s="1"/>
  <c r="J56" i="60" s="1"/>
  <c r="I87" i="59"/>
  <c r="N27" i="61"/>
  <c r="N26" i="4" s="1"/>
  <c r="X27" i="61"/>
  <c r="N96" i="57"/>
  <c r="N164" i="57" s="1"/>
  <c r="O26" i="57"/>
  <c r="K24" i="49"/>
  <c r="L24" i="49" s="1"/>
  <c r="M24" i="49" s="1"/>
  <c r="N24" i="49" s="1"/>
  <c r="O24" i="49" s="1"/>
  <c r="P24" i="49" s="1"/>
  <c r="J17" i="50"/>
  <c r="J31" i="49"/>
  <c r="J24" i="4"/>
  <c r="V99" i="4" s="1"/>
  <c r="H50" i="63"/>
  <c r="H52" i="63" s="1"/>
  <c r="H55" i="63" s="1"/>
  <c r="H56" i="63" s="1"/>
  <c r="G87" i="62"/>
  <c r="G110" i="51"/>
  <c r="H110" i="51" s="1"/>
  <c r="I110" i="51" s="1"/>
  <c r="J110" i="51" s="1"/>
  <c r="C177" i="49"/>
  <c r="C182" i="49" s="1"/>
  <c r="C184" i="49" s="1"/>
  <c r="F113" i="50"/>
  <c r="F153" i="4"/>
  <c r="B183" i="57"/>
  <c r="B187" i="57" s="1"/>
  <c r="M26" i="4"/>
  <c r="H16" i="63"/>
  <c r="H18" i="63" s="1"/>
  <c r="H21" i="63" s="1"/>
  <c r="H22" i="63" s="1"/>
  <c r="G41" i="62"/>
  <c r="G50" i="52"/>
  <c r="G52" i="52" s="1"/>
  <c r="G55" i="52" s="1"/>
  <c r="G56" i="52" s="1"/>
  <c r="F87" i="51"/>
  <c r="G84" i="52"/>
  <c r="G86" i="52" s="1"/>
  <c r="G89" i="52" s="1"/>
  <c r="G90" i="52" s="1"/>
  <c r="F133" i="51"/>
  <c r="N14" i="57"/>
  <c r="M12" i="58"/>
  <c r="M23" i="49"/>
  <c r="M15" i="50" s="1"/>
  <c r="D97" i="50"/>
  <c r="D101" i="50" s="1"/>
  <c r="D105" i="50" s="1"/>
  <c r="G62" i="51"/>
  <c r="H62" i="51" s="1"/>
  <c r="I62" i="51" s="1"/>
  <c r="J62" i="51" s="1"/>
  <c r="E207" i="57"/>
  <c r="D207" i="57"/>
  <c r="L4" i="57"/>
  <c r="D71" i="57"/>
  <c r="E70" i="57" s="1"/>
  <c r="I15" i="59"/>
  <c r="E97" i="50"/>
  <c r="N28" i="61"/>
  <c r="K54" i="66" s="1"/>
  <c r="X28" i="61"/>
  <c r="J18" i="29"/>
  <c r="K19" i="34"/>
  <c r="C89" i="52"/>
  <c r="C90" i="52" s="1"/>
  <c r="H16" i="52"/>
  <c r="H18" i="52" s="1"/>
  <c r="H21" i="52" s="1"/>
  <c r="H22" i="52" s="1"/>
  <c r="G41" i="51"/>
  <c r="G7" i="34"/>
  <c r="L12" i="2"/>
  <c r="M55" i="4"/>
  <c r="L55" i="4"/>
  <c r="M30" i="54"/>
  <c r="K65" i="4"/>
  <c r="N56" i="61"/>
  <c r="Y134" i="61" s="1"/>
  <c r="F195" i="4"/>
  <c r="I124" i="62"/>
  <c r="H158" i="4"/>
  <c r="F657" i="29"/>
  <c r="G156" i="34"/>
  <c r="M7" i="54"/>
  <c r="M11" i="4"/>
  <c r="H7" i="34"/>
  <c r="I156" i="34"/>
  <c r="H657" i="29"/>
  <c r="M13" i="61"/>
  <c r="X13" i="61" s="1"/>
  <c r="L8" i="54"/>
  <c r="D121" i="61"/>
  <c r="D44" i="63"/>
  <c r="I7" i="34"/>
  <c r="J7" i="34"/>
  <c r="H156" i="34"/>
  <c r="G657" i="29"/>
  <c r="G158" i="4"/>
  <c r="D219" i="61"/>
  <c r="E218" i="61" s="1"/>
  <c r="E219" i="61" s="1"/>
  <c r="L19" i="34"/>
  <c r="K18" i="29"/>
  <c r="M61" i="4"/>
  <c r="M12" i="54"/>
  <c r="E181" i="61"/>
  <c r="E186" i="61" s="1"/>
  <c r="E78" i="63" s="1"/>
  <c r="J156" i="34"/>
  <c r="I657" i="29"/>
  <c r="L60" i="4"/>
  <c r="L30" i="4"/>
  <c r="L19" i="54"/>
  <c r="M16" i="54"/>
  <c r="K28" i="34"/>
  <c r="M8" i="58"/>
  <c r="L8" i="50"/>
  <c r="L12" i="4"/>
  <c r="F123" i="50"/>
  <c r="F168" i="4"/>
  <c r="F122" i="50"/>
  <c r="F169" i="4"/>
  <c r="F122" i="2" s="1"/>
  <c r="F125" i="50"/>
  <c r="F174" i="4"/>
  <c r="F114" i="50"/>
  <c r="F154" i="4"/>
  <c r="F147" i="50"/>
  <c r="F198" i="4"/>
  <c r="F133" i="50"/>
  <c r="F209" i="4"/>
  <c r="F130" i="50"/>
  <c r="F207" i="4"/>
  <c r="I209" i="4"/>
  <c r="F136" i="50"/>
  <c r="F199" i="4"/>
  <c r="F144" i="50"/>
  <c r="F208" i="4"/>
  <c r="H209" i="4"/>
  <c r="G133" i="50"/>
  <c r="G209" i="4"/>
  <c r="M15" i="58"/>
  <c r="M30" i="57"/>
  <c r="L19" i="58"/>
  <c r="M25" i="57"/>
  <c r="L16" i="58"/>
  <c r="L15" i="58"/>
  <c r="J32" i="62"/>
  <c r="D188" i="61"/>
  <c r="D78" i="63"/>
  <c r="D193" i="61"/>
  <c r="D197" i="61" s="1"/>
  <c r="D191" i="61"/>
  <c r="N18" i="61"/>
  <c r="Y18" i="61" s="1"/>
  <c r="M17" i="4"/>
  <c r="K130" i="54"/>
  <c r="L27" i="54"/>
  <c r="F167" i="61"/>
  <c r="F181" i="61" s="1"/>
  <c r="F186" i="61" s="1"/>
  <c r="F78" i="63" s="1"/>
  <c r="F116" i="54"/>
  <c r="M54" i="4"/>
  <c r="K26" i="62"/>
  <c r="L41" i="54"/>
  <c r="F204" i="61"/>
  <c r="F217" i="61" s="1"/>
  <c r="F219" i="61" s="1"/>
  <c r="G218" i="61" s="1"/>
  <c r="F138" i="54"/>
  <c r="F108" i="62"/>
  <c r="N15" i="61"/>
  <c r="Y15" i="61" s="1"/>
  <c r="F41" i="61"/>
  <c r="F10" i="63"/>
  <c r="J130" i="50"/>
  <c r="J72" i="51"/>
  <c r="K94" i="50"/>
  <c r="J136" i="50"/>
  <c r="L65" i="49"/>
  <c r="L65" i="4" s="1"/>
  <c r="K27" i="50"/>
  <c r="J32" i="51"/>
  <c r="L41" i="50"/>
  <c r="K26" i="51"/>
  <c r="M63" i="49"/>
  <c r="L24" i="50"/>
  <c r="L30" i="50"/>
  <c r="G32" i="50"/>
  <c r="F200" i="49"/>
  <c r="F138" i="50"/>
  <c r="L25" i="49"/>
  <c r="M30" i="49"/>
  <c r="L19" i="50"/>
  <c r="F175" i="49"/>
  <c r="F121" i="50"/>
  <c r="M15" i="49"/>
  <c r="M14" i="49"/>
  <c r="M14" i="4" s="1"/>
  <c r="L12" i="50"/>
  <c r="M8" i="50"/>
  <c r="L7" i="50"/>
  <c r="G43" i="49"/>
  <c r="G10" i="52"/>
  <c r="E65" i="51"/>
  <c r="E156" i="50"/>
  <c r="E33" i="49"/>
  <c r="E38" i="49" s="1"/>
  <c r="E10" i="52" s="1"/>
  <c r="N15" i="51"/>
  <c r="E104" i="51"/>
  <c r="E21" i="51"/>
  <c r="E37" i="51" s="1"/>
  <c r="D150" i="50"/>
  <c r="D154" i="50" s="1"/>
  <c r="D158" i="50" s="1"/>
  <c r="I169" i="57"/>
  <c r="J121" i="58"/>
  <c r="H169" i="57"/>
  <c r="H121" i="58"/>
  <c r="G121" i="58"/>
  <c r="F169" i="57"/>
  <c r="F121" i="58"/>
  <c r="H113" i="58"/>
  <c r="J114" i="58"/>
  <c r="J138" i="58"/>
  <c r="G21" i="57"/>
  <c r="G33" i="57" s="1"/>
  <c r="G38" i="57" s="1"/>
  <c r="G43" i="57" s="1"/>
  <c r="F126" i="57"/>
  <c r="G202" i="57"/>
  <c r="G144" i="58" s="1"/>
  <c r="G91" i="58"/>
  <c r="F201" i="57"/>
  <c r="F130" i="58" s="1"/>
  <c r="F77" i="58"/>
  <c r="J21" i="57"/>
  <c r="J33" i="57" s="1"/>
  <c r="J38" i="57" s="1"/>
  <c r="J10" i="58"/>
  <c r="G193" i="57"/>
  <c r="G83" i="58"/>
  <c r="G28" i="59"/>
  <c r="J202" i="57"/>
  <c r="J144" i="58" s="1"/>
  <c r="J91" i="58"/>
  <c r="I202" i="57"/>
  <c r="I144" i="58" s="1"/>
  <c r="I91" i="58"/>
  <c r="F192" i="57"/>
  <c r="F147" i="58" s="1"/>
  <c r="F94" i="58"/>
  <c r="H192" i="57"/>
  <c r="H94" i="58"/>
  <c r="G72" i="59"/>
  <c r="I192" i="57"/>
  <c r="I94" i="58"/>
  <c r="H72" i="59"/>
  <c r="H202" i="57"/>
  <c r="H144" i="58" s="1"/>
  <c r="H91" i="58"/>
  <c r="G189" i="57"/>
  <c r="G138" i="58" s="1"/>
  <c r="G85" i="58"/>
  <c r="J193" i="57"/>
  <c r="J136" i="58" s="1"/>
  <c r="J83" i="58"/>
  <c r="H201" i="57"/>
  <c r="H130" i="58" s="1"/>
  <c r="H77" i="58"/>
  <c r="L31" i="58"/>
  <c r="I72" i="59"/>
  <c r="J94" i="58"/>
  <c r="H21" i="57"/>
  <c r="H33" i="57" s="1"/>
  <c r="H38" i="57" s="1"/>
  <c r="H40" i="57" s="1"/>
  <c r="H10" i="58"/>
  <c r="I153" i="57"/>
  <c r="I63" i="58"/>
  <c r="F193" i="57"/>
  <c r="F61" i="59"/>
  <c r="G61" i="59" s="1"/>
  <c r="F83" i="58"/>
  <c r="I21" i="57"/>
  <c r="I33" i="57" s="1"/>
  <c r="I38" i="57" s="1"/>
  <c r="I40" i="57" s="1"/>
  <c r="I10" i="58"/>
  <c r="G201" i="57"/>
  <c r="G130" i="58" s="1"/>
  <c r="G77" i="58"/>
  <c r="G136" i="57"/>
  <c r="F32" i="59"/>
  <c r="G32" i="59" s="1"/>
  <c r="H32" i="59" s="1"/>
  <c r="I32" i="59" s="1"/>
  <c r="H193" i="57"/>
  <c r="H136" i="58" s="1"/>
  <c r="H83" i="58"/>
  <c r="F203" i="57"/>
  <c r="F133" i="58" s="1"/>
  <c r="F80" i="58"/>
  <c r="F138" i="58"/>
  <c r="F62" i="59"/>
  <c r="G62" i="59" s="1"/>
  <c r="H62" i="59" s="1"/>
  <c r="I62" i="59" s="1"/>
  <c r="J62" i="59" s="1"/>
  <c r="F85" i="58"/>
  <c r="J126" i="57"/>
  <c r="F85" i="57"/>
  <c r="F10" i="58"/>
  <c r="J192" i="57"/>
  <c r="I201" i="57"/>
  <c r="I130" i="58" s="1"/>
  <c r="I77" i="58"/>
  <c r="F202" i="57"/>
  <c r="F91" i="58"/>
  <c r="I193" i="57"/>
  <c r="I136" i="58" s="1"/>
  <c r="I83" i="58"/>
  <c r="G192" i="57"/>
  <c r="F72" i="59"/>
  <c r="F78" i="59" s="1"/>
  <c r="G94" i="58"/>
  <c r="B188" i="61"/>
  <c r="E106" i="49"/>
  <c r="E108" i="49" s="1"/>
  <c r="E113" i="49" s="1"/>
  <c r="E44" i="52" s="1"/>
  <c r="D40" i="49"/>
  <c r="B177" i="49"/>
  <c r="B182" i="49" s="1"/>
  <c r="D71" i="49"/>
  <c r="E70" i="49" s="1"/>
  <c r="F33" i="49"/>
  <c r="F38" i="49" s="1"/>
  <c r="G40" i="49"/>
  <c r="D129" i="62"/>
  <c r="D136" i="62" s="1"/>
  <c r="E150" i="58"/>
  <c r="E154" i="58" s="1"/>
  <c r="F152" i="58" s="1"/>
  <c r="H63" i="51"/>
  <c r="H109" i="51" s="1"/>
  <c r="G45" i="49"/>
  <c r="G49" i="49" s="1"/>
  <c r="G69" i="49"/>
  <c r="F44" i="61"/>
  <c r="F46" i="61"/>
  <c r="F50" i="61" s="1"/>
  <c r="D108" i="49"/>
  <c r="D113" i="49" s="1"/>
  <c r="D44" i="52" s="1"/>
  <c r="F94" i="49"/>
  <c r="F108" i="49" s="1"/>
  <c r="F113" i="49" s="1"/>
  <c r="F21" i="57"/>
  <c r="F33" i="57" s="1"/>
  <c r="F38" i="57" s="1"/>
  <c r="F40" i="57" s="1"/>
  <c r="I69" i="57"/>
  <c r="D171" i="57"/>
  <c r="D176" i="57" s="1"/>
  <c r="D178" i="57" s="1"/>
  <c r="G69" i="57"/>
  <c r="B144" i="49"/>
  <c r="D177" i="49"/>
  <c r="D182" i="49" s="1"/>
  <c r="B118" i="49"/>
  <c r="B115" i="49"/>
  <c r="D123" i="61"/>
  <c r="D127" i="61" s="1"/>
  <c r="B193" i="61"/>
  <c r="B197" i="61" s="1"/>
  <c r="D118" i="61"/>
  <c r="B191" i="61"/>
  <c r="E103" i="57"/>
  <c r="E171" i="57"/>
  <c r="E176" i="57" s="1"/>
  <c r="E183" i="57" s="1"/>
  <c r="F69" i="57"/>
  <c r="F71" i="57" s="1"/>
  <c r="G70" i="57" s="1"/>
  <c r="D103" i="57"/>
  <c r="D108" i="57" s="1"/>
  <c r="J69" i="57"/>
  <c r="H69" i="57"/>
  <c r="G126" i="57"/>
  <c r="G169" i="57"/>
  <c r="E67" i="51"/>
  <c r="F210" i="49"/>
  <c r="F69" i="49"/>
  <c r="F71" i="49" s="1"/>
  <c r="G70" i="49" s="1"/>
  <c r="F163" i="49"/>
  <c r="I69" i="49"/>
  <c r="I63" i="62"/>
  <c r="J25" i="62"/>
  <c r="J31" i="62"/>
  <c r="H109" i="62"/>
  <c r="J15" i="62"/>
  <c r="H123" i="62"/>
  <c r="H77" i="62"/>
  <c r="K61" i="62"/>
  <c r="H107" i="62"/>
  <c r="G117" i="62"/>
  <c r="H71" i="62"/>
  <c r="E83" i="62"/>
  <c r="D83" i="62"/>
  <c r="D90" i="62" s="1"/>
  <c r="E193" i="61"/>
  <c r="E197" i="61" s="1"/>
  <c r="B118" i="61"/>
  <c r="B121" i="61"/>
  <c r="B148" i="61"/>
  <c r="B123" i="61"/>
  <c r="B127" i="61" s="1"/>
  <c r="M4" i="61"/>
  <c r="N12" i="61"/>
  <c r="Y12" i="61" s="1"/>
  <c r="F121" i="61"/>
  <c r="F123" i="61"/>
  <c r="F127" i="61" s="1"/>
  <c r="F118" i="61"/>
  <c r="H54" i="59"/>
  <c r="G71" i="59"/>
  <c r="G100" i="59"/>
  <c r="H123" i="59"/>
  <c r="H77" i="59"/>
  <c r="F117" i="59"/>
  <c r="E120" i="59"/>
  <c r="E128" i="59" s="1"/>
  <c r="E129" i="59" s="1"/>
  <c r="E136" i="59" s="1"/>
  <c r="J8" i="59"/>
  <c r="F99" i="58"/>
  <c r="E105" i="58"/>
  <c r="F46" i="58"/>
  <c r="E52" i="58"/>
  <c r="B113" i="57"/>
  <c r="B115" i="57"/>
  <c r="B119" i="57" s="1"/>
  <c r="B139" i="57"/>
  <c r="B110" i="57"/>
  <c r="J197" i="57"/>
  <c r="J63" i="58"/>
  <c r="H189" i="57"/>
  <c r="H126" i="57"/>
  <c r="H196" i="57"/>
  <c r="H136" i="57"/>
  <c r="N23" i="57"/>
  <c r="J196" i="57"/>
  <c r="J136" i="57"/>
  <c r="E33" i="57"/>
  <c r="E38" i="57" s="1"/>
  <c r="C207" i="57"/>
  <c r="C209" i="57" s="1"/>
  <c r="D208" i="57" s="1"/>
  <c r="C178" i="57"/>
  <c r="C181" i="57"/>
  <c r="C183" i="57"/>
  <c r="C187" i="57" s="1"/>
  <c r="I189" i="57"/>
  <c r="I126" i="57"/>
  <c r="E71" i="57"/>
  <c r="G197" i="57"/>
  <c r="G85" i="57"/>
  <c r="G63" i="58" s="1"/>
  <c r="D115" i="57"/>
  <c r="D119" i="57" s="1"/>
  <c r="D110" i="57"/>
  <c r="D113" i="57"/>
  <c r="J201" i="57"/>
  <c r="J130" i="58" s="1"/>
  <c r="H197" i="57"/>
  <c r="H85" i="57"/>
  <c r="H63" i="58" s="1"/>
  <c r="J169" i="57"/>
  <c r="I103" i="57"/>
  <c r="C103" i="57"/>
  <c r="C108" i="57" s="1"/>
  <c r="O27" i="57"/>
  <c r="I136" i="57"/>
  <c r="D183" i="57"/>
  <c r="D187" i="57" s="1"/>
  <c r="D209" i="57"/>
  <c r="E208" i="57" s="1"/>
  <c r="N11" i="57"/>
  <c r="N7" i="58" s="1"/>
  <c r="M4" i="57"/>
  <c r="F136" i="57"/>
  <c r="C105" i="54"/>
  <c r="C140" i="54"/>
  <c r="C150" i="54" s="1"/>
  <c r="C154" i="54" s="1"/>
  <c r="C158" i="54" s="1"/>
  <c r="E150" i="54"/>
  <c r="D105" i="54"/>
  <c r="E99" i="54"/>
  <c r="D150" i="54"/>
  <c r="D154" i="54" s="1"/>
  <c r="E97" i="54"/>
  <c r="G77" i="51"/>
  <c r="D82" i="51"/>
  <c r="D128" i="51" s="1"/>
  <c r="F61" i="51"/>
  <c r="E118" i="51"/>
  <c r="F71" i="51"/>
  <c r="E117" i="51"/>
  <c r="E74" i="51"/>
  <c r="E82" i="51" s="1"/>
  <c r="G123" i="51"/>
  <c r="E108" i="51"/>
  <c r="F108" i="51" s="1"/>
  <c r="H25" i="51"/>
  <c r="H31" i="51"/>
  <c r="D113" i="51"/>
  <c r="F107" i="51"/>
  <c r="F46" i="50"/>
  <c r="E52" i="50"/>
  <c r="E150" i="50"/>
  <c r="C150" i="50"/>
  <c r="C154" i="50" s="1"/>
  <c r="C158" i="50" s="1"/>
  <c r="C213" i="49"/>
  <c r="C215" i="49" s="1"/>
  <c r="D214" i="49" s="1"/>
  <c r="D215" i="49" s="1"/>
  <c r="E214" i="49" s="1"/>
  <c r="C187" i="49"/>
  <c r="L62" i="49"/>
  <c r="L62" i="4" s="1"/>
  <c r="M27" i="49"/>
  <c r="M27" i="4" s="1"/>
  <c r="E206" i="49"/>
  <c r="E210" i="49" s="1"/>
  <c r="E213" i="49" s="1"/>
  <c r="E137" i="49"/>
  <c r="E141" i="49" s="1"/>
  <c r="E144" i="49" s="1"/>
  <c r="E66" i="49"/>
  <c r="E69" i="49" s="1"/>
  <c r="H45" i="49"/>
  <c r="H49" i="49" s="1"/>
  <c r="H40" i="49"/>
  <c r="H43" i="49"/>
  <c r="I40" i="49"/>
  <c r="I43" i="49"/>
  <c r="I45" i="49"/>
  <c r="I49" i="49" s="1"/>
  <c r="E153" i="49"/>
  <c r="E163" i="49" s="1"/>
  <c r="E177" i="49" s="1"/>
  <c r="E182" i="49" s="1"/>
  <c r="E78" i="52" s="1"/>
  <c r="N23" i="49"/>
  <c r="N15" i="50" s="1"/>
  <c r="N11" i="49"/>
  <c r="N7" i="50" s="1"/>
  <c r="H69" i="49"/>
  <c r="J209" i="49"/>
  <c r="F144" i="49"/>
  <c r="F146" i="49" s="1"/>
  <c r="G145" i="49" s="1"/>
  <c r="J45" i="49"/>
  <c r="J49" i="49" s="1"/>
  <c r="J40" i="49"/>
  <c r="J141" i="49"/>
  <c r="D115" i="49"/>
  <c r="D118" i="49"/>
  <c r="K32" i="50"/>
  <c r="J69" i="49"/>
  <c r="K16" i="49"/>
  <c r="L59" i="49"/>
  <c r="L59" i="4" s="1"/>
  <c r="C144" i="49"/>
  <c r="C146" i="49" s="1"/>
  <c r="D145" i="49" s="1"/>
  <c r="D146" i="49" s="1"/>
  <c r="E145" i="49" s="1"/>
  <c r="C115" i="49"/>
  <c r="C118" i="49"/>
  <c r="C120" i="49"/>
  <c r="C124" i="49" s="1"/>
  <c r="G77" i="68" l="1"/>
  <c r="E71" i="49"/>
  <c r="M29" i="29"/>
  <c r="J26" i="34"/>
  <c r="L29" i="29"/>
  <c r="E209" i="57"/>
  <c r="E158" i="58"/>
  <c r="E99" i="50"/>
  <c r="E101" i="50" s="1"/>
  <c r="E152" i="50"/>
  <c r="E123" i="61"/>
  <c r="E127" i="61" s="1"/>
  <c r="E121" i="61"/>
  <c r="E118" i="61"/>
  <c r="E187" i="57"/>
  <c r="E97" i="60"/>
  <c r="J15" i="59"/>
  <c r="I50" i="63"/>
  <c r="I52" i="63" s="1"/>
  <c r="I55" i="63" s="1"/>
  <c r="I56" i="63" s="1"/>
  <c r="H87" i="62"/>
  <c r="I84" i="60"/>
  <c r="I86" i="60" s="1"/>
  <c r="I89" i="60" s="1"/>
  <c r="I90" i="60" s="1"/>
  <c r="H133" i="59"/>
  <c r="I16" i="60"/>
  <c r="I18" i="60" s="1"/>
  <c r="I21" i="60" s="1"/>
  <c r="I22" i="60" s="1"/>
  <c r="H41" i="59"/>
  <c r="O14" i="57"/>
  <c r="N12" i="58"/>
  <c r="O96" i="57"/>
  <c r="O164" i="57" s="1"/>
  <c r="P26" i="57"/>
  <c r="P96" i="57" s="1"/>
  <c r="P164" i="57" s="1"/>
  <c r="J43" i="49"/>
  <c r="C189" i="49"/>
  <c r="C193" i="49" s="1"/>
  <c r="D181" i="57"/>
  <c r="E191" i="61"/>
  <c r="E108" i="57"/>
  <c r="E110" i="57" s="1"/>
  <c r="E44" i="60"/>
  <c r="E63" i="60"/>
  <c r="M15" i="4"/>
  <c r="O28" i="61"/>
  <c r="L54" i="66" s="1"/>
  <c r="Y28" i="61"/>
  <c r="K50" i="60"/>
  <c r="K52" i="60" s="1"/>
  <c r="K55" i="60" s="1"/>
  <c r="K56" i="60" s="1"/>
  <c r="J87" i="59"/>
  <c r="H84" i="63"/>
  <c r="H86" i="63" s="1"/>
  <c r="H89" i="63" s="1"/>
  <c r="H90" i="63" s="1"/>
  <c r="G133" i="62"/>
  <c r="O27" i="61"/>
  <c r="Y27" i="61"/>
  <c r="N16" i="61"/>
  <c r="X16" i="61"/>
  <c r="E178" i="57"/>
  <c r="E78" i="60"/>
  <c r="I16" i="52"/>
  <c r="I18" i="52" s="1"/>
  <c r="I21" i="52" s="1"/>
  <c r="I22" i="52" s="1"/>
  <c r="H41" i="51"/>
  <c r="H50" i="52"/>
  <c r="H52" i="52" s="1"/>
  <c r="H55" i="52" s="1"/>
  <c r="H56" i="52" s="1"/>
  <c r="G87" i="51"/>
  <c r="D120" i="49"/>
  <c r="D124" i="49" s="1"/>
  <c r="E181" i="57"/>
  <c r="M62" i="4"/>
  <c r="E188" i="61"/>
  <c r="H61" i="59"/>
  <c r="L16" i="50"/>
  <c r="L25" i="4"/>
  <c r="H84" i="52"/>
  <c r="H86" i="52" s="1"/>
  <c r="H89" i="52" s="1"/>
  <c r="H90" i="52" s="1"/>
  <c r="G133" i="51"/>
  <c r="I16" i="63"/>
  <c r="I18" i="63" s="1"/>
  <c r="I21" i="63" s="1"/>
  <c r="I22" i="63" s="1"/>
  <c r="H41" i="62"/>
  <c r="N31" i="61"/>
  <c r="X31" i="61"/>
  <c r="M12" i="2"/>
  <c r="K32" i="62"/>
  <c r="K25" i="61" s="1"/>
  <c r="L16" i="51"/>
  <c r="K10" i="50"/>
  <c r="K16" i="4"/>
  <c r="O56" i="61"/>
  <c r="N30" i="54"/>
  <c r="F213" i="49"/>
  <c r="F215" i="49" s="1"/>
  <c r="G214" i="49" s="1"/>
  <c r="J209" i="4"/>
  <c r="J133" i="50"/>
  <c r="F78" i="51"/>
  <c r="G78" i="51" s="1"/>
  <c r="H78" i="51" s="1"/>
  <c r="I78" i="51" s="1"/>
  <c r="J78" i="51" s="1"/>
  <c r="N17" i="61"/>
  <c r="M60" i="4"/>
  <c r="M17" i="61"/>
  <c r="X17" i="61" s="1"/>
  <c r="N7" i="54"/>
  <c r="N11" i="4"/>
  <c r="N61" i="4"/>
  <c r="N13" i="61"/>
  <c r="Y13" i="61" s="1"/>
  <c r="M8" i="54"/>
  <c r="M12" i="4"/>
  <c r="N12" i="54"/>
  <c r="M19" i="34"/>
  <c r="L18" i="29"/>
  <c r="M30" i="4"/>
  <c r="M19" i="54"/>
  <c r="N16" i="54"/>
  <c r="E40" i="51"/>
  <c r="E42" i="51" s="1"/>
  <c r="K32" i="51"/>
  <c r="L28" i="34"/>
  <c r="N8" i="58"/>
  <c r="F124" i="51"/>
  <c r="G124" i="51" s="1"/>
  <c r="H124" i="51" s="1"/>
  <c r="I124" i="51" s="1"/>
  <c r="N25" i="57"/>
  <c r="M16" i="58"/>
  <c r="N30" i="57"/>
  <c r="M19" i="58"/>
  <c r="N15" i="58"/>
  <c r="G40" i="57"/>
  <c r="G45" i="57"/>
  <c r="G49" i="57" s="1"/>
  <c r="G10" i="60" s="1"/>
  <c r="N17" i="4"/>
  <c r="O18" i="61"/>
  <c r="Z18" i="61" s="1"/>
  <c r="P72" i="62"/>
  <c r="F188" i="61"/>
  <c r="F193" i="61"/>
  <c r="F197" i="61" s="1"/>
  <c r="F191" i="61"/>
  <c r="K17" i="50"/>
  <c r="M27" i="54"/>
  <c r="P56" i="61"/>
  <c r="AA134" i="61" s="1"/>
  <c r="N54" i="4"/>
  <c r="L26" i="62"/>
  <c r="M41" i="54"/>
  <c r="O15" i="61"/>
  <c r="Z15" i="61" s="1"/>
  <c r="D184" i="49"/>
  <c r="D78" i="52"/>
  <c r="F177" i="49"/>
  <c r="F182" i="49" s="1"/>
  <c r="F78" i="52" s="1"/>
  <c r="D189" i="49"/>
  <c r="D193" i="49" s="1"/>
  <c r="K72" i="51"/>
  <c r="L94" i="50"/>
  <c r="L17" i="50"/>
  <c r="N55" i="49"/>
  <c r="N55" i="4" s="1"/>
  <c r="M30" i="50"/>
  <c r="M65" i="49"/>
  <c r="M65" i="4" s="1"/>
  <c r="L27" i="50"/>
  <c r="M41" i="50"/>
  <c r="L26" i="51"/>
  <c r="N63" i="49"/>
  <c r="M24" i="50"/>
  <c r="N30" i="49"/>
  <c r="M19" i="50"/>
  <c r="M25" i="49"/>
  <c r="E43" i="49"/>
  <c r="E40" i="49"/>
  <c r="E45" i="49"/>
  <c r="E49" i="49" s="1"/>
  <c r="N14" i="49"/>
  <c r="N14" i="4" s="1"/>
  <c r="M12" i="50"/>
  <c r="N15" i="49"/>
  <c r="N8" i="50"/>
  <c r="F115" i="49"/>
  <c r="F44" i="52"/>
  <c r="F45" i="49"/>
  <c r="F49" i="49" s="1"/>
  <c r="F10" i="52"/>
  <c r="F187" i="49"/>
  <c r="E111" i="51"/>
  <c r="E113" i="51" s="1"/>
  <c r="O15" i="51"/>
  <c r="E83" i="51"/>
  <c r="F139" i="57"/>
  <c r="F141" i="57" s="1"/>
  <c r="G140" i="57" s="1"/>
  <c r="G139" i="57"/>
  <c r="G78" i="59"/>
  <c r="H78" i="59" s="1"/>
  <c r="I78" i="59" s="1"/>
  <c r="H43" i="57"/>
  <c r="H45" i="57"/>
  <c r="H49" i="57" s="1"/>
  <c r="H10" i="60" s="1"/>
  <c r="F204" i="57"/>
  <c r="J194" i="57"/>
  <c r="F45" i="57"/>
  <c r="F49" i="57" s="1"/>
  <c r="F10" i="60" s="1"/>
  <c r="I43" i="57"/>
  <c r="I204" i="57"/>
  <c r="G204" i="57"/>
  <c r="F43" i="49"/>
  <c r="F153" i="57"/>
  <c r="F63" i="58"/>
  <c r="I147" i="58"/>
  <c r="H118" i="59"/>
  <c r="F40" i="49"/>
  <c r="I45" i="57"/>
  <c r="I49" i="57" s="1"/>
  <c r="I10" i="60" s="1"/>
  <c r="I194" i="57"/>
  <c r="I138" i="58"/>
  <c r="G118" i="59"/>
  <c r="H147" i="58"/>
  <c r="J139" i="57"/>
  <c r="F90" i="57"/>
  <c r="F103" i="57" s="1"/>
  <c r="M31" i="58"/>
  <c r="F144" i="58"/>
  <c r="H194" i="57"/>
  <c r="H138" i="58"/>
  <c r="I108" i="57"/>
  <c r="I110" i="57" s="1"/>
  <c r="I44" i="60"/>
  <c r="I63" i="60"/>
  <c r="G147" i="58"/>
  <c r="F118" i="59"/>
  <c r="F124" i="59" s="1"/>
  <c r="J147" i="58"/>
  <c r="I118" i="59"/>
  <c r="F108" i="59"/>
  <c r="G108" i="59" s="1"/>
  <c r="H108" i="59" s="1"/>
  <c r="I108" i="59" s="1"/>
  <c r="J108" i="59" s="1"/>
  <c r="I158" i="57"/>
  <c r="I171" i="57" s="1"/>
  <c r="I176" i="57" s="1"/>
  <c r="I78" i="60" s="1"/>
  <c r="I116" i="58"/>
  <c r="G194" i="57"/>
  <c r="G136" i="58"/>
  <c r="F107" i="59"/>
  <c r="G107" i="59" s="1"/>
  <c r="F136" i="58"/>
  <c r="F194" i="57"/>
  <c r="F43" i="57"/>
  <c r="B189" i="49"/>
  <c r="B193" i="49" s="1"/>
  <c r="B184" i="49"/>
  <c r="B187" i="49"/>
  <c r="B213" i="49"/>
  <c r="F118" i="49"/>
  <c r="D187" i="49"/>
  <c r="F184" i="49"/>
  <c r="F189" i="49"/>
  <c r="F193" i="49" s="1"/>
  <c r="F120" i="49"/>
  <c r="F124" i="49" s="1"/>
  <c r="G71" i="49"/>
  <c r="H70" i="49" s="1"/>
  <c r="H71" i="49" s="1"/>
  <c r="I70" i="49" s="1"/>
  <c r="I71" i="49" s="1"/>
  <c r="J70" i="49" s="1"/>
  <c r="J71" i="49" s="1"/>
  <c r="K70" i="49" s="1"/>
  <c r="G71" i="57"/>
  <c r="H70" i="57" s="1"/>
  <c r="H71" i="57" s="1"/>
  <c r="I70" i="57" s="1"/>
  <c r="I71" i="57" s="1"/>
  <c r="J70" i="57" s="1"/>
  <c r="J71" i="57" s="1"/>
  <c r="K70" i="57" s="1"/>
  <c r="E215" i="49"/>
  <c r="H139" i="57"/>
  <c r="I77" i="62"/>
  <c r="I107" i="62"/>
  <c r="K25" i="62"/>
  <c r="J63" i="62"/>
  <c r="I109" i="62"/>
  <c r="I71" i="62"/>
  <c r="L61" i="62"/>
  <c r="H117" i="62"/>
  <c r="I123" i="62"/>
  <c r="K15" i="62"/>
  <c r="K31" i="62"/>
  <c r="N4" i="61"/>
  <c r="O12" i="61"/>
  <c r="Z12" i="61" s="1"/>
  <c r="I123" i="59"/>
  <c r="G117" i="59"/>
  <c r="H71" i="59"/>
  <c r="K8" i="59"/>
  <c r="I77" i="59"/>
  <c r="I54" i="59"/>
  <c r="H100" i="59"/>
  <c r="I139" i="57"/>
  <c r="G153" i="57"/>
  <c r="G90" i="57"/>
  <c r="G103" i="57" s="1"/>
  <c r="O23" i="57"/>
  <c r="J204" i="57"/>
  <c r="P27" i="57"/>
  <c r="H204" i="57"/>
  <c r="H153" i="57"/>
  <c r="H90" i="57"/>
  <c r="H103" i="57" s="1"/>
  <c r="C115" i="57"/>
  <c r="C119" i="57" s="1"/>
  <c r="C139" i="57"/>
  <c r="C141" i="57" s="1"/>
  <c r="D140" i="57" s="1"/>
  <c r="D141" i="57" s="1"/>
  <c r="E140" i="57" s="1"/>
  <c r="E141" i="57" s="1"/>
  <c r="C113" i="57"/>
  <c r="C110" i="57"/>
  <c r="J40" i="57"/>
  <c r="J45" i="57"/>
  <c r="J49" i="57" s="1"/>
  <c r="J10" i="60" s="1"/>
  <c r="J43" i="57"/>
  <c r="O11" i="57"/>
  <c r="O7" i="58" s="1"/>
  <c r="N4" i="57"/>
  <c r="E40" i="57"/>
  <c r="E43" i="57"/>
  <c r="E45" i="57"/>
  <c r="E49" i="57" s="1"/>
  <c r="E10" i="60" s="1"/>
  <c r="E6" i="60" s="1"/>
  <c r="J153" i="57"/>
  <c r="J103" i="57"/>
  <c r="E152" i="54"/>
  <c r="E154" i="54" s="1"/>
  <c r="D158" i="54"/>
  <c r="E101" i="54"/>
  <c r="E120" i="51"/>
  <c r="E128" i="51" s="1"/>
  <c r="F117" i="51"/>
  <c r="I25" i="51"/>
  <c r="I31" i="51"/>
  <c r="G71" i="51"/>
  <c r="G107" i="51"/>
  <c r="I63" i="51"/>
  <c r="I109" i="51" s="1"/>
  <c r="H77" i="51"/>
  <c r="D83" i="51"/>
  <c r="D90" i="51" s="1"/>
  <c r="D129" i="51"/>
  <c r="D136" i="51" s="1"/>
  <c r="H123" i="51"/>
  <c r="G61" i="51"/>
  <c r="H61" i="51" s="1"/>
  <c r="E105" i="50"/>
  <c r="F99" i="50"/>
  <c r="E154" i="50"/>
  <c r="E146" i="49"/>
  <c r="M62" i="49"/>
  <c r="N27" i="49"/>
  <c r="N27" i="4" s="1"/>
  <c r="E118" i="49"/>
  <c r="E120" i="49"/>
  <c r="E124" i="49" s="1"/>
  <c r="E115" i="49"/>
  <c r="O23" i="49"/>
  <c r="O15" i="50" s="1"/>
  <c r="E184" i="49"/>
  <c r="E187" i="49"/>
  <c r="E189" i="49"/>
  <c r="E193" i="49" s="1"/>
  <c r="K56" i="49"/>
  <c r="L32" i="50"/>
  <c r="L16" i="49"/>
  <c r="M59" i="49"/>
  <c r="M59" i="4" s="1"/>
  <c r="O11" i="49"/>
  <c r="O7" i="50" s="1"/>
  <c r="O30" i="54" l="1"/>
  <c r="Z134" i="61"/>
  <c r="K10" i="54"/>
  <c r="N15" i="4"/>
  <c r="P14" i="57"/>
  <c r="P12" i="58" s="1"/>
  <c r="O12" i="58"/>
  <c r="E113" i="57"/>
  <c r="J16" i="63"/>
  <c r="J18" i="63" s="1"/>
  <c r="J21" i="63" s="1"/>
  <c r="J22" i="63" s="1"/>
  <c r="I41" i="62"/>
  <c r="J84" i="60"/>
  <c r="J86" i="60" s="1"/>
  <c r="J89" i="60" s="1"/>
  <c r="J90" i="60" s="1"/>
  <c r="I133" i="59"/>
  <c r="L50" i="60"/>
  <c r="L52" i="60" s="1"/>
  <c r="L55" i="60" s="1"/>
  <c r="L56" i="60" s="1"/>
  <c r="K87" i="59"/>
  <c r="E115" i="57"/>
  <c r="E119" i="57" s="1"/>
  <c r="M16" i="50"/>
  <c r="M25" i="4"/>
  <c r="Y17" i="61"/>
  <c r="I61" i="59"/>
  <c r="J16" i="52"/>
  <c r="J18" i="52" s="1"/>
  <c r="J21" i="52" s="1"/>
  <c r="J22" i="52" s="1"/>
  <c r="I41" i="51"/>
  <c r="Y16" i="61"/>
  <c r="O16" i="61"/>
  <c r="I84" i="63"/>
  <c r="I86" i="63" s="1"/>
  <c r="I89" i="63" s="1"/>
  <c r="I90" i="63" s="1"/>
  <c r="H133" i="62"/>
  <c r="I50" i="52"/>
  <c r="I52" i="52" s="1"/>
  <c r="I55" i="52" s="1"/>
  <c r="I56" i="52" s="1"/>
  <c r="H87" i="51"/>
  <c r="P27" i="61"/>
  <c r="Z27" i="61"/>
  <c r="H107" i="59"/>
  <c r="O26" i="4"/>
  <c r="O31" i="61"/>
  <c r="Y31" i="61"/>
  <c r="I84" i="52"/>
  <c r="I86" i="52" s="1"/>
  <c r="I89" i="52" s="1"/>
  <c r="I90" i="52" s="1"/>
  <c r="H133" i="51"/>
  <c r="P28" i="61"/>
  <c r="Z28" i="61"/>
  <c r="J16" i="60"/>
  <c r="J18" i="60" s="1"/>
  <c r="J21" i="60" s="1"/>
  <c r="J22" i="60" s="1"/>
  <c r="I41" i="59"/>
  <c r="J50" i="63"/>
  <c r="J52" i="63" s="1"/>
  <c r="J55" i="63" s="1"/>
  <c r="J56" i="63" s="1"/>
  <c r="I87" i="62"/>
  <c r="G141" i="57"/>
  <c r="H140" i="57" s="1"/>
  <c r="H141" i="57" s="1"/>
  <c r="I140" i="57" s="1"/>
  <c r="I141" i="57" s="1"/>
  <c r="J140" i="57" s="1"/>
  <c r="J141" i="57" s="1"/>
  <c r="K140" i="57" s="1"/>
  <c r="L32" i="62"/>
  <c r="L25" i="61" s="1"/>
  <c r="K17" i="54"/>
  <c r="V25" i="61"/>
  <c r="K24" i="4"/>
  <c r="L10" i="50"/>
  <c r="L16" i="4"/>
  <c r="M16" i="51"/>
  <c r="L32" i="51"/>
  <c r="O13" i="61"/>
  <c r="Z13" i="61" s="1"/>
  <c r="N8" i="54"/>
  <c r="N12" i="4"/>
  <c r="O12" i="54"/>
  <c r="P61" i="4"/>
  <c r="O61" i="4"/>
  <c r="O7" i="54"/>
  <c r="O11" i="4"/>
  <c r="N12" i="2"/>
  <c r="P30" i="54"/>
  <c r="N19" i="34"/>
  <c r="M18" i="29"/>
  <c r="N60" i="4"/>
  <c r="N30" i="4"/>
  <c r="N19" i="54"/>
  <c r="O16" i="54"/>
  <c r="E44" i="51"/>
  <c r="M28" i="34"/>
  <c r="P8" i="58"/>
  <c r="O8" i="58"/>
  <c r="O15" i="58"/>
  <c r="O30" i="57"/>
  <c r="N19" i="58"/>
  <c r="O25" i="57"/>
  <c r="N16" i="58"/>
  <c r="P18" i="61"/>
  <c r="O17" i="4"/>
  <c r="N27" i="54"/>
  <c r="O54" i="4"/>
  <c r="M26" i="62"/>
  <c r="N41" i="54"/>
  <c r="P15" i="61"/>
  <c r="L72" i="51"/>
  <c r="M94" i="50"/>
  <c r="O55" i="49"/>
  <c r="O55" i="4" s="1"/>
  <c r="N30" i="50"/>
  <c r="N41" i="50"/>
  <c r="M26" i="51"/>
  <c r="N65" i="49"/>
  <c r="N65" i="4" s="1"/>
  <c r="M27" i="50"/>
  <c r="O63" i="49"/>
  <c r="N24" i="50"/>
  <c r="M17" i="50"/>
  <c r="N25" i="49"/>
  <c r="O30" i="49"/>
  <c r="N19" i="50"/>
  <c r="O15" i="49"/>
  <c r="O15" i="4" s="1"/>
  <c r="O14" i="49"/>
  <c r="O14" i="4" s="1"/>
  <c r="N12" i="50"/>
  <c r="O8" i="50"/>
  <c r="E129" i="51"/>
  <c r="P15" i="51"/>
  <c r="I113" i="57"/>
  <c r="J207" i="57"/>
  <c r="I207" i="57"/>
  <c r="H207" i="57"/>
  <c r="F207" i="57"/>
  <c r="F209" i="57" s="1"/>
  <c r="G208" i="57" s="1"/>
  <c r="G207" i="57"/>
  <c r="I115" i="57"/>
  <c r="I119" i="57" s="1"/>
  <c r="J108" i="57"/>
  <c r="J110" i="57" s="1"/>
  <c r="J44" i="60"/>
  <c r="J63" i="60"/>
  <c r="J158" i="57"/>
  <c r="J171" i="57" s="1"/>
  <c r="J176" i="57" s="1"/>
  <c r="J78" i="60" s="1"/>
  <c r="J116" i="58"/>
  <c r="F108" i="57"/>
  <c r="F63" i="60"/>
  <c r="F44" i="60"/>
  <c r="H108" i="57"/>
  <c r="H110" i="57" s="1"/>
  <c r="H63" i="60"/>
  <c r="H44" i="60"/>
  <c r="I183" i="57"/>
  <c r="F158" i="57"/>
  <c r="F171" i="57" s="1"/>
  <c r="F176" i="57" s="1"/>
  <c r="F116" i="58"/>
  <c r="I181" i="57"/>
  <c r="N31" i="58"/>
  <c r="G108" i="57"/>
  <c r="G113" i="57" s="1"/>
  <c r="G63" i="60"/>
  <c r="G44" i="60"/>
  <c r="H158" i="57"/>
  <c r="H171" i="57" s="1"/>
  <c r="H176" i="57" s="1"/>
  <c r="H78" i="60" s="1"/>
  <c r="H116" i="58"/>
  <c r="G158" i="57"/>
  <c r="G171" i="57" s="1"/>
  <c r="G176" i="57" s="1"/>
  <c r="G78" i="60" s="1"/>
  <c r="G116" i="58"/>
  <c r="I178" i="57"/>
  <c r="G124" i="59"/>
  <c r="H124" i="59" s="1"/>
  <c r="I124" i="59" s="1"/>
  <c r="J71" i="62"/>
  <c r="L15" i="62"/>
  <c r="J107" i="62"/>
  <c r="K63" i="62"/>
  <c r="I117" i="62"/>
  <c r="J123" i="62"/>
  <c r="J77" i="62"/>
  <c r="L25" i="62"/>
  <c r="J109" i="62"/>
  <c r="L31" i="62"/>
  <c r="M61" i="62"/>
  <c r="P12" i="61"/>
  <c r="AA12" i="61" s="1"/>
  <c r="O4" i="61"/>
  <c r="I71" i="59"/>
  <c r="I100" i="59"/>
  <c r="J77" i="59"/>
  <c r="H117" i="59"/>
  <c r="J54" i="59"/>
  <c r="L8" i="59"/>
  <c r="J123" i="59"/>
  <c r="P23" i="57"/>
  <c r="O4" i="57"/>
  <c r="P11" i="57"/>
  <c r="P7" i="58" s="1"/>
  <c r="F152" i="54"/>
  <c r="F99" i="54"/>
  <c r="I123" i="51"/>
  <c r="J63" i="51"/>
  <c r="J109" i="51" s="1"/>
  <c r="J31" i="51"/>
  <c r="H107" i="51"/>
  <c r="H71" i="51"/>
  <c r="G117" i="51"/>
  <c r="I77" i="51"/>
  <c r="J25" i="51"/>
  <c r="E158" i="50"/>
  <c r="F152" i="50"/>
  <c r="P11" i="49"/>
  <c r="P7" i="50" s="1"/>
  <c r="P23" i="49"/>
  <c r="P15" i="50" s="1"/>
  <c r="N59" i="49"/>
  <c r="N59" i="4" s="1"/>
  <c r="M16" i="49"/>
  <c r="M10" i="50" s="1"/>
  <c r="N62" i="49"/>
  <c r="N62" i="4" s="1"/>
  <c r="O27" i="49"/>
  <c r="O27" i="4" s="1"/>
  <c r="L56" i="49"/>
  <c r="M32" i="50"/>
  <c r="N29" i="29" l="1"/>
  <c r="L10" i="54"/>
  <c r="AA28" i="61"/>
  <c r="M54" i="66"/>
  <c r="M32" i="62"/>
  <c r="M25" i="61" s="1"/>
  <c r="P12" i="54"/>
  <c r="AA15" i="61"/>
  <c r="I107" i="59"/>
  <c r="J50" i="52"/>
  <c r="J52" i="52" s="1"/>
  <c r="J55" i="52" s="1"/>
  <c r="J56" i="52" s="1"/>
  <c r="I87" i="51"/>
  <c r="K84" i="60"/>
  <c r="K86" i="60" s="1"/>
  <c r="K89" i="60" s="1"/>
  <c r="K90" i="60" s="1"/>
  <c r="J133" i="59"/>
  <c r="K50" i="63"/>
  <c r="K52" i="63" s="1"/>
  <c r="K55" i="63" s="1"/>
  <c r="K56" i="63" s="1"/>
  <c r="J87" i="62"/>
  <c r="P31" i="61"/>
  <c r="AA31" i="61" s="1"/>
  <c r="Z31" i="61"/>
  <c r="N16" i="50"/>
  <c r="N25" i="4"/>
  <c r="AA27" i="61"/>
  <c r="P26" i="4"/>
  <c r="J84" i="63"/>
  <c r="J86" i="63" s="1"/>
  <c r="J89" i="63" s="1"/>
  <c r="J90" i="63" s="1"/>
  <c r="I133" i="62"/>
  <c r="K16" i="52"/>
  <c r="K18" i="52" s="1"/>
  <c r="K21" i="52" s="1"/>
  <c r="K22" i="52" s="1"/>
  <c r="J41" i="51"/>
  <c r="M50" i="60"/>
  <c r="M52" i="60" s="1"/>
  <c r="M55" i="60" s="1"/>
  <c r="M56" i="60" s="1"/>
  <c r="L87" i="59"/>
  <c r="K16" i="63"/>
  <c r="K18" i="63" s="1"/>
  <c r="K21" i="63" s="1"/>
  <c r="K22" i="63" s="1"/>
  <c r="J41" i="62"/>
  <c r="P17" i="4"/>
  <c r="AA18" i="61"/>
  <c r="K16" i="60"/>
  <c r="K18" i="60" s="1"/>
  <c r="K21" i="60" s="1"/>
  <c r="K22" i="60" s="1"/>
  <c r="J41" i="59"/>
  <c r="J84" i="52"/>
  <c r="J86" i="52" s="1"/>
  <c r="J89" i="52" s="1"/>
  <c r="J90" i="52" s="1"/>
  <c r="I133" i="51"/>
  <c r="Z16" i="61"/>
  <c r="P16" i="61"/>
  <c r="AA16" i="61" s="1"/>
  <c r="J61" i="59"/>
  <c r="W25" i="61"/>
  <c r="L17" i="54"/>
  <c r="L24" i="4"/>
  <c r="O12" i="2"/>
  <c r="M32" i="51"/>
  <c r="M16" i="4"/>
  <c r="N16" i="51"/>
  <c r="P7" i="54"/>
  <c r="P11" i="4"/>
  <c r="O19" i="34"/>
  <c r="N18" i="29"/>
  <c r="O60" i="4"/>
  <c r="O17" i="61"/>
  <c r="Z17" i="61" s="1"/>
  <c r="P13" i="61"/>
  <c r="P12" i="4" s="1"/>
  <c r="O8" i="54"/>
  <c r="O12" i="4"/>
  <c r="O30" i="4"/>
  <c r="O19" i="54"/>
  <c r="P16" i="54"/>
  <c r="N28" i="34"/>
  <c r="P8" i="50"/>
  <c r="P15" i="58"/>
  <c r="P25" i="57"/>
  <c r="O16" i="58"/>
  <c r="P30" i="57"/>
  <c r="O19" i="58"/>
  <c r="O27" i="54"/>
  <c r="P54" i="4"/>
  <c r="O41" i="54"/>
  <c r="N26" i="62"/>
  <c r="N94" i="50"/>
  <c r="M72" i="51"/>
  <c r="P63" i="49"/>
  <c r="P24" i="50" s="1"/>
  <c r="O24" i="50"/>
  <c r="N26" i="51"/>
  <c r="O41" i="50"/>
  <c r="N17" i="50"/>
  <c r="O65" i="49"/>
  <c r="O65" i="4" s="1"/>
  <c r="N27" i="50"/>
  <c r="P55" i="49"/>
  <c r="O30" i="50"/>
  <c r="O25" i="49"/>
  <c r="P30" i="49"/>
  <c r="P19" i="50" s="1"/>
  <c r="O19" i="50"/>
  <c r="P14" i="49"/>
  <c r="P12" i="50" s="1"/>
  <c r="O12" i="50"/>
  <c r="P15" i="49"/>
  <c r="J181" i="57"/>
  <c r="G209" i="57"/>
  <c r="H208" i="57" s="1"/>
  <c r="H209" i="57" s="1"/>
  <c r="I208" i="57" s="1"/>
  <c r="I209" i="57" s="1"/>
  <c r="J208" i="57" s="1"/>
  <c r="J209" i="57" s="1"/>
  <c r="K208" i="57" s="1"/>
  <c r="H113" i="57"/>
  <c r="H181" i="57"/>
  <c r="J115" i="57"/>
  <c r="J119" i="57" s="1"/>
  <c r="H115" i="57"/>
  <c r="H119" i="57" s="1"/>
  <c r="H183" i="57"/>
  <c r="H187" i="57" s="1"/>
  <c r="H178" i="57"/>
  <c r="J113" i="57"/>
  <c r="G183" i="57"/>
  <c r="G97" i="60" s="1"/>
  <c r="G115" i="57"/>
  <c r="G119" i="57" s="1"/>
  <c r="G110" i="57"/>
  <c r="I187" i="57"/>
  <c r="I97" i="60"/>
  <c r="J183" i="57"/>
  <c r="P31" i="58"/>
  <c r="O31" i="58"/>
  <c r="G181" i="57"/>
  <c r="J178" i="57"/>
  <c r="G178" i="57"/>
  <c r="F183" i="57"/>
  <c r="F78" i="60"/>
  <c r="F181" i="57"/>
  <c r="F178" i="57"/>
  <c r="F115" i="57"/>
  <c r="F119" i="57" s="1"/>
  <c r="F113" i="57"/>
  <c r="F110" i="57"/>
  <c r="N61" i="62"/>
  <c r="M25" i="62"/>
  <c r="K109" i="62"/>
  <c r="K107" i="62"/>
  <c r="L63" i="62"/>
  <c r="K123" i="62"/>
  <c r="K71" i="62"/>
  <c r="J117" i="62"/>
  <c r="M31" i="62"/>
  <c r="K77" i="62"/>
  <c r="M15" i="62"/>
  <c r="P4" i="61"/>
  <c r="K123" i="59"/>
  <c r="I117" i="59"/>
  <c r="K77" i="59"/>
  <c r="K54" i="59"/>
  <c r="M8" i="59"/>
  <c r="J100" i="59"/>
  <c r="J71" i="59"/>
  <c r="P4" i="57"/>
  <c r="I61" i="51"/>
  <c r="I107" i="51"/>
  <c r="I71" i="51"/>
  <c r="H117" i="51"/>
  <c r="K25" i="51"/>
  <c r="K63" i="51"/>
  <c r="K109" i="51" s="1"/>
  <c r="J77" i="51"/>
  <c r="J123" i="51"/>
  <c r="K31" i="51"/>
  <c r="M56" i="49"/>
  <c r="N32" i="50"/>
  <c r="O59" i="49"/>
  <c r="O59" i="4" s="1"/>
  <c r="N16" i="49"/>
  <c r="O62" i="49"/>
  <c r="O62" i="4" s="1"/>
  <c r="P27" i="49"/>
  <c r="P62" i="49" s="1"/>
  <c r="O18" i="29" l="1"/>
  <c r="P19" i="34"/>
  <c r="O29" i="29"/>
  <c r="M10" i="54"/>
  <c r="N32" i="62"/>
  <c r="P15" i="4"/>
  <c r="P14" i="4"/>
  <c r="P12" i="2" s="1"/>
  <c r="P8" i="54"/>
  <c r="AA13" i="61"/>
  <c r="J107" i="59"/>
  <c r="O16" i="50"/>
  <c r="O25" i="4"/>
  <c r="K84" i="52"/>
  <c r="K86" i="52" s="1"/>
  <c r="K89" i="52" s="1"/>
  <c r="K90" i="52" s="1"/>
  <c r="J133" i="51"/>
  <c r="N50" i="60"/>
  <c r="N52" i="60" s="1"/>
  <c r="N55" i="60" s="1"/>
  <c r="N56" i="60" s="1"/>
  <c r="M87" i="59"/>
  <c r="K84" i="63"/>
  <c r="K86" i="63" s="1"/>
  <c r="K89" i="63" s="1"/>
  <c r="K90" i="63" s="1"/>
  <c r="J133" i="62"/>
  <c r="L84" i="60"/>
  <c r="L86" i="60" s="1"/>
  <c r="L89" i="60" s="1"/>
  <c r="L90" i="60" s="1"/>
  <c r="K133" i="59"/>
  <c r="P27" i="4"/>
  <c r="L50" i="63"/>
  <c r="L52" i="63" s="1"/>
  <c r="L55" i="63" s="1"/>
  <c r="L56" i="63" s="1"/>
  <c r="K87" i="62"/>
  <c r="P62" i="4"/>
  <c r="N32" i="51"/>
  <c r="L16" i="60"/>
  <c r="L18" i="60" s="1"/>
  <c r="L21" i="60" s="1"/>
  <c r="K41" i="59"/>
  <c r="L16" i="63"/>
  <c r="L18" i="63" s="1"/>
  <c r="L21" i="63" s="1"/>
  <c r="K41" i="62"/>
  <c r="L16" i="52"/>
  <c r="L18" i="52" s="1"/>
  <c r="L21" i="52" s="1"/>
  <c r="K41" i="51"/>
  <c r="K50" i="52"/>
  <c r="K52" i="52" s="1"/>
  <c r="K55" i="52" s="1"/>
  <c r="K56" i="52" s="1"/>
  <c r="J87" i="51"/>
  <c r="M17" i="54"/>
  <c r="X25" i="61"/>
  <c r="M24" i="4"/>
  <c r="N10" i="50"/>
  <c r="N16" i="4"/>
  <c r="O16" i="51"/>
  <c r="P30" i="50"/>
  <c r="P55" i="4"/>
  <c r="P27" i="54"/>
  <c r="P60" i="4"/>
  <c r="P17" i="61"/>
  <c r="AA17" i="61" s="1"/>
  <c r="N25" i="61"/>
  <c r="Y25" i="61" s="1"/>
  <c r="P30" i="4"/>
  <c r="P19" i="54"/>
  <c r="O28" i="34"/>
  <c r="P16" i="58"/>
  <c r="P19" i="58"/>
  <c r="O17" i="50"/>
  <c r="P41" i="54"/>
  <c r="O26" i="62"/>
  <c r="O32" i="62" s="1"/>
  <c r="O94" i="50"/>
  <c r="N72" i="51"/>
  <c r="O26" i="51"/>
  <c r="P41" i="50"/>
  <c r="P65" i="49"/>
  <c r="P27" i="50" s="1"/>
  <c r="O27" i="50"/>
  <c r="P25" i="49"/>
  <c r="H97" i="60"/>
  <c r="G187" i="57"/>
  <c r="F187" i="57"/>
  <c r="F97" i="60"/>
  <c r="J187" i="57"/>
  <c r="J97" i="60"/>
  <c r="L109" i="62"/>
  <c r="L71" i="62"/>
  <c r="K117" i="62"/>
  <c r="M63" i="62"/>
  <c r="N15" i="62"/>
  <c r="L77" i="62"/>
  <c r="N25" i="62"/>
  <c r="L107" i="62"/>
  <c r="N31" i="62"/>
  <c r="L123" i="62"/>
  <c r="O61" i="62"/>
  <c r="J117" i="59"/>
  <c r="K71" i="59"/>
  <c r="L54" i="59"/>
  <c r="N8" i="59"/>
  <c r="L77" i="59"/>
  <c r="K100" i="59"/>
  <c r="L123" i="59"/>
  <c r="I117" i="51"/>
  <c r="L31" i="51"/>
  <c r="K123" i="51"/>
  <c r="K77" i="51"/>
  <c r="J71" i="51"/>
  <c r="L25" i="51"/>
  <c r="L63" i="51"/>
  <c r="L109" i="51" s="1"/>
  <c r="J61" i="51"/>
  <c r="J107" i="51"/>
  <c r="N56" i="49"/>
  <c r="O32" i="50"/>
  <c r="P59" i="49"/>
  <c r="O16" i="49"/>
  <c r="O10" i="50" s="1"/>
  <c r="N10" i="54" l="1"/>
  <c r="O32" i="51"/>
  <c r="P17" i="50" s="1"/>
  <c r="L22" i="52"/>
  <c r="M21" i="52"/>
  <c r="M22" i="52" s="1"/>
  <c r="M21" i="60"/>
  <c r="M22" i="60" s="1"/>
  <c r="L22" i="60"/>
  <c r="M50" i="63"/>
  <c r="M52" i="63" s="1"/>
  <c r="M55" i="63" s="1"/>
  <c r="M56" i="63" s="1"/>
  <c r="L87" i="62"/>
  <c r="M84" i="60"/>
  <c r="M86" i="60" s="1"/>
  <c r="M89" i="60" s="1"/>
  <c r="M90" i="60" s="1"/>
  <c r="L133" i="59"/>
  <c r="O50" i="60"/>
  <c r="O52" i="60" s="1"/>
  <c r="O55" i="60" s="1"/>
  <c r="O56" i="60" s="1"/>
  <c r="N87" i="59"/>
  <c r="P16" i="50"/>
  <c r="P25" i="4"/>
  <c r="P32" i="62"/>
  <c r="L50" i="52"/>
  <c r="L52" i="52" s="1"/>
  <c r="L55" i="52" s="1"/>
  <c r="L56" i="52" s="1"/>
  <c r="K87" i="51"/>
  <c r="M21" i="63"/>
  <c r="M22" i="63" s="1"/>
  <c r="L22" i="63"/>
  <c r="L84" i="63"/>
  <c r="L86" i="63" s="1"/>
  <c r="L89" i="63" s="1"/>
  <c r="L90" i="63" s="1"/>
  <c r="K133" i="62"/>
  <c r="L84" i="52"/>
  <c r="L86" i="52" s="1"/>
  <c r="L89" i="52" s="1"/>
  <c r="L90" i="52" s="1"/>
  <c r="K133" i="51"/>
  <c r="O25" i="61"/>
  <c r="P16" i="51"/>
  <c r="O16" i="4"/>
  <c r="P65" i="4"/>
  <c r="P16" i="49"/>
  <c r="P10" i="50" s="1"/>
  <c r="P59" i="4"/>
  <c r="N24" i="4"/>
  <c r="N17" i="54"/>
  <c r="P28" i="34"/>
  <c r="P94" i="50"/>
  <c r="O72" i="51"/>
  <c r="O25" i="62"/>
  <c r="M109" i="62"/>
  <c r="M123" i="62"/>
  <c r="M107" i="62"/>
  <c r="M71" i="62"/>
  <c r="O15" i="62"/>
  <c r="N63" i="62"/>
  <c r="M77" i="62"/>
  <c r="L117" i="62"/>
  <c r="O31" i="62"/>
  <c r="P61" i="62"/>
  <c r="M77" i="59"/>
  <c r="K117" i="59"/>
  <c r="O8" i="59"/>
  <c r="L71" i="59"/>
  <c r="M123" i="59"/>
  <c r="L100" i="59"/>
  <c r="M54" i="59"/>
  <c r="K61" i="51"/>
  <c r="M25" i="51"/>
  <c r="M31" i="51"/>
  <c r="K71" i="51"/>
  <c r="L77" i="51"/>
  <c r="M63" i="51"/>
  <c r="M109" i="51" s="1"/>
  <c r="L123" i="51"/>
  <c r="J117" i="51"/>
  <c r="K107" i="51"/>
  <c r="O56" i="49"/>
  <c r="O10" i="54" l="1"/>
  <c r="P32" i="51"/>
  <c r="M84" i="52"/>
  <c r="M86" i="52" s="1"/>
  <c r="M89" i="52" s="1"/>
  <c r="M90" i="52" s="1"/>
  <c r="L133" i="51"/>
  <c r="N16" i="63"/>
  <c r="N18" i="63" s="1"/>
  <c r="N21" i="63" s="1"/>
  <c r="M41" i="62"/>
  <c r="P50" i="60"/>
  <c r="P52" i="60" s="1"/>
  <c r="P55" i="60" s="1"/>
  <c r="P56" i="60" s="1"/>
  <c r="P87" i="59" s="1"/>
  <c r="O87" i="59"/>
  <c r="N50" i="63"/>
  <c r="N52" i="63" s="1"/>
  <c r="N55" i="63" s="1"/>
  <c r="N56" i="63" s="1"/>
  <c r="M87" i="62"/>
  <c r="M16" i="52"/>
  <c r="M18" i="52" s="1"/>
  <c r="L41" i="51"/>
  <c r="M16" i="60"/>
  <c r="M18" i="60" s="1"/>
  <c r="L41" i="59"/>
  <c r="M84" i="63"/>
  <c r="M86" i="63" s="1"/>
  <c r="M89" i="63" s="1"/>
  <c r="M90" i="63" s="1"/>
  <c r="L133" i="62"/>
  <c r="M50" i="52"/>
  <c r="M52" i="52" s="1"/>
  <c r="M55" i="52" s="1"/>
  <c r="M56" i="52" s="1"/>
  <c r="L87" i="51"/>
  <c r="N84" i="60"/>
  <c r="N86" i="60" s="1"/>
  <c r="N89" i="60" s="1"/>
  <c r="N90" i="60" s="1"/>
  <c r="M133" i="59"/>
  <c r="N16" i="60"/>
  <c r="N18" i="60" s="1"/>
  <c r="N21" i="60" s="1"/>
  <c r="M41" i="59"/>
  <c r="M16" i="63"/>
  <c r="M18" i="63" s="1"/>
  <c r="L41" i="62"/>
  <c r="N16" i="52"/>
  <c r="N18" i="52" s="1"/>
  <c r="N21" i="52" s="1"/>
  <c r="M41" i="51"/>
  <c r="P25" i="61"/>
  <c r="AA25" i="61" s="1"/>
  <c r="Z25" i="61"/>
  <c r="P16" i="4"/>
  <c r="O24" i="4"/>
  <c r="O17" i="54"/>
  <c r="P56" i="49"/>
  <c r="P32" i="50"/>
  <c r="N107" i="62"/>
  <c r="N109" i="62"/>
  <c r="P31" i="62"/>
  <c r="P15" i="62"/>
  <c r="M117" i="62"/>
  <c r="N77" i="62"/>
  <c r="O63" i="62"/>
  <c r="P63" i="62"/>
  <c r="P109" i="62" s="1"/>
  <c r="N123" i="62"/>
  <c r="P25" i="62"/>
  <c r="P28" i="62" s="1"/>
  <c r="N71" i="62"/>
  <c r="N123" i="59"/>
  <c r="L117" i="59"/>
  <c r="M100" i="59"/>
  <c r="N54" i="59"/>
  <c r="P8" i="59"/>
  <c r="M71" i="59"/>
  <c r="N77" i="59"/>
  <c r="N31" i="51"/>
  <c r="N25" i="51"/>
  <c r="N63" i="51"/>
  <c r="N109" i="51" s="1"/>
  <c r="L107" i="51"/>
  <c r="L71" i="51"/>
  <c r="L61" i="51"/>
  <c r="K117" i="51"/>
  <c r="M77" i="51"/>
  <c r="M123" i="51"/>
  <c r="P10" i="54" l="1"/>
  <c r="N84" i="63"/>
  <c r="N86" i="63" s="1"/>
  <c r="N89" i="63" s="1"/>
  <c r="N90" i="63" s="1"/>
  <c r="M133" i="62"/>
  <c r="N22" i="52"/>
  <c r="O21" i="52"/>
  <c r="N22" i="60"/>
  <c r="O21" i="60"/>
  <c r="N50" i="52"/>
  <c r="N52" i="52" s="1"/>
  <c r="N55" i="52" s="1"/>
  <c r="N56" i="52" s="1"/>
  <c r="M87" i="51"/>
  <c r="N84" i="52"/>
  <c r="N86" i="52" s="1"/>
  <c r="N89" i="52" s="1"/>
  <c r="N90" i="52" s="1"/>
  <c r="M133" i="51"/>
  <c r="O84" i="60"/>
  <c r="O86" i="60" s="1"/>
  <c r="O89" i="60" s="1"/>
  <c r="O90" i="60" s="1"/>
  <c r="N133" i="59"/>
  <c r="O50" i="63"/>
  <c r="O52" i="63" s="1"/>
  <c r="O55" i="63" s="1"/>
  <c r="O56" i="63" s="1"/>
  <c r="N87" i="62"/>
  <c r="O21" i="63"/>
  <c r="N22" i="63"/>
  <c r="P24" i="4"/>
  <c r="P17" i="54"/>
  <c r="O109" i="62"/>
  <c r="O71" i="62"/>
  <c r="O77" i="62"/>
  <c r="N117" i="62"/>
  <c r="O123" i="62"/>
  <c r="O107" i="62"/>
  <c r="N71" i="59"/>
  <c r="N100" i="59"/>
  <c r="M117" i="59"/>
  <c r="O54" i="59"/>
  <c r="O123" i="59"/>
  <c r="O77" i="59"/>
  <c r="M61" i="51"/>
  <c r="N77" i="51"/>
  <c r="M71" i="51"/>
  <c r="O25" i="51"/>
  <c r="O31" i="51"/>
  <c r="P63" i="51"/>
  <c r="P109" i="51" s="1"/>
  <c r="O63" i="51"/>
  <c r="O109" i="51" s="1"/>
  <c r="M107" i="51"/>
  <c r="L117" i="51"/>
  <c r="N123" i="51"/>
  <c r="O50" i="52" l="1"/>
  <c r="O52" i="52" s="1"/>
  <c r="O55" i="52" s="1"/>
  <c r="O56" i="52" s="1"/>
  <c r="N87" i="51"/>
  <c r="O16" i="52"/>
  <c r="O18" i="52" s="1"/>
  <c r="N41" i="51"/>
  <c r="P50" i="63"/>
  <c r="P52" i="63" s="1"/>
  <c r="P55" i="63" s="1"/>
  <c r="P56" i="63" s="1"/>
  <c r="P87" i="62" s="1"/>
  <c r="O87" i="62"/>
  <c r="O22" i="60"/>
  <c r="P21" i="60"/>
  <c r="P22" i="60" s="1"/>
  <c r="P41" i="59" s="1"/>
  <c r="O16" i="63"/>
  <c r="O18" i="63" s="1"/>
  <c r="N41" i="62"/>
  <c r="O84" i="52"/>
  <c r="O86" i="52" s="1"/>
  <c r="O89" i="52" s="1"/>
  <c r="O90" i="52" s="1"/>
  <c r="N133" i="51"/>
  <c r="O16" i="60"/>
  <c r="O18" i="60" s="1"/>
  <c r="N41" i="59"/>
  <c r="P21" i="63"/>
  <c r="P22" i="63" s="1"/>
  <c r="P41" i="62" s="1"/>
  <c r="O22" i="63"/>
  <c r="P84" i="60"/>
  <c r="P86" i="60" s="1"/>
  <c r="P89" i="60" s="1"/>
  <c r="P90" i="60" s="1"/>
  <c r="P133" i="59" s="1"/>
  <c r="O133" i="59"/>
  <c r="P21" i="52"/>
  <c r="P22" i="52" s="1"/>
  <c r="P41" i="51" s="1"/>
  <c r="O22" i="52"/>
  <c r="O84" i="63"/>
  <c r="O86" i="63" s="1"/>
  <c r="O89" i="63" s="1"/>
  <c r="O90" i="63" s="1"/>
  <c r="N133" i="62"/>
  <c r="P77" i="62"/>
  <c r="P123" i="62"/>
  <c r="P71" i="62"/>
  <c r="O117" i="62"/>
  <c r="P107" i="62"/>
  <c r="P77" i="59"/>
  <c r="P54" i="59"/>
  <c r="O71" i="59"/>
  <c r="N117" i="59"/>
  <c r="P123" i="59"/>
  <c r="O100" i="59"/>
  <c r="N71" i="51"/>
  <c r="N107" i="51"/>
  <c r="M117" i="51"/>
  <c r="P25" i="51"/>
  <c r="P28" i="51" s="1"/>
  <c r="P31" i="51"/>
  <c r="O77" i="51"/>
  <c r="O123" i="51"/>
  <c r="N61" i="51"/>
  <c r="P16" i="60" l="1"/>
  <c r="P18" i="60" s="1"/>
  <c r="O41" i="59"/>
  <c r="P16" i="52"/>
  <c r="P18" i="52" s="1"/>
  <c r="O41" i="51"/>
  <c r="P16" i="63"/>
  <c r="P18" i="63" s="1"/>
  <c r="O41" i="62"/>
  <c r="P84" i="52"/>
  <c r="P86" i="52" s="1"/>
  <c r="P89" i="52" s="1"/>
  <c r="P90" i="52" s="1"/>
  <c r="P133" i="51" s="1"/>
  <c r="O133" i="51"/>
  <c r="P84" i="63"/>
  <c r="P86" i="63" s="1"/>
  <c r="P89" i="63" s="1"/>
  <c r="P90" i="63" s="1"/>
  <c r="P133" i="62" s="1"/>
  <c r="O133" i="62"/>
  <c r="P50" i="52"/>
  <c r="P52" i="52" s="1"/>
  <c r="P55" i="52" s="1"/>
  <c r="P56" i="52" s="1"/>
  <c r="P87" i="51" s="1"/>
  <c r="O87" i="51"/>
  <c r="P117" i="62"/>
  <c r="P120" i="62" s="1"/>
  <c r="O117" i="59"/>
  <c r="P71" i="59"/>
  <c r="P74" i="59" s="1"/>
  <c r="P100" i="59"/>
  <c r="P123" i="51"/>
  <c r="P77" i="51"/>
  <c r="N117" i="51"/>
  <c r="O71" i="51"/>
  <c r="O61" i="51"/>
  <c r="O107" i="51"/>
  <c r="P117" i="59" l="1"/>
  <c r="P120" i="59" s="1"/>
  <c r="O117" i="51"/>
  <c r="P61" i="51"/>
  <c r="P71" i="51"/>
  <c r="P107" i="51"/>
  <c r="P117" i="51" l="1"/>
  <c r="P120" i="51" s="1"/>
  <c r="G77" i="42" l="1"/>
  <c r="I236" i="42"/>
  <c r="H236" i="42"/>
  <c r="G236" i="42"/>
  <c r="I230" i="42"/>
  <c r="I75" i="42" s="1"/>
  <c r="J51" i="4" s="1"/>
  <c r="H230" i="42"/>
  <c r="H75" i="42" s="1"/>
  <c r="I51" i="4" s="1"/>
  <c r="G230" i="42"/>
  <c r="G75" i="42" s="1"/>
  <c r="H51" i="4" s="1"/>
  <c r="F230" i="42"/>
  <c r="F75" i="42" s="1"/>
  <c r="F213" i="42"/>
  <c r="F232" i="42" s="1"/>
  <c r="I237" i="42"/>
  <c r="H237" i="42"/>
  <c r="G213" i="42"/>
  <c r="F84" i="44"/>
  <c r="D82" i="44"/>
  <c r="E82" i="44"/>
  <c r="F82" i="44"/>
  <c r="C82" i="44"/>
  <c r="D89" i="44"/>
  <c r="E89" i="44"/>
  <c r="F89" i="44"/>
  <c r="D90" i="44"/>
  <c r="E90" i="44"/>
  <c r="F90" i="44"/>
  <c r="D91" i="44"/>
  <c r="E91" i="44"/>
  <c r="F91" i="44"/>
  <c r="D92" i="44"/>
  <c r="E92" i="44"/>
  <c r="F92" i="44"/>
  <c r="D93" i="44"/>
  <c r="E93" i="44"/>
  <c r="F93" i="44"/>
  <c r="D94" i="44"/>
  <c r="E94" i="44"/>
  <c r="F94" i="44"/>
  <c r="D95" i="44"/>
  <c r="E95" i="44"/>
  <c r="F95" i="44"/>
  <c r="D96" i="44"/>
  <c r="E96" i="44"/>
  <c r="F96" i="44"/>
  <c r="C89" i="44"/>
  <c r="C98" i="44" s="1"/>
  <c r="C90" i="44"/>
  <c r="C91" i="44"/>
  <c r="C92" i="44"/>
  <c r="C93" i="44"/>
  <c r="C94" i="44"/>
  <c r="C95" i="44"/>
  <c r="C96" i="44"/>
  <c r="B96" i="44"/>
  <c r="B95" i="44"/>
  <c r="B94" i="44"/>
  <c r="B93" i="44"/>
  <c r="B92" i="44"/>
  <c r="B91" i="44"/>
  <c r="B90" i="44"/>
  <c r="B89" i="44"/>
  <c r="D64" i="44"/>
  <c r="E64" i="44"/>
  <c r="F64" i="44"/>
  <c r="C64" i="44"/>
  <c r="E98" i="44" l="1"/>
  <c r="G51" i="4"/>
  <c r="F77" i="42"/>
  <c r="G53" i="4" s="1"/>
  <c r="D158" i="28" s="1"/>
  <c r="H53" i="4"/>
  <c r="E158" i="28" s="1"/>
  <c r="H57" i="61"/>
  <c r="H70" i="61" s="1"/>
  <c r="H32" i="54"/>
  <c r="G197" i="49"/>
  <c r="I197" i="49"/>
  <c r="H197" i="49"/>
  <c r="G232" i="42"/>
  <c r="G237" i="42"/>
  <c r="G238" i="42"/>
  <c r="F238" i="42"/>
  <c r="F239" i="42" s="1"/>
  <c r="H213" i="42"/>
  <c r="H77" i="42" s="1"/>
  <c r="I213" i="42"/>
  <c r="I77" i="42" s="1"/>
  <c r="F98" i="44"/>
  <c r="B98" i="44"/>
  <c r="D98" i="44"/>
  <c r="C749" i="29"/>
  <c r="C748" i="29"/>
  <c r="D756" i="29"/>
  <c r="D436" i="29"/>
  <c r="G109" i="29"/>
  <c r="H109" i="29"/>
  <c r="I109" i="29"/>
  <c r="F109" i="29"/>
  <c r="E110" i="29"/>
  <c r="E109" i="29"/>
  <c r="D117" i="29"/>
  <c r="G83" i="21"/>
  <c r="G129" i="21" s="1"/>
  <c r="H83" i="21"/>
  <c r="I83" i="21"/>
  <c r="J83" i="21"/>
  <c r="K83" i="21"/>
  <c r="L83" i="21"/>
  <c r="M83" i="21"/>
  <c r="N83" i="21"/>
  <c r="N129" i="21" s="1"/>
  <c r="O83" i="21"/>
  <c r="O129" i="21" s="1"/>
  <c r="P83" i="21"/>
  <c r="Q83" i="21"/>
  <c r="G84" i="21"/>
  <c r="H84" i="21"/>
  <c r="H130" i="21" s="1"/>
  <c r="I84" i="21"/>
  <c r="I130" i="21" s="1"/>
  <c r="J84" i="21"/>
  <c r="K84" i="21"/>
  <c r="L84" i="21"/>
  <c r="L130" i="21" s="1"/>
  <c r="M84" i="21"/>
  <c r="N84" i="21"/>
  <c r="O84" i="21"/>
  <c r="P84" i="21"/>
  <c r="Q84" i="21"/>
  <c r="Q130" i="21" s="1"/>
  <c r="F84" i="21"/>
  <c r="F83" i="21"/>
  <c r="F129" i="21" s="1"/>
  <c r="Q129" i="21"/>
  <c r="H129" i="21"/>
  <c r="I129" i="21"/>
  <c r="J129" i="21"/>
  <c r="K129" i="21"/>
  <c r="L129" i="21"/>
  <c r="M129" i="21"/>
  <c r="P129" i="21"/>
  <c r="G130" i="21"/>
  <c r="J130" i="21"/>
  <c r="K130" i="21"/>
  <c r="M130" i="21"/>
  <c r="N130" i="21"/>
  <c r="O130" i="21"/>
  <c r="P130" i="21"/>
  <c r="F130" i="21"/>
  <c r="G116" i="21"/>
  <c r="F116" i="21"/>
  <c r="F115" i="21"/>
  <c r="D209" i="4"/>
  <c r="D208" i="4"/>
  <c r="D207" i="4"/>
  <c r="D205" i="4"/>
  <c r="D204" i="4"/>
  <c r="D203" i="4"/>
  <c r="D202" i="4"/>
  <c r="E196" i="4"/>
  <c r="D196" i="4"/>
  <c r="D197" i="4"/>
  <c r="D198" i="4"/>
  <c r="D199" i="4"/>
  <c r="D195" i="4"/>
  <c r="D160" i="4"/>
  <c r="E160" i="4"/>
  <c r="D197" i="38"/>
  <c r="D198" i="38"/>
  <c r="K198" i="38"/>
  <c r="L198" i="38"/>
  <c r="M198" i="38"/>
  <c r="N198" i="38"/>
  <c r="O198" i="38"/>
  <c r="P198" i="38"/>
  <c r="D199" i="38"/>
  <c r="G199" i="38"/>
  <c r="G201" i="34" s="1"/>
  <c r="H199" i="38"/>
  <c r="H201" i="34" s="1"/>
  <c r="I199" i="38"/>
  <c r="I201" i="34" s="1"/>
  <c r="J199" i="38"/>
  <c r="J201" i="34" s="1"/>
  <c r="K199" i="38"/>
  <c r="L199" i="38"/>
  <c r="M199" i="38"/>
  <c r="N199" i="38"/>
  <c r="O199" i="38"/>
  <c r="P199" i="38"/>
  <c r="D201" i="38"/>
  <c r="D202" i="38"/>
  <c r="K202" i="38"/>
  <c r="L202" i="38"/>
  <c r="M202" i="38"/>
  <c r="N202" i="38"/>
  <c r="O202" i="38"/>
  <c r="P202" i="38"/>
  <c r="D203" i="38"/>
  <c r="G203" i="38"/>
  <c r="H203" i="38"/>
  <c r="I203" i="38"/>
  <c r="J203" i="38"/>
  <c r="K203" i="38"/>
  <c r="L203" i="38"/>
  <c r="M203" i="38"/>
  <c r="N203" i="38"/>
  <c r="O203" i="38"/>
  <c r="P203" i="38"/>
  <c r="D196" i="38"/>
  <c r="D190" i="38"/>
  <c r="E190" i="38"/>
  <c r="F190" i="38"/>
  <c r="F192" i="34" s="1"/>
  <c r="G190" i="38"/>
  <c r="G192" i="34" s="1"/>
  <c r="H190" i="38"/>
  <c r="H192" i="34" s="1"/>
  <c r="I190" i="38"/>
  <c r="I192" i="34" s="1"/>
  <c r="J190" i="38"/>
  <c r="D191" i="38"/>
  <c r="D192" i="38"/>
  <c r="D193" i="38"/>
  <c r="D189" i="38"/>
  <c r="G166" i="38"/>
  <c r="G168" i="34" s="1"/>
  <c r="H166" i="38"/>
  <c r="H168" i="34" s="1"/>
  <c r="I166" i="38"/>
  <c r="I168" i="34" s="1"/>
  <c r="J166" i="38"/>
  <c r="G167" i="38"/>
  <c r="H167" i="38"/>
  <c r="H169" i="34" s="1"/>
  <c r="I167" i="38"/>
  <c r="I169" i="34" s="1"/>
  <c r="J167" i="38"/>
  <c r="J169" i="34" s="1"/>
  <c r="D155" i="38"/>
  <c r="E155" i="38"/>
  <c r="F155" i="38"/>
  <c r="G155" i="38"/>
  <c r="H155" i="38"/>
  <c r="I155" i="38"/>
  <c r="J155" i="38"/>
  <c r="K155" i="38"/>
  <c r="L155" i="38"/>
  <c r="M155" i="38"/>
  <c r="N155" i="38"/>
  <c r="O155" i="38"/>
  <c r="P155" i="38"/>
  <c r="H156" i="38"/>
  <c r="H157" i="38"/>
  <c r="D13" i="48"/>
  <c r="E13" i="48" s="1"/>
  <c r="F12" i="48"/>
  <c r="G12" i="48" s="1"/>
  <c r="H12" i="48" s="1"/>
  <c r="I12" i="48" s="1"/>
  <c r="J12" i="48" s="1"/>
  <c r="K12" i="48" s="1"/>
  <c r="L12" i="48" s="1"/>
  <c r="M12" i="48" s="1"/>
  <c r="C10" i="48"/>
  <c r="D6" i="48"/>
  <c r="E104" i="28"/>
  <c r="F104" i="28" s="1"/>
  <c r="G104" i="28" s="1"/>
  <c r="H104" i="28" s="1"/>
  <c r="I104" i="28" s="1"/>
  <c r="J104" i="28" s="1"/>
  <c r="K104" i="28" s="1"/>
  <c r="L104" i="28" s="1"/>
  <c r="M104" i="28" s="1"/>
  <c r="C110" i="28"/>
  <c r="E110" i="28" s="1"/>
  <c r="F110" i="28" s="1"/>
  <c r="G110" i="28" s="1"/>
  <c r="H110" i="28" s="1"/>
  <c r="I110" i="28" s="1"/>
  <c r="J110" i="28" s="1"/>
  <c r="K110" i="28" s="1"/>
  <c r="L110" i="28" s="1"/>
  <c r="M110" i="28" s="1"/>
  <c r="C134" i="28"/>
  <c r="E134" i="28" s="1"/>
  <c r="F134" i="28" s="1"/>
  <c r="G134" i="28" s="1"/>
  <c r="H134" i="28" s="1"/>
  <c r="I134" i="28" s="1"/>
  <c r="J134" i="28" s="1"/>
  <c r="K134" i="28" s="1"/>
  <c r="L134" i="28" s="1"/>
  <c r="M134" i="28" s="1"/>
  <c r="C128" i="28"/>
  <c r="D128" i="28" s="1"/>
  <c r="E128" i="28" s="1"/>
  <c r="F128" i="28" s="1"/>
  <c r="G128" i="28" s="1"/>
  <c r="H128" i="28" s="1"/>
  <c r="I128" i="28" s="1"/>
  <c r="J128" i="28" s="1"/>
  <c r="K128" i="28" s="1"/>
  <c r="L128" i="28" s="1"/>
  <c r="M128" i="28" s="1"/>
  <c r="C122" i="28"/>
  <c r="E122" i="28" s="1"/>
  <c r="F122" i="28" s="1"/>
  <c r="G122" i="28" s="1"/>
  <c r="H122" i="28" s="1"/>
  <c r="I122" i="28" s="1"/>
  <c r="J122" i="28" s="1"/>
  <c r="K122" i="28" s="1"/>
  <c r="L122" i="28" s="1"/>
  <c r="M122" i="28" s="1"/>
  <c r="C116" i="28"/>
  <c r="D116" i="28" s="1"/>
  <c r="E116" i="28" s="1"/>
  <c r="F116" i="28" s="1"/>
  <c r="G116" i="28" s="1"/>
  <c r="H116" i="28" s="1"/>
  <c r="I116" i="28" s="1"/>
  <c r="J116" i="28" s="1"/>
  <c r="K116" i="28" s="1"/>
  <c r="L116" i="28" s="1"/>
  <c r="M116" i="28" s="1"/>
  <c r="K25" i="38"/>
  <c r="K16" i="39" s="1"/>
  <c r="G32" i="54" l="1"/>
  <c r="E192" i="34"/>
  <c r="G57" i="61"/>
  <c r="G70" i="61" s="1"/>
  <c r="G72" i="61" s="1"/>
  <c r="H71" i="61" s="1"/>
  <c r="H72" i="61" s="1"/>
  <c r="I71" i="61" s="1"/>
  <c r="F13" i="48"/>
  <c r="G16" i="62"/>
  <c r="H16" i="62" s="1"/>
  <c r="I16" i="62" s="1"/>
  <c r="J16" i="62" s="1"/>
  <c r="G239" i="42"/>
  <c r="J53" i="4"/>
  <c r="G158" i="28" s="1"/>
  <c r="J57" i="61"/>
  <c r="J70" i="61" s="1"/>
  <c r="J32" i="54"/>
  <c r="I53" i="4"/>
  <c r="F158" i="28" s="1"/>
  <c r="I57" i="61"/>
  <c r="I70" i="61" s="1"/>
  <c r="I32" i="54"/>
  <c r="J192" i="34"/>
  <c r="G169" i="34"/>
  <c r="J168" i="34"/>
  <c r="J85" i="50"/>
  <c r="G85" i="50"/>
  <c r="H85" i="50"/>
  <c r="I85" i="50"/>
  <c r="G131" i="49"/>
  <c r="G144" i="49" s="1"/>
  <c r="G146" i="49" s="1"/>
  <c r="H145" i="49" s="1"/>
  <c r="G195" i="49"/>
  <c r="J197" i="49"/>
  <c r="H131" i="49"/>
  <c r="H144" i="49" s="1"/>
  <c r="H195" i="49"/>
  <c r="I131" i="49"/>
  <c r="I144" i="49" s="1"/>
  <c r="I195" i="49"/>
  <c r="J131" i="49"/>
  <c r="J144" i="49" s="1"/>
  <c r="J195" i="49"/>
  <c r="H232" i="42"/>
  <c r="H238" i="42"/>
  <c r="I232" i="42"/>
  <c r="I238" i="42"/>
  <c r="E6" i="48"/>
  <c r="F6" i="48" s="1"/>
  <c r="G6" i="48" s="1"/>
  <c r="H6" i="48" s="1"/>
  <c r="I6" i="48" s="1"/>
  <c r="D10" i="48"/>
  <c r="D15" i="48" s="1"/>
  <c r="G13" i="48"/>
  <c r="H13" i="48" s="1"/>
  <c r="I13" i="48" s="1"/>
  <c r="J13" i="48" s="1"/>
  <c r="K13" i="48" s="1"/>
  <c r="L13" i="48" s="1"/>
  <c r="M13" i="48" s="1"/>
  <c r="M95" i="28"/>
  <c r="M96" i="28"/>
  <c r="M97" i="28"/>
  <c r="E527" i="29"/>
  <c r="E567" i="29" s="1"/>
  <c r="C52" i="28" s="1"/>
  <c r="E531" i="29"/>
  <c r="E568" i="29" s="1"/>
  <c r="C58" i="28" s="1"/>
  <c r="B76" i="28"/>
  <c r="C76" i="28"/>
  <c r="C751" i="29"/>
  <c r="E133" i="21"/>
  <c r="C133" i="21"/>
  <c r="Q131" i="21"/>
  <c r="P131" i="21"/>
  <c r="O131" i="21"/>
  <c r="N131" i="21"/>
  <c r="M131" i="21"/>
  <c r="L131" i="21"/>
  <c r="K131" i="21"/>
  <c r="J131" i="21"/>
  <c r="I131" i="21"/>
  <c r="H131" i="21"/>
  <c r="G131" i="21"/>
  <c r="F131" i="21"/>
  <c r="E131" i="21"/>
  <c r="C131" i="21"/>
  <c r="B131" i="21"/>
  <c r="D129" i="21"/>
  <c r="D131" i="21" s="1"/>
  <c r="C126" i="21"/>
  <c r="B126" i="21"/>
  <c r="E125" i="21"/>
  <c r="E126" i="21" s="1"/>
  <c r="D125" i="21"/>
  <c r="D126" i="21" s="1"/>
  <c r="F124" i="21"/>
  <c r="E119" i="21"/>
  <c r="D119" i="21"/>
  <c r="C119" i="21"/>
  <c r="F117" i="21"/>
  <c r="E117" i="21"/>
  <c r="D117" i="21"/>
  <c r="C117" i="21"/>
  <c r="B117" i="21"/>
  <c r="E112" i="21"/>
  <c r="D112" i="21"/>
  <c r="C112" i="21"/>
  <c r="B112" i="21"/>
  <c r="G111" i="21"/>
  <c r="E765" i="29" s="1"/>
  <c r="F111" i="21"/>
  <c r="D765" i="29" s="1"/>
  <c r="E106" i="21"/>
  <c r="C106" i="21"/>
  <c r="E104" i="21"/>
  <c r="C104" i="21"/>
  <c r="B104" i="21"/>
  <c r="G103" i="21"/>
  <c r="E749" i="29" s="1"/>
  <c r="F103" i="21"/>
  <c r="D749" i="29" s="1"/>
  <c r="F102" i="21"/>
  <c r="D748" i="29" s="1"/>
  <c r="D102" i="21"/>
  <c r="D106" i="21" s="1"/>
  <c r="E99" i="21"/>
  <c r="D99" i="21"/>
  <c r="C99" i="21"/>
  <c r="B99" i="21"/>
  <c r="F666" i="29"/>
  <c r="F868" i="29" s="1"/>
  <c r="G666" i="29"/>
  <c r="G868" i="29" s="1"/>
  <c r="H666" i="29"/>
  <c r="H868" i="29" s="1"/>
  <c r="I666" i="29"/>
  <c r="I868" i="29" s="1"/>
  <c r="D881" i="29"/>
  <c r="E881" i="29" s="1"/>
  <c r="F881" i="29" s="1"/>
  <c r="G881" i="29" s="1"/>
  <c r="H881" i="29" s="1"/>
  <c r="I881" i="29" s="1"/>
  <c r="J881" i="29" s="1"/>
  <c r="K881" i="29" s="1"/>
  <c r="L881" i="29" s="1"/>
  <c r="M881" i="29" s="1"/>
  <c r="N881" i="29" s="1"/>
  <c r="O881" i="29" s="1"/>
  <c r="C881" i="29"/>
  <c r="C876" i="29"/>
  <c r="E874" i="29"/>
  <c r="E889" i="29" s="1"/>
  <c r="C65" i="28" s="1"/>
  <c r="D874" i="29"/>
  <c r="D889" i="29" s="1"/>
  <c r="B65" i="28" s="1"/>
  <c r="C874" i="29"/>
  <c r="C889" i="29" s="1"/>
  <c r="O870" i="29"/>
  <c r="N870" i="29"/>
  <c r="M870" i="29"/>
  <c r="L870" i="29"/>
  <c r="K870" i="29"/>
  <c r="J870" i="29"/>
  <c r="I870" i="29"/>
  <c r="H870" i="29"/>
  <c r="G870" i="29"/>
  <c r="F870" i="29"/>
  <c r="E870" i="29"/>
  <c r="D870" i="29"/>
  <c r="C870" i="29"/>
  <c r="O869" i="29"/>
  <c r="N869" i="29"/>
  <c r="M869" i="29"/>
  <c r="L869" i="29"/>
  <c r="K869" i="29"/>
  <c r="J869" i="29"/>
  <c r="I869" i="29"/>
  <c r="H869" i="29"/>
  <c r="G869" i="29"/>
  <c r="F869" i="29"/>
  <c r="E869" i="29"/>
  <c r="D869" i="29"/>
  <c r="C869" i="29"/>
  <c r="D866" i="29"/>
  <c r="C866" i="29"/>
  <c r="I863" i="29"/>
  <c r="E862" i="29"/>
  <c r="D862" i="29"/>
  <c r="C862" i="29"/>
  <c r="O859" i="29"/>
  <c r="N859" i="29"/>
  <c r="M859" i="29"/>
  <c r="L859" i="29"/>
  <c r="K859" i="29"/>
  <c r="J859" i="29"/>
  <c r="I859" i="29"/>
  <c r="H859" i="29"/>
  <c r="G859" i="29"/>
  <c r="F859" i="29"/>
  <c r="E859" i="29"/>
  <c r="D859" i="29"/>
  <c r="C859" i="29"/>
  <c r="E855" i="29"/>
  <c r="E892" i="29" s="1"/>
  <c r="C83" i="28" s="1"/>
  <c r="D855" i="29"/>
  <c r="D892" i="29" s="1"/>
  <c r="B83" i="28" s="1"/>
  <c r="C855" i="29"/>
  <c r="C892" i="29" s="1"/>
  <c r="E851" i="29"/>
  <c r="E888" i="29" s="1"/>
  <c r="C59" i="28" s="1"/>
  <c r="D851" i="29"/>
  <c r="D888" i="29" s="1"/>
  <c r="B59" i="28" s="1"/>
  <c r="C851" i="29"/>
  <c r="C888" i="29" s="1"/>
  <c r="E847" i="29"/>
  <c r="E887" i="29" s="1"/>
  <c r="C53" i="28" s="1"/>
  <c r="D847" i="29"/>
  <c r="D887" i="29" s="1"/>
  <c r="B53" i="28" s="1"/>
  <c r="C847" i="29"/>
  <c r="C887" i="29" s="1"/>
  <c r="D843" i="29"/>
  <c r="C843" i="29"/>
  <c r="C819" i="29"/>
  <c r="D818" i="29"/>
  <c r="C818" i="29"/>
  <c r="P817" i="29"/>
  <c r="D816" i="29"/>
  <c r="C816" i="29"/>
  <c r="C877" i="29" s="1"/>
  <c r="C891" i="29" s="1"/>
  <c r="C815" i="29"/>
  <c r="C814" i="29"/>
  <c r="C878" i="29" s="1"/>
  <c r="C890" i="29" s="1"/>
  <c r="D805" i="29"/>
  <c r="D804" i="29"/>
  <c r="D802" i="29"/>
  <c r="D801" i="29"/>
  <c r="D815" i="29" s="1"/>
  <c r="E815" i="29" s="1"/>
  <c r="F815" i="29" s="1"/>
  <c r="G815" i="29" s="1"/>
  <c r="H815" i="29" s="1"/>
  <c r="I815" i="29" s="1"/>
  <c r="J815" i="29" s="1"/>
  <c r="K815" i="29" s="1"/>
  <c r="L815" i="29" s="1"/>
  <c r="M815" i="29" s="1"/>
  <c r="N815" i="29" s="1"/>
  <c r="O815" i="29" s="1"/>
  <c r="D800" i="29"/>
  <c r="D814" i="29" s="1"/>
  <c r="E814" i="29" s="1"/>
  <c r="D791" i="29"/>
  <c r="D777" i="29"/>
  <c r="D769" i="29"/>
  <c r="C769" i="29"/>
  <c r="C765" i="29"/>
  <c r="C766" i="29" s="1"/>
  <c r="B757" i="29"/>
  <c r="C756" i="29"/>
  <c r="O744" i="29"/>
  <c r="O863" i="29" s="1"/>
  <c r="N744" i="29"/>
  <c r="N863" i="29" s="1"/>
  <c r="I744" i="29"/>
  <c r="J744" i="29" s="1"/>
  <c r="C744" i="29"/>
  <c r="C863" i="29" s="1"/>
  <c r="O741" i="29"/>
  <c r="N741" i="29"/>
  <c r="M741" i="29"/>
  <c r="L741" i="29"/>
  <c r="K741" i="29"/>
  <c r="J741" i="29"/>
  <c r="I741" i="29"/>
  <c r="H741" i="29"/>
  <c r="G741" i="29"/>
  <c r="F741" i="29"/>
  <c r="E741" i="29"/>
  <c r="D741" i="29"/>
  <c r="C741" i="29"/>
  <c r="O740" i="29"/>
  <c r="N740" i="29"/>
  <c r="M740" i="29"/>
  <c r="L740" i="29"/>
  <c r="K740" i="29"/>
  <c r="J740" i="29"/>
  <c r="I740" i="29"/>
  <c r="H740" i="29"/>
  <c r="G740" i="29"/>
  <c r="F740" i="29"/>
  <c r="E740" i="29"/>
  <c r="D740" i="29"/>
  <c r="C740" i="29"/>
  <c r="D736" i="29"/>
  <c r="C736" i="29"/>
  <c r="O734" i="29"/>
  <c r="N734" i="29"/>
  <c r="M734" i="29"/>
  <c r="L734" i="29"/>
  <c r="K734" i="29"/>
  <c r="J734" i="29"/>
  <c r="I734" i="29"/>
  <c r="H734" i="29"/>
  <c r="G734" i="29"/>
  <c r="F734" i="29"/>
  <c r="E734" i="29"/>
  <c r="D734" i="29"/>
  <c r="C734" i="29"/>
  <c r="B727" i="29"/>
  <c r="I723" i="29"/>
  <c r="O721" i="29"/>
  <c r="O723" i="29" s="1"/>
  <c r="N721" i="29"/>
  <c r="N723" i="29" s="1"/>
  <c r="M721" i="29"/>
  <c r="M723" i="29" s="1"/>
  <c r="L721" i="29"/>
  <c r="L723" i="29" s="1"/>
  <c r="K721" i="29"/>
  <c r="K723" i="29" s="1"/>
  <c r="J721" i="29"/>
  <c r="J723" i="29" s="1"/>
  <c r="I721" i="29"/>
  <c r="H721" i="29"/>
  <c r="H723" i="29" s="1"/>
  <c r="G721" i="29"/>
  <c r="G723" i="29" s="1"/>
  <c r="F721" i="29"/>
  <c r="F723" i="29" s="1"/>
  <c r="E721" i="29"/>
  <c r="E723" i="29" s="1"/>
  <c r="D721" i="29"/>
  <c r="D723" i="29" s="1"/>
  <c r="C721" i="29"/>
  <c r="C723" i="29" s="1"/>
  <c r="O713" i="29"/>
  <c r="N713" i="29"/>
  <c r="M713" i="29"/>
  <c r="L713" i="29"/>
  <c r="K713" i="29"/>
  <c r="J713" i="29"/>
  <c r="I713" i="29"/>
  <c r="H713" i="29"/>
  <c r="G713" i="29"/>
  <c r="F713" i="29"/>
  <c r="E713" i="29"/>
  <c r="D713" i="29"/>
  <c r="C713" i="29"/>
  <c r="O707" i="29"/>
  <c r="N707" i="29"/>
  <c r="M707" i="29"/>
  <c r="L707" i="29"/>
  <c r="K707" i="29"/>
  <c r="J707" i="29"/>
  <c r="I707" i="29"/>
  <c r="H707" i="29"/>
  <c r="G707" i="29"/>
  <c r="F707" i="29"/>
  <c r="E707" i="29"/>
  <c r="D707" i="29"/>
  <c r="C707" i="29"/>
  <c r="O698" i="29"/>
  <c r="N698" i="29"/>
  <c r="M698" i="29"/>
  <c r="L698" i="29"/>
  <c r="K698" i="29"/>
  <c r="J698" i="29"/>
  <c r="I698" i="29"/>
  <c r="H698" i="29"/>
  <c r="G698" i="29"/>
  <c r="F698" i="29"/>
  <c r="E698" i="29"/>
  <c r="D698" i="29"/>
  <c r="C698" i="29"/>
  <c r="O689" i="29"/>
  <c r="N689" i="29"/>
  <c r="N700" i="29" s="1"/>
  <c r="N715" i="29" s="1"/>
  <c r="M689" i="29"/>
  <c r="M700" i="29" s="1"/>
  <c r="L689" i="29"/>
  <c r="K689" i="29"/>
  <c r="J689" i="29"/>
  <c r="J700" i="29" s="1"/>
  <c r="J715" i="29" s="1"/>
  <c r="I689" i="29"/>
  <c r="H689" i="29"/>
  <c r="G689" i="29"/>
  <c r="F689" i="29"/>
  <c r="F700" i="29" s="1"/>
  <c r="F715" i="29" s="1"/>
  <c r="F725" i="29" s="1"/>
  <c r="E689" i="29"/>
  <c r="E700" i="29" s="1"/>
  <c r="D689" i="29"/>
  <c r="C689" i="29"/>
  <c r="E678" i="29"/>
  <c r="D678" i="29"/>
  <c r="C678" i="29"/>
  <c r="D649" i="29"/>
  <c r="C649" i="29"/>
  <c r="E644" i="29"/>
  <c r="E756" i="29" s="1"/>
  <c r="E429" i="29"/>
  <c r="G346" i="29"/>
  <c r="G548" i="29" s="1"/>
  <c r="H346" i="29"/>
  <c r="H548" i="29" s="1"/>
  <c r="I346" i="29"/>
  <c r="I548" i="29" s="1"/>
  <c r="F346" i="29"/>
  <c r="F548" i="29" s="1"/>
  <c r="K561" i="29"/>
  <c r="L561" i="29" s="1"/>
  <c r="M561" i="29" s="1"/>
  <c r="N561" i="29" s="1"/>
  <c r="O561" i="29" s="1"/>
  <c r="C561" i="29"/>
  <c r="D561" i="29" s="1"/>
  <c r="E561" i="29" s="1"/>
  <c r="F561" i="29" s="1"/>
  <c r="G561" i="29" s="1"/>
  <c r="H561" i="29" s="1"/>
  <c r="I561" i="29" s="1"/>
  <c r="J561" i="29" s="1"/>
  <c r="C556" i="29"/>
  <c r="D555" i="29"/>
  <c r="C555" i="29"/>
  <c r="C553" i="29" s="1"/>
  <c r="E554" i="29"/>
  <c r="E569" i="29" s="1"/>
  <c r="C64" i="28" s="1"/>
  <c r="D554" i="29"/>
  <c r="D569" i="29" s="1"/>
  <c r="B64" i="28" s="1"/>
  <c r="C554" i="29"/>
  <c r="C569" i="29" s="1"/>
  <c r="O550" i="29"/>
  <c r="N550" i="29"/>
  <c r="M550" i="29"/>
  <c r="L550" i="29"/>
  <c r="K550" i="29"/>
  <c r="J550" i="29"/>
  <c r="I550" i="29"/>
  <c r="H550" i="29"/>
  <c r="G550" i="29"/>
  <c r="F550" i="29"/>
  <c r="E550" i="29"/>
  <c r="D550" i="29"/>
  <c r="C550" i="29"/>
  <c r="O549" i="29"/>
  <c r="N549" i="29"/>
  <c r="M549" i="29"/>
  <c r="L549" i="29"/>
  <c r="K549" i="29"/>
  <c r="J549" i="29"/>
  <c r="I549" i="29"/>
  <c r="H549" i="29"/>
  <c r="G549" i="29"/>
  <c r="F549" i="29"/>
  <c r="E549" i="29"/>
  <c r="D549" i="29"/>
  <c r="C549" i="29"/>
  <c r="C546" i="29"/>
  <c r="D546" i="29" s="1"/>
  <c r="E542" i="29"/>
  <c r="D542" i="29"/>
  <c r="C542" i="29"/>
  <c r="O539" i="29"/>
  <c r="N539" i="29"/>
  <c r="M539" i="29"/>
  <c r="L539" i="29"/>
  <c r="K539" i="29"/>
  <c r="J539" i="29"/>
  <c r="I539" i="29"/>
  <c r="H539" i="29"/>
  <c r="G539" i="29"/>
  <c r="F539" i="29"/>
  <c r="E539" i="29"/>
  <c r="D539" i="29"/>
  <c r="C539" i="29"/>
  <c r="E535" i="29"/>
  <c r="E572" i="29" s="1"/>
  <c r="C82" i="28" s="1"/>
  <c r="D535" i="29"/>
  <c r="D572" i="29" s="1"/>
  <c r="B82" i="28" s="1"/>
  <c r="C535" i="29"/>
  <c r="C572" i="29" s="1"/>
  <c r="D531" i="29"/>
  <c r="D568" i="29" s="1"/>
  <c r="B58" i="28" s="1"/>
  <c r="C531" i="29"/>
  <c r="C568" i="29" s="1"/>
  <c r="D527" i="29"/>
  <c r="D567" i="29" s="1"/>
  <c r="B52" i="28" s="1"/>
  <c r="C527" i="29"/>
  <c r="C567" i="29" s="1"/>
  <c r="D523" i="29"/>
  <c r="C523" i="29"/>
  <c r="C499" i="29"/>
  <c r="C498" i="29"/>
  <c r="P497" i="29"/>
  <c r="C496" i="29"/>
  <c r="C495" i="29"/>
  <c r="C494" i="29"/>
  <c r="D485" i="29"/>
  <c r="D484" i="29"/>
  <c r="D498" i="29" s="1"/>
  <c r="D482" i="29"/>
  <c r="D496" i="29" s="1"/>
  <c r="D481" i="29"/>
  <c r="D495" i="29" s="1"/>
  <c r="E495" i="29" s="1"/>
  <c r="F495" i="29" s="1"/>
  <c r="G495" i="29" s="1"/>
  <c r="H495" i="29" s="1"/>
  <c r="I495" i="29" s="1"/>
  <c r="J495" i="29" s="1"/>
  <c r="K495" i="29" s="1"/>
  <c r="L495" i="29" s="1"/>
  <c r="M495" i="29" s="1"/>
  <c r="N495" i="29" s="1"/>
  <c r="O495" i="29" s="1"/>
  <c r="D480" i="29"/>
  <c r="D494" i="29" s="1"/>
  <c r="D471" i="29"/>
  <c r="D457" i="29"/>
  <c r="D449" i="29"/>
  <c r="C449" i="29"/>
  <c r="C445" i="29"/>
  <c r="C446" i="29" s="1"/>
  <c r="B437" i="29"/>
  <c r="C436" i="29"/>
  <c r="D430" i="29"/>
  <c r="D434" i="29" s="1"/>
  <c r="C430" i="29"/>
  <c r="C434" i="29" s="1"/>
  <c r="N424" i="29"/>
  <c r="O424" i="29" s="1"/>
  <c r="O543" i="29" s="1"/>
  <c r="I424" i="29"/>
  <c r="J424" i="29" s="1"/>
  <c r="D424" i="29"/>
  <c r="D543" i="29" s="1"/>
  <c r="C424" i="29"/>
  <c r="C543" i="29" s="1"/>
  <c r="O421" i="29"/>
  <c r="N421" i="29"/>
  <c r="M421" i="29"/>
  <c r="L421" i="29"/>
  <c r="K421" i="29"/>
  <c r="J421" i="29"/>
  <c r="I421" i="29"/>
  <c r="H421" i="29"/>
  <c r="G421" i="29"/>
  <c r="F421" i="29"/>
  <c r="E421" i="29"/>
  <c r="D421" i="29"/>
  <c r="C421" i="29"/>
  <c r="O420" i="29"/>
  <c r="N420" i="29"/>
  <c r="M420" i="29"/>
  <c r="L420" i="29"/>
  <c r="K420" i="29"/>
  <c r="J420" i="29"/>
  <c r="I420" i="29"/>
  <c r="H420" i="29"/>
  <c r="G420" i="29"/>
  <c r="F420" i="29"/>
  <c r="E420" i="29"/>
  <c r="D420" i="29"/>
  <c r="C420" i="29"/>
  <c r="D416" i="29"/>
  <c r="C416" i="29"/>
  <c r="O414" i="29"/>
  <c r="N414" i="29"/>
  <c r="M414" i="29"/>
  <c r="L414" i="29"/>
  <c r="K414" i="29"/>
  <c r="J414" i="29"/>
  <c r="I414" i="29"/>
  <c r="H414" i="29"/>
  <c r="G414" i="29"/>
  <c r="F414" i="29"/>
  <c r="E414" i="29"/>
  <c r="D414" i="29"/>
  <c r="C414" i="29"/>
  <c r="B407" i="29"/>
  <c r="O401" i="29"/>
  <c r="O403" i="29" s="1"/>
  <c r="N401" i="29"/>
  <c r="N403" i="29" s="1"/>
  <c r="M401" i="29"/>
  <c r="M403" i="29" s="1"/>
  <c r="L401" i="29"/>
  <c r="L403" i="29" s="1"/>
  <c r="K401" i="29"/>
  <c r="K403" i="29" s="1"/>
  <c r="J401" i="29"/>
  <c r="J403" i="29" s="1"/>
  <c r="I401" i="29"/>
  <c r="I403" i="29" s="1"/>
  <c r="H401" i="29"/>
  <c r="H403" i="29" s="1"/>
  <c r="G401" i="29"/>
  <c r="G403" i="29" s="1"/>
  <c r="F401" i="29"/>
  <c r="F403" i="29" s="1"/>
  <c r="E401" i="29"/>
  <c r="E403" i="29" s="1"/>
  <c r="D401" i="29"/>
  <c r="D403" i="29" s="1"/>
  <c r="C401" i="29"/>
  <c r="C403" i="29" s="1"/>
  <c r="O393" i="29"/>
  <c r="N393" i="29"/>
  <c r="M393" i="29"/>
  <c r="L393" i="29"/>
  <c r="K393" i="29"/>
  <c r="J393" i="29"/>
  <c r="I393" i="29"/>
  <c r="H393" i="29"/>
  <c r="G393" i="29"/>
  <c r="F393" i="29"/>
  <c r="E393" i="29"/>
  <c r="D393" i="29"/>
  <c r="C393" i="29"/>
  <c r="O387" i="29"/>
  <c r="N387" i="29"/>
  <c r="M387" i="29"/>
  <c r="L387" i="29"/>
  <c r="K387" i="29"/>
  <c r="J387" i="29"/>
  <c r="I387" i="29"/>
  <c r="H387" i="29"/>
  <c r="G387" i="29"/>
  <c r="F387" i="29"/>
  <c r="E387" i="29"/>
  <c r="D387" i="29"/>
  <c r="C387" i="29"/>
  <c r="L380" i="29"/>
  <c r="O378" i="29"/>
  <c r="N378" i="29"/>
  <c r="M378" i="29"/>
  <c r="L378" i="29"/>
  <c r="K378" i="29"/>
  <c r="J378" i="29"/>
  <c r="I378" i="29"/>
  <c r="I380" i="29" s="1"/>
  <c r="I395" i="29" s="1"/>
  <c r="H378" i="29"/>
  <c r="G378" i="29"/>
  <c r="F378" i="29"/>
  <c r="E378" i="29"/>
  <c r="D378" i="29"/>
  <c r="D380" i="29" s="1"/>
  <c r="D395" i="29" s="1"/>
  <c r="C378" i="29"/>
  <c r="O369" i="29"/>
  <c r="O380" i="29" s="1"/>
  <c r="N369" i="29"/>
  <c r="N380" i="29" s="1"/>
  <c r="N395" i="29" s="1"/>
  <c r="M369" i="29"/>
  <c r="L369" i="29"/>
  <c r="K369" i="29"/>
  <c r="J369" i="29"/>
  <c r="J380" i="29" s="1"/>
  <c r="I369" i="29"/>
  <c r="H369" i="29"/>
  <c r="G369" i="29"/>
  <c r="G380" i="29" s="1"/>
  <c r="F369" i="29"/>
  <c r="F380" i="29" s="1"/>
  <c r="F395" i="29" s="1"/>
  <c r="E369" i="29"/>
  <c r="D369" i="29"/>
  <c r="C369" i="29"/>
  <c r="E358" i="29"/>
  <c r="D358" i="29"/>
  <c r="C358" i="29"/>
  <c r="D329" i="29"/>
  <c r="C329" i="29"/>
  <c r="F324" i="29"/>
  <c r="E324" i="29"/>
  <c r="E436" i="29" s="1"/>
  <c r="I30" i="47"/>
  <c r="I33" i="47" s="1"/>
  <c r="I19" i="47"/>
  <c r="K19" i="47" s="1"/>
  <c r="K18" i="47"/>
  <c r="K17" i="47"/>
  <c r="K16" i="47"/>
  <c r="J8" i="47"/>
  <c r="J30" i="47" s="1"/>
  <c r="I8" i="47"/>
  <c r="I11" i="47" s="1"/>
  <c r="J7" i="47"/>
  <c r="K7" i="47" s="1"/>
  <c r="J6" i="47"/>
  <c r="J28" i="47" s="1"/>
  <c r="K28" i="47" s="1"/>
  <c r="J5" i="47"/>
  <c r="J27" i="47" s="1"/>
  <c r="K27" i="47" s="1"/>
  <c r="D6" i="47"/>
  <c r="D8" i="47"/>
  <c r="D30" i="47" s="1"/>
  <c r="D7" i="47"/>
  <c r="D5" i="47"/>
  <c r="D27" i="47" s="1"/>
  <c r="E27" i="47" s="1"/>
  <c r="C30" i="47"/>
  <c r="C33" i="47" s="1"/>
  <c r="C19" i="47"/>
  <c r="C22" i="47" s="1"/>
  <c r="E18" i="47"/>
  <c r="E17" i="47"/>
  <c r="E16" i="47"/>
  <c r="C8" i="47"/>
  <c r="C11" i="47" s="1"/>
  <c r="E5" i="47"/>
  <c r="F110" i="29" l="1"/>
  <c r="H30" i="21"/>
  <c r="H29" i="21"/>
  <c r="D557" i="29"/>
  <c r="B126" i="28" s="1"/>
  <c r="F496" i="29"/>
  <c r="G496" i="29" s="1"/>
  <c r="H496" i="29" s="1"/>
  <c r="I496" i="29" s="1"/>
  <c r="J496" i="29" s="1"/>
  <c r="K496" i="29" s="1"/>
  <c r="L496" i="29" s="1"/>
  <c r="M496" i="29" s="1"/>
  <c r="N496" i="29" s="1"/>
  <c r="O496" i="29" s="1"/>
  <c r="D744" i="29"/>
  <c r="D863" i="29" s="1"/>
  <c r="D877" i="29"/>
  <c r="K30" i="47"/>
  <c r="H380" i="29"/>
  <c r="H395" i="29" s="1"/>
  <c r="G395" i="29"/>
  <c r="G405" i="29" s="1"/>
  <c r="J395" i="29"/>
  <c r="J405" i="29" s="1"/>
  <c r="C557" i="29"/>
  <c r="E649" i="29"/>
  <c r="G700" i="29"/>
  <c r="G715" i="29" s="1"/>
  <c r="G725" i="29" s="1"/>
  <c r="O700" i="29"/>
  <c r="D878" i="29"/>
  <c r="I72" i="61"/>
  <c r="J71" i="61" s="1"/>
  <c r="J72" i="61" s="1"/>
  <c r="K71" i="61" s="1"/>
  <c r="K22" i="47"/>
  <c r="C558" i="29"/>
  <c r="C570" i="29" s="1"/>
  <c r="E30" i="47"/>
  <c r="J29" i="47"/>
  <c r="K29" i="47" s="1"/>
  <c r="K33" i="47" s="1"/>
  <c r="F358" i="29"/>
  <c r="F436" i="29"/>
  <c r="E380" i="29"/>
  <c r="E395" i="29" s="1"/>
  <c r="E405" i="29" s="1"/>
  <c r="M380" i="29"/>
  <c r="M395" i="29" s="1"/>
  <c r="M405" i="29" s="1"/>
  <c r="E416" i="29"/>
  <c r="D558" i="29"/>
  <c r="E494" i="29"/>
  <c r="D700" i="29"/>
  <c r="D715" i="29" s="1"/>
  <c r="D725" i="29" s="1"/>
  <c r="H700" i="29"/>
  <c r="H715" i="29" s="1"/>
  <c r="H725" i="29" s="1"/>
  <c r="L700" i="29"/>
  <c r="D819" i="29"/>
  <c r="G816" i="29"/>
  <c r="I239" i="42"/>
  <c r="H239" i="42"/>
  <c r="E10" i="48"/>
  <c r="E15" i="48" s="1"/>
  <c r="F10" i="48"/>
  <c r="F15" i="48" s="1"/>
  <c r="H10" i="48"/>
  <c r="H15" i="48" s="1"/>
  <c r="H50" i="48" s="1"/>
  <c r="H53" i="48" s="1"/>
  <c r="G10" i="48"/>
  <c r="G15" i="48" s="1"/>
  <c r="F557" i="29"/>
  <c r="D126" i="28" s="1"/>
  <c r="J138" i="50"/>
  <c r="H200" i="49"/>
  <c r="H138" i="50"/>
  <c r="G200" i="49"/>
  <c r="G138" i="50"/>
  <c r="H146" i="49"/>
  <c r="I145" i="49" s="1"/>
  <c r="I146" i="49" s="1"/>
  <c r="J145" i="49" s="1"/>
  <c r="J146" i="49" s="1"/>
  <c r="K145" i="49" s="1"/>
  <c r="I200" i="49"/>
  <c r="I138" i="50"/>
  <c r="J200" i="49"/>
  <c r="F104" i="21"/>
  <c r="I10" i="48"/>
  <c r="I15" i="48" s="1"/>
  <c r="I50" i="48" s="1"/>
  <c r="I53" i="48" s="1"/>
  <c r="J6" i="48"/>
  <c r="D875" i="29"/>
  <c r="D750" i="29"/>
  <c r="D754" i="29" s="1"/>
  <c r="F765" i="29"/>
  <c r="D133" i="21"/>
  <c r="F133" i="21"/>
  <c r="D104" i="21"/>
  <c r="O715" i="29"/>
  <c r="O725" i="29" s="1"/>
  <c r="M715" i="29"/>
  <c r="M725" i="29" s="1"/>
  <c r="N725" i="29"/>
  <c r="I700" i="29"/>
  <c r="I715" i="29" s="1"/>
  <c r="I725" i="29" s="1"/>
  <c r="K744" i="29"/>
  <c r="J863" i="29"/>
  <c r="E744" i="29"/>
  <c r="L715" i="29"/>
  <c r="L725" i="29" s="1"/>
  <c r="J725" i="29"/>
  <c r="E715" i="29"/>
  <c r="E725" i="29" s="1"/>
  <c r="E843" i="29"/>
  <c r="E769" i="29"/>
  <c r="E736" i="29"/>
  <c r="F644" i="29"/>
  <c r="F756" i="29" s="1"/>
  <c r="C700" i="29"/>
  <c r="C715" i="29" s="1"/>
  <c r="C725" i="29" s="1"/>
  <c r="K700" i="29"/>
  <c r="K715" i="29" s="1"/>
  <c r="K725" i="29" s="1"/>
  <c r="O395" i="29"/>
  <c r="O405" i="29" s="1"/>
  <c r="L395" i="29"/>
  <c r="L405" i="29" s="1"/>
  <c r="F405" i="29"/>
  <c r="N405" i="29"/>
  <c r="E424" i="29"/>
  <c r="F416" i="29"/>
  <c r="G324" i="29"/>
  <c r="G436" i="29" s="1"/>
  <c r="F523" i="29"/>
  <c r="F449" i="29"/>
  <c r="F329" i="29"/>
  <c r="E523" i="29"/>
  <c r="E449" i="29"/>
  <c r="E329" i="29"/>
  <c r="H405" i="29"/>
  <c r="N543" i="29"/>
  <c r="D499" i="29"/>
  <c r="C380" i="29"/>
  <c r="C395" i="29" s="1"/>
  <c r="C405" i="29" s="1"/>
  <c r="K380" i="29"/>
  <c r="K395" i="29" s="1"/>
  <c r="K405" i="29" s="1"/>
  <c r="I405" i="29"/>
  <c r="D405" i="29"/>
  <c r="K424" i="29"/>
  <c r="J543" i="29"/>
  <c r="I543" i="29"/>
  <c r="K8" i="47"/>
  <c r="K5" i="47"/>
  <c r="I22" i="47"/>
  <c r="K6" i="47"/>
  <c r="D28" i="47"/>
  <c r="E28" i="47" s="1"/>
  <c r="E33" i="47" s="1"/>
  <c r="E6" i="47"/>
  <c r="E7" i="47"/>
  <c r="D29" i="47"/>
  <c r="E29" i="47" s="1"/>
  <c r="E8" i="47"/>
  <c r="E11" i="47" s="1"/>
  <c r="C13" i="47" s="1"/>
  <c r="E19" i="47"/>
  <c r="E22" i="47" s="1"/>
  <c r="E226" i="29" l="1"/>
  <c r="E865" i="29"/>
  <c r="E545" i="29"/>
  <c r="F877" i="29"/>
  <c r="E877" i="29"/>
  <c r="C127" i="28" s="1"/>
  <c r="E557" i="29"/>
  <c r="D890" i="29"/>
  <c r="B71" i="28" s="1"/>
  <c r="B121" i="28"/>
  <c r="D891" i="29"/>
  <c r="B77" i="28" s="1"/>
  <c r="B127" i="28"/>
  <c r="D570" i="29"/>
  <c r="B70" i="28" s="1"/>
  <c r="B120" i="28"/>
  <c r="K6" i="48"/>
  <c r="J10" i="48"/>
  <c r="J15" i="48" s="1"/>
  <c r="J50" i="48" s="1"/>
  <c r="J53" i="48" s="1"/>
  <c r="D127" i="28"/>
  <c r="F891" i="29"/>
  <c r="D77" i="28" s="1"/>
  <c r="G877" i="29"/>
  <c r="H816" i="29"/>
  <c r="G557" i="29"/>
  <c r="C750" i="29"/>
  <c r="C754" i="29" s="1"/>
  <c r="C875" i="29"/>
  <c r="C873" i="29" s="1"/>
  <c r="F744" i="29"/>
  <c r="E863" i="29"/>
  <c r="F736" i="29"/>
  <c r="F843" i="29"/>
  <c r="F649" i="29"/>
  <c r="F769" i="29"/>
  <c r="F678" i="29"/>
  <c r="G644" i="29"/>
  <c r="G756" i="29" s="1"/>
  <c r="K863" i="29"/>
  <c r="L744" i="29"/>
  <c r="G416" i="29"/>
  <c r="G523" i="29"/>
  <c r="G449" i="29"/>
  <c r="H324" i="29"/>
  <c r="H436" i="29" s="1"/>
  <c r="G358" i="29"/>
  <c r="G329" i="29"/>
  <c r="F424" i="29"/>
  <c r="E543" i="29"/>
  <c r="K543" i="29"/>
  <c r="L424" i="29"/>
  <c r="K11" i="47"/>
  <c r="I13" i="47" s="1"/>
  <c r="I865" i="29" l="1"/>
  <c r="J865" i="29" s="1"/>
  <c r="K865" i="29" s="1"/>
  <c r="L865" i="29" s="1"/>
  <c r="M865" i="29" s="1"/>
  <c r="N865" i="29" s="1"/>
  <c r="O865" i="29" s="1"/>
  <c r="I545" i="29"/>
  <c r="J545" i="29" s="1"/>
  <c r="K545" i="29" s="1"/>
  <c r="L545" i="29" s="1"/>
  <c r="M545" i="29" s="1"/>
  <c r="N545" i="29" s="1"/>
  <c r="O545" i="29" s="1"/>
  <c r="I226" i="29"/>
  <c r="F545" i="29"/>
  <c r="G545" i="29" s="1"/>
  <c r="H545" i="29" s="1"/>
  <c r="E546" i="29"/>
  <c r="C126" i="28"/>
  <c r="F571" i="29"/>
  <c r="D76" i="28" s="1"/>
  <c r="F865" i="29"/>
  <c r="G865" i="29" s="1"/>
  <c r="H865" i="29" s="1"/>
  <c r="E866" i="29"/>
  <c r="E891" i="29"/>
  <c r="C77" i="28" s="1"/>
  <c r="L6" i="48"/>
  <c r="K10" i="48"/>
  <c r="K15" i="48" s="1"/>
  <c r="K50" i="48" s="1"/>
  <c r="K53" i="48" s="1"/>
  <c r="E127" i="28"/>
  <c r="G891" i="29"/>
  <c r="E77" i="28" s="1"/>
  <c r="H877" i="29"/>
  <c r="H891" i="29" s="1"/>
  <c r="F77" i="28" s="1"/>
  <c r="I816" i="29"/>
  <c r="E126" i="28"/>
  <c r="G571" i="29"/>
  <c r="E76" i="28" s="1"/>
  <c r="H557" i="29"/>
  <c r="L863" i="29"/>
  <c r="M744" i="29"/>
  <c r="M863" i="29" s="1"/>
  <c r="G843" i="29"/>
  <c r="G769" i="29"/>
  <c r="G678" i="29"/>
  <c r="G649" i="29"/>
  <c r="G736" i="29"/>
  <c r="H644" i="29"/>
  <c r="H756" i="29" s="1"/>
  <c r="G744" i="29"/>
  <c r="F863" i="29"/>
  <c r="L543" i="29"/>
  <c r="M424" i="29"/>
  <c r="M543" i="29" s="1"/>
  <c r="H523" i="29"/>
  <c r="H449" i="29"/>
  <c r="H358" i="29"/>
  <c r="H329" i="29"/>
  <c r="H416" i="29"/>
  <c r="I324" i="29"/>
  <c r="I436" i="29" s="1"/>
  <c r="G424" i="29"/>
  <c r="F543" i="29"/>
  <c r="F866" i="29" l="1"/>
  <c r="G866" i="29" s="1"/>
  <c r="H866" i="29" s="1"/>
  <c r="I866" i="29" s="1"/>
  <c r="J866" i="29" s="1"/>
  <c r="K866" i="29" s="1"/>
  <c r="L866" i="29" s="1"/>
  <c r="M866" i="29" s="1"/>
  <c r="N866" i="29" s="1"/>
  <c r="O866" i="29" s="1"/>
  <c r="F546" i="29"/>
  <c r="G546" i="29" s="1"/>
  <c r="H546" i="29" s="1"/>
  <c r="I546" i="29" s="1"/>
  <c r="J546" i="29" s="1"/>
  <c r="K546" i="29" s="1"/>
  <c r="L546" i="29" s="1"/>
  <c r="M546" i="29" s="1"/>
  <c r="N546" i="29" s="1"/>
  <c r="O546" i="29" s="1"/>
  <c r="M6" i="48"/>
  <c r="M10" i="48" s="1"/>
  <c r="M15" i="48" s="1"/>
  <c r="M50" i="48" s="1"/>
  <c r="M53" i="48" s="1"/>
  <c r="L10" i="48"/>
  <c r="L15" i="48" s="1"/>
  <c r="L50" i="48" s="1"/>
  <c r="L53" i="48" s="1"/>
  <c r="F127" i="28"/>
  <c r="I877" i="29"/>
  <c r="J816" i="29"/>
  <c r="I891" i="29"/>
  <c r="G77" i="28" s="1"/>
  <c r="F126" i="28"/>
  <c r="I557" i="29"/>
  <c r="I571" i="29" s="1"/>
  <c r="G76" i="28" s="1"/>
  <c r="H571" i="29"/>
  <c r="F76" i="28" s="1"/>
  <c r="G863" i="29"/>
  <c r="H744" i="29"/>
  <c r="H843" i="29"/>
  <c r="H769" i="29"/>
  <c r="H678" i="29"/>
  <c r="H649" i="29"/>
  <c r="H736" i="29"/>
  <c r="I644" i="29"/>
  <c r="I756" i="29" s="1"/>
  <c r="I416" i="29"/>
  <c r="I358" i="29"/>
  <c r="J324" i="29"/>
  <c r="J436" i="29" s="1"/>
  <c r="I449" i="29"/>
  <c r="I523" i="29"/>
  <c r="I329" i="29"/>
  <c r="H424" i="29"/>
  <c r="G543" i="29"/>
  <c r="J877" i="29" l="1"/>
  <c r="J891" i="29" s="1"/>
  <c r="H77" i="28" s="1"/>
  <c r="K816" i="29"/>
  <c r="G127" i="28"/>
  <c r="J557" i="29"/>
  <c r="J571" i="29" s="1"/>
  <c r="H76" i="28" s="1"/>
  <c r="G126" i="28"/>
  <c r="H863" i="29"/>
  <c r="I769" i="29"/>
  <c r="I649" i="29"/>
  <c r="I843" i="29"/>
  <c r="I736" i="29"/>
  <c r="I678" i="29"/>
  <c r="J644" i="29"/>
  <c r="J756" i="29" s="1"/>
  <c r="H543" i="29"/>
  <c r="J416" i="29"/>
  <c r="J329" i="29"/>
  <c r="K324" i="29"/>
  <c r="K436" i="29" s="1"/>
  <c r="J523" i="29"/>
  <c r="J449" i="29"/>
  <c r="J358" i="29"/>
  <c r="L816" i="29" l="1"/>
  <c r="K877" i="29"/>
  <c r="H127" i="28"/>
  <c r="H126" i="28"/>
  <c r="K557" i="29"/>
  <c r="J736" i="29"/>
  <c r="K644" i="29"/>
  <c r="K756" i="29" s="1"/>
  <c r="J843" i="29"/>
  <c r="J678" i="29"/>
  <c r="J769" i="29"/>
  <c r="J649" i="29"/>
  <c r="K329" i="29"/>
  <c r="K523" i="29"/>
  <c r="K416" i="29"/>
  <c r="K449" i="29"/>
  <c r="K358" i="29"/>
  <c r="L324" i="29"/>
  <c r="L436" i="29" s="1"/>
  <c r="I127" i="28" l="1"/>
  <c r="K891" i="29"/>
  <c r="I77" i="28" s="1"/>
  <c r="M816" i="29"/>
  <c r="L877" i="29"/>
  <c r="L557" i="29"/>
  <c r="I126" i="28"/>
  <c r="K571" i="29"/>
  <c r="I76" i="28" s="1"/>
  <c r="L571" i="29"/>
  <c r="J76" i="28" s="1"/>
  <c r="K843" i="29"/>
  <c r="K769" i="29"/>
  <c r="L644" i="29"/>
  <c r="L756" i="29" s="1"/>
  <c r="K736" i="29"/>
  <c r="K649" i="29"/>
  <c r="K678" i="29"/>
  <c r="L523" i="29"/>
  <c r="L449" i="29"/>
  <c r="L416" i="29"/>
  <c r="L358" i="29"/>
  <c r="L329" i="29"/>
  <c r="M324" i="29"/>
  <c r="M436" i="29" s="1"/>
  <c r="J127" i="28" l="1"/>
  <c r="L891" i="29"/>
  <c r="J77" i="28" s="1"/>
  <c r="N816" i="29"/>
  <c r="M877" i="29"/>
  <c r="M891" i="29" s="1"/>
  <c r="K77" i="28" s="1"/>
  <c r="M557" i="29"/>
  <c r="J126" i="28"/>
  <c r="L843" i="29"/>
  <c r="L769" i="29"/>
  <c r="M644" i="29"/>
  <c r="M756" i="29" s="1"/>
  <c r="L736" i="29"/>
  <c r="L678" i="29"/>
  <c r="L649" i="29"/>
  <c r="M523" i="29"/>
  <c r="M449" i="29"/>
  <c r="M416" i="29"/>
  <c r="M329" i="29"/>
  <c r="M358" i="29"/>
  <c r="N324" i="29"/>
  <c r="N436" i="29" s="1"/>
  <c r="K127" i="28" l="1"/>
  <c r="O816" i="29"/>
  <c r="O877" i="29" s="1"/>
  <c r="M127" i="28" s="1"/>
  <c r="N877" i="29"/>
  <c r="L127" i="28" s="1"/>
  <c r="N891" i="29"/>
  <c r="L77" i="28" s="1"/>
  <c r="N557" i="29"/>
  <c r="O557" i="29"/>
  <c r="M126" i="28" s="1"/>
  <c r="K126" i="28"/>
  <c r="M571" i="29"/>
  <c r="K76" i="28" s="1"/>
  <c r="M843" i="29"/>
  <c r="M769" i="29"/>
  <c r="M736" i="29"/>
  <c r="N644" i="29"/>
  <c r="N756" i="29" s="1"/>
  <c r="M678" i="29"/>
  <c r="M649" i="29"/>
  <c r="N416" i="29"/>
  <c r="N523" i="29"/>
  <c r="N449" i="29"/>
  <c r="O324" i="29"/>
  <c r="O436" i="29" s="1"/>
  <c r="N329" i="29"/>
  <c r="N358" i="29"/>
  <c r="O891" i="29" l="1"/>
  <c r="M77" i="28" s="1"/>
  <c r="O571" i="29"/>
  <c r="M76" i="28" s="1"/>
  <c r="L126" i="28"/>
  <c r="N571" i="29"/>
  <c r="L76" i="28" s="1"/>
  <c r="N736" i="29"/>
  <c r="N649" i="29"/>
  <c r="N678" i="29"/>
  <c r="N769" i="29"/>
  <c r="O644" i="29"/>
  <c r="O756" i="29" s="1"/>
  <c r="N843" i="29"/>
  <c r="O416" i="29"/>
  <c r="O523" i="29"/>
  <c r="O449" i="29"/>
  <c r="O329" i="29"/>
  <c r="O358" i="29"/>
  <c r="O736" i="29" l="1"/>
  <c r="O678" i="29"/>
  <c r="O649" i="29"/>
  <c r="O843" i="29"/>
  <c r="O769" i="29"/>
  <c r="D166" i="29" l="1"/>
  <c r="D152" i="29"/>
  <c r="D138" i="29"/>
  <c r="D165" i="29"/>
  <c r="D163" i="29"/>
  <c r="D162" i="29"/>
  <c r="D161" i="29"/>
  <c r="C126" i="29"/>
  <c r="C242" i="29"/>
  <c r="D242" i="29" s="1"/>
  <c r="C227" i="29"/>
  <c r="D227" i="29" s="1"/>
  <c r="D70" i="44" l="1"/>
  <c r="E70" i="44"/>
  <c r="F70" i="44"/>
  <c r="C71" i="44"/>
  <c r="C70" i="44"/>
  <c r="E87" i="21"/>
  <c r="C87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C85" i="21"/>
  <c r="B85" i="21"/>
  <c r="D83" i="21"/>
  <c r="C80" i="21"/>
  <c r="B80" i="21"/>
  <c r="E79" i="21"/>
  <c r="E80" i="21" s="1"/>
  <c r="D79" i="21"/>
  <c r="D80" i="21" s="1"/>
  <c r="F78" i="21"/>
  <c r="F87" i="21" s="1"/>
  <c r="E73" i="21"/>
  <c r="D73" i="21"/>
  <c r="C73" i="21"/>
  <c r="F71" i="21"/>
  <c r="E71" i="21"/>
  <c r="D71" i="21"/>
  <c r="C71" i="21"/>
  <c r="B71" i="21"/>
  <c r="E66" i="21"/>
  <c r="D66" i="21"/>
  <c r="C66" i="21"/>
  <c r="B66" i="21"/>
  <c r="E60" i="21"/>
  <c r="C60" i="21"/>
  <c r="E58" i="21"/>
  <c r="C58" i="21"/>
  <c r="B58" i="21"/>
  <c r="G57" i="21"/>
  <c r="F57" i="21"/>
  <c r="F56" i="21"/>
  <c r="D56" i="21"/>
  <c r="D58" i="21" s="1"/>
  <c r="E53" i="21"/>
  <c r="D53" i="21"/>
  <c r="C53" i="21"/>
  <c r="B53" i="21"/>
  <c r="Q41" i="21"/>
  <c r="G11" i="21"/>
  <c r="G69" i="21" s="1"/>
  <c r="G71" i="21" s="1"/>
  <c r="H11" i="21"/>
  <c r="I11" i="21"/>
  <c r="J11" i="21"/>
  <c r="K11" i="21"/>
  <c r="G12" i="21"/>
  <c r="F11" i="21"/>
  <c r="F12" i="21"/>
  <c r="F26" i="21"/>
  <c r="G26" i="21"/>
  <c r="G123" i="38"/>
  <c r="G191" i="38" s="1"/>
  <c r="H123" i="38"/>
  <c r="H191" i="38" s="1"/>
  <c r="I123" i="38"/>
  <c r="I191" i="38" s="1"/>
  <c r="J123" i="38"/>
  <c r="J191" i="38" s="1"/>
  <c r="L60" i="38"/>
  <c r="M60" i="38"/>
  <c r="N60" i="38"/>
  <c r="O60" i="38"/>
  <c r="P60" i="38"/>
  <c r="L61" i="38"/>
  <c r="M61" i="38"/>
  <c r="N61" i="38"/>
  <c r="O61" i="38"/>
  <c r="P61" i="38"/>
  <c r="G56" i="21" l="1"/>
  <c r="D60" i="21"/>
  <c r="G115" i="21"/>
  <c r="E428" i="29"/>
  <c r="G65" i="21"/>
  <c r="E445" i="29" s="1"/>
  <c r="D445" i="29"/>
  <c r="I74" i="62"/>
  <c r="I74" i="51"/>
  <c r="J95" i="54"/>
  <c r="J95" i="50"/>
  <c r="F74" i="62"/>
  <c r="G95" i="54"/>
  <c r="F74" i="51"/>
  <c r="G95" i="50"/>
  <c r="H74" i="62"/>
  <c r="I95" i="54"/>
  <c r="I95" i="50"/>
  <c r="H74" i="51"/>
  <c r="G74" i="62"/>
  <c r="H95" i="50"/>
  <c r="H95" i="54"/>
  <c r="G74" i="51"/>
  <c r="H56" i="21"/>
  <c r="I115" i="21"/>
  <c r="G428" i="29"/>
  <c r="I56" i="21"/>
  <c r="H115" i="21"/>
  <c r="F428" i="29"/>
  <c r="K115" i="21"/>
  <c r="I428" i="29"/>
  <c r="J115" i="21"/>
  <c r="H428" i="29"/>
  <c r="F58" i="21"/>
  <c r="H12" i="21"/>
  <c r="H26" i="21"/>
  <c r="G58" i="21"/>
  <c r="F445" i="29"/>
  <c r="D87" i="21"/>
  <c r="D85" i="21"/>
  <c r="J56" i="21"/>
  <c r="K56" i="21"/>
  <c r="F13" i="21"/>
  <c r="E555" i="29" l="1"/>
  <c r="E430" i="29"/>
  <c r="G102" i="21"/>
  <c r="G117" i="21"/>
  <c r="J74" i="51"/>
  <c r="K95" i="50"/>
  <c r="J148" i="54"/>
  <c r="J148" i="50"/>
  <c r="H148" i="54"/>
  <c r="H148" i="50"/>
  <c r="G148" i="54"/>
  <c r="G148" i="50"/>
  <c r="I148" i="54"/>
  <c r="I148" i="50"/>
  <c r="K102" i="21"/>
  <c r="H555" i="29"/>
  <c r="F555" i="29"/>
  <c r="J102" i="21"/>
  <c r="H102" i="21"/>
  <c r="G555" i="29"/>
  <c r="I555" i="29"/>
  <c r="I102" i="21"/>
  <c r="I65" i="21"/>
  <c r="J70" i="39"/>
  <c r="I165" i="38"/>
  <c r="I72" i="39"/>
  <c r="H72" i="39"/>
  <c r="H165" i="38"/>
  <c r="H70" i="39"/>
  <c r="H68" i="39"/>
  <c r="G165" i="38"/>
  <c r="G70" i="39"/>
  <c r="I61" i="39"/>
  <c r="H61" i="39"/>
  <c r="H60" i="39"/>
  <c r="G61" i="39"/>
  <c r="G62" i="39"/>
  <c r="G60" i="39"/>
  <c r="G97" i="34"/>
  <c r="E23" i="68" s="1"/>
  <c r="E116" i="68" s="1"/>
  <c r="E54" i="68" s="1"/>
  <c r="I102" i="34"/>
  <c r="H102" i="34"/>
  <c r="I82" i="34"/>
  <c r="I86" i="34"/>
  <c r="G12" i="68" s="1"/>
  <c r="G83" i="34"/>
  <c r="G84" i="34"/>
  <c r="H456" i="46"/>
  <c r="G456" i="46"/>
  <c r="F456" i="46"/>
  <c r="E456" i="46"/>
  <c r="D456" i="46"/>
  <c r="C456" i="46"/>
  <c r="H451" i="46"/>
  <c r="G451" i="46"/>
  <c r="F451" i="46"/>
  <c r="E451" i="46"/>
  <c r="D451" i="46"/>
  <c r="C451" i="46"/>
  <c r="H444" i="46"/>
  <c r="G444" i="46"/>
  <c r="F444" i="46"/>
  <c r="E444" i="46"/>
  <c r="D444" i="46"/>
  <c r="C444" i="46"/>
  <c r="H439" i="46"/>
  <c r="G439" i="46"/>
  <c r="F439" i="46"/>
  <c r="E439" i="46"/>
  <c r="D439" i="46"/>
  <c r="C439" i="46"/>
  <c r="H430" i="46"/>
  <c r="G430" i="46"/>
  <c r="F430" i="46"/>
  <c r="E430" i="46"/>
  <c r="D430" i="46"/>
  <c r="C430" i="46"/>
  <c r="H425" i="46"/>
  <c r="G425" i="46"/>
  <c r="F425" i="46"/>
  <c r="E425" i="46"/>
  <c r="D425" i="46"/>
  <c r="C425" i="46"/>
  <c r="H420" i="46"/>
  <c r="G420" i="46"/>
  <c r="F420" i="46"/>
  <c r="E420" i="46"/>
  <c r="D420" i="46"/>
  <c r="C420" i="46"/>
  <c r="H415" i="46"/>
  <c r="G415" i="46"/>
  <c r="F415" i="46"/>
  <c r="E415" i="46"/>
  <c r="D415" i="46"/>
  <c r="C415" i="46"/>
  <c r="H410" i="46"/>
  <c r="G410" i="46"/>
  <c r="F410" i="46"/>
  <c r="E410" i="46"/>
  <c r="D410" i="46"/>
  <c r="C410" i="46"/>
  <c r="H405" i="46"/>
  <c r="G405" i="46"/>
  <c r="F405" i="46"/>
  <c r="E405" i="46"/>
  <c r="D405" i="46"/>
  <c r="C405" i="46"/>
  <c r="H400" i="46"/>
  <c r="G400" i="46"/>
  <c r="F400" i="46"/>
  <c r="E400" i="46"/>
  <c r="D400" i="46"/>
  <c r="C400" i="46"/>
  <c r="H390" i="46"/>
  <c r="G390" i="46"/>
  <c r="F390" i="46"/>
  <c r="E390" i="46"/>
  <c r="D390" i="46"/>
  <c r="C390" i="46"/>
  <c r="H386" i="46"/>
  <c r="G386" i="46"/>
  <c r="F386" i="46"/>
  <c r="E386" i="46"/>
  <c r="D386" i="46"/>
  <c r="C386" i="46"/>
  <c r="H382" i="46"/>
  <c r="G382" i="46"/>
  <c r="F382" i="46"/>
  <c r="E382" i="46"/>
  <c r="D382" i="46"/>
  <c r="C382" i="46"/>
  <c r="H377" i="46"/>
  <c r="G377" i="46"/>
  <c r="F377" i="46"/>
  <c r="E377" i="46"/>
  <c r="D377" i="46"/>
  <c r="C377" i="46"/>
  <c r="H372" i="46"/>
  <c r="G372" i="46"/>
  <c r="F372" i="46"/>
  <c r="E372" i="46"/>
  <c r="D372" i="46"/>
  <c r="C372" i="46"/>
  <c r="H367" i="46"/>
  <c r="G367" i="46"/>
  <c r="F367" i="46"/>
  <c r="E367" i="46"/>
  <c r="D367" i="46"/>
  <c r="C367" i="46"/>
  <c r="H362" i="46"/>
  <c r="G362" i="46"/>
  <c r="F362" i="46"/>
  <c r="E362" i="46"/>
  <c r="D362" i="46"/>
  <c r="C362" i="46"/>
  <c r="H357" i="46"/>
  <c r="G357" i="46"/>
  <c r="F357" i="46"/>
  <c r="E357" i="46"/>
  <c r="D357" i="46"/>
  <c r="C357" i="46"/>
  <c r="H346" i="46"/>
  <c r="G346" i="46"/>
  <c r="F346" i="46"/>
  <c r="E346" i="46"/>
  <c r="D346" i="46"/>
  <c r="C346" i="46"/>
  <c r="H341" i="46"/>
  <c r="G341" i="46"/>
  <c r="F341" i="46"/>
  <c r="E341" i="46"/>
  <c r="D341" i="46"/>
  <c r="C341" i="46"/>
  <c r="H336" i="46"/>
  <c r="G336" i="46"/>
  <c r="F336" i="46"/>
  <c r="E336" i="46"/>
  <c r="D336" i="46"/>
  <c r="C336" i="46"/>
  <c r="H331" i="46"/>
  <c r="G331" i="46"/>
  <c r="F331" i="46"/>
  <c r="E331" i="46"/>
  <c r="D331" i="46"/>
  <c r="C331" i="46"/>
  <c r="H326" i="46"/>
  <c r="G326" i="46"/>
  <c r="F326" i="46"/>
  <c r="E326" i="46"/>
  <c r="D326" i="46"/>
  <c r="C326" i="46"/>
  <c r="H321" i="46"/>
  <c r="G321" i="46"/>
  <c r="F321" i="46"/>
  <c r="E321" i="46"/>
  <c r="D321" i="46"/>
  <c r="C321" i="46"/>
  <c r="H316" i="46"/>
  <c r="G316" i="46"/>
  <c r="F316" i="46"/>
  <c r="E316" i="46"/>
  <c r="D316" i="46"/>
  <c r="C316" i="46"/>
  <c r="H152" i="46"/>
  <c r="G152" i="46"/>
  <c r="F152" i="46"/>
  <c r="E152" i="46"/>
  <c r="E154" i="46" s="1"/>
  <c r="D152" i="46"/>
  <c r="C152" i="46"/>
  <c r="H141" i="46"/>
  <c r="H154" i="46" s="1"/>
  <c r="G141" i="46"/>
  <c r="G154" i="46" s="1"/>
  <c r="F141" i="46"/>
  <c r="E141" i="46"/>
  <c r="D141" i="46"/>
  <c r="C141" i="46"/>
  <c r="H128" i="46"/>
  <c r="G128" i="46"/>
  <c r="F128" i="46"/>
  <c r="E128" i="46"/>
  <c r="D128" i="46"/>
  <c r="C128" i="46"/>
  <c r="H117" i="46"/>
  <c r="G117" i="46"/>
  <c r="G130" i="46" s="1"/>
  <c r="F117" i="46"/>
  <c r="F130" i="46" s="1"/>
  <c r="E117" i="46"/>
  <c r="D117" i="46"/>
  <c r="C117" i="46"/>
  <c r="H109" i="46"/>
  <c r="G109" i="46"/>
  <c r="F109" i="46"/>
  <c r="E109" i="46"/>
  <c r="H95" i="46"/>
  <c r="G95" i="46"/>
  <c r="G47" i="46" s="1"/>
  <c r="F95" i="46"/>
  <c r="F47" i="46" s="1"/>
  <c r="E95" i="46"/>
  <c r="E47" i="46" s="1"/>
  <c r="C95" i="46"/>
  <c r="C47" i="46" s="1"/>
  <c r="H72" i="46"/>
  <c r="H96" i="46" s="1"/>
  <c r="G72" i="46"/>
  <c r="G96" i="46" s="1"/>
  <c r="F72" i="46"/>
  <c r="F96" i="46" s="1"/>
  <c r="E72" i="46"/>
  <c r="E96" i="46" s="1"/>
  <c r="C72" i="46"/>
  <c r="C96" i="46" s="1"/>
  <c r="H70" i="46"/>
  <c r="H94" i="46" s="1"/>
  <c r="H46" i="46" s="1"/>
  <c r="G70" i="46"/>
  <c r="G94" i="46" s="1"/>
  <c r="G46" i="46" s="1"/>
  <c r="F70" i="46"/>
  <c r="F94" i="46" s="1"/>
  <c r="F46" i="46" s="1"/>
  <c r="E70" i="46"/>
  <c r="E94" i="46" s="1"/>
  <c r="C70" i="46"/>
  <c r="H69" i="46"/>
  <c r="G69" i="46"/>
  <c r="F69" i="46"/>
  <c r="F93" i="46" s="1"/>
  <c r="F45" i="46" s="1"/>
  <c r="E69" i="46"/>
  <c r="E93" i="46" s="1"/>
  <c r="C69" i="46"/>
  <c r="C93" i="46" s="1"/>
  <c r="H68" i="46"/>
  <c r="H92" i="46" s="1"/>
  <c r="G68" i="46"/>
  <c r="G92" i="46" s="1"/>
  <c r="F68" i="46"/>
  <c r="E68" i="46"/>
  <c r="E92" i="46" s="1"/>
  <c r="C68" i="46"/>
  <c r="C92" i="46" s="1"/>
  <c r="H67" i="46"/>
  <c r="H91" i="46" s="1"/>
  <c r="G67" i="46"/>
  <c r="G91" i="46" s="1"/>
  <c r="F67" i="46"/>
  <c r="F91" i="46" s="1"/>
  <c r="E67" i="46"/>
  <c r="E91" i="46" s="1"/>
  <c r="C67" i="46"/>
  <c r="C91" i="46" s="1"/>
  <c r="H61" i="46"/>
  <c r="G61" i="46"/>
  <c r="G37" i="46" s="1"/>
  <c r="F61" i="46"/>
  <c r="E61" i="46"/>
  <c r="E37" i="46" s="1"/>
  <c r="C61" i="46"/>
  <c r="C37" i="46" s="1"/>
  <c r="H60" i="46"/>
  <c r="G60" i="46"/>
  <c r="G84" i="46" s="1"/>
  <c r="G36" i="46" s="1"/>
  <c r="F60" i="46"/>
  <c r="F84" i="46" s="1"/>
  <c r="F36" i="46" s="1"/>
  <c r="E60" i="46"/>
  <c r="E84" i="46" s="1"/>
  <c r="E36" i="46" s="1"/>
  <c r="C60" i="46"/>
  <c r="C84" i="46" s="1"/>
  <c r="C36" i="46" s="1"/>
  <c r="H59" i="46"/>
  <c r="G59" i="46"/>
  <c r="F59" i="46"/>
  <c r="E59" i="46"/>
  <c r="C59" i="46"/>
  <c r="C83" i="46" s="1"/>
  <c r="C35" i="46" s="1"/>
  <c r="H58" i="46"/>
  <c r="H82" i="46" s="1"/>
  <c r="H34" i="46" s="1"/>
  <c r="G58" i="46"/>
  <c r="F58" i="46"/>
  <c r="F82" i="46" s="1"/>
  <c r="F34" i="46" s="1"/>
  <c r="E58" i="46"/>
  <c r="E82" i="46" s="1"/>
  <c r="E34" i="46" s="1"/>
  <c r="C58" i="46"/>
  <c r="C82" i="46" s="1"/>
  <c r="H57" i="46"/>
  <c r="G57" i="46"/>
  <c r="F57" i="46"/>
  <c r="F81" i="46" s="1"/>
  <c r="F33" i="46" s="1"/>
  <c r="E57" i="46"/>
  <c r="E81" i="46" s="1"/>
  <c r="E33" i="46" s="1"/>
  <c r="C57" i="46"/>
  <c r="C81" i="46" s="1"/>
  <c r="C33" i="46" s="1"/>
  <c r="H56" i="46"/>
  <c r="H80" i="46" s="1"/>
  <c r="G56" i="46"/>
  <c r="G80" i="46" s="1"/>
  <c r="G32" i="46" s="1"/>
  <c r="F56" i="46"/>
  <c r="E56" i="46"/>
  <c r="C56" i="46"/>
  <c r="H47" i="46"/>
  <c r="E45" i="46"/>
  <c r="H44" i="46"/>
  <c r="G44" i="46"/>
  <c r="H37" i="46"/>
  <c r="F37" i="46"/>
  <c r="H26" i="46"/>
  <c r="G26" i="46"/>
  <c r="F26" i="46"/>
  <c r="E26" i="46"/>
  <c r="D26" i="46"/>
  <c r="C26" i="46"/>
  <c r="H15" i="46"/>
  <c r="G15" i="46"/>
  <c r="F15" i="46"/>
  <c r="F28" i="46" s="1"/>
  <c r="E15" i="46"/>
  <c r="E28" i="46" s="1"/>
  <c r="D15" i="46"/>
  <c r="C15" i="46"/>
  <c r="I444" i="45"/>
  <c r="H444" i="45"/>
  <c r="G444" i="45"/>
  <c r="E444" i="45"/>
  <c r="D444" i="45"/>
  <c r="C444" i="45"/>
  <c r="I439" i="45"/>
  <c r="H439" i="45"/>
  <c r="G439" i="45"/>
  <c r="E439" i="45"/>
  <c r="D439" i="45"/>
  <c r="C439" i="45"/>
  <c r="I431" i="45"/>
  <c r="H431" i="45"/>
  <c r="G431" i="45"/>
  <c r="E431" i="45"/>
  <c r="D431" i="45"/>
  <c r="C431" i="45"/>
  <c r="I426" i="45"/>
  <c r="H426" i="45"/>
  <c r="G426" i="45"/>
  <c r="E426" i="45"/>
  <c r="D426" i="45"/>
  <c r="C426" i="45"/>
  <c r="I417" i="45"/>
  <c r="H417" i="45"/>
  <c r="G417" i="45"/>
  <c r="E417" i="45"/>
  <c r="D417" i="45"/>
  <c r="C417" i="45"/>
  <c r="I412" i="45"/>
  <c r="H412" i="45"/>
  <c r="G412" i="45"/>
  <c r="E412" i="45"/>
  <c r="D412" i="45"/>
  <c r="C412" i="45"/>
  <c r="I407" i="45"/>
  <c r="H407" i="45"/>
  <c r="G407" i="45"/>
  <c r="E407" i="45"/>
  <c r="D407" i="45"/>
  <c r="C407" i="45"/>
  <c r="I402" i="45"/>
  <c r="H402" i="45"/>
  <c r="G402" i="45"/>
  <c r="E402" i="45"/>
  <c r="D402" i="45"/>
  <c r="C402" i="45"/>
  <c r="I397" i="45"/>
  <c r="H397" i="45"/>
  <c r="G397" i="45"/>
  <c r="E397" i="45"/>
  <c r="D397" i="45"/>
  <c r="C397" i="45"/>
  <c r="I392" i="45"/>
  <c r="H392" i="45"/>
  <c r="G392" i="45"/>
  <c r="E392" i="45"/>
  <c r="D392" i="45"/>
  <c r="C392" i="45"/>
  <c r="I387" i="45"/>
  <c r="H387" i="45"/>
  <c r="G387" i="45"/>
  <c r="E387" i="45"/>
  <c r="D387" i="45"/>
  <c r="C387" i="45"/>
  <c r="I377" i="45"/>
  <c r="H377" i="45"/>
  <c r="G377" i="45"/>
  <c r="E377" i="45"/>
  <c r="D377" i="45"/>
  <c r="C377" i="45"/>
  <c r="I373" i="45"/>
  <c r="H373" i="45"/>
  <c r="G373" i="45"/>
  <c r="E373" i="45"/>
  <c r="D373" i="45"/>
  <c r="C373" i="45"/>
  <c r="I369" i="45"/>
  <c r="H369" i="45"/>
  <c r="G369" i="45"/>
  <c r="E369" i="45"/>
  <c r="D369" i="45"/>
  <c r="C369" i="45"/>
  <c r="I364" i="45"/>
  <c r="H364" i="45"/>
  <c r="G364" i="45"/>
  <c r="E364" i="45"/>
  <c r="D364" i="45"/>
  <c r="C364" i="45"/>
  <c r="I359" i="45"/>
  <c r="H359" i="45"/>
  <c r="G359" i="45"/>
  <c r="E359" i="45"/>
  <c r="D359" i="45"/>
  <c r="C359" i="45"/>
  <c r="I354" i="45"/>
  <c r="H354" i="45"/>
  <c r="G354" i="45"/>
  <c r="E354" i="45"/>
  <c r="D354" i="45"/>
  <c r="C354" i="45"/>
  <c r="I349" i="45"/>
  <c r="H349" i="45"/>
  <c r="G349" i="45"/>
  <c r="E349" i="45"/>
  <c r="D349" i="45"/>
  <c r="C349" i="45"/>
  <c r="I344" i="45"/>
  <c r="H344" i="45"/>
  <c r="G344" i="45"/>
  <c r="E344" i="45"/>
  <c r="D344" i="45"/>
  <c r="C344" i="45"/>
  <c r="I333" i="45"/>
  <c r="H333" i="45"/>
  <c r="G333" i="45"/>
  <c r="E333" i="45"/>
  <c r="D333" i="45"/>
  <c r="C333" i="45"/>
  <c r="I328" i="45"/>
  <c r="H328" i="45"/>
  <c r="G328" i="45"/>
  <c r="E328" i="45"/>
  <c r="D328" i="45"/>
  <c r="C328" i="45"/>
  <c r="I323" i="45"/>
  <c r="H323" i="45"/>
  <c r="G323" i="45"/>
  <c r="E323" i="45"/>
  <c r="D323" i="45"/>
  <c r="C323" i="45"/>
  <c r="I318" i="45"/>
  <c r="H318" i="45"/>
  <c r="G318" i="45"/>
  <c r="E318" i="45"/>
  <c r="D318" i="45"/>
  <c r="C318" i="45"/>
  <c r="I313" i="45"/>
  <c r="H313" i="45"/>
  <c r="G313" i="45"/>
  <c r="E313" i="45"/>
  <c r="D313" i="45"/>
  <c r="C313" i="45"/>
  <c r="I308" i="45"/>
  <c r="H308" i="45"/>
  <c r="G308" i="45"/>
  <c r="E308" i="45"/>
  <c r="D308" i="45"/>
  <c r="C308" i="45"/>
  <c r="I303" i="45"/>
  <c r="H303" i="45"/>
  <c r="G303" i="45"/>
  <c r="E303" i="45"/>
  <c r="D303" i="45"/>
  <c r="C303" i="45"/>
  <c r="G104" i="45"/>
  <c r="G42" i="45" s="1"/>
  <c r="I89" i="45"/>
  <c r="J99" i="34" s="1"/>
  <c r="H89" i="45"/>
  <c r="H120" i="45" s="1"/>
  <c r="G89" i="45"/>
  <c r="H99" i="34" s="1"/>
  <c r="F89" i="45"/>
  <c r="F120" i="45" s="1"/>
  <c r="F58" i="45" s="1"/>
  <c r="E89" i="45"/>
  <c r="G99" i="34" s="1"/>
  <c r="D89" i="45"/>
  <c r="D120" i="45" s="1"/>
  <c r="D58" i="45" s="1"/>
  <c r="C89" i="45"/>
  <c r="C120" i="45" s="1"/>
  <c r="C58" i="45" s="1"/>
  <c r="I88" i="45"/>
  <c r="I119" i="45" s="1"/>
  <c r="I57" i="45" s="1"/>
  <c r="H88" i="45"/>
  <c r="H119" i="45" s="1"/>
  <c r="G88" i="45"/>
  <c r="G119" i="45" s="1"/>
  <c r="F88" i="45"/>
  <c r="E88" i="45"/>
  <c r="E119" i="45" s="1"/>
  <c r="E57" i="45" s="1"/>
  <c r="D88" i="45"/>
  <c r="D119" i="45" s="1"/>
  <c r="D57" i="45" s="1"/>
  <c r="C88" i="45"/>
  <c r="C119" i="45" s="1"/>
  <c r="C57" i="45" s="1"/>
  <c r="I87" i="45"/>
  <c r="H87" i="45"/>
  <c r="G87" i="45"/>
  <c r="F87" i="45"/>
  <c r="F118" i="45" s="1"/>
  <c r="E87" i="45"/>
  <c r="D87" i="45"/>
  <c r="D118" i="45" s="1"/>
  <c r="D56" i="45" s="1"/>
  <c r="C87" i="45"/>
  <c r="C118" i="45" s="1"/>
  <c r="C56" i="45" s="1"/>
  <c r="I86" i="45"/>
  <c r="H86" i="45"/>
  <c r="G86" i="45"/>
  <c r="F86" i="45"/>
  <c r="F117" i="45" s="1"/>
  <c r="E86" i="45"/>
  <c r="D86" i="45"/>
  <c r="C86" i="45"/>
  <c r="C117" i="45" s="1"/>
  <c r="C55" i="45" s="1"/>
  <c r="I85" i="45"/>
  <c r="H85" i="45"/>
  <c r="I97" i="34" s="1"/>
  <c r="G23" i="68" s="1"/>
  <c r="G116" i="68" s="1"/>
  <c r="G54" i="68" s="1"/>
  <c r="G85" i="45"/>
  <c r="F85" i="45"/>
  <c r="F116" i="45" s="1"/>
  <c r="F54" i="45" s="1"/>
  <c r="E85" i="45"/>
  <c r="D85" i="45"/>
  <c r="D116" i="45" s="1"/>
  <c r="D54" i="45" s="1"/>
  <c r="C85" i="45"/>
  <c r="I84" i="45"/>
  <c r="H84" i="45"/>
  <c r="G84" i="45"/>
  <c r="F84" i="45"/>
  <c r="E84" i="45"/>
  <c r="D84" i="45"/>
  <c r="C84" i="45"/>
  <c r="C115" i="45" s="1"/>
  <c r="C53" i="45" s="1"/>
  <c r="I75" i="45"/>
  <c r="I106" i="45" s="1"/>
  <c r="I44" i="45" s="1"/>
  <c r="H75" i="45"/>
  <c r="G75" i="45"/>
  <c r="G106" i="45" s="1"/>
  <c r="G44" i="45" s="1"/>
  <c r="F75" i="45"/>
  <c r="F106" i="45" s="1"/>
  <c r="F44" i="45" s="1"/>
  <c r="E75" i="45"/>
  <c r="E106" i="45" s="1"/>
  <c r="E44" i="45" s="1"/>
  <c r="D75" i="45"/>
  <c r="D106" i="45" s="1"/>
  <c r="D44" i="45" s="1"/>
  <c r="C75" i="45"/>
  <c r="C106" i="45" s="1"/>
  <c r="C44" i="45" s="1"/>
  <c r="I74" i="45"/>
  <c r="J86" i="34" s="1"/>
  <c r="H12" i="68" s="1"/>
  <c r="H74" i="45"/>
  <c r="H105" i="45" s="1"/>
  <c r="H43" i="45" s="1"/>
  <c r="G74" i="45"/>
  <c r="F74" i="45"/>
  <c r="F105" i="45" s="1"/>
  <c r="F43" i="45" s="1"/>
  <c r="E74" i="45"/>
  <c r="D74" i="45"/>
  <c r="D105" i="45" s="1"/>
  <c r="D43" i="45" s="1"/>
  <c r="C74" i="45"/>
  <c r="C105" i="45" s="1"/>
  <c r="C43" i="45" s="1"/>
  <c r="I73" i="45"/>
  <c r="J85" i="34" s="1"/>
  <c r="H73" i="45"/>
  <c r="I85" i="34" s="1"/>
  <c r="G73" i="45"/>
  <c r="F73" i="45"/>
  <c r="E73" i="45"/>
  <c r="G85" i="34" s="1"/>
  <c r="D73" i="45"/>
  <c r="D104" i="45" s="1"/>
  <c r="D42" i="45" s="1"/>
  <c r="C73" i="45"/>
  <c r="C104" i="45" s="1"/>
  <c r="C42" i="45" s="1"/>
  <c r="I72" i="45"/>
  <c r="H72" i="45"/>
  <c r="G72" i="45"/>
  <c r="F72" i="45"/>
  <c r="F103" i="45" s="1"/>
  <c r="F41" i="45" s="1"/>
  <c r="E72" i="45"/>
  <c r="D72" i="45"/>
  <c r="D103" i="45" s="1"/>
  <c r="D41" i="45" s="1"/>
  <c r="C72" i="45"/>
  <c r="C103" i="45" s="1"/>
  <c r="C41" i="45" s="1"/>
  <c r="I71" i="45"/>
  <c r="H71" i="45"/>
  <c r="G71" i="45"/>
  <c r="H83" i="34" s="1"/>
  <c r="F71" i="45"/>
  <c r="F102" i="45" s="1"/>
  <c r="E71" i="45"/>
  <c r="D71" i="45"/>
  <c r="C71" i="45"/>
  <c r="C102" i="45" s="1"/>
  <c r="C40" i="45" s="1"/>
  <c r="I70" i="45"/>
  <c r="J82" i="34" s="1"/>
  <c r="H70" i="45"/>
  <c r="G70" i="45"/>
  <c r="H82" i="34" s="1"/>
  <c r="F70" i="45"/>
  <c r="E70" i="45"/>
  <c r="D70" i="45"/>
  <c r="D101" i="45" s="1"/>
  <c r="D39" i="45" s="1"/>
  <c r="C70" i="45"/>
  <c r="G55" i="34"/>
  <c r="H105" i="42"/>
  <c r="I105" i="42"/>
  <c r="G105" i="42"/>
  <c r="F105" i="42"/>
  <c r="F78" i="42"/>
  <c r="F61" i="44"/>
  <c r="E61" i="44"/>
  <c r="D61" i="44"/>
  <c r="C61" i="44"/>
  <c r="C42" i="44"/>
  <c r="C77" i="44" s="1"/>
  <c r="J105" i="29"/>
  <c r="K105" i="29" s="1"/>
  <c r="L105" i="29" s="1"/>
  <c r="M105" i="29" s="1"/>
  <c r="D105" i="29"/>
  <c r="E105" i="29" s="1"/>
  <c r="F105" i="29" s="1"/>
  <c r="G105" i="29" s="1"/>
  <c r="H105" i="29" s="1"/>
  <c r="N105" i="29"/>
  <c r="O105" i="29" s="1"/>
  <c r="I105" i="29"/>
  <c r="C105" i="29"/>
  <c r="C224" i="29" s="1"/>
  <c r="E25" i="29"/>
  <c r="F25" i="29"/>
  <c r="G25" i="29"/>
  <c r="H25" i="29"/>
  <c r="I25" i="29"/>
  <c r="E26" i="29"/>
  <c r="E27" i="29"/>
  <c r="F27" i="29"/>
  <c r="G27" i="29"/>
  <c r="H27" i="29"/>
  <c r="I27" i="29"/>
  <c r="J27" i="29"/>
  <c r="K27" i="29"/>
  <c r="L27" i="29"/>
  <c r="M27" i="29"/>
  <c r="N27" i="29"/>
  <c r="O27" i="29"/>
  <c r="E28" i="29"/>
  <c r="F28" i="29"/>
  <c r="G28" i="29"/>
  <c r="H28" i="29"/>
  <c r="I28" i="29"/>
  <c r="D27" i="29"/>
  <c r="E12" i="29"/>
  <c r="F12" i="29"/>
  <c r="G12" i="29"/>
  <c r="H12" i="29"/>
  <c r="I12" i="29"/>
  <c r="E13" i="29"/>
  <c r="F13" i="29"/>
  <c r="G13" i="29"/>
  <c r="H13" i="29"/>
  <c r="I13" i="29"/>
  <c r="E14" i="29"/>
  <c r="F14" i="29"/>
  <c r="G14" i="29"/>
  <c r="H14" i="29"/>
  <c r="I14" i="29"/>
  <c r="E16" i="29"/>
  <c r="F16" i="29"/>
  <c r="G16" i="29"/>
  <c r="H16" i="29"/>
  <c r="I16" i="29"/>
  <c r="E19" i="29"/>
  <c r="F19" i="29"/>
  <c r="G19" i="29"/>
  <c r="H19" i="29"/>
  <c r="I19" i="29"/>
  <c r="C237" i="29"/>
  <c r="C236" i="29"/>
  <c r="C234" i="29" s="1"/>
  <c r="C235" i="29"/>
  <c r="C250" i="29" s="1"/>
  <c r="C231" i="29"/>
  <c r="C230" i="29"/>
  <c r="C229" i="29"/>
  <c r="C223" i="29"/>
  <c r="C220" i="29"/>
  <c r="C219" i="29"/>
  <c r="C217" i="29" s="1"/>
  <c r="C216" i="29"/>
  <c r="C253" i="29" s="1"/>
  <c r="C212" i="29"/>
  <c r="C249" i="29" s="1"/>
  <c r="C208" i="29"/>
  <c r="C248" i="29" s="1"/>
  <c r="C204" i="29"/>
  <c r="C180" i="29"/>
  <c r="C179" i="29"/>
  <c r="C177" i="29"/>
  <c r="C238" i="29" s="1"/>
  <c r="C252" i="29" s="1"/>
  <c r="C176" i="29"/>
  <c r="C175" i="29"/>
  <c r="C130" i="29"/>
  <c r="C117" i="29"/>
  <c r="C111" i="29"/>
  <c r="C115" i="29" s="1"/>
  <c r="C102" i="29"/>
  <c r="C101" i="29"/>
  <c r="C97" i="29"/>
  <c r="C95" i="29"/>
  <c r="C82" i="29"/>
  <c r="C84" i="29" s="1"/>
  <c r="C74" i="29"/>
  <c r="C68" i="29"/>
  <c r="C59" i="29"/>
  <c r="C50" i="29"/>
  <c r="C61" i="29" s="1"/>
  <c r="C39" i="29"/>
  <c r="C28" i="29"/>
  <c r="C26" i="29"/>
  <c r="C19" i="29"/>
  <c r="C17" i="29"/>
  <c r="C16" i="29"/>
  <c r="C15" i="29"/>
  <c r="C14" i="29"/>
  <c r="C13" i="29"/>
  <c r="C12" i="29"/>
  <c r="C10" i="29"/>
  <c r="P118" i="40"/>
  <c r="P118" i="36" s="1"/>
  <c r="P99" i="38"/>
  <c r="P167" i="38" s="1"/>
  <c r="O99" i="38"/>
  <c r="O167" i="38" s="1"/>
  <c r="N99" i="38"/>
  <c r="N167" i="38" s="1"/>
  <c r="N169" i="34" s="1"/>
  <c r="M99" i="38"/>
  <c r="M167" i="38" s="1"/>
  <c r="L99" i="38"/>
  <c r="L167" i="38" s="1"/>
  <c r="K99" i="38"/>
  <c r="K167" i="38" s="1"/>
  <c r="P98" i="38"/>
  <c r="P166" i="38" s="1"/>
  <c r="P168" i="34" s="1"/>
  <c r="O98" i="38"/>
  <c r="O166" i="38" s="1"/>
  <c r="O168" i="34" s="1"/>
  <c r="N98" i="38"/>
  <c r="N166" i="38" s="1"/>
  <c r="M98" i="38"/>
  <c r="M166" i="38" s="1"/>
  <c r="L98" i="38"/>
  <c r="L166" i="38" s="1"/>
  <c r="L168" i="34" s="1"/>
  <c r="K98" i="38"/>
  <c r="K166" i="38" s="1"/>
  <c r="M168" i="34"/>
  <c r="N168" i="34"/>
  <c r="L169" i="34"/>
  <c r="M169" i="34"/>
  <c r="O169" i="34"/>
  <c r="P169" i="34"/>
  <c r="M100" i="34"/>
  <c r="N100" i="34"/>
  <c r="L101" i="34"/>
  <c r="M101" i="34"/>
  <c r="O101" i="34"/>
  <c r="P101" i="34"/>
  <c r="K30" i="38"/>
  <c r="K19" i="39" s="1"/>
  <c r="K27" i="38"/>
  <c r="K23" i="38"/>
  <c r="K15" i="38"/>
  <c r="K17" i="34" s="1"/>
  <c r="K14" i="34"/>
  <c r="K5" i="34" s="1"/>
  <c r="K11" i="38"/>
  <c r="K13" i="34" s="1"/>
  <c r="P26" i="40"/>
  <c r="K144" i="39"/>
  <c r="L144" i="39"/>
  <c r="M144" i="39"/>
  <c r="N144" i="39"/>
  <c r="O144" i="39"/>
  <c r="P144" i="39"/>
  <c r="G133" i="39"/>
  <c r="H133" i="39"/>
  <c r="I133" i="39"/>
  <c r="J133" i="39"/>
  <c r="K133" i="39"/>
  <c r="L133" i="39"/>
  <c r="M133" i="39"/>
  <c r="N133" i="39"/>
  <c r="O133" i="39"/>
  <c r="P133" i="39"/>
  <c r="G137" i="39"/>
  <c r="H137" i="39"/>
  <c r="I137" i="39"/>
  <c r="J137" i="39"/>
  <c r="K137" i="39"/>
  <c r="L137" i="39"/>
  <c r="M137" i="39"/>
  <c r="N137" i="39"/>
  <c r="O137" i="39"/>
  <c r="P137" i="39"/>
  <c r="G139" i="39"/>
  <c r="H139" i="39"/>
  <c r="I139" i="39"/>
  <c r="J139" i="39"/>
  <c r="K139" i="39"/>
  <c r="L139" i="39"/>
  <c r="M139" i="39"/>
  <c r="N139" i="39"/>
  <c r="O139" i="39"/>
  <c r="P139" i="39"/>
  <c r="F137" i="39"/>
  <c r="K91" i="39"/>
  <c r="L91" i="39"/>
  <c r="M91" i="39"/>
  <c r="N91" i="39"/>
  <c r="O91" i="39"/>
  <c r="P91" i="39"/>
  <c r="G80" i="39"/>
  <c r="H80" i="39"/>
  <c r="I80" i="39"/>
  <c r="J80" i="39"/>
  <c r="K80" i="39"/>
  <c r="L80" i="39"/>
  <c r="M80" i="39"/>
  <c r="N80" i="39"/>
  <c r="O80" i="39"/>
  <c r="P80" i="39"/>
  <c r="I60" i="39"/>
  <c r="G68" i="39"/>
  <c r="I68" i="39"/>
  <c r="J68" i="39"/>
  <c r="I70" i="39"/>
  <c r="J72" i="39"/>
  <c r="E50" i="39"/>
  <c r="E103" i="39" s="1"/>
  <c r="E156" i="39" s="1"/>
  <c r="E41" i="39"/>
  <c r="E41" i="35" s="1"/>
  <c r="E38" i="39"/>
  <c r="E38" i="35" s="1"/>
  <c r="F31" i="39"/>
  <c r="G31" i="39"/>
  <c r="H31" i="39"/>
  <c r="I31" i="39"/>
  <c r="J31" i="39"/>
  <c r="F33" i="39"/>
  <c r="F33" i="35" s="1"/>
  <c r="G33" i="39"/>
  <c r="G33" i="35" s="1"/>
  <c r="H33" i="39"/>
  <c r="H33" i="35" s="1"/>
  <c r="I33" i="39"/>
  <c r="I33" i="35" s="1"/>
  <c r="J33" i="39"/>
  <c r="J33" i="35" s="1"/>
  <c r="K33" i="39"/>
  <c r="K33" i="35" s="1"/>
  <c r="L33" i="39"/>
  <c r="L33" i="35" s="1"/>
  <c r="M33" i="39"/>
  <c r="M33" i="35" s="1"/>
  <c r="N33" i="39"/>
  <c r="N33" i="35" s="1"/>
  <c r="O33" i="39"/>
  <c r="O33" i="35" s="1"/>
  <c r="P33" i="39"/>
  <c r="E33" i="39"/>
  <c r="E33" i="35" s="1"/>
  <c r="E32" i="39"/>
  <c r="E32" i="35" s="1"/>
  <c r="E31" i="39"/>
  <c r="E31" i="35" s="1"/>
  <c r="E27" i="39"/>
  <c r="E27" i="35" s="1"/>
  <c r="E30" i="39"/>
  <c r="E30" i="35" s="1"/>
  <c r="E24" i="39"/>
  <c r="E24" i="35" s="1"/>
  <c r="F7" i="39"/>
  <c r="G7" i="39"/>
  <c r="H7" i="39"/>
  <c r="I7" i="39"/>
  <c r="J7" i="39"/>
  <c r="F8" i="39"/>
  <c r="G8" i="39"/>
  <c r="H8" i="39"/>
  <c r="I8" i="39"/>
  <c r="J8" i="39"/>
  <c r="F9" i="39"/>
  <c r="G9" i="39"/>
  <c r="H9" i="39"/>
  <c r="I9" i="39"/>
  <c r="J9" i="39"/>
  <c r="F15" i="39"/>
  <c r="G15" i="39"/>
  <c r="H15" i="39"/>
  <c r="I15" i="39"/>
  <c r="J15" i="39"/>
  <c r="F17" i="39"/>
  <c r="G17" i="39"/>
  <c r="H17" i="39"/>
  <c r="I17" i="39"/>
  <c r="J17" i="39"/>
  <c r="F18" i="39"/>
  <c r="F18" i="35" s="1"/>
  <c r="G18" i="39"/>
  <c r="G18" i="35" s="1"/>
  <c r="H18" i="39"/>
  <c r="H18" i="35" s="1"/>
  <c r="I18" i="39"/>
  <c r="I18" i="35" s="1"/>
  <c r="J18" i="39"/>
  <c r="J18" i="35" s="1"/>
  <c r="K18" i="39"/>
  <c r="K18" i="35" s="1"/>
  <c r="L18" i="39"/>
  <c r="L18" i="35" s="1"/>
  <c r="M18" i="39"/>
  <c r="M18" i="35" s="1"/>
  <c r="N18" i="39"/>
  <c r="N18" i="35" s="1"/>
  <c r="O18" i="39"/>
  <c r="O18" i="35" s="1"/>
  <c r="P18" i="39"/>
  <c r="P18" i="35" s="1"/>
  <c r="F19" i="39"/>
  <c r="G19" i="39"/>
  <c r="H19" i="39"/>
  <c r="I19" i="39"/>
  <c r="J19" i="39"/>
  <c r="D192" i="34"/>
  <c r="D54" i="34"/>
  <c r="P118" i="14"/>
  <c r="G83" i="2"/>
  <c r="H83" i="2"/>
  <c r="I83" i="2"/>
  <c r="J83" i="2"/>
  <c r="G77" i="2"/>
  <c r="H77" i="2"/>
  <c r="I77" i="2"/>
  <c r="J77" i="2"/>
  <c r="G72" i="14"/>
  <c r="H72" i="14"/>
  <c r="I72" i="14"/>
  <c r="F72" i="14"/>
  <c r="G136" i="2"/>
  <c r="H136" i="2"/>
  <c r="I136" i="2"/>
  <c r="J136" i="2"/>
  <c r="G130" i="2"/>
  <c r="H130" i="2"/>
  <c r="I130" i="2"/>
  <c r="J130" i="2"/>
  <c r="D50" i="2"/>
  <c r="P26" i="14"/>
  <c r="F17" i="14"/>
  <c r="F18" i="14"/>
  <c r="G31" i="2"/>
  <c r="H31" i="2"/>
  <c r="I31" i="2"/>
  <c r="J31" i="2"/>
  <c r="K31" i="2"/>
  <c r="L31" i="2"/>
  <c r="M31" i="2"/>
  <c r="N31" i="2"/>
  <c r="O31" i="2"/>
  <c r="P31" i="2"/>
  <c r="F31" i="2"/>
  <c r="G84" i="2"/>
  <c r="G84" i="35" s="1"/>
  <c r="H84" i="2"/>
  <c r="H84" i="35" s="1"/>
  <c r="I84" i="2"/>
  <c r="I84" i="35" s="1"/>
  <c r="J84" i="2"/>
  <c r="J84" i="35" s="1"/>
  <c r="K84" i="2"/>
  <c r="K84" i="35" s="1"/>
  <c r="L84" i="2"/>
  <c r="L84" i="35" s="1"/>
  <c r="M84" i="2"/>
  <c r="M84" i="35" s="1"/>
  <c r="N84" i="2"/>
  <c r="N84" i="35" s="1"/>
  <c r="O84" i="2"/>
  <c r="O84" i="35" s="1"/>
  <c r="P84" i="2"/>
  <c r="P84" i="35" s="1"/>
  <c r="F84" i="2"/>
  <c r="F84" i="35" s="1"/>
  <c r="G137" i="2"/>
  <c r="H137" i="2"/>
  <c r="H137" i="35" s="1"/>
  <c r="I137" i="2"/>
  <c r="J137" i="2"/>
  <c r="F137" i="2"/>
  <c r="J14" i="29"/>
  <c r="G144" i="2"/>
  <c r="H144" i="2"/>
  <c r="I144" i="2"/>
  <c r="J144" i="2"/>
  <c r="G147" i="2"/>
  <c r="H147" i="2"/>
  <c r="I147" i="2"/>
  <c r="J147" i="2"/>
  <c r="K169" i="34"/>
  <c r="G91" i="2"/>
  <c r="H91" i="2"/>
  <c r="I91" i="2"/>
  <c r="J91" i="2"/>
  <c r="K91" i="2"/>
  <c r="K91" i="35" s="1"/>
  <c r="L91" i="2"/>
  <c r="L91" i="35" s="1"/>
  <c r="M91" i="2"/>
  <c r="N91" i="2"/>
  <c r="O91" i="2"/>
  <c r="O91" i="35" s="1"/>
  <c r="P91" i="2"/>
  <c r="G94" i="2"/>
  <c r="H94" i="2"/>
  <c r="I94" i="2"/>
  <c r="J94" i="2"/>
  <c r="G17" i="2"/>
  <c r="H17" i="2"/>
  <c r="I17" i="2"/>
  <c r="I17" i="35" s="1"/>
  <c r="J17" i="2"/>
  <c r="F17" i="2"/>
  <c r="F17" i="35" s="1"/>
  <c r="F19" i="2"/>
  <c r="F19" i="35" s="1"/>
  <c r="G105" i="68" l="1"/>
  <c r="H105" i="68"/>
  <c r="P26" i="36"/>
  <c r="P91" i="35"/>
  <c r="G445" i="29"/>
  <c r="I111" i="21"/>
  <c r="G765" i="29" s="1"/>
  <c r="H17" i="35"/>
  <c r="E76" i="44"/>
  <c r="C48" i="46"/>
  <c r="E748" i="29"/>
  <c r="G104" i="21"/>
  <c r="D76" i="44"/>
  <c r="H76" i="44" s="1"/>
  <c r="J76" i="44" s="1"/>
  <c r="G137" i="35"/>
  <c r="F31" i="35"/>
  <c r="L100" i="34"/>
  <c r="F76" i="44"/>
  <c r="C28" i="46"/>
  <c r="G28" i="46"/>
  <c r="H130" i="46"/>
  <c r="D154" i="46"/>
  <c r="G17" i="14"/>
  <c r="F17" i="36"/>
  <c r="G17" i="35"/>
  <c r="N91" i="35"/>
  <c r="J137" i="35"/>
  <c r="P100" i="34"/>
  <c r="C239" i="29"/>
  <c r="C251" i="29" s="1"/>
  <c r="J17" i="35"/>
  <c r="M91" i="35"/>
  <c r="F137" i="35"/>
  <c r="I137" i="35"/>
  <c r="G31" i="35"/>
  <c r="N101" i="34"/>
  <c r="O100" i="34"/>
  <c r="C76" i="44"/>
  <c r="H28" i="46"/>
  <c r="C43" i="46"/>
  <c r="E46" i="46"/>
  <c r="E130" i="46"/>
  <c r="F154" i="46"/>
  <c r="I31" i="35"/>
  <c r="E104" i="45"/>
  <c r="E42" i="45" s="1"/>
  <c r="C77" i="45"/>
  <c r="J31" i="35"/>
  <c r="H31" i="35"/>
  <c r="G18" i="14"/>
  <c r="F18" i="36"/>
  <c r="H103" i="45"/>
  <c r="H41" i="45" s="1"/>
  <c r="I159" i="61"/>
  <c r="T159" i="61" s="1"/>
  <c r="I175" i="61"/>
  <c r="T175" i="61" s="1"/>
  <c r="I171" i="49"/>
  <c r="E117" i="45"/>
  <c r="E55" i="45" s="1"/>
  <c r="H97" i="34"/>
  <c r="F23" i="68" s="1"/>
  <c r="F116" i="68" s="1"/>
  <c r="F54" i="68" s="1"/>
  <c r="G158" i="61"/>
  <c r="G154" i="49"/>
  <c r="H160" i="61"/>
  <c r="S160" i="61" s="1"/>
  <c r="H156" i="49"/>
  <c r="H118" i="50" s="1"/>
  <c r="I161" i="61"/>
  <c r="T161" i="61" s="1"/>
  <c r="I157" i="49"/>
  <c r="I116" i="50" s="1"/>
  <c r="I91" i="45"/>
  <c r="I115" i="45"/>
  <c r="I53" i="45" s="1"/>
  <c r="F77" i="45"/>
  <c r="E77" i="45"/>
  <c r="I105" i="45"/>
  <c r="H175" i="61"/>
  <c r="S175" i="61" s="1"/>
  <c r="H171" i="49"/>
  <c r="I104" i="45"/>
  <c r="I42" i="45" s="1"/>
  <c r="G178" i="61"/>
  <c r="R178" i="61" s="1"/>
  <c r="G174" i="49"/>
  <c r="H102" i="45"/>
  <c r="H40" i="45" s="1"/>
  <c r="I158" i="61"/>
  <c r="I154" i="49"/>
  <c r="D91" i="45"/>
  <c r="G118" i="45"/>
  <c r="G56" i="45" s="1"/>
  <c r="H172" i="61"/>
  <c r="H168" i="49"/>
  <c r="F56" i="45"/>
  <c r="G117" i="45"/>
  <c r="G55" i="45" s="1"/>
  <c r="H178" i="61"/>
  <c r="S178" i="61" s="1"/>
  <c r="H174" i="49"/>
  <c r="G57" i="45"/>
  <c r="I101" i="45"/>
  <c r="I39" i="45" s="1"/>
  <c r="E105" i="45"/>
  <c r="E43" i="45" s="1"/>
  <c r="G161" i="61"/>
  <c r="R161" i="61" s="1"/>
  <c r="G157" i="49"/>
  <c r="G116" i="50" s="1"/>
  <c r="F91" i="45"/>
  <c r="G116" i="45"/>
  <c r="G54" i="45" s="1"/>
  <c r="H173" i="61"/>
  <c r="H169" i="49"/>
  <c r="H117" i="45"/>
  <c r="H55" i="45" s="1"/>
  <c r="I178" i="61"/>
  <c r="T178" i="61" s="1"/>
  <c r="I174" i="49"/>
  <c r="I118" i="45"/>
  <c r="I56" i="45" s="1"/>
  <c r="J172" i="61"/>
  <c r="J168" i="49"/>
  <c r="G102" i="34"/>
  <c r="I99" i="34"/>
  <c r="H104" i="45"/>
  <c r="H42" i="45" s="1"/>
  <c r="I160" i="61"/>
  <c r="T160" i="61" s="1"/>
  <c r="I156" i="49"/>
  <c r="I118" i="50" s="1"/>
  <c r="G172" i="61"/>
  <c r="G168" i="49"/>
  <c r="E116" i="45"/>
  <c r="E54" i="45" s="1"/>
  <c r="G173" i="61"/>
  <c r="G169" i="49"/>
  <c r="H77" i="45"/>
  <c r="I102" i="45"/>
  <c r="I40" i="45" s="1"/>
  <c r="E91" i="45"/>
  <c r="H118" i="45"/>
  <c r="H56" i="45" s="1"/>
  <c r="I172" i="61"/>
  <c r="I168" i="49"/>
  <c r="H58" i="45"/>
  <c r="G160" i="61"/>
  <c r="R160" i="61" s="1"/>
  <c r="G156" i="49"/>
  <c r="G118" i="50" s="1"/>
  <c r="G91" i="45"/>
  <c r="H116" i="45"/>
  <c r="H54" i="45" s="1"/>
  <c r="I173" i="61"/>
  <c r="I169" i="49"/>
  <c r="I117" i="45"/>
  <c r="I55" i="45" s="1"/>
  <c r="E102" i="45"/>
  <c r="E40" i="45" s="1"/>
  <c r="G82" i="34"/>
  <c r="H85" i="34"/>
  <c r="J96" i="34"/>
  <c r="H25" i="68" s="1"/>
  <c r="H118" i="68" s="1"/>
  <c r="G103" i="45"/>
  <c r="G41" i="45" s="1"/>
  <c r="H159" i="61"/>
  <c r="S159" i="61" s="1"/>
  <c r="G102" i="45"/>
  <c r="G40" i="45" s="1"/>
  <c r="H158" i="61"/>
  <c r="H154" i="49"/>
  <c r="G77" i="45"/>
  <c r="I103" i="45"/>
  <c r="I41" i="45" s="1"/>
  <c r="J159" i="61"/>
  <c r="U159" i="61" s="1"/>
  <c r="I120" i="45"/>
  <c r="I58" i="45" s="1"/>
  <c r="G96" i="34"/>
  <c r="G159" i="61"/>
  <c r="R159" i="61" s="1"/>
  <c r="G155" i="49"/>
  <c r="G115" i="50" s="1"/>
  <c r="H161" i="61"/>
  <c r="S161" i="61" s="1"/>
  <c r="H157" i="49"/>
  <c r="H116" i="50" s="1"/>
  <c r="H115" i="45"/>
  <c r="H53" i="45" s="1"/>
  <c r="I116" i="45"/>
  <c r="E120" i="45"/>
  <c r="E58" i="45" s="1"/>
  <c r="G175" i="61"/>
  <c r="R175" i="61" s="1"/>
  <c r="G171" i="49"/>
  <c r="G108" i="51" s="1"/>
  <c r="G86" i="34"/>
  <c r="E12" i="68" s="1"/>
  <c r="H86" i="34"/>
  <c r="F12" i="68" s="1"/>
  <c r="I83" i="34"/>
  <c r="H96" i="34"/>
  <c r="F25" i="68" s="1"/>
  <c r="F118" i="68" s="1"/>
  <c r="F56" i="68" s="1"/>
  <c r="I96" i="34"/>
  <c r="G25" i="68" s="1"/>
  <c r="G118" i="68" s="1"/>
  <c r="J97" i="34"/>
  <c r="H23" i="68" s="1"/>
  <c r="H116" i="68" s="1"/>
  <c r="H54" i="68" s="1"/>
  <c r="G70" i="2"/>
  <c r="G70" i="35" s="1"/>
  <c r="J102" i="34"/>
  <c r="J83" i="34"/>
  <c r="K16" i="34"/>
  <c r="K12" i="39"/>
  <c r="L346" i="29"/>
  <c r="L548" i="29" s="1"/>
  <c r="L666" i="29"/>
  <c r="L868" i="29" s="1"/>
  <c r="K346" i="29"/>
  <c r="K548" i="29" s="1"/>
  <c r="K666" i="29"/>
  <c r="K868" i="29" s="1"/>
  <c r="M346" i="29"/>
  <c r="M548" i="29" s="1"/>
  <c r="M666" i="29"/>
  <c r="M868" i="29" s="1"/>
  <c r="O346" i="29"/>
  <c r="O548" i="29" s="1"/>
  <c r="O666" i="29"/>
  <c r="O868" i="29" s="1"/>
  <c r="N346" i="29"/>
  <c r="N548" i="29" s="1"/>
  <c r="N666" i="29"/>
  <c r="N868" i="29" s="1"/>
  <c r="J61" i="39"/>
  <c r="K7" i="39"/>
  <c r="G63" i="46"/>
  <c r="D28" i="46"/>
  <c r="H32" i="46"/>
  <c r="F48" i="46"/>
  <c r="D130" i="46"/>
  <c r="C45" i="46"/>
  <c r="G82" i="46"/>
  <c r="E48" i="46"/>
  <c r="C130" i="46"/>
  <c r="H83" i="46"/>
  <c r="H35" i="46" s="1"/>
  <c r="G34" i="46"/>
  <c r="H74" i="46"/>
  <c r="J60" i="39"/>
  <c r="L11" i="38"/>
  <c r="L27" i="38"/>
  <c r="L62" i="38" s="1"/>
  <c r="L132" i="38" s="1"/>
  <c r="K62" i="38"/>
  <c r="H150" i="38"/>
  <c r="I62" i="39"/>
  <c r="I150" i="38"/>
  <c r="G168" i="38"/>
  <c r="H163" i="38"/>
  <c r="H122" i="39" s="1"/>
  <c r="G72" i="39"/>
  <c r="L30" i="38"/>
  <c r="G148" i="38"/>
  <c r="H151" i="38"/>
  <c r="J149" i="38"/>
  <c r="H161" i="38"/>
  <c r="J163" i="38"/>
  <c r="J122" i="39" s="1"/>
  <c r="G150" i="38"/>
  <c r="H152" i="38"/>
  <c r="I149" i="38"/>
  <c r="H162" i="38"/>
  <c r="I163" i="38"/>
  <c r="I122" i="39" s="1"/>
  <c r="K8" i="39"/>
  <c r="G149" i="38"/>
  <c r="J152" i="38"/>
  <c r="J148" i="38"/>
  <c r="J162" i="38"/>
  <c r="G151" i="38"/>
  <c r="I152" i="38"/>
  <c r="I148" i="38"/>
  <c r="H168" i="38"/>
  <c r="I162" i="38"/>
  <c r="H62" i="39"/>
  <c r="G152" i="38"/>
  <c r="J151" i="38"/>
  <c r="G161" i="38"/>
  <c r="J168" i="38"/>
  <c r="J161" i="38"/>
  <c r="L15" i="38"/>
  <c r="L17" i="34" s="1"/>
  <c r="H148" i="38"/>
  <c r="I151" i="38"/>
  <c r="G162" i="38"/>
  <c r="I168" i="38"/>
  <c r="I161" i="38"/>
  <c r="K15" i="39"/>
  <c r="H149" i="38"/>
  <c r="J62" i="39"/>
  <c r="J150" i="38"/>
  <c r="J165" i="38"/>
  <c r="G163" i="38"/>
  <c r="G122" i="39" s="1"/>
  <c r="J12" i="29"/>
  <c r="J70" i="2"/>
  <c r="J70" i="35" s="1"/>
  <c r="K13" i="29"/>
  <c r="J78" i="4"/>
  <c r="I78" i="4"/>
  <c r="K74" i="51"/>
  <c r="L95" i="50"/>
  <c r="H118" i="14"/>
  <c r="H120" i="62"/>
  <c r="H120" i="51"/>
  <c r="I118" i="14"/>
  <c r="I120" i="62"/>
  <c r="I120" i="51"/>
  <c r="G118" i="14"/>
  <c r="G120" i="62"/>
  <c r="G120" i="51"/>
  <c r="F118" i="14"/>
  <c r="F120" i="62"/>
  <c r="F120" i="51"/>
  <c r="H349" i="29"/>
  <c r="I333" i="29"/>
  <c r="J19" i="29"/>
  <c r="H331" i="29"/>
  <c r="H344" i="29"/>
  <c r="I338" i="29"/>
  <c r="I70" i="2"/>
  <c r="I70" i="35" s="1"/>
  <c r="G331" i="29"/>
  <c r="H338" i="29"/>
  <c r="J13" i="29"/>
  <c r="G332" i="29"/>
  <c r="F349" i="29"/>
  <c r="H333" i="29"/>
  <c r="G347" i="29"/>
  <c r="I64" i="21"/>
  <c r="F344" i="29"/>
  <c r="F538" i="29" s="1"/>
  <c r="F536" i="29" s="1"/>
  <c r="G349" i="29"/>
  <c r="F338" i="29"/>
  <c r="H347" i="29"/>
  <c r="F335" i="29"/>
  <c r="I331" i="29"/>
  <c r="I344" i="29"/>
  <c r="C20" i="29"/>
  <c r="C210" i="29" s="1"/>
  <c r="F332" i="29"/>
  <c r="G344" i="29"/>
  <c r="H70" i="2"/>
  <c r="H70" i="35" s="1"/>
  <c r="C31" i="29"/>
  <c r="C228" i="29" s="1"/>
  <c r="C232" i="29" s="1"/>
  <c r="C233" i="29" s="1"/>
  <c r="C255" i="29" s="1"/>
  <c r="G338" i="29"/>
  <c r="I332" i="29"/>
  <c r="F347" i="29"/>
  <c r="H64" i="21"/>
  <c r="H66" i="21" s="1"/>
  <c r="H67" i="21" s="1"/>
  <c r="I347" i="29"/>
  <c r="I349" i="29"/>
  <c r="C63" i="44"/>
  <c r="C72" i="44"/>
  <c r="E71" i="44"/>
  <c r="D42" i="44"/>
  <c r="D71" i="44"/>
  <c r="I748" i="29"/>
  <c r="F71" i="44"/>
  <c r="F748" i="29"/>
  <c r="G748" i="29"/>
  <c r="H748" i="29"/>
  <c r="C76" i="29"/>
  <c r="J65" i="21"/>
  <c r="E42" i="44"/>
  <c r="F42" i="44"/>
  <c r="F77" i="44" s="1"/>
  <c r="C34" i="46"/>
  <c r="E98" i="46"/>
  <c r="H43" i="46"/>
  <c r="G98" i="46"/>
  <c r="F80" i="46"/>
  <c r="E43" i="46"/>
  <c r="F63" i="46"/>
  <c r="C44" i="46"/>
  <c r="G93" i="46"/>
  <c r="G45" i="46" s="1"/>
  <c r="C154" i="46"/>
  <c r="F43" i="46"/>
  <c r="E44" i="46"/>
  <c r="H93" i="46"/>
  <c r="H98" i="46" s="1"/>
  <c r="G43" i="46"/>
  <c r="C80" i="46"/>
  <c r="C87" i="46" s="1"/>
  <c r="C63" i="46"/>
  <c r="G81" i="46"/>
  <c r="G33" i="46"/>
  <c r="E83" i="46"/>
  <c r="E35" i="46" s="1"/>
  <c r="H84" i="46"/>
  <c r="H36" i="46" s="1"/>
  <c r="H63" i="46"/>
  <c r="F92" i="46"/>
  <c r="F98" i="46" s="1"/>
  <c r="C94" i="46"/>
  <c r="C98" i="46" s="1"/>
  <c r="G48" i="46"/>
  <c r="E80" i="46"/>
  <c r="E63" i="46"/>
  <c r="H81" i="46"/>
  <c r="H87" i="46" s="1"/>
  <c r="F83" i="46"/>
  <c r="F35" i="46" s="1"/>
  <c r="H48" i="46"/>
  <c r="G83" i="46"/>
  <c r="G35" i="46" s="1"/>
  <c r="C74" i="46"/>
  <c r="E74" i="46"/>
  <c r="F74" i="46"/>
  <c r="G74" i="46"/>
  <c r="I77" i="45"/>
  <c r="H91" i="45"/>
  <c r="F40" i="45"/>
  <c r="I43" i="45"/>
  <c r="F55" i="45"/>
  <c r="H57" i="45"/>
  <c r="C101" i="45"/>
  <c r="C108" i="45" s="1"/>
  <c r="D102" i="45"/>
  <c r="D108" i="45" s="1"/>
  <c r="E103" i="45"/>
  <c r="E41" i="45" s="1"/>
  <c r="F104" i="45"/>
  <c r="F42" i="45" s="1"/>
  <c r="G105" i="45"/>
  <c r="G43" i="45" s="1"/>
  <c r="H106" i="45"/>
  <c r="H44" i="45" s="1"/>
  <c r="C116" i="45"/>
  <c r="C54" i="45" s="1"/>
  <c r="C60" i="45" s="1"/>
  <c r="D117" i="45"/>
  <c r="D55" i="45" s="1"/>
  <c r="E118" i="45"/>
  <c r="E56" i="45" s="1"/>
  <c r="F119" i="45"/>
  <c r="F57" i="45" s="1"/>
  <c r="G120" i="45"/>
  <c r="G58" i="45" s="1"/>
  <c r="D77" i="45"/>
  <c r="D93" i="45" s="1"/>
  <c r="C91" i="45"/>
  <c r="C93" i="45" s="1"/>
  <c r="E101" i="45"/>
  <c r="D115" i="45"/>
  <c r="F101" i="45"/>
  <c r="E115" i="45"/>
  <c r="G101" i="45"/>
  <c r="F115" i="45"/>
  <c r="H101" i="45"/>
  <c r="G115" i="45"/>
  <c r="C86" i="29"/>
  <c r="C127" i="29"/>
  <c r="L23" i="38"/>
  <c r="L14" i="34"/>
  <c r="L5" i="34" s="1"/>
  <c r="G56" i="68" l="1"/>
  <c r="H56" i="68"/>
  <c r="H43" i="68"/>
  <c r="F105" i="68"/>
  <c r="G43" i="68"/>
  <c r="E15" i="68"/>
  <c r="E105" i="68"/>
  <c r="H445" i="29"/>
  <c r="J111" i="21"/>
  <c r="H765" i="29" s="1"/>
  <c r="H17" i="14"/>
  <c r="G17" i="36"/>
  <c r="H45" i="46"/>
  <c r="J64" i="21"/>
  <c r="H443" i="29" s="1"/>
  <c r="H447" i="29" s="1"/>
  <c r="E750" i="29"/>
  <c r="E875" i="29"/>
  <c r="H114" i="54"/>
  <c r="S158" i="61"/>
  <c r="H108" i="51"/>
  <c r="I108" i="51" s="1"/>
  <c r="I114" i="54"/>
  <c r="T158" i="61"/>
  <c r="H123" i="54"/>
  <c r="S172" i="61"/>
  <c r="I123" i="54"/>
  <c r="T172" i="61"/>
  <c r="J123" i="54"/>
  <c r="U172" i="61"/>
  <c r="G114" i="54"/>
  <c r="R158" i="61"/>
  <c r="G123" i="54"/>
  <c r="R172" i="61"/>
  <c r="I122" i="54"/>
  <c r="T173" i="61"/>
  <c r="H122" i="54"/>
  <c r="S173" i="61"/>
  <c r="G122" i="54"/>
  <c r="R173" i="61"/>
  <c r="E72" i="44"/>
  <c r="E73" i="44" s="1"/>
  <c r="E77" i="44"/>
  <c r="D63" i="44"/>
  <c r="D77" i="44"/>
  <c r="G126" i="4"/>
  <c r="G199" i="61"/>
  <c r="K132" i="38"/>
  <c r="G76" i="46"/>
  <c r="G125" i="54"/>
  <c r="I210" i="61"/>
  <c r="I214" i="61" s="1"/>
  <c r="H210" i="61"/>
  <c r="H214" i="61" s="1"/>
  <c r="G171" i="4"/>
  <c r="G167" i="34" s="1"/>
  <c r="I125" i="54"/>
  <c r="H125" i="54"/>
  <c r="F93" i="45"/>
  <c r="G93" i="45"/>
  <c r="G116" i="54"/>
  <c r="G157" i="4"/>
  <c r="G154" i="34" s="1"/>
  <c r="G156" i="4"/>
  <c r="G118" i="2" s="1"/>
  <c r="G118" i="54"/>
  <c r="I116" i="54"/>
  <c r="I157" i="4"/>
  <c r="I154" i="34" s="1"/>
  <c r="J115" i="54"/>
  <c r="H115" i="54"/>
  <c r="G115" i="54"/>
  <c r="G155" i="4"/>
  <c r="F655" i="29" s="1"/>
  <c r="I156" i="4"/>
  <c r="I118" i="2" s="1"/>
  <c r="I118" i="54"/>
  <c r="H116" i="54"/>
  <c r="H157" i="4"/>
  <c r="H154" i="34" s="1"/>
  <c r="H156" i="4"/>
  <c r="H118" i="2" s="1"/>
  <c r="H118" i="54"/>
  <c r="I115" i="54"/>
  <c r="I122" i="45"/>
  <c r="I93" i="45"/>
  <c r="I125" i="50"/>
  <c r="I174" i="4"/>
  <c r="I170" i="34" s="1"/>
  <c r="G125" i="50"/>
  <c r="G174" i="4"/>
  <c r="G170" i="34" s="1"/>
  <c r="G114" i="50"/>
  <c r="G154" i="4"/>
  <c r="F652" i="29" s="1"/>
  <c r="G169" i="4"/>
  <c r="G122" i="50"/>
  <c r="H123" i="50"/>
  <c r="H168" i="4"/>
  <c r="H164" i="34" s="1"/>
  <c r="I169" i="4"/>
  <c r="I122" i="2" s="1"/>
  <c r="I122" i="50"/>
  <c r="G123" i="50"/>
  <c r="G168" i="4"/>
  <c r="G164" i="34" s="1"/>
  <c r="H125" i="50"/>
  <c r="H174" i="4"/>
  <c r="H170" i="34" s="1"/>
  <c r="H206" i="49"/>
  <c r="H171" i="4"/>
  <c r="H167" i="34" s="1"/>
  <c r="J123" i="50"/>
  <c r="J168" i="4"/>
  <c r="J164" i="34" s="1"/>
  <c r="I114" i="50"/>
  <c r="I154" i="4"/>
  <c r="I151" i="34" s="1"/>
  <c r="I206" i="49"/>
  <c r="I171" i="4"/>
  <c r="I167" i="34" s="1"/>
  <c r="I123" i="50"/>
  <c r="I168" i="4"/>
  <c r="I164" i="34" s="1"/>
  <c r="H169" i="4"/>
  <c r="H122" i="50"/>
  <c r="H114" i="50"/>
  <c r="H154" i="4"/>
  <c r="G652" i="29" s="1"/>
  <c r="H18" i="14"/>
  <c r="G18" i="36"/>
  <c r="G210" i="61"/>
  <c r="G214" i="61" s="1"/>
  <c r="G206" i="49"/>
  <c r="J157" i="49"/>
  <c r="J116" i="50" s="1"/>
  <c r="E108" i="45"/>
  <c r="F331" i="29"/>
  <c r="G327" i="29" s="1"/>
  <c r="J169" i="49"/>
  <c r="E93" i="45"/>
  <c r="H157" i="61"/>
  <c r="H79" i="61"/>
  <c r="H97" i="61"/>
  <c r="J178" i="61"/>
  <c r="U178" i="61" s="1"/>
  <c r="J161" i="61"/>
  <c r="U161" i="61" s="1"/>
  <c r="I157" i="61"/>
  <c r="I79" i="61"/>
  <c r="I97" i="61"/>
  <c r="G167" i="49"/>
  <c r="G106" i="49"/>
  <c r="I167" i="49"/>
  <c r="I106" i="49"/>
  <c r="J174" i="49"/>
  <c r="G333" i="29"/>
  <c r="H332" i="29"/>
  <c r="I54" i="45"/>
  <c r="I60" i="45" s="1"/>
  <c r="J171" i="49"/>
  <c r="J154" i="49"/>
  <c r="J79" i="61"/>
  <c r="J157" i="61"/>
  <c r="U157" i="61" s="1"/>
  <c r="J97" i="61"/>
  <c r="D40" i="45"/>
  <c r="D46" i="45" s="1"/>
  <c r="J175" i="61"/>
  <c r="U175" i="61" s="1"/>
  <c r="J158" i="61"/>
  <c r="U158" i="61" s="1"/>
  <c r="J156" i="49"/>
  <c r="G94" i="49"/>
  <c r="J106" i="49"/>
  <c r="J167" i="49"/>
  <c r="J173" i="61"/>
  <c r="H167" i="49"/>
  <c r="H106" i="49"/>
  <c r="H122" i="45"/>
  <c r="I108" i="45"/>
  <c r="D122" i="45"/>
  <c r="D124" i="45" s="1"/>
  <c r="H93" i="45"/>
  <c r="F333" i="29"/>
  <c r="H78" i="4"/>
  <c r="J160" i="61"/>
  <c r="U160" i="61" s="1"/>
  <c r="G157" i="61"/>
  <c r="G79" i="61"/>
  <c r="G97" i="61"/>
  <c r="I118" i="39"/>
  <c r="H118" i="39"/>
  <c r="J118" i="39"/>
  <c r="G118" i="39"/>
  <c r="L7" i="39"/>
  <c r="L13" i="34"/>
  <c r="L12" i="39"/>
  <c r="L16" i="34"/>
  <c r="C218" i="29"/>
  <c r="C215" i="29" s="1"/>
  <c r="M30" i="38"/>
  <c r="I327" i="29"/>
  <c r="L19" i="39"/>
  <c r="M27" i="38"/>
  <c r="N27" i="38" s="1"/>
  <c r="M11" i="38"/>
  <c r="M13" i="34" s="1"/>
  <c r="C225" i="29"/>
  <c r="H76" i="46"/>
  <c r="C32" i="46"/>
  <c r="C39" i="46" s="1"/>
  <c r="C46" i="46"/>
  <c r="C76" i="46"/>
  <c r="H100" i="46"/>
  <c r="E87" i="46"/>
  <c r="E100" i="46" s="1"/>
  <c r="G87" i="46"/>
  <c r="G100" i="46" s="1"/>
  <c r="H33" i="46"/>
  <c r="H39" i="46" s="1"/>
  <c r="G39" i="46"/>
  <c r="E32" i="46"/>
  <c r="E39" i="46" s="1"/>
  <c r="C50" i="46"/>
  <c r="F76" i="46"/>
  <c r="H327" i="29"/>
  <c r="C222" i="29"/>
  <c r="I113" i="39"/>
  <c r="I121" i="39"/>
  <c r="H123" i="39"/>
  <c r="I115" i="39"/>
  <c r="H114" i="39"/>
  <c r="H113" i="39"/>
  <c r="J114" i="39"/>
  <c r="I125" i="39"/>
  <c r="J121" i="39"/>
  <c r="G114" i="39"/>
  <c r="I114" i="39"/>
  <c r="I123" i="39"/>
  <c r="J123" i="39"/>
  <c r="H115" i="39"/>
  <c r="G123" i="39"/>
  <c r="J125" i="39"/>
  <c r="H121" i="39"/>
  <c r="H125" i="39"/>
  <c r="J115" i="39"/>
  <c r="M15" i="38"/>
  <c r="M17" i="34" s="1"/>
  <c r="G121" i="39"/>
  <c r="J113" i="39"/>
  <c r="G115" i="39"/>
  <c r="G113" i="39"/>
  <c r="G125" i="39"/>
  <c r="C213" i="29"/>
  <c r="L74" i="51"/>
  <c r="M95" i="50"/>
  <c r="K14" i="29"/>
  <c r="C21" i="29"/>
  <c r="C214" i="29"/>
  <c r="K19" i="29"/>
  <c r="C22" i="29"/>
  <c r="K12" i="29"/>
  <c r="G538" i="29"/>
  <c r="G536" i="29" s="1"/>
  <c r="H538" i="29"/>
  <c r="H536" i="29" s="1"/>
  <c r="C209" i="29"/>
  <c r="C207" i="29" s="1"/>
  <c r="C33" i="29"/>
  <c r="C34" i="29" s="1"/>
  <c r="F443" i="29"/>
  <c r="F447" i="29" s="1"/>
  <c r="H73" i="21"/>
  <c r="I538" i="29"/>
  <c r="I536" i="29" s="1"/>
  <c r="G443" i="29"/>
  <c r="G447" i="29" s="1"/>
  <c r="I73" i="21"/>
  <c r="C65" i="44"/>
  <c r="C81" i="44"/>
  <c r="C86" i="44" s="1"/>
  <c r="C99" i="44" s="1"/>
  <c r="D65" i="44"/>
  <c r="D81" i="44"/>
  <c r="D86" i="44" s="1"/>
  <c r="D99" i="44" s="1"/>
  <c r="F72" i="44"/>
  <c r="C78" i="44"/>
  <c r="C73" i="44"/>
  <c r="G62" i="62" s="1"/>
  <c r="G875" i="29"/>
  <c r="H875" i="29"/>
  <c r="D72" i="44"/>
  <c r="D73" i="44" s="1"/>
  <c r="F875" i="29"/>
  <c r="I875" i="29"/>
  <c r="K65" i="21"/>
  <c r="K111" i="21" s="1"/>
  <c r="I765" i="29" s="1"/>
  <c r="I66" i="21"/>
  <c r="I67" i="21" s="1"/>
  <c r="E63" i="44"/>
  <c r="F63" i="44"/>
  <c r="H55" i="34"/>
  <c r="G78" i="42"/>
  <c r="F44" i="46"/>
  <c r="F50" i="46" s="1"/>
  <c r="C52" i="46"/>
  <c r="E50" i="46"/>
  <c r="F87" i="46"/>
  <c r="F100" i="46" s="1"/>
  <c r="E76" i="46"/>
  <c r="C100" i="46"/>
  <c r="F32" i="46"/>
  <c r="F39" i="46" s="1"/>
  <c r="G50" i="46"/>
  <c r="H50" i="46"/>
  <c r="E122" i="45"/>
  <c r="E53" i="45"/>
  <c r="E60" i="45" s="1"/>
  <c r="F39" i="45"/>
  <c r="F46" i="45" s="1"/>
  <c r="F108" i="45"/>
  <c r="H60" i="45"/>
  <c r="C122" i="45"/>
  <c r="C124" i="45" s="1"/>
  <c r="C39" i="45"/>
  <c r="C46" i="45" s="1"/>
  <c r="C62" i="45" s="1"/>
  <c r="E39" i="45"/>
  <c r="E46" i="45" s="1"/>
  <c r="G53" i="45"/>
  <c r="G60" i="45" s="1"/>
  <c r="G122" i="45"/>
  <c r="H39" i="45"/>
  <c r="H46" i="45" s="1"/>
  <c r="H108" i="45"/>
  <c r="F122" i="45"/>
  <c r="F53" i="45"/>
  <c r="F60" i="45" s="1"/>
  <c r="D53" i="45"/>
  <c r="D60" i="45" s="1"/>
  <c r="G108" i="45"/>
  <c r="G39" i="45"/>
  <c r="G46" i="45" s="1"/>
  <c r="I46" i="45"/>
  <c r="L15" i="39"/>
  <c r="M23" i="38"/>
  <c r="L8" i="39"/>
  <c r="M14" i="34"/>
  <c r="M5" i="34" s="1"/>
  <c r="E43" i="68" l="1"/>
  <c r="E46" i="68" s="1"/>
  <c r="E108" i="68"/>
  <c r="F43" i="68"/>
  <c r="H153" i="34"/>
  <c r="I153" i="34"/>
  <c r="J73" i="21"/>
  <c r="I445" i="29"/>
  <c r="K64" i="21"/>
  <c r="G135" i="61"/>
  <c r="G148" i="61" s="1"/>
  <c r="G150" i="61" s="1"/>
  <c r="H149" i="61" s="1"/>
  <c r="G128" i="4"/>
  <c r="G201" i="61"/>
  <c r="G138" i="54" s="1"/>
  <c r="G85" i="54"/>
  <c r="I17" i="14"/>
  <c r="H17" i="36"/>
  <c r="G153" i="4"/>
  <c r="F651" i="29" s="1"/>
  <c r="R157" i="61"/>
  <c r="H653" i="29"/>
  <c r="I153" i="4"/>
  <c r="H651" i="29" s="1"/>
  <c r="T157" i="61"/>
  <c r="H153" i="4"/>
  <c r="G651" i="29" s="1"/>
  <c r="S157" i="61"/>
  <c r="J108" i="51"/>
  <c r="I110" i="21"/>
  <c r="I112" i="21" s="1"/>
  <c r="J174" i="4"/>
  <c r="J170" i="34" s="1"/>
  <c r="G658" i="29"/>
  <c r="J154" i="4"/>
  <c r="J151" i="34" s="1"/>
  <c r="G664" i="29"/>
  <c r="G858" i="29" s="1"/>
  <c r="G856" i="29" s="1"/>
  <c r="H52" i="46"/>
  <c r="G52" i="46"/>
  <c r="G667" i="29"/>
  <c r="F667" i="29"/>
  <c r="H123" i="2"/>
  <c r="H123" i="35" s="1"/>
  <c r="H110" i="21"/>
  <c r="H119" i="21" s="1"/>
  <c r="H658" i="29"/>
  <c r="J122" i="54"/>
  <c r="U173" i="61"/>
  <c r="I165" i="34"/>
  <c r="F73" i="44"/>
  <c r="J135" i="61" s="1"/>
  <c r="J148" i="61" s="1"/>
  <c r="I201" i="61"/>
  <c r="I197" i="4" s="1"/>
  <c r="F160" i="28" s="1"/>
  <c r="I128" i="4"/>
  <c r="F159" i="28" s="1"/>
  <c r="H429" i="29"/>
  <c r="H430" i="29" s="1"/>
  <c r="H62" i="62"/>
  <c r="I62" i="62" s="1"/>
  <c r="J62" i="62" s="1"/>
  <c r="G195" i="4"/>
  <c r="J199" i="61"/>
  <c r="J126" i="4"/>
  <c r="H201" i="61"/>
  <c r="H197" i="4" s="1"/>
  <c r="E160" i="28" s="1"/>
  <c r="H128" i="4"/>
  <c r="E159" i="28" s="1"/>
  <c r="F658" i="29"/>
  <c r="G153" i="34"/>
  <c r="G152" i="34"/>
  <c r="J157" i="4"/>
  <c r="J154" i="34" s="1"/>
  <c r="I124" i="45"/>
  <c r="J171" i="4"/>
  <c r="G653" i="29"/>
  <c r="J156" i="4"/>
  <c r="J118" i="54"/>
  <c r="J113" i="54"/>
  <c r="J153" i="4"/>
  <c r="G124" i="45"/>
  <c r="I123" i="2"/>
  <c r="I123" i="35" s="1"/>
  <c r="H669" i="29"/>
  <c r="H664" i="29"/>
  <c r="H858" i="29" s="1"/>
  <c r="H856" i="29" s="1"/>
  <c r="D62" i="45"/>
  <c r="G151" i="34"/>
  <c r="H165" i="34"/>
  <c r="H122" i="2"/>
  <c r="E124" i="45"/>
  <c r="G165" i="34"/>
  <c r="G122" i="2"/>
  <c r="J123" i="2"/>
  <c r="J123" i="35" s="1"/>
  <c r="I664" i="29"/>
  <c r="I858" i="29" s="1"/>
  <c r="I856" i="29" s="1"/>
  <c r="F669" i="29"/>
  <c r="G123" i="2"/>
  <c r="G123" i="35" s="1"/>
  <c r="F664" i="29"/>
  <c r="F858" i="29" s="1"/>
  <c r="F856" i="29" s="1"/>
  <c r="H151" i="34"/>
  <c r="I210" i="49"/>
  <c r="I213" i="49" s="1"/>
  <c r="I206" i="4"/>
  <c r="J121" i="50"/>
  <c r="J169" i="4"/>
  <c r="J122" i="2" s="1"/>
  <c r="J122" i="50"/>
  <c r="G210" i="49"/>
  <c r="G213" i="49" s="1"/>
  <c r="G215" i="49" s="1"/>
  <c r="H214" i="49" s="1"/>
  <c r="G206" i="4"/>
  <c r="H667" i="29"/>
  <c r="G669" i="29"/>
  <c r="J110" i="21"/>
  <c r="J112" i="21" s="1"/>
  <c r="H210" i="49"/>
  <c r="H213" i="49" s="1"/>
  <c r="H206" i="4"/>
  <c r="I18" i="14"/>
  <c r="H18" i="36"/>
  <c r="J125" i="54"/>
  <c r="J116" i="54"/>
  <c r="J114" i="54"/>
  <c r="I167" i="61"/>
  <c r="I113" i="54"/>
  <c r="H167" i="61"/>
  <c r="H113" i="54"/>
  <c r="G167" i="61"/>
  <c r="R167" i="61" s="1"/>
  <c r="G113" i="54"/>
  <c r="H175" i="49"/>
  <c r="H121" i="50"/>
  <c r="J125" i="50"/>
  <c r="I175" i="49"/>
  <c r="I121" i="50"/>
  <c r="G108" i="49"/>
  <c r="G113" i="49" s="1"/>
  <c r="G44" i="52" s="1"/>
  <c r="G175" i="49"/>
  <c r="G121" i="50"/>
  <c r="J114" i="50"/>
  <c r="J118" i="50"/>
  <c r="I113" i="50"/>
  <c r="J113" i="50"/>
  <c r="H113" i="50"/>
  <c r="G163" i="49"/>
  <c r="G113" i="50"/>
  <c r="J206" i="49"/>
  <c r="F653" i="29"/>
  <c r="J175" i="49"/>
  <c r="H652" i="29"/>
  <c r="J167" i="61"/>
  <c r="H124" i="45"/>
  <c r="I62" i="45"/>
  <c r="J210" i="61"/>
  <c r="J214" i="61" s="1"/>
  <c r="G62" i="45"/>
  <c r="M12" i="39"/>
  <c r="M16" i="34"/>
  <c r="C211" i="29"/>
  <c r="C35" i="29"/>
  <c r="C36" i="29" s="1"/>
  <c r="M19" i="39"/>
  <c r="N30" i="38"/>
  <c r="M62" i="38"/>
  <c r="N11" i="38"/>
  <c r="N13" i="34" s="1"/>
  <c r="M7" i="39"/>
  <c r="E52" i="46"/>
  <c r="F52" i="46"/>
  <c r="N15" i="38"/>
  <c r="N17" i="34" s="1"/>
  <c r="O27" i="38"/>
  <c r="N62" i="38"/>
  <c r="L14" i="29"/>
  <c r="L19" i="29"/>
  <c r="L13" i="29"/>
  <c r="N95" i="50"/>
  <c r="M74" i="51"/>
  <c r="L12" i="29"/>
  <c r="G556" i="29"/>
  <c r="G499" i="29"/>
  <c r="H556" i="29"/>
  <c r="H499" i="29"/>
  <c r="G438" i="29"/>
  <c r="G446" i="29" s="1"/>
  <c r="F438" i="29"/>
  <c r="F446" i="29" s="1"/>
  <c r="F499" i="29"/>
  <c r="F556" i="29"/>
  <c r="H438" i="29"/>
  <c r="H446" i="29" s="1"/>
  <c r="G763" i="29"/>
  <c r="G767" i="29" s="1"/>
  <c r="H77" i="44"/>
  <c r="H78" i="44" s="1"/>
  <c r="J12" i="21"/>
  <c r="H110" i="29"/>
  <c r="D78" i="44"/>
  <c r="I110" i="29"/>
  <c r="K12" i="21"/>
  <c r="I12" i="21"/>
  <c r="G110" i="29"/>
  <c r="F65" i="44"/>
  <c r="F81" i="44"/>
  <c r="F86" i="44" s="1"/>
  <c r="F99" i="44" s="1"/>
  <c r="E65" i="44"/>
  <c r="E81" i="44"/>
  <c r="E86" i="44" s="1"/>
  <c r="E99" i="44" s="1"/>
  <c r="H57" i="21"/>
  <c r="H58" i="21" s="1"/>
  <c r="H71" i="21"/>
  <c r="H74" i="21" s="1"/>
  <c r="H116" i="21"/>
  <c r="F429" i="29"/>
  <c r="F430" i="29" s="1"/>
  <c r="K116" i="21"/>
  <c r="I429" i="29"/>
  <c r="I430" i="29" s="1"/>
  <c r="K57" i="21"/>
  <c r="K58" i="21" s="1"/>
  <c r="K71" i="21"/>
  <c r="F78" i="44"/>
  <c r="E78" i="44"/>
  <c r="J66" i="21"/>
  <c r="J67" i="21" s="1"/>
  <c r="L65" i="21"/>
  <c r="I78" i="42"/>
  <c r="H78" i="42"/>
  <c r="F124" i="45"/>
  <c r="H62" i="45"/>
  <c r="E62" i="45"/>
  <c r="F62" i="45"/>
  <c r="O30" i="38"/>
  <c r="N19" i="39"/>
  <c r="N23" i="38"/>
  <c r="M15" i="39"/>
  <c r="M8" i="39"/>
  <c r="N14" i="34"/>
  <c r="N5" i="34" s="1"/>
  <c r="I119" i="21" l="1"/>
  <c r="G125" i="34"/>
  <c r="D159" i="28"/>
  <c r="H647" i="29"/>
  <c r="G204" i="61"/>
  <c r="G217" i="61" s="1"/>
  <c r="G219" i="61" s="1"/>
  <c r="H218" i="61" s="1"/>
  <c r="J445" i="29"/>
  <c r="L111" i="21"/>
  <c r="J765" i="29" s="1"/>
  <c r="J116" i="21"/>
  <c r="J103" i="21" s="1"/>
  <c r="H749" i="29" s="1"/>
  <c r="H750" i="29" s="1"/>
  <c r="I653" i="29"/>
  <c r="J85" i="54"/>
  <c r="H112" i="21"/>
  <c r="F763" i="29"/>
  <c r="S167" i="61"/>
  <c r="J17" i="14"/>
  <c r="I17" i="36"/>
  <c r="I150" i="34"/>
  <c r="I443" i="29"/>
  <c r="K73" i="21"/>
  <c r="N132" i="38"/>
  <c r="M132" i="38"/>
  <c r="G647" i="29"/>
  <c r="G197" i="4"/>
  <c r="G108" i="62"/>
  <c r="I652" i="29"/>
  <c r="H150" i="34"/>
  <c r="G150" i="34"/>
  <c r="T167" i="61"/>
  <c r="J128" i="4"/>
  <c r="G159" i="28" s="1"/>
  <c r="J201" i="61"/>
  <c r="J204" i="61" s="1"/>
  <c r="J217" i="61" s="1"/>
  <c r="J195" i="4"/>
  <c r="I135" i="61"/>
  <c r="I148" i="61" s="1"/>
  <c r="I199" i="61"/>
  <c r="I126" i="4"/>
  <c r="I85" i="54"/>
  <c r="J71" i="21"/>
  <c r="J74" i="21" s="1"/>
  <c r="J57" i="21"/>
  <c r="J58" i="21" s="1"/>
  <c r="H135" i="61"/>
  <c r="H148" i="61" s="1"/>
  <c r="H150" i="61" s="1"/>
  <c r="I149" i="61" s="1"/>
  <c r="H199" i="61"/>
  <c r="H126" i="4"/>
  <c r="H85" i="54"/>
  <c r="U167" i="61"/>
  <c r="K32" i="34"/>
  <c r="J167" i="34"/>
  <c r="I667" i="29"/>
  <c r="K110" i="21"/>
  <c r="K29" i="34"/>
  <c r="J28" i="29"/>
  <c r="J150" i="34"/>
  <c r="I651" i="29"/>
  <c r="I647" i="29" s="1"/>
  <c r="J118" i="2"/>
  <c r="I658" i="29"/>
  <c r="J153" i="34"/>
  <c r="H763" i="29"/>
  <c r="H758" i="29" s="1"/>
  <c r="H766" i="29" s="1"/>
  <c r="J119" i="21"/>
  <c r="J210" i="49"/>
  <c r="J213" i="49" s="1"/>
  <c r="J206" i="4"/>
  <c r="H215" i="49"/>
  <c r="I214" i="49" s="1"/>
  <c r="I215" i="49" s="1"/>
  <c r="J214" i="49" s="1"/>
  <c r="J165" i="34"/>
  <c r="I669" i="29"/>
  <c r="J18" i="14"/>
  <c r="I18" i="36"/>
  <c r="G177" i="49"/>
  <c r="G182" i="49" s="1"/>
  <c r="G78" i="52" s="1"/>
  <c r="G118" i="49"/>
  <c r="G120" i="49"/>
  <c r="G124" i="49" s="1"/>
  <c r="G115" i="49"/>
  <c r="N12" i="39"/>
  <c r="N16" i="34"/>
  <c r="J55" i="34"/>
  <c r="H193" i="34"/>
  <c r="H125" i="34"/>
  <c r="I125" i="34"/>
  <c r="I55" i="34"/>
  <c r="N7" i="39"/>
  <c r="O11" i="38"/>
  <c r="O13" i="34" s="1"/>
  <c r="P27" i="38"/>
  <c r="P62" i="38" s="1"/>
  <c r="O62" i="38"/>
  <c r="O15" i="38"/>
  <c r="O17" i="34" s="1"/>
  <c r="M13" i="29"/>
  <c r="M19" i="29"/>
  <c r="M14" i="29"/>
  <c r="N74" i="51"/>
  <c r="O95" i="50"/>
  <c r="H553" i="29"/>
  <c r="F114" i="28" s="1"/>
  <c r="F758" i="29"/>
  <c r="F766" i="29" s="1"/>
  <c r="F767" i="29"/>
  <c r="H554" i="29"/>
  <c r="H569" i="29" s="1"/>
  <c r="F64" i="28" s="1"/>
  <c r="F553" i="29"/>
  <c r="D114" i="28" s="1"/>
  <c r="M12" i="29"/>
  <c r="G553" i="29"/>
  <c r="E114" i="28" s="1"/>
  <c r="G876" i="29"/>
  <c r="G819" i="29"/>
  <c r="G758" i="29"/>
  <c r="G766" i="29" s="1"/>
  <c r="H103" i="21"/>
  <c r="H117" i="21"/>
  <c r="I116" i="21"/>
  <c r="G429" i="29"/>
  <c r="G430" i="29" s="1"/>
  <c r="I57" i="21"/>
  <c r="I58" i="21" s="1"/>
  <c r="I71" i="21"/>
  <c r="I74" i="21" s="1"/>
  <c r="K103" i="21"/>
  <c r="K117" i="21"/>
  <c r="M65" i="21"/>
  <c r="K66" i="21"/>
  <c r="K67" i="21" s="1"/>
  <c r="O23" i="38"/>
  <c r="N15" i="39"/>
  <c r="P30" i="38"/>
  <c r="O19" i="39"/>
  <c r="O14" i="34"/>
  <c r="O5" i="34" s="1"/>
  <c r="N8" i="39"/>
  <c r="K74" i="21" l="1"/>
  <c r="J117" i="21"/>
  <c r="G193" i="34"/>
  <c r="D160" i="28"/>
  <c r="J104" i="21"/>
  <c r="K445" i="29"/>
  <c r="M111" i="21"/>
  <c r="K765" i="29" s="1"/>
  <c r="J138" i="54"/>
  <c r="O132" i="38"/>
  <c r="K17" i="14"/>
  <c r="J17" i="36"/>
  <c r="P132" i="38"/>
  <c r="I447" i="29"/>
  <c r="I438" i="29"/>
  <c r="I446" i="29" s="1"/>
  <c r="J197" i="4"/>
  <c r="G160" i="28" s="1"/>
  <c r="I195" i="4"/>
  <c r="I204" i="61"/>
  <c r="I217" i="61" s="1"/>
  <c r="I138" i="54"/>
  <c r="H204" i="61"/>
  <c r="H217" i="61" s="1"/>
  <c r="H219" i="61" s="1"/>
  <c r="I218" i="61" s="1"/>
  <c r="H195" i="4"/>
  <c r="H138" i="54"/>
  <c r="H108" i="62"/>
  <c r="I108" i="62" s="1"/>
  <c r="J108" i="62" s="1"/>
  <c r="I150" i="61"/>
  <c r="J149" i="61" s="1"/>
  <c r="J150" i="61" s="1"/>
  <c r="K149" i="61" s="1"/>
  <c r="L32" i="34"/>
  <c r="H767" i="29"/>
  <c r="H876" i="29" s="1"/>
  <c r="L29" i="34"/>
  <c r="K28" i="29"/>
  <c r="K112" i="21"/>
  <c r="I763" i="29"/>
  <c r="K119" i="21"/>
  <c r="K16" i="2"/>
  <c r="K27" i="34"/>
  <c r="K7" i="34" s="1"/>
  <c r="G189" i="49"/>
  <c r="G193" i="49" s="1"/>
  <c r="G184" i="49"/>
  <c r="G187" i="49"/>
  <c r="J215" i="49"/>
  <c r="K214" i="49" s="1"/>
  <c r="K18" i="14"/>
  <c r="J18" i="36"/>
  <c r="P12" i="39"/>
  <c r="P16" i="34"/>
  <c r="O12" i="39"/>
  <c r="O16" i="34"/>
  <c r="I193" i="34"/>
  <c r="J125" i="34"/>
  <c r="P11" i="38"/>
  <c r="P13" i="34" s="1"/>
  <c r="O7" i="39"/>
  <c r="P19" i="39"/>
  <c r="P15" i="38"/>
  <c r="P17" i="34" s="1"/>
  <c r="N14" i="29"/>
  <c r="N13" i="29"/>
  <c r="N19" i="29"/>
  <c r="P95" i="50"/>
  <c r="O74" i="51"/>
  <c r="N12" i="29"/>
  <c r="F876" i="29"/>
  <c r="F819" i="29"/>
  <c r="G873" i="29"/>
  <c r="E115" i="28" s="1"/>
  <c r="F749" i="29"/>
  <c r="F750" i="29" s="1"/>
  <c r="H104" i="21"/>
  <c r="I103" i="21"/>
  <c r="I117" i="21"/>
  <c r="I749" i="29"/>
  <c r="I750" i="29" s="1"/>
  <c r="K104" i="21"/>
  <c r="N65" i="21"/>
  <c r="P23" i="38"/>
  <c r="O15" i="39"/>
  <c r="P14" i="34"/>
  <c r="P5" i="34" s="1"/>
  <c r="O8" i="39"/>
  <c r="D25" i="12"/>
  <c r="E25" i="12"/>
  <c r="D26" i="12"/>
  <c r="E26" i="12"/>
  <c r="D27" i="12"/>
  <c r="E27" i="12"/>
  <c r="D28" i="12"/>
  <c r="E28" i="12"/>
  <c r="D29" i="12"/>
  <c r="E29" i="12"/>
  <c r="D30" i="12"/>
  <c r="E30" i="12"/>
  <c r="D31" i="12"/>
  <c r="E31" i="12"/>
  <c r="D32" i="12"/>
  <c r="E32" i="12"/>
  <c r="D33" i="12"/>
  <c r="E33" i="12"/>
  <c r="D34" i="12"/>
  <c r="E34" i="12"/>
  <c r="D35" i="12"/>
  <c r="E35" i="12"/>
  <c r="D36" i="12"/>
  <c r="E36" i="12"/>
  <c r="E23" i="12"/>
  <c r="D23" i="12"/>
  <c r="J18" i="12"/>
  <c r="K18" i="12"/>
  <c r="J19" i="12"/>
  <c r="K19" i="12"/>
  <c r="K17" i="12"/>
  <c r="J17" i="12"/>
  <c r="K16" i="12"/>
  <c r="J16" i="12"/>
  <c r="K15" i="12"/>
  <c r="J15" i="12"/>
  <c r="K14" i="12"/>
  <c r="J14" i="12"/>
  <c r="K13" i="12"/>
  <c r="J13" i="12"/>
  <c r="K12" i="12"/>
  <c r="J12" i="12"/>
  <c r="K10" i="12"/>
  <c r="J10" i="12"/>
  <c r="K9" i="12"/>
  <c r="J9" i="12"/>
  <c r="K6" i="12"/>
  <c r="J6" i="12"/>
  <c r="E6" i="12"/>
  <c r="D6" i="12"/>
  <c r="D10" i="12"/>
  <c r="E10" i="12"/>
  <c r="D12" i="12"/>
  <c r="E12" i="12"/>
  <c r="D13" i="12"/>
  <c r="E13" i="12"/>
  <c r="D14" i="12"/>
  <c r="E14" i="12"/>
  <c r="D15" i="12"/>
  <c r="E15" i="12"/>
  <c r="D16" i="12"/>
  <c r="E16" i="12"/>
  <c r="D17" i="12"/>
  <c r="E17" i="12"/>
  <c r="E9" i="12"/>
  <c r="D9" i="12"/>
  <c r="E129" i="38"/>
  <c r="E197" i="38" s="1"/>
  <c r="E130" i="38"/>
  <c r="E198" i="38" s="1"/>
  <c r="E131" i="38"/>
  <c r="E199" i="38" s="1"/>
  <c r="E133" i="38"/>
  <c r="E201" i="38" s="1"/>
  <c r="E134" i="38"/>
  <c r="E202" i="38" s="1"/>
  <c r="E135" i="38"/>
  <c r="E203" i="38" s="1"/>
  <c r="E128" i="38"/>
  <c r="E196" i="38" s="1"/>
  <c r="F123" i="38"/>
  <c r="E123" i="38"/>
  <c r="E191" i="38" s="1"/>
  <c r="E124" i="38"/>
  <c r="E192" i="38" s="1"/>
  <c r="E125" i="38"/>
  <c r="E193" i="38" s="1"/>
  <c r="E121" i="38"/>
  <c r="E189" i="38" s="1"/>
  <c r="E134" i="4"/>
  <c r="E135" i="4"/>
  <c r="E136" i="4"/>
  <c r="E138" i="4"/>
  <c r="E139" i="4"/>
  <c r="E140" i="4"/>
  <c r="E133" i="4"/>
  <c r="E130" i="34" s="1"/>
  <c r="E128" i="4"/>
  <c r="E129" i="4"/>
  <c r="E130" i="4"/>
  <c r="E126" i="4"/>
  <c r="K60" i="38"/>
  <c r="K61" i="38"/>
  <c r="J66" i="34"/>
  <c r="I67" i="34"/>
  <c r="J67" i="34"/>
  <c r="K65" i="38"/>
  <c r="L65" i="38"/>
  <c r="M65" i="38"/>
  <c r="N65" i="38"/>
  <c r="O65" i="38"/>
  <c r="P65" i="38"/>
  <c r="F61" i="34"/>
  <c r="G65" i="34"/>
  <c r="F66" i="34"/>
  <c r="J53" i="34"/>
  <c r="G57" i="34"/>
  <c r="G56" i="34"/>
  <c r="D205" i="34"/>
  <c r="D204" i="34"/>
  <c r="D203" i="34"/>
  <c r="D201" i="34"/>
  <c r="D200" i="34"/>
  <c r="D199" i="34"/>
  <c r="D198" i="34"/>
  <c r="D193" i="34"/>
  <c r="D194" i="34"/>
  <c r="D195" i="34"/>
  <c r="D191" i="34"/>
  <c r="D67" i="34"/>
  <c r="D66" i="34"/>
  <c r="D65" i="34"/>
  <c r="D63" i="34"/>
  <c r="D62" i="34"/>
  <c r="D61" i="34"/>
  <c r="D60" i="34"/>
  <c r="D57" i="34"/>
  <c r="D56" i="34"/>
  <c r="D55" i="34"/>
  <c r="D53" i="34"/>
  <c r="C210" i="34"/>
  <c r="C142" i="34"/>
  <c r="C72" i="34"/>
  <c r="C64" i="34"/>
  <c r="B64" i="34"/>
  <c r="C208" i="38"/>
  <c r="D194" i="38"/>
  <c r="C140" i="38"/>
  <c r="D126" i="38"/>
  <c r="C70" i="38"/>
  <c r="D62" i="38"/>
  <c r="D66" i="38" s="1"/>
  <c r="C62" i="38"/>
  <c r="B62" i="38"/>
  <c r="E56" i="38"/>
  <c r="D56" i="38"/>
  <c r="L38" i="2"/>
  <c r="M38" i="2"/>
  <c r="N38" i="2"/>
  <c r="O38" i="2"/>
  <c r="P38" i="2"/>
  <c r="J64" i="34"/>
  <c r="G64" i="34"/>
  <c r="H64" i="34"/>
  <c r="I64" i="34"/>
  <c r="F95" i="34"/>
  <c r="F96" i="34"/>
  <c r="F99" i="34"/>
  <c r="K100" i="34"/>
  <c r="K101" i="34"/>
  <c r="E104" i="4"/>
  <c r="E173" i="4" s="1"/>
  <c r="C214" i="4"/>
  <c r="D200" i="4"/>
  <c r="C145" i="4"/>
  <c r="D131" i="4"/>
  <c r="D31" i="42"/>
  <c r="E31" i="42"/>
  <c r="F31" i="42"/>
  <c r="G31" i="42"/>
  <c r="H31" i="42"/>
  <c r="I31" i="42"/>
  <c r="D32" i="42"/>
  <c r="E32" i="42"/>
  <c r="F32" i="42"/>
  <c r="G32" i="42"/>
  <c r="H32" i="42"/>
  <c r="I32" i="42"/>
  <c r="D33" i="42"/>
  <c r="E33" i="42"/>
  <c r="F33" i="42"/>
  <c r="G33" i="42"/>
  <c r="H33" i="42"/>
  <c r="I33" i="42"/>
  <c r="D34" i="42"/>
  <c r="E34" i="42"/>
  <c r="F34" i="42"/>
  <c r="G34" i="42"/>
  <c r="H34" i="42"/>
  <c r="I34" i="42"/>
  <c r="D35" i="42"/>
  <c r="E35" i="42"/>
  <c r="F35" i="42"/>
  <c r="G35" i="42"/>
  <c r="H35" i="42"/>
  <c r="I35" i="42"/>
  <c r="D36" i="42"/>
  <c r="E36" i="42"/>
  <c r="F36" i="42"/>
  <c r="G36" i="42"/>
  <c r="H36" i="42"/>
  <c r="I36" i="42"/>
  <c r="D37" i="42"/>
  <c r="E37" i="42"/>
  <c r="F37" i="42"/>
  <c r="G37" i="42"/>
  <c r="H37" i="42"/>
  <c r="I37" i="42"/>
  <c r="D38" i="42"/>
  <c r="E38" i="42"/>
  <c r="F38" i="42"/>
  <c r="G38" i="42"/>
  <c r="H38" i="42"/>
  <c r="I38" i="42"/>
  <c r="I98" i="42"/>
  <c r="H98" i="42"/>
  <c r="G98" i="42"/>
  <c r="F98" i="42"/>
  <c r="E98" i="42"/>
  <c r="D98" i="42"/>
  <c r="I91" i="42"/>
  <c r="H91" i="42"/>
  <c r="G91" i="42"/>
  <c r="F91" i="42"/>
  <c r="E91" i="42"/>
  <c r="D91" i="42"/>
  <c r="E45" i="42"/>
  <c r="D45" i="42"/>
  <c r="I43" i="42"/>
  <c r="I45" i="42"/>
  <c r="H45" i="42"/>
  <c r="G45" i="42"/>
  <c r="F45" i="42"/>
  <c r="I44" i="42"/>
  <c r="H44" i="42"/>
  <c r="G44" i="42"/>
  <c r="F44" i="42"/>
  <c r="E44" i="42"/>
  <c r="D44" i="42"/>
  <c r="C19" i="42"/>
  <c r="C23" i="42" s="1"/>
  <c r="C14" i="42"/>
  <c r="C13" i="42"/>
  <c r="C12" i="42"/>
  <c r="C11" i="42"/>
  <c r="C10" i="42"/>
  <c r="C9" i="42"/>
  <c r="C8" i="42"/>
  <c r="C16" i="42" s="1"/>
  <c r="E123" i="34" l="1"/>
  <c r="L445" i="29"/>
  <c r="N111" i="21"/>
  <c r="L765" i="29" s="1"/>
  <c r="E198" i="4"/>
  <c r="E194" i="34" s="1"/>
  <c r="E126" i="34"/>
  <c r="K157" i="49"/>
  <c r="K161" i="61"/>
  <c r="E197" i="4"/>
  <c r="E193" i="34" s="1"/>
  <c r="E125" i="34"/>
  <c r="E207" i="4"/>
  <c r="E203" i="34" s="1"/>
  <c r="E135" i="34"/>
  <c r="K93" i="57"/>
  <c r="K83" i="38"/>
  <c r="K83" i="57"/>
  <c r="K93" i="38"/>
  <c r="K98" i="49"/>
  <c r="K129" i="57"/>
  <c r="K81" i="38"/>
  <c r="K86" i="57"/>
  <c r="K86" i="38"/>
  <c r="K93" i="61"/>
  <c r="K90" i="61"/>
  <c r="K81" i="57"/>
  <c r="K136" i="49"/>
  <c r="K134" i="49"/>
  <c r="K135" i="49"/>
  <c r="K87" i="49"/>
  <c r="K88" i="61"/>
  <c r="K85" i="49"/>
  <c r="K96" i="38"/>
  <c r="K100" i="57"/>
  <c r="K138" i="49"/>
  <c r="K140" i="49"/>
  <c r="K100" i="38"/>
  <c r="K105" i="49"/>
  <c r="K108" i="61"/>
  <c r="K97" i="57"/>
  <c r="K97" i="38"/>
  <c r="K102" i="49"/>
  <c r="K105" i="61"/>
  <c r="I556" i="29"/>
  <c r="I499" i="29"/>
  <c r="L17" i="14"/>
  <c r="K17" i="36"/>
  <c r="E203" i="4"/>
  <c r="E131" i="34"/>
  <c r="K61" i="57"/>
  <c r="L61" i="57" s="1"/>
  <c r="M61" i="57" s="1"/>
  <c r="N61" i="57" s="1"/>
  <c r="O61" i="57" s="1"/>
  <c r="P61" i="57" s="1"/>
  <c r="K60" i="57"/>
  <c r="L60" i="57" s="1"/>
  <c r="M60" i="57" s="1"/>
  <c r="N60" i="57" s="1"/>
  <c r="O60" i="57" s="1"/>
  <c r="P60" i="57" s="1"/>
  <c r="K59" i="57"/>
  <c r="K170" i="49"/>
  <c r="K62" i="57"/>
  <c r="K209" i="61"/>
  <c r="L209" i="61" s="1"/>
  <c r="M209" i="61" s="1"/>
  <c r="N209" i="61" s="1"/>
  <c r="O209" i="61" s="1"/>
  <c r="P209" i="61" s="1"/>
  <c r="K64" i="57"/>
  <c r="K200" i="61"/>
  <c r="K55" i="57"/>
  <c r="K54" i="57"/>
  <c r="K56" i="34" s="1"/>
  <c r="K212" i="61"/>
  <c r="K122" i="57"/>
  <c r="K204" i="49"/>
  <c r="K207" i="61"/>
  <c r="K121" i="57"/>
  <c r="K174" i="61"/>
  <c r="K205" i="49"/>
  <c r="K196" i="49"/>
  <c r="K198" i="49"/>
  <c r="K202" i="61"/>
  <c r="K203" i="61"/>
  <c r="K213" i="61"/>
  <c r="K208" i="49"/>
  <c r="K125" i="57"/>
  <c r="K123" i="57"/>
  <c r="K208" i="61"/>
  <c r="L208" i="61" s="1"/>
  <c r="M208" i="61" s="1"/>
  <c r="N208" i="61" s="1"/>
  <c r="O208" i="61" s="1"/>
  <c r="P208" i="61" s="1"/>
  <c r="K207" i="49"/>
  <c r="K133" i="57"/>
  <c r="K199" i="49"/>
  <c r="K203" i="49"/>
  <c r="K124" i="57"/>
  <c r="K209" i="49"/>
  <c r="K195" i="49"/>
  <c r="K197" i="49"/>
  <c r="L197" i="49" s="1"/>
  <c r="M197" i="49" s="1"/>
  <c r="N197" i="49" s="1"/>
  <c r="O197" i="49" s="1"/>
  <c r="P197" i="49" s="1"/>
  <c r="K122" i="38"/>
  <c r="K123" i="38"/>
  <c r="K173" i="61"/>
  <c r="K169" i="49"/>
  <c r="K199" i="61"/>
  <c r="L199" i="61" s="1"/>
  <c r="M199" i="61" s="1"/>
  <c r="E205" i="4"/>
  <c r="E133" i="34"/>
  <c r="E201" i="34"/>
  <c r="K167" i="49"/>
  <c r="K159" i="49"/>
  <c r="L159" i="49" s="1"/>
  <c r="M159" i="49" s="1"/>
  <c r="N159" i="49" s="1"/>
  <c r="O159" i="49" s="1"/>
  <c r="P159" i="49" s="1"/>
  <c r="K163" i="61"/>
  <c r="K156" i="49"/>
  <c r="K154" i="49"/>
  <c r="K160" i="61"/>
  <c r="K158" i="61"/>
  <c r="K174" i="49"/>
  <c r="K178" i="61"/>
  <c r="K175" i="61"/>
  <c r="K171" i="49"/>
  <c r="H819" i="29"/>
  <c r="K201" i="61"/>
  <c r="L201" i="61" s="1"/>
  <c r="E208" i="4"/>
  <c r="E204" i="34" s="1"/>
  <c r="E136" i="34"/>
  <c r="E199" i="34"/>
  <c r="E127" i="34"/>
  <c r="E209" i="4"/>
  <c r="E137" i="34"/>
  <c r="E204" i="4"/>
  <c r="E200" i="34" s="1"/>
  <c r="E132" i="34"/>
  <c r="E205" i="34"/>
  <c r="K80" i="38"/>
  <c r="K80" i="57"/>
  <c r="K87" i="61"/>
  <c r="K84" i="49"/>
  <c r="K84" i="38"/>
  <c r="L84" i="38" s="1"/>
  <c r="M84" i="38" s="1"/>
  <c r="N84" i="38" s="1"/>
  <c r="O84" i="38" s="1"/>
  <c r="P84" i="38" s="1"/>
  <c r="K84" i="57"/>
  <c r="K88" i="49"/>
  <c r="K91" i="61"/>
  <c r="J245" i="42"/>
  <c r="J228" i="42"/>
  <c r="K228" i="42" s="1"/>
  <c r="L228" i="42" s="1"/>
  <c r="M228" i="42" s="1"/>
  <c r="N228" i="42" s="1"/>
  <c r="O228" i="42" s="1"/>
  <c r="P228" i="42" s="1"/>
  <c r="Q228" i="42" s="1"/>
  <c r="I143" i="44"/>
  <c r="J62" i="42"/>
  <c r="K62" i="42" s="1"/>
  <c r="L62" i="42" s="1"/>
  <c r="M62" i="42" s="1"/>
  <c r="N62" i="42" s="1"/>
  <c r="O62" i="42" s="1"/>
  <c r="P62" i="42" s="1"/>
  <c r="Q62" i="42" s="1"/>
  <c r="R62" i="42" s="1"/>
  <c r="S62" i="42" s="1"/>
  <c r="T62" i="42" s="1"/>
  <c r="U62" i="42" s="1"/>
  <c r="V62" i="42" s="1"/>
  <c r="G14" i="44"/>
  <c r="G59" i="44"/>
  <c r="H59" i="44" s="1"/>
  <c r="I59" i="44" s="1"/>
  <c r="J59" i="44" s="1"/>
  <c r="K59" i="44" s="1"/>
  <c r="L59" i="44" s="1"/>
  <c r="M59" i="44" s="1"/>
  <c r="N59" i="44" s="1"/>
  <c r="O59" i="44" s="1"/>
  <c r="P59" i="44" s="1"/>
  <c r="Q59" i="44" s="1"/>
  <c r="R59" i="44" s="1"/>
  <c r="S59" i="44" s="1"/>
  <c r="T59" i="44" s="1"/>
  <c r="U59" i="44" s="1"/>
  <c r="V59" i="44" s="1"/>
  <c r="W59" i="44" s="1"/>
  <c r="X59" i="44" s="1"/>
  <c r="Y59" i="44" s="1"/>
  <c r="J141" i="44"/>
  <c r="I138" i="44"/>
  <c r="J57" i="42"/>
  <c r="K57" i="42" s="1"/>
  <c r="L57" i="42" s="1"/>
  <c r="M57" i="42" s="1"/>
  <c r="N57" i="42" s="1"/>
  <c r="O57" i="42" s="1"/>
  <c r="P57" i="42" s="1"/>
  <c r="Q57" i="42" s="1"/>
  <c r="R57" i="42" s="1"/>
  <c r="S57" i="42" s="1"/>
  <c r="T57" i="42" s="1"/>
  <c r="U57" i="42" s="1"/>
  <c r="V57" i="42" s="1"/>
  <c r="I137" i="44"/>
  <c r="J58" i="42"/>
  <c r="K58" i="42" s="1"/>
  <c r="L58" i="42" s="1"/>
  <c r="M58" i="42" s="1"/>
  <c r="N58" i="42" s="1"/>
  <c r="O58" i="42" s="1"/>
  <c r="P58" i="42" s="1"/>
  <c r="Q58" i="42" s="1"/>
  <c r="R58" i="42" s="1"/>
  <c r="S58" i="42" s="1"/>
  <c r="T58" i="42" s="1"/>
  <c r="U58" i="42" s="1"/>
  <c r="V58" i="42" s="1"/>
  <c r="H55" i="44"/>
  <c r="I55" i="44" s="1"/>
  <c r="J55" i="44" s="1"/>
  <c r="K55" i="44" s="1"/>
  <c r="L55" i="44" s="1"/>
  <c r="M55" i="44" s="1"/>
  <c r="N55" i="44" s="1"/>
  <c r="O55" i="44" s="1"/>
  <c r="P55" i="44" s="1"/>
  <c r="Q55" i="44" s="1"/>
  <c r="R55" i="44" s="1"/>
  <c r="S55" i="44" s="1"/>
  <c r="T55" i="44" s="1"/>
  <c r="U55" i="44" s="1"/>
  <c r="V55" i="44" s="1"/>
  <c r="W55" i="44" s="1"/>
  <c r="X55" i="44" s="1"/>
  <c r="Y55" i="44" s="1"/>
  <c r="G56" i="44"/>
  <c r="H56" i="44" s="1"/>
  <c r="I56" i="44" s="1"/>
  <c r="J56" i="44" s="1"/>
  <c r="K56" i="44" s="1"/>
  <c r="L56" i="44" s="1"/>
  <c r="M56" i="44" s="1"/>
  <c r="N56" i="44" s="1"/>
  <c r="O56" i="44" s="1"/>
  <c r="P56" i="44" s="1"/>
  <c r="Q56" i="44" s="1"/>
  <c r="R56" i="44" s="1"/>
  <c r="S56" i="44" s="1"/>
  <c r="T56" i="44" s="1"/>
  <c r="U56" i="44" s="1"/>
  <c r="V56" i="44" s="1"/>
  <c r="W56" i="44" s="1"/>
  <c r="X56" i="44" s="1"/>
  <c r="Y56" i="44" s="1"/>
  <c r="G44" i="44"/>
  <c r="G38" i="44"/>
  <c r="H38" i="44" s="1"/>
  <c r="I38" i="44" s="1"/>
  <c r="J38" i="44" s="1"/>
  <c r="K38" i="44" s="1"/>
  <c r="L38" i="44" s="1"/>
  <c r="M38" i="44" s="1"/>
  <c r="N38" i="44" s="1"/>
  <c r="O38" i="44" s="1"/>
  <c r="P38" i="44" s="1"/>
  <c r="Q38" i="44" s="1"/>
  <c r="R38" i="44" s="1"/>
  <c r="S38" i="44" s="1"/>
  <c r="T38" i="44" s="1"/>
  <c r="U38" i="44" s="1"/>
  <c r="V38" i="44" s="1"/>
  <c r="W38" i="44" s="1"/>
  <c r="X38" i="44" s="1"/>
  <c r="Y38" i="44" s="1"/>
  <c r="G31" i="44"/>
  <c r="H31" i="44" s="1"/>
  <c r="I31" i="44" s="1"/>
  <c r="J31" i="44" s="1"/>
  <c r="K31" i="44" s="1"/>
  <c r="L31" i="44" s="1"/>
  <c r="M31" i="44" s="1"/>
  <c r="N31" i="44" s="1"/>
  <c r="O31" i="44" s="1"/>
  <c r="P31" i="44" s="1"/>
  <c r="Q31" i="44" s="1"/>
  <c r="R31" i="44" s="1"/>
  <c r="S31" i="44" s="1"/>
  <c r="T31" i="44" s="1"/>
  <c r="U31" i="44" s="1"/>
  <c r="V31" i="44" s="1"/>
  <c r="W31" i="44" s="1"/>
  <c r="X31" i="44" s="1"/>
  <c r="Y31" i="44" s="1"/>
  <c r="G27" i="44"/>
  <c r="H27" i="44" s="1"/>
  <c r="I27" i="44" s="1"/>
  <c r="J27" i="44" s="1"/>
  <c r="K27" i="44" s="1"/>
  <c r="L27" i="44" s="1"/>
  <c r="M27" i="44" s="1"/>
  <c r="N27" i="44" s="1"/>
  <c r="O27" i="44" s="1"/>
  <c r="P27" i="44" s="1"/>
  <c r="Q27" i="44" s="1"/>
  <c r="R27" i="44" s="1"/>
  <c r="S27" i="44" s="1"/>
  <c r="T27" i="44" s="1"/>
  <c r="U27" i="44" s="1"/>
  <c r="V27" i="44" s="1"/>
  <c r="W27" i="44" s="1"/>
  <c r="X27" i="44" s="1"/>
  <c r="Y27" i="44" s="1"/>
  <c r="G22" i="44"/>
  <c r="H22" i="44" s="1"/>
  <c r="I22" i="44" s="1"/>
  <c r="J22" i="44" s="1"/>
  <c r="K22" i="44" s="1"/>
  <c r="L22" i="44" s="1"/>
  <c r="M22" i="44" s="1"/>
  <c r="N22" i="44" s="1"/>
  <c r="O22" i="44" s="1"/>
  <c r="P22" i="44" s="1"/>
  <c r="Q22" i="44" s="1"/>
  <c r="R22" i="44" s="1"/>
  <c r="S22" i="44" s="1"/>
  <c r="T22" i="44" s="1"/>
  <c r="U22" i="44" s="1"/>
  <c r="V22" i="44" s="1"/>
  <c r="W22" i="44" s="1"/>
  <c r="X22" i="44" s="1"/>
  <c r="Y22" i="44" s="1"/>
  <c r="G17" i="44"/>
  <c r="H17" i="44" s="1"/>
  <c r="I17" i="44" s="1"/>
  <c r="J17" i="44" s="1"/>
  <c r="K17" i="44" s="1"/>
  <c r="L17" i="44" s="1"/>
  <c r="M17" i="44" s="1"/>
  <c r="N17" i="44" s="1"/>
  <c r="O17" i="44" s="1"/>
  <c r="P17" i="44" s="1"/>
  <c r="Q17" i="44" s="1"/>
  <c r="R17" i="44" s="1"/>
  <c r="S17" i="44" s="1"/>
  <c r="T17" i="44" s="1"/>
  <c r="U17" i="44" s="1"/>
  <c r="V17" i="44" s="1"/>
  <c r="W17" i="44" s="1"/>
  <c r="X17" i="44" s="1"/>
  <c r="Y17" i="44" s="1"/>
  <c r="G10" i="44"/>
  <c r="H10" i="44" s="1"/>
  <c r="I10" i="44" s="1"/>
  <c r="J10" i="44" s="1"/>
  <c r="K10" i="44" s="1"/>
  <c r="L10" i="44" s="1"/>
  <c r="M10" i="44" s="1"/>
  <c r="N10" i="44" s="1"/>
  <c r="O10" i="44" s="1"/>
  <c r="P10" i="44" s="1"/>
  <c r="Q10" i="44" s="1"/>
  <c r="R10" i="44" s="1"/>
  <c r="S10" i="44" s="1"/>
  <c r="T10" i="44" s="1"/>
  <c r="U10" i="44" s="1"/>
  <c r="V10" i="44" s="1"/>
  <c r="W10" i="44" s="1"/>
  <c r="X10" i="44" s="1"/>
  <c r="Y10" i="44" s="1"/>
  <c r="J226" i="42"/>
  <c r="K226" i="42" s="1"/>
  <c r="L226" i="42" s="1"/>
  <c r="M226" i="42" s="1"/>
  <c r="N226" i="42" s="1"/>
  <c r="O226" i="42" s="1"/>
  <c r="P226" i="42" s="1"/>
  <c r="Q226" i="42" s="1"/>
  <c r="J221" i="42"/>
  <c r="K221" i="42" s="1"/>
  <c r="L221" i="42" s="1"/>
  <c r="M221" i="42" s="1"/>
  <c r="N221" i="42" s="1"/>
  <c r="O221" i="42" s="1"/>
  <c r="P221" i="42" s="1"/>
  <c r="Q221" i="42" s="1"/>
  <c r="J216" i="42"/>
  <c r="J209" i="42"/>
  <c r="K209" i="42" s="1"/>
  <c r="L209" i="42" s="1"/>
  <c r="M209" i="42" s="1"/>
  <c r="N209" i="42" s="1"/>
  <c r="O209" i="42" s="1"/>
  <c r="P209" i="42" s="1"/>
  <c r="Q209" i="42" s="1"/>
  <c r="J203" i="42"/>
  <c r="J199" i="42"/>
  <c r="K199" i="42" s="1"/>
  <c r="L199" i="42" s="1"/>
  <c r="M199" i="42" s="1"/>
  <c r="N199" i="42" s="1"/>
  <c r="O199" i="42" s="1"/>
  <c r="P199" i="42" s="1"/>
  <c r="Q199" i="42" s="1"/>
  <c r="J195" i="42"/>
  <c r="K195" i="42" s="1"/>
  <c r="L195" i="42" s="1"/>
  <c r="M195" i="42" s="1"/>
  <c r="N195" i="42" s="1"/>
  <c r="O195" i="42" s="1"/>
  <c r="P195" i="42" s="1"/>
  <c r="Q195" i="42" s="1"/>
  <c r="J191" i="42"/>
  <c r="K191" i="42" s="1"/>
  <c r="L191" i="42" s="1"/>
  <c r="M191" i="42" s="1"/>
  <c r="N191" i="42" s="1"/>
  <c r="O191" i="42" s="1"/>
  <c r="P191" i="42" s="1"/>
  <c r="Q191" i="42" s="1"/>
  <c r="J183" i="42"/>
  <c r="K183" i="42" s="1"/>
  <c r="L183" i="42" s="1"/>
  <c r="M183" i="42" s="1"/>
  <c r="N183" i="42" s="1"/>
  <c r="O183" i="42" s="1"/>
  <c r="P183" i="42" s="1"/>
  <c r="Q183" i="42" s="1"/>
  <c r="J181" i="42"/>
  <c r="G48" i="44"/>
  <c r="H48" i="44" s="1"/>
  <c r="I48" i="44" s="1"/>
  <c r="J48" i="44" s="1"/>
  <c r="K48" i="44" s="1"/>
  <c r="L48" i="44" s="1"/>
  <c r="M48" i="44" s="1"/>
  <c r="N48" i="44" s="1"/>
  <c r="O48" i="44" s="1"/>
  <c r="P48" i="44" s="1"/>
  <c r="Q48" i="44" s="1"/>
  <c r="R48" i="44" s="1"/>
  <c r="S48" i="44" s="1"/>
  <c r="T48" i="44" s="1"/>
  <c r="U48" i="44" s="1"/>
  <c r="V48" i="44" s="1"/>
  <c r="W48" i="44" s="1"/>
  <c r="X48" i="44" s="1"/>
  <c r="Y48" i="44" s="1"/>
  <c r="I149" i="44"/>
  <c r="J149" i="44" s="1"/>
  <c r="K149" i="44" s="1"/>
  <c r="L149" i="44" s="1"/>
  <c r="M149" i="44" s="1"/>
  <c r="N149" i="44" s="1"/>
  <c r="O149" i="44" s="1"/>
  <c r="P149" i="44" s="1"/>
  <c r="Q149" i="44" s="1"/>
  <c r="R149" i="44" s="1"/>
  <c r="S149" i="44" s="1"/>
  <c r="T149" i="44" s="1"/>
  <c r="U149" i="44" s="1"/>
  <c r="V149" i="44" s="1"/>
  <c r="W149" i="44" s="1"/>
  <c r="X149" i="44" s="1"/>
  <c r="Y149" i="44" s="1"/>
  <c r="Z149" i="44" s="1"/>
  <c r="AA149" i="44" s="1"/>
  <c r="I139" i="44"/>
  <c r="G50" i="44"/>
  <c r="H50" i="44" s="1"/>
  <c r="I50" i="44" s="1"/>
  <c r="J50" i="44" s="1"/>
  <c r="K50" i="44" s="1"/>
  <c r="L50" i="44" s="1"/>
  <c r="M50" i="44" s="1"/>
  <c r="N50" i="44" s="1"/>
  <c r="O50" i="44" s="1"/>
  <c r="P50" i="44" s="1"/>
  <c r="Q50" i="44" s="1"/>
  <c r="R50" i="44" s="1"/>
  <c r="S50" i="44" s="1"/>
  <c r="T50" i="44" s="1"/>
  <c r="U50" i="44" s="1"/>
  <c r="V50" i="44" s="1"/>
  <c r="W50" i="44" s="1"/>
  <c r="X50" i="44" s="1"/>
  <c r="Y50" i="44" s="1"/>
  <c r="G40" i="44"/>
  <c r="H40" i="44" s="1"/>
  <c r="I40" i="44" s="1"/>
  <c r="J40" i="44" s="1"/>
  <c r="K40" i="44" s="1"/>
  <c r="L40" i="44" s="1"/>
  <c r="M40" i="44" s="1"/>
  <c r="N40" i="44" s="1"/>
  <c r="O40" i="44" s="1"/>
  <c r="P40" i="44" s="1"/>
  <c r="Q40" i="44" s="1"/>
  <c r="R40" i="44" s="1"/>
  <c r="S40" i="44" s="1"/>
  <c r="T40" i="44" s="1"/>
  <c r="U40" i="44" s="1"/>
  <c r="V40" i="44" s="1"/>
  <c r="W40" i="44" s="1"/>
  <c r="X40" i="44" s="1"/>
  <c r="Y40" i="44" s="1"/>
  <c r="G32" i="44"/>
  <c r="H32" i="44" s="1"/>
  <c r="I32" i="44" s="1"/>
  <c r="J32" i="44" s="1"/>
  <c r="K32" i="44" s="1"/>
  <c r="L32" i="44" s="1"/>
  <c r="M32" i="44" s="1"/>
  <c r="N32" i="44" s="1"/>
  <c r="O32" i="44" s="1"/>
  <c r="P32" i="44" s="1"/>
  <c r="Q32" i="44" s="1"/>
  <c r="R32" i="44" s="1"/>
  <c r="S32" i="44" s="1"/>
  <c r="T32" i="44" s="1"/>
  <c r="U32" i="44" s="1"/>
  <c r="V32" i="44" s="1"/>
  <c r="W32" i="44" s="1"/>
  <c r="X32" i="44" s="1"/>
  <c r="Y32" i="44" s="1"/>
  <c r="G26" i="44"/>
  <c r="H26" i="44" s="1"/>
  <c r="I26" i="44" s="1"/>
  <c r="J26" i="44" s="1"/>
  <c r="K26" i="44" s="1"/>
  <c r="L26" i="44" s="1"/>
  <c r="M26" i="44" s="1"/>
  <c r="N26" i="44" s="1"/>
  <c r="O26" i="44" s="1"/>
  <c r="P26" i="44" s="1"/>
  <c r="Q26" i="44" s="1"/>
  <c r="R26" i="44" s="1"/>
  <c r="S26" i="44" s="1"/>
  <c r="T26" i="44" s="1"/>
  <c r="U26" i="44" s="1"/>
  <c r="V26" i="44" s="1"/>
  <c r="W26" i="44" s="1"/>
  <c r="X26" i="44" s="1"/>
  <c r="Y26" i="44" s="1"/>
  <c r="G19" i="44"/>
  <c r="H19" i="44" s="1"/>
  <c r="I19" i="44" s="1"/>
  <c r="J19" i="44" s="1"/>
  <c r="K19" i="44" s="1"/>
  <c r="L19" i="44" s="1"/>
  <c r="M19" i="44" s="1"/>
  <c r="N19" i="44" s="1"/>
  <c r="O19" i="44" s="1"/>
  <c r="P19" i="44" s="1"/>
  <c r="Q19" i="44" s="1"/>
  <c r="R19" i="44" s="1"/>
  <c r="S19" i="44" s="1"/>
  <c r="T19" i="44" s="1"/>
  <c r="U19" i="44" s="1"/>
  <c r="V19" i="44" s="1"/>
  <c r="W19" i="44" s="1"/>
  <c r="X19" i="44" s="1"/>
  <c r="Y19" i="44" s="1"/>
  <c r="G9" i="44"/>
  <c r="H9" i="44" s="1"/>
  <c r="I9" i="44" s="1"/>
  <c r="J9" i="44" s="1"/>
  <c r="K9" i="44" s="1"/>
  <c r="L9" i="44" s="1"/>
  <c r="M9" i="44" s="1"/>
  <c r="N9" i="44" s="1"/>
  <c r="O9" i="44" s="1"/>
  <c r="P9" i="44" s="1"/>
  <c r="Q9" i="44" s="1"/>
  <c r="R9" i="44" s="1"/>
  <c r="S9" i="44" s="1"/>
  <c r="T9" i="44" s="1"/>
  <c r="U9" i="44" s="1"/>
  <c r="V9" i="44" s="1"/>
  <c r="W9" i="44" s="1"/>
  <c r="X9" i="44" s="1"/>
  <c r="Y9" i="44" s="1"/>
  <c r="J229" i="42"/>
  <c r="K229" i="42" s="1"/>
  <c r="L229" i="42" s="1"/>
  <c r="M229" i="42" s="1"/>
  <c r="N229" i="42" s="1"/>
  <c r="O229" i="42" s="1"/>
  <c r="P229" i="42" s="1"/>
  <c r="Q229" i="42" s="1"/>
  <c r="J217" i="42"/>
  <c r="K217" i="42" s="1"/>
  <c r="L217" i="42" s="1"/>
  <c r="M217" i="42" s="1"/>
  <c r="N217" i="42" s="1"/>
  <c r="O217" i="42" s="1"/>
  <c r="P217" i="42" s="1"/>
  <c r="Q217" i="42" s="1"/>
  <c r="J247" i="42"/>
  <c r="K247" i="42" s="1"/>
  <c r="L247" i="42" s="1"/>
  <c r="M247" i="42" s="1"/>
  <c r="N247" i="42" s="1"/>
  <c r="O247" i="42" s="1"/>
  <c r="P247" i="42" s="1"/>
  <c r="Q247" i="42" s="1"/>
  <c r="R247" i="42" s="1"/>
  <c r="S247" i="42" s="1"/>
  <c r="T247" i="42" s="1"/>
  <c r="U247" i="42" s="1"/>
  <c r="V247" i="42" s="1"/>
  <c r="G60" i="44"/>
  <c r="H60" i="44" s="1"/>
  <c r="I60" i="44" s="1"/>
  <c r="J60" i="44" s="1"/>
  <c r="K60" i="44" s="1"/>
  <c r="L60" i="44" s="1"/>
  <c r="M60" i="44" s="1"/>
  <c r="N60" i="44" s="1"/>
  <c r="O60" i="44" s="1"/>
  <c r="P60" i="44" s="1"/>
  <c r="Q60" i="44" s="1"/>
  <c r="R60" i="44" s="1"/>
  <c r="S60" i="44" s="1"/>
  <c r="T60" i="44" s="1"/>
  <c r="U60" i="44" s="1"/>
  <c r="V60" i="44" s="1"/>
  <c r="W60" i="44" s="1"/>
  <c r="X60" i="44" s="1"/>
  <c r="Y60" i="44" s="1"/>
  <c r="G47" i="44"/>
  <c r="H47" i="44" s="1"/>
  <c r="I47" i="44" s="1"/>
  <c r="J47" i="44" s="1"/>
  <c r="K47" i="44" s="1"/>
  <c r="L47" i="44" s="1"/>
  <c r="M47" i="44" s="1"/>
  <c r="N47" i="44" s="1"/>
  <c r="O47" i="44" s="1"/>
  <c r="P47" i="44" s="1"/>
  <c r="Q47" i="44" s="1"/>
  <c r="R47" i="44" s="1"/>
  <c r="S47" i="44" s="1"/>
  <c r="T47" i="44" s="1"/>
  <c r="U47" i="44" s="1"/>
  <c r="V47" i="44" s="1"/>
  <c r="W47" i="44" s="1"/>
  <c r="X47" i="44" s="1"/>
  <c r="Y47" i="44" s="1"/>
  <c r="G39" i="44"/>
  <c r="H39" i="44" s="1"/>
  <c r="I39" i="44" s="1"/>
  <c r="J39" i="44" s="1"/>
  <c r="K39" i="44" s="1"/>
  <c r="L39" i="44" s="1"/>
  <c r="M39" i="44" s="1"/>
  <c r="N39" i="44" s="1"/>
  <c r="O39" i="44" s="1"/>
  <c r="P39" i="44" s="1"/>
  <c r="Q39" i="44" s="1"/>
  <c r="R39" i="44" s="1"/>
  <c r="S39" i="44" s="1"/>
  <c r="T39" i="44" s="1"/>
  <c r="U39" i="44" s="1"/>
  <c r="V39" i="44" s="1"/>
  <c r="W39" i="44" s="1"/>
  <c r="X39" i="44" s="1"/>
  <c r="Y39" i="44" s="1"/>
  <c r="G30" i="44"/>
  <c r="G24" i="44"/>
  <c r="H24" i="44" s="1"/>
  <c r="G18" i="44"/>
  <c r="H18" i="44" s="1"/>
  <c r="I18" i="44" s="1"/>
  <c r="J18" i="44" s="1"/>
  <c r="K18" i="44" s="1"/>
  <c r="L18" i="44" s="1"/>
  <c r="M18" i="44" s="1"/>
  <c r="N18" i="44" s="1"/>
  <c r="O18" i="44" s="1"/>
  <c r="P18" i="44" s="1"/>
  <c r="Q18" i="44" s="1"/>
  <c r="R18" i="44" s="1"/>
  <c r="S18" i="44" s="1"/>
  <c r="T18" i="44" s="1"/>
  <c r="U18" i="44" s="1"/>
  <c r="V18" i="44" s="1"/>
  <c r="W18" i="44" s="1"/>
  <c r="X18" i="44" s="1"/>
  <c r="Y18" i="44" s="1"/>
  <c r="G11" i="44"/>
  <c r="H11" i="44" s="1"/>
  <c r="I11" i="44" s="1"/>
  <c r="J11" i="44" s="1"/>
  <c r="K11" i="44" s="1"/>
  <c r="L11" i="44" s="1"/>
  <c r="M11" i="44" s="1"/>
  <c r="N11" i="44" s="1"/>
  <c r="O11" i="44" s="1"/>
  <c r="P11" i="44" s="1"/>
  <c r="Q11" i="44" s="1"/>
  <c r="R11" i="44" s="1"/>
  <c r="S11" i="44" s="1"/>
  <c r="T11" i="44" s="1"/>
  <c r="U11" i="44" s="1"/>
  <c r="V11" i="44" s="1"/>
  <c r="W11" i="44" s="1"/>
  <c r="X11" i="44" s="1"/>
  <c r="Y11" i="44" s="1"/>
  <c r="J225" i="42"/>
  <c r="K225" i="42" s="1"/>
  <c r="L225" i="42" s="1"/>
  <c r="M225" i="42" s="1"/>
  <c r="N225" i="42" s="1"/>
  <c r="O225" i="42" s="1"/>
  <c r="P225" i="42" s="1"/>
  <c r="Q225" i="42" s="1"/>
  <c r="J218" i="42"/>
  <c r="K218" i="42" s="1"/>
  <c r="L218" i="42" s="1"/>
  <c r="M218" i="42" s="1"/>
  <c r="N218" i="42" s="1"/>
  <c r="O218" i="42" s="1"/>
  <c r="P218" i="42" s="1"/>
  <c r="Q218" i="42" s="1"/>
  <c r="J210" i="42"/>
  <c r="K210" i="42" s="1"/>
  <c r="L210" i="42" s="1"/>
  <c r="M210" i="42" s="1"/>
  <c r="N210" i="42" s="1"/>
  <c r="O210" i="42" s="1"/>
  <c r="P210" i="42" s="1"/>
  <c r="Q210" i="42" s="1"/>
  <c r="J202" i="42"/>
  <c r="K202" i="42" s="1"/>
  <c r="L202" i="42" s="1"/>
  <c r="M202" i="42" s="1"/>
  <c r="N202" i="42" s="1"/>
  <c r="O202" i="42" s="1"/>
  <c r="P202" i="42" s="1"/>
  <c r="Q202" i="42" s="1"/>
  <c r="J197" i="42"/>
  <c r="K197" i="42" s="1"/>
  <c r="J192" i="42"/>
  <c r="K192" i="42" s="1"/>
  <c r="L192" i="42" s="1"/>
  <c r="M192" i="42" s="1"/>
  <c r="N192" i="42" s="1"/>
  <c r="O192" i="42" s="1"/>
  <c r="P192" i="42" s="1"/>
  <c r="Q192" i="42" s="1"/>
  <c r="J184" i="42"/>
  <c r="K184" i="42" s="1"/>
  <c r="L184" i="42" s="1"/>
  <c r="M184" i="42" s="1"/>
  <c r="N184" i="42" s="1"/>
  <c r="O184" i="42" s="1"/>
  <c r="P184" i="42" s="1"/>
  <c r="Q184" i="42" s="1"/>
  <c r="J246" i="42"/>
  <c r="K246" i="42" s="1"/>
  <c r="L246" i="42" s="1"/>
  <c r="M246" i="42" s="1"/>
  <c r="N246" i="42" s="1"/>
  <c r="O246" i="42" s="1"/>
  <c r="P246" i="42" s="1"/>
  <c r="Q246" i="42" s="1"/>
  <c r="R246" i="42" s="1"/>
  <c r="S246" i="42" s="1"/>
  <c r="T246" i="42" s="1"/>
  <c r="U246" i="42" s="1"/>
  <c r="V246" i="42" s="1"/>
  <c r="G58" i="44"/>
  <c r="H58" i="44" s="1"/>
  <c r="I58" i="44" s="1"/>
  <c r="J58" i="44" s="1"/>
  <c r="K58" i="44" s="1"/>
  <c r="L58" i="44" s="1"/>
  <c r="M58" i="44" s="1"/>
  <c r="N58" i="44" s="1"/>
  <c r="O58" i="44" s="1"/>
  <c r="P58" i="44" s="1"/>
  <c r="Q58" i="44" s="1"/>
  <c r="R58" i="44" s="1"/>
  <c r="S58" i="44" s="1"/>
  <c r="T58" i="44" s="1"/>
  <c r="U58" i="44" s="1"/>
  <c r="V58" i="44" s="1"/>
  <c r="W58" i="44" s="1"/>
  <c r="X58" i="44" s="1"/>
  <c r="Y58" i="44" s="1"/>
  <c r="G45" i="44"/>
  <c r="H45" i="44" s="1"/>
  <c r="I45" i="44" s="1"/>
  <c r="J45" i="44" s="1"/>
  <c r="K45" i="44" s="1"/>
  <c r="L45" i="44" s="1"/>
  <c r="M45" i="44" s="1"/>
  <c r="N45" i="44" s="1"/>
  <c r="O45" i="44" s="1"/>
  <c r="P45" i="44" s="1"/>
  <c r="Q45" i="44" s="1"/>
  <c r="R45" i="44" s="1"/>
  <c r="S45" i="44" s="1"/>
  <c r="T45" i="44" s="1"/>
  <c r="U45" i="44" s="1"/>
  <c r="V45" i="44" s="1"/>
  <c r="W45" i="44" s="1"/>
  <c r="X45" i="44" s="1"/>
  <c r="Y45" i="44" s="1"/>
  <c r="G35" i="44"/>
  <c r="H35" i="44" s="1"/>
  <c r="I35" i="44" s="1"/>
  <c r="J35" i="44" s="1"/>
  <c r="K35" i="44" s="1"/>
  <c r="L35" i="44" s="1"/>
  <c r="M35" i="44" s="1"/>
  <c r="N35" i="44" s="1"/>
  <c r="O35" i="44" s="1"/>
  <c r="P35" i="44" s="1"/>
  <c r="Q35" i="44" s="1"/>
  <c r="R35" i="44" s="1"/>
  <c r="S35" i="44" s="1"/>
  <c r="T35" i="44" s="1"/>
  <c r="U35" i="44" s="1"/>
  <c r="V35" i="44" s="1"/>
  <c r="W35" i="44" s="1"/>
  <c r="X35" i="44" s="1"/>
  <c r="Y35" i="44" s="1"/>
  <c r="G29" i="44"/>
  <c r="H29" i="44" s="1"/>
  <c r="I29" i="44" s="1"/>
  <c r="J29" i="44" s="1"/>
  <c r="K29" i="44" s="1"/>
  <c r="L29" i="44" s="1"/>
  <c r="M29" i="44" s="1"/>
  <c r="N29" i="44" s="1"/>
  <c r="O29" i="44" s="1"/>
  <c r="P29" i="44" s="1"/>
  <c r="Q29" i="44" s="1"/>
  <c r="R29" i="44" s="1"/>
  <c r="S29" i="44" s="1"/>
  <c r="T29" i="44" s="1"/>
  <c r="U29" i="44" s="1"/>
  <c r="V29" i="44" s="1"/>
  <c r="W29" i="44" s="1"/>
  <c r="X29" i="44" s="1"/>
  <c r="Y29" i="44" s="1"/>
  <c r="G23" i="44"/>
  <c r="H23" i="44" s="1"/>
  <c r="I23" i="44" s="1"/>
  <c r="J23" i="44" s="1"/>
  <c r="K23" i="44" s="1"/>
  <c r="L23" i="44" s="1"/>
  <c r="M23" i="44" s="1"/>
  <c r="N23" i="44" s="1"/>
  <c r="O23" i="44" s="1"/>
  <c r="P23" i="44" s="1"/>
  <c r="Q23" i="44" s="1"/>
  <c r="R23" i="44" s="1"/>
  <c r="S23" i="44" s="1"/>
  <c r="T23" i="44" s="1"/>
  <c r="U23" i="44" s="1"/>
  <c r="V23" i="44" s="1"/>
  <c r="W23" i="44" s="1"/>
  <c r="X23" i="44" s="1"/>
  <c r="Y23" i="44" s="1"/>
  <c r="G16" i="44"/>
  <c r="H16" i="44" s="1"/>
  <c r="I16" i="44" s="1"/>
  <c r="J16" i="44" s="1"/>
  <c r="K16" i="44" s="1"/>
  <c r="L16" i="44" s="1"/>
  <c r="M16" i="44" s="1"/>
  <c r="N16" i="44" s="1"/>
  <c r="O16" i="44" s="1"/>
  <c r="P16" i="44" s="1"/>
  <c r="Q16" i="44" s="1"/>
  <c r="R16" i="44" s="1"/>
  <c r="S16" i="44" s="1"/>
  <c r="T16" i="44" s="1"/>
  <c r="U16" i="44" s="1"/>
  <c r="V16" i="44" s="1"/>
  <c r="W16" i="44" s="1"/>
  <c r="X16" i="44" s="1"/>
  <c r="Y16" i="44" s="1"/>
  <c r="G12" i="44"/>
  <c r="H12" i="44" s="1"/>
  <c r="I12" i="44" s="1"/>
  <c r="J12" i="44" s="1"/>
  <c r="K12" i="44" s="1"/>
  <c r="L12" i="44" s="1"/>
  <c r="M12" i="44" s="1"/>
  <c r="N12" i="44" s="1"/>
  <c r="O12" i="44" s="1"/>
  <c r="P12" i="44" s="1"/>
  <c r="Q12" i="44" s="1"/>
  <c r="R12" i="44" s="1"/>
  <c r="S12" i="44" s="1"/>
  <c r="T12" i="44" s="1"/>
  <c r="U12" i="44" s="1"/>
  <c r="V12" i="44" s="1"/>
  <c r="W12" i="44" s="1"/>
  <c r="X12" i="44" s="1"/>
  <c r="Y12" i="44" s="1"/>
  <c r="G57" i="44"/>
  <c r="H57" i="44" s="1"/>
  <c r="I57" i="44" s="1"/>
  <c r="J57" i="44" s="1"/>
  <c r="K57" i="44" s="1"/>
  <c r="L57" i="44" s="1"/>
  <c r="M57" i="44" s="1"/>
  <c r="N57" i="44" s="1"/>
  <c r="O57" i="44" s="1"/>
  <c r="P57" i="44" s="1"/>
  <c r="Q57" i="44" s="1"/>
  <c r="R57" i="44" s="1"/>
  <c r="S57" i="44" s="1"/>
  <c r="T57" i="44" s="1"/>
  <c r="U57" i="44" s="1"/>
  <c r="V57" i="44" s="1"/>
  <c r="W57" i="44" s="1"/>
  <c r="X57" i="44" s="1"/>
  <c r="Y57" i="44" s="1"/>
  <c r="G20" i="44"/>
  <c r="H20" i="44" s="1"/>
  <c r="I20" i="44" s="1"/>
  <c r="J20" i="44" s="1"/>
  <c r="K20" i="44" s="1"/>
  <c r="L20" i="44" s="1"/>
  <c r="M20" i="44" s="1"/>
  <c r="N20" i="44" s="1"/>
  <c r="O20" i="44" s="1"/>
  <c r="P20" i="44" s="1"/>
  <c r="Q20" i="44" s="1"/>
  <c r="R20" i="44" s="1"/>
  <c r="S20" i="44" s="1"/>
  <c r="T20" i="44" s="1"/>
  <c r="U20" i="44" s="1"/>
  <c r="V20" i="44" s="1"/>
  <c r="W20" i="44" s="1"/>
  <c r="X20" i="44" s="1"/>
  <c r="Y20" i="44" s="1"/>
  <c r="J223" i="42"/>
  <c r="K223" i="42" s="1"/>
  <c r="L223" i="42" s="1"/>
  <c r="M223" i="42" s="1"/>
  <c r="N223" i="42" s="1"/>
  <c r="O223" i="42" s="1"/>
  <c r="P223" i="42" s="1"/>
  <c r="Q223" i="42" s="1"/>
  <c r="J207" i="42"/>
  <c r="K207" i="42" s="1"/>
  <c r="L207" i="42" s="1"/>
  <c r="M207" i="42" s="1"/>
  <c r="N207" i="42" s="1"/>
  <c r="O207" i="42" s="1"/>
  <c r="P207" i="42" s="1"/>
  <c r="Q207" i="42" s="1"/>
  <c r="J200" i="42"/>
  <c r="K200" i="42" s="1"/>
  <c r="L200" i="42" s="1"/>
  <c r="M200" i="42" s="1"/>
  <c r="N200" i="42" s="1"/>
  <c r="O200" i="42" s="1"/>
  <c r="P200" i="42" s="1"/>
  <c r="Q200" i="42" s="1"/>
  <c r="J193" i="42"/>
  <c r="K193" i="42" s="1"/>
  <c r="L193" i="42" s="1"/>
  <c r="M193" i="42" s="1"/>
  <c r="N193" i="42" s="1"/>
  <c r="O193" i="42" s="1"/>
  <c r="P193" i="42" s="1"/>
  <c r="Q193" i="42" s="1"/>
  <c r="J185" i="42"/>
  <c r="K185" i="42" s="1"/>
  <c r="L185" i="42" s="1"/>
  <c r="M185" i="42" s="1"/>
  <c r="N185" i="42" s="1"/>
  <c r="O185" i="42" s="1"/>
  <c r="P185" i="42" s="1"/>
  <c r="Q185" i="42" s="1"/>
  <c r="G8" i="44"/>
  <c r="H8" i="44" s="1"/>
  <c r="I8" i="44" s="1"/>
  <c r="J8" i="44" s="1"/>
  <c r="K8" i="44" s="1"/>
  <c r="L8" i="44" s="1"/>
  <c r="M8" i="44" s="1"/>
  <c r="N8" i="44" s="1"/>
  <c r="O8" i="44" s="1"/>
  <c r="P8" i="44" s="1"/>
  <c r="Q8" i="44" s="1"/>
  <c r="R8" i="44" s="1"/>
  <c r="S8" i="44" s="1"/>
  <c r="T8" i="44" s="1"/>
  <c r="U8" i="44" s="1"/>
  <c r="V8" i="44" s="1"/>
  <c r="W8" i="44" s="1"/>
  <c r="X8" i="44" s="1"/>
  <c r="Y8" i="44" s="1"/>
  <c r="J219" i="42"/>
  <c r="K219" i="42" s="1"/>
  <c r="L219" i="42" s="1"/>
  <c r="M219" i="42" s="1"/>
  <c r="N219" i="42" s="1"/>
  <c r="O219" i="42" s="1"/>
  <c r="P219" i="42" s="1"/>
  <c r="Q219" i="42" s="1"/>
  <c r="J198" i="42"/>
  <c r="K198" i="42" s="1"/>
  <c r="L198" i="42" s="1"/>
  <c r="M198" i="42" s="1"/>
  <c r="N198" i="42" s="1"/>
  <c r="O198" i="42" s="1"/>
  <c r="P198" i="42" s="1"/>
  <c r="Q198" i="42" s="1"/>
  <c r="J186" i="42"/>
  <c r="K186" i="42" s="1"/>
  <c r="L186" i="42" s="1"/>
  <c r="M186" i="42" s="1"/>
  <c r="N186" i="42" s="1"/>
  <c r="O186" i="42" s="1"/>
  <c r="P186" i="42" s="1"/>
  <c r="Q186" i="42" s="1"/>
  <c r="G34" i="44"/>
  <c r="H34" i="44" s="1"/>
  <c r="I34" i="44" s="1"/>
  <c r="J34" i="44" s="1"/>
  <c r="K34" i="44" s="1"/>
  <c r="L34" i="44" s="1"/>
  <c r="M34" i="44" s="1"/>
  <c r="N34" i="44" s="1"/>
  <c r="O34" i="44" s="1"/>
  <c r="P34" i="44" s="1"/>
  <c r="Q34" i="44" s="1"/>
  <c r="R34" i="44" s="1"/>
  <c r="S34" i="44" s="1"/>
  <c r="T34" i="44" s="1"/>
  <c r="U34" i="44" s="1"/>
  <c r="V34" i="44" s="1"/>
  <c r="W34" i="44" s="1"/>
  <c r="X34" i="44" s="1"/>
  <c r="Y34" i="44" s="1"/>
  <c r="J212" i="42"/>
  <c r="K212" i="42" s="1"/>
  <c r="L212" i="42" s="1"/>
  <c r="M212" i="42" s="1"/>
  <c r="N212" i="42" s="1"/>
  <c r="O212" i="42" s="1"/>
  <c r="P212" i="42" s="1"/>
  <c r="Q212" i="42" s="1"/>
  <c r="J196" i="42"/>
  <c r="K196" i="42" s="1"/>
  <c r="L196" i="42" s="1"/>
  <c r="M196" i="42" s="1"/>
  <c r="N196" i="42" s="1"/>
  <c r="O196" i="42" s="1"/>
  <c r="P196" i="42" s="1"/>
  <c r="Q196" i="42" s="1"/>
  <c r="J211" i="42"/>
  <c r="K211" i="42" s="1"/>
  <c r="L211" i="42" s="1"/>
  <c r="M211" i="42" s="1"/>
  <c r="N211" i="42" s="1"/>
  <c r="O211" i="42" s="1"/>
  <c r="P211" i="42" s="1"/>
  <c r="Q211" i="42" s="1"/>
  <c r="J194" i="42"/>
  <c r="K194" i="42" s="1"/>
  <c r="L194" i="42" s="1"/>
  <c r="M194" i="42" s="1"/>
  <c r="N194" i="42" s="1"/>
  <c r="O194" i="42" s="1"/>
  <c r="P194" i="42" s="1"/>
  <c r="Q194" i="42" s="1"/>
  <c r="J251" i="42"/>
  <c r="K251" i="42" s="1"/>
  <c r="L251" i="42" s="1"/>
  <c r="M251" i="42" s="1"/>
  <c r="N251" i="42" s="1"/>
  <c r="O251" i="42" s="1"/>
  <c r="P251" i="42" s="1"/>
  <c r="Q251" i="42" s="1"/>
  <c r="R251" i="42" s="1"/>
  <c r="S251" i="42" s="1"/>
  <c r="T251" i="42" s="1"/>
  <c r="U251" i="42" s="1"/>
  <c r="V251" i="42" s="1"/>
  <c r="J56" i="42"/>
  <c r="G41" i="44"/>
  <c r="J206" i="42"/>
  <c r="J190" i="42"/>
  <c r="K190" i="42" s="1"/>
  <c r="L190" i="42" s="1"/>
  <c r="M190" i="42" s="1"/>
  <c r="N190" i="42" s="1"/>
  <c r="O190" i="42" s="1"/>
  <c r="P190" i="42" s="1"/>
  <c r="Q190" i="42" s="1"/>
  <c r="H94" i="44"/>
  <c r="G7" i="44"/>
  <c r="J204" i="42"/>
  <c r="K204" i="42" s="1"/>
  <c r="L204" i="42" s="1"/>
  <c r="M204" i="42" s="1"/>
  <c r="N204" i="42" s="1"/>
  <c r="O204" i="42" s="1"/>
  <c r="P204" i="42" s="1"/>
  <c r="Q204" i="42" s="1"/>
  <c r="J188" i="42"/>
  <c r="I150" i="44"/>
  <c r="J150" i="44" s="1"/>
  <c r="K150" i="44" s="1"/>
  <c r="L150" i="44" s="1"/>
  <c r="M150" i="44" s="1"/>
  <c r="N150" i="44" s="1"/>
  <c r="O150" i="44" s="1"/>
  <c r="P150" i="44" s="1"/>
  <c r="Q150" i="44" s="1"/>
  <c r="R150" i="44" s="1"/>
  <c r="S150" i="44" s="1"/>
  <c r="T150" i="44" s="1"/>
  <c r="U150" i="44" s="1"/>
  <c r="V150" i="44" s="1"/>
  <c r="W150" i="44" s="1"/>
  <c r="X150" i="44" s="1"/>
  <c r="Y150" i="44" s="1"/>
  <c r="Z150" i="44" s="1"/>
  <c r="AA150" i="44" s="1"/>
  <c r="G28" i="44"/>
  <c r="H28" i="44" s="1"/>
  <c r="I28" i="44" s="1"/>
  <c r="J28" i="44" s="1"/>
  <c r="K28" i="44" s="1"/>
  <c r="L28" i="44" s="1"/>
  <c r="M28" i="44" s="1"/>
  <c r="N28" i="44" s="1"/>
  <c r="O28" i="44" s="1"/>
  <c r="P28" i="44" s="1"/>
  <c r="Q28" i="44" s="1"/>
  <c r="R28" i="44" s="1"/>
  <c r="S28" i="44" s="1"/>
  <c r="T28" i="44" s="1"/>
  <c r="U28" i="44" s="1"/>
  <c r="V28" i="44" s="1"/>
  <c r="W28" i="44" s="1"/>
  <c r="X28" i="44" s="1"/>
  <c r="Y28" i="44" s="1"/>
  <c r="J224" i="42"/>
  <c r="K224" i="42" s="1"/>
  <c r="L224" i="42" s="1"/>
  <c r="M224" i="42" s="1"/>
  <c r="N224" i="42" s="1"/>
  <c r="O224" i="42" s="1"/>
  <c r="P224" i="42" s="1"/>
  <c r="Q224" i="42" s="1"/>
  <c r="J201" i="42"/>
  <c r="K201" i="42" s="1"/>
  <c r="L201" i="42" s="1"/>
  <c r="M201" i="42" s="1"/>
  <c r="N201" i="42" s="1"/>
  <c r="O201" i="42" s="1"/>
  <c r="P201" i="42" s="1"/>
  <c r="Q201" i="42" s="1"/>
  <c r="J182" i="42"/>
  <c r="K182" i="42" s="1"/>
  <c r="L182" i="42" s="1"/>
  <c r="M182" i="42" s="1"/>
  <c r="N182" i="42" s="1"/>
  <c r="O182" i="42" s="1"/>
  <c r="P182" i="42" s="1"/>
  <c r="Q182" i="42" s="1"/>
  <c r="K103" i="61"/>
  <c r="K104" i="61"/>
  <c r="K101" i="49"/>
  <c r="K130" i="49"/>
  <c r="K100" i="49"/>
  <c r="K95" i="57"/>
  <c r="G96" i="44"/>
  <c r="H96" i="44" s="1"/>
  <c r="I96" i="44" s="1"/>
  <c r="J96" i="44" s="1"/>
  <c r="K96" i="44" s="1"/>
  <c r="L96" i="44" s="1"/>
  <c r="M96" i="44" s="1"/>
  <c r="N96" i="44" s="1"/>
  <c r="O96" i="44" s="1"/>
  <c r="P96" i="44" s="1"/>
  <c r="Q96" i="44" s="1"/>
  <c r="R96" i="44" s="1"/>
  <c r="S96" i="44" s="1"/>
  <c r="T96" i="44" s="1"/>
  <c r="U96" i="44" s="1"/>
  <c r="V96" i="44" s="1"/>
  <c r="W96" i="44" s="1"/>
  <c r="X96" i="44" s="1"/>
  <c r="Y96" i="44" s="1"/>
  <c r="G82" i="44"/>
  <c r="H82" i="44" s="1"/>
  <c r="I82" i="44" s="1"/>
  <c r="J82" i="44" s="1"/>
  <c r="K82" i="44" s="1"/>
  <c r="L82" i="44" s="1"/>
  <c r="M82" i="44" s="1"/>
  <c r="N82" i="44" s="1"/>
  <c r="O82" i="44" s="1"/>
  <c r="P82" i="44" s="1"/>
  <c r="Q82" i="44" s="1"/>
  <c r="R82" i="44" s="1"/>
  <c r="S82" i="44" s="1"/>
  <c r="T82" i="44" s="1"/>
  <c r="U82" i="44" s="1"/>
  <c r="V82" i="44" s="1"/>
  <c r="W82" i="44" s="1"/>
  <c r="X82" i="44" s="1"/>
  <c r="Y82" i="44" s="1"/>
  <c r="G91" i="44"/>
  <c r="H91" i="44" s="1"/>
  <c r="I91" i="44" s="1"/>
  <c r="J91" i="44" s="1"/>
  <c r="K91" i="44" s="1"/>
  <c r="L91" i="44" s="1"/>
  <c r="M91" i="44" s="1"/>
  <c r="N91" i="44" s="1"/>
  <c r="O91" i="44" s="1"/>
  <c r="P91" i="44" s="1"/>
  <c r="Q91" i="44" s="1"/>
  <c r="R91" i="44" s="1"/>
  <c r="S91" i="44" s="1"/>
  <c r="T91" i="44" s="1"/>
  <c r="U91" i="44" s="1"/>
  <c r="V91" i="44" s="1"/>
  <c r="W91" i="44" s="1"/>
  <c r="X91" i="44" s="1"/>
  <c r="Y91" i="44" s="1"/>
  <c r="G92" i="44"/>
  <c r="H92" i="44" s="1"/>
  <c r="I92" i="44" s="1"/>
  <c r="J92" i="44" s="1"/>
  <c r="K92" i="44" s="1"/>
  <c r="L92" i="44" s="1"/>
  <c r="M92" i="44" s="1"/>
  <c r="N92" i="44" s="1"/>
  <c r="O92" i="44" s="1"/>
  <c r="P92" i="44" s="1"/>
  <c r="Q92" i="44" s="1"/>
  <c r="R92" i="44" s="1"/>
  <c r="S92" i="44" s="1"/>
  <c r="T92" i="44" s="1"/>
  <c r="U92" i="44" s="1"/>
  <c r="V92" i="44" s="1"/>
  <c r="W92" i="44" s="1"/>
  <c r="X92" i="44" s="1"/>
  <c r="Y92" i="44" s="1"/>
  <c r="G90" i="44"/>
  <c r="K126" i="49"/>
  <c r="K52" i="38"/>
  <c r="K53" i="38"/>
  <c r="K95" i="38"/>
  <c r="I219" i="61"/>
  <c r="J218" i="61" s="1"/>
  <c r="J219" i="61" s="1"/>
  <c r="K218" i="61" s="1"/>
  <c r="M32" i="34"/>
  <c r="L16" i="2"/>
  <c r="I767" i="29"/>
  <c r="I758" i="29"/>
  <c r="I766" i="29" s="1"/>
  <c r="M29" i="34"/>
  <c r="L28" i="29"/>
  <c r="L18" i="14"/>
  <c r="K18" i="36"/>
  <c r="J666" i="29"/>
  <c r="J868" i="29" s="1"/>
  <c r="K168" i="34"/>
  <c r="F191" i="38"/>
  <c r="F193" i="34" s="1"/>
  <c r="F125" i="34"/>
  <c r="I56" i="34"/>
  <c r="F57" i="34"/>
  <c r="H65" i="34"/>
  <c r="J63" i="34"/>
  <c r="I63" i="34"/>
  <c r="F65" i="34"/>
  <c r="H67" i="34"/>
  <c r="I53" i="34"/>
  <c r="F67" i="34"/>
  <c r="G130" i="38"/>
  <c r="G62" i="34"/>
  <c r="H130" i="38"/>
  <c r="H62" i="34"/>
  <c r="L63" i="34"/>
  <c r="G53" i="34"/>
  <c r="H56" i="34"/>
  <c r="G66" i="34"/>
  <c r="F62" i="34"/>
  <c r="J61" i="34"/>
  <c r="H53" i="34"/>
  <c r="I66" i="34"/>
  <c r="H63" i="34"/>
  <c r="J128" i="38"/>
  <c r="J60" i="34"/>
  <c r="G129" i="38"/>
  <c r="G131" i="34" s="1"/>
  <c r="G61" i="34"/>
  <c r="I129" i="38"/>
  <c r="I131" i="34" s="1"/>
  <c r="I61" i="34"/>
  <c r="J57" i="34"/>
  <c r="I57" i="34"/>
  <c r="F60" i="34"/>
  <c r="F64" i="34"/>
  <c r="H66" i="34"/>
  <c r="I128" i="38"/>
  <c r="I60" i="34"/>
  <c r="H129" i="38"/>
  <c r="H197" i="38" s="1"/>
  <c r="H199" i="34" s="1"/>
  <c r="H61" i="34"/>
  <c r="F53" i="34"/>
  <c r="H57" i="34"/>
  <c r="G128" i="38"/>
  <c r="G60" i="34"/>
  <c r="G63" i="34"/>
  <c r="J65" i="34"/>
  <c r="J130" i="38"/>
  <c r="J62" i="34"/>
  <c r="H128" i="38"/>
  <c r="H60" i="34"/>
  <c r="F56" i="34"/>
  <c r="J56" i="34"/>
  <c r="G67" i="34"/>
  <c r="F63" i="34"/>
  <c r="I65" i="34"/>
  <c r="I130" i="38"/>
  <c r="I62" i="34"/>
  <c r="J193" i="34"/>
  <c r="J346" i="29"/>
  <c r="J548" i="29" s="1"/>
  <c r="E195" i="4"/>
  <c r="E191" i="34" s="1"/>
  <c r="E347" i="29"/>
  <c r="G64" i="21"/>
  <c r="E346" i="29"/>
  <c r="E548" i="29" s="1"/>
  <c r="E202" i="4"/>
  <c r="E198" i="34" s="1"/>
  <c r="E344" i="29"/>
  <c r="E538" i="29" s="1"/>
  <c r="E536" i="29" s="1"/>
  <c r="F70" i="2"/>
  <c r="E345" i="29"/>
  <c r="E131" i="4"/>
  <c r="E194" i="38"/>
  <c r="P7" i="39"/>
  <c r="F42" i="58"/>
  <c r="J27" i="39"/>
  <c r="I27" i="39"/>
  <c r="I34" i="58"/>
  <c r="P27" i="39"/>
  <c r="H27" i="39"/>
  <c r="H34" i="58"/>
  <c r="O27" i="39"/>
  <c r="P38" i="39"/>
  <c r="P8" i="39"/>
  <c r="N27" i="39"/>
  <c r="O38" i="39"/>
  <c r="J34" i="58"/>
  <c r="K38" i="39"/>
  <c r="J42" i="58"/>
  <c r="G27" i="39"/>
  <c r="G34" i="58"/>
  <c r="M27" i="39"/>
  <c r="N38" i="39"/>
  <c r="P15" i="39"/>
  <c r="G124" i="38"/>
  <c r="F28" i="59"/>
  <c r="G42" i="58"/>
  <c r="F50" i="58"/>
  <c r="G50" i="58" s="1"/>
  <c r="H50" i="58" s="1"/>
  <c r="I50" i="58" s="1"/>
  <c r="J50" i="58" s="1"/>
  <c r="I124" i="38"/>
  <c r="I126" i="34" s="1"/>
  <c r="I42" i="58"/>
  <c r="L27" i="39"/>
  <c r="M38" i="39"/>
  <c r="H124" i="38"/>
  <c r="H42" i="58"/>
  <c r="K27" i="39"/>
  <c r="L38" i="39"/>
  <c r="O13" i="29"/>
  <c r="I38" i="2"/>
  <c r="I28" i="62"/>
  <c r="I28" i="51"/>
  <c r="J38" i="2"/>
  <c r="G73" i="50"/>
  <c r="O19" i="29"/>
  <c r="F27" i="2"/>
  <c r="I24" i="2"/>
  <c r="E9" i="28"/>
  <c r="O12" i="29"/>
  <c r="P74" i="62"/>
  <c r="P74" i="51"/>
  <c r="P72" i="14"/>
  <c r="G26" i="14"/>
  <c r="G28" i="62"/>
  <c r="G28" i="51"/>
  <c r="G9" i="28"/>
  <c r="F9" i="28"/>
  <c r="F28" i="62"/>
  <c r="F28" i="51"/>
  <c r="F38" i="2"/>
  <c r="H24" i="2"/>
  <c r="I30" i="2"/>
  <c r="F41" i="2"/>
  <c r="H26" i="14"/>
  <c r="H28" i="62"/>
  <c r="H28" i="51"/>
  <c r="D9" i="28"/>
  <c r="H38" i="2"/>
  <c r="G38" i="2"/>
  <c r="G24" i="2"/>
  <c r="K38" i="2"/>
  <c r="H30" i="2"/>
  <c r="O14" i="29"/>
  <c r="E199" i="4"/>
  <c r="E195" i="34" s="1"/>
  <c r="H874" i="29"/>
  <c r="H889" i="29" s="1"/>
  <c r="F65" i="28" s="1"/>
  <c r="F873" i="29"/>
  <c r="D115" i="28" s="1"/>
  <c r="E112" i="29"/>
  <c r="E114" i="29" s="1"/>
  <c r="C9" i="28"/>
  <c r="H873" i="29"/>
  <c r="F115" i="28" s="1"/>
  <c r="H32" i="2"/>
  <c r="G112" i="29"/>
  <c r="G114" i="29" s="1"/>
  <c r="G32" i="39"/>
  <c r="G121" i="38"/>
  <c r="J30" i="39"/>
  <c r="K55" i="38"/>
  <c r="J125" i="38"/>
  <c r="J127" i="34" s="1"/>
  <c r="J24" i="39"/>
  <c r="J133" i="38"/>
  <c r="J135" i="34" s="1"/>
  <c r="I30" i="39"/>
  <c r="I125" i="38"/>
  <c r="I127" i="34" s="1"/>
  <c r="I24" i="39"/>
  <c r="I133" i="38"/>
  <c r="I135" i="34" s="1"/>
  <c r="G32" i="2"/>
  <c r="F112" i="29"/>
  <c r="F114" i="29" s="1"/>
  <c r="J124" i="38"/>
  <c r="J126" i="34" s="1"/>
  <c r="G38" i="39"/>
  <c r="G134" i="38"/>
  <c r="G136" i="34" s="1"/>
  <c r="I27" i="2"/>
  <c r="I137" i="34"/>
  <c r="J32" i="39"/>
  <c r="K51" i="38"/>
  <c r="J121" i="38"/>
  <c r="K59" i="38"/>
  <c r="J129" i="38"/>
  <c r="J131" i="34" s="1"/>
  <c r="I26" i="14"/>
  <c r="J27" i="2"/>
  <c r="J137" i="34"/>
  <c r="K67" i="34"/>
  <c r="H27" i="2"/>
  <c r="H137" i="34"/>
  <c r="I32" i="39"/>
  <c r="I121" i="38"/>
  <c r="G24" i="39"/>
  <c r="G133" i="38"/>
  <c r="G135" i="34" s="1"/>
  <c r="J38" i="39"/>
  <c r="J134" i="38"/>
  <c r="H30" i="39"/>
  <c r="H125" i="38"/>
  <c r="H127" i="34" s="1"/>
  <c r="H24" i="39"/>
  <c r="H133" i="38"/>
  <c r="H135" i="34" s="1"/>
  <c r="G27" i="2"/>
  <c r="G137" i="34"/>
  <c r="J24" i="2"/>
  <c r="I112" i="29"/>
  <c r="I114" i="29" s="1"/>
  <c r="H32" i="39"/>
  <c r="H121" i="38"/>
  <c r="I38" i="39"/>
  <c r="I134" i="38"/>
  <c r="G30" i="39"/>
  <c r="G125" i="38"/>
  <c r="G127" i="34" s="1"/>
  <c r="J30" i="2"/>
  <c r="I32" i="2"/>
  <c r="H112" i="29"/>
  <c r="H114" i="29" s="1"/>
  <c r="H38" i="39"/>
  <c r="H134" i="38"/>
  <c r="H136" i="34" s="1"/>
  <c r="F334" i="29"/>
  <c r="G334" i="29"/>
  <c r="I334" i="29"/>
  <c r="H334" i="29"/>
  <c r="I104" i="21"/>
  <c r="G749" i="29"/>
  <c r="G750" i="29" s="1"/>
  <c r="O65" i="21"/>
  <c r="J32" i="2"/>
  <c r="F38" i="39"/>
  <c r="F24" i="2"/>
  <c r="G26" i="40"/>
  <c r="H41" i="39"/>
  <c r="G30" i="2"/>
  <c r="F121" i="38"/>
  <c r="F32" i="39"/>
  <c r="F16" i="40"/>
  <c r="F24" i="39"/>
  <c r="F30" i="2"/>
  <c r="F41" i="39"/>
  <c r="I26" i="40"/>
  <c r="J41" i="39"/>
  <c r="G16" i="38"/>
  <c r="G18" i="34" s="1"/>
  <c r="F16" i="38"/>
  <c r="F125" i="38"/>
  <c r="F30" i="39"/>
  <c r="G41" i="2"/>
  <c r="F26" i="14"/>
  <c r="F32" i="2"/>
  <c r="H26" i="40"/>
  <c r="I41" i="39"/>
  <c r="G41" i="39"/>
  <c r="F26" i="40"/>
  <c r="F27" i="39"/>
  <c r="F132" i="38"/>
  <c r="F134" i="34" s="1"/>
  <c r="F124" i="38"/>
  <c r="F133" i="38"/>
  <c r="F129" i="38"/>
  <c r="F131" i="34" s="1"/>
  <c r="F128" i="38"/>
  <c r="F196" i="38" s="1"/>
  <c r="F135" i="38"/>
  <c r="F137" i="34" s="1"/>
  <c r="F131" i="38"/>
  <c r="F199" i="38" s="1"/>
  <c r="F134" i="38"/>
  <c r="F130" i="38"/>
  <c r="F198" i="38" s="1"/>
  <c r="J66" i="4"/>
  <c r="G56" i="4"/>
  <c r="G66" i="4"/>
  <c r="D58" i="34"/>
  <c r="D128" i="34"/>
  <c r="E58" i="34"/>
  <c r="J56" i="4"/>
  <c r="J41" i="2"/>
  <c r="H66" i="4"/>
  <c r="D196" i="34"/>
  <c r="F56" i="4"/>
  <c r="I66" i="4"/>
  <c r="I56" i="4"/>
  <c r="I41" i="2"/>
  <c r="H56" i="4"/>
  <c r="H41" i="2"/>
  <c r="E126" i="38"/>
  <c r="D69" i="38"/>
  <c r="I66" i="38"/>
  <c r="F66" i="38"/>
  <c r="J66" i="38"/>
  <c r="G66" i="38"/>
  <c r="H66" i="38"/>
  <c r="G56" i="38"/>
  <c r="C25" i="42"/>
  <c r="D40" i="42"/>
  <c r="E40" i="42"/>
  <c r="D100" i="42"/>
  <c r="G40" i="42"/>
  <c r="E100" i="42"/>
  <c r="H71" i="42"/>
  <c r="F100" i="42"/>
  <c r="H100" i="42"/>
  <c r="G43" i="42"/>
  <c r="G47" i="42" s="1"/>
  <c r="G71" i="42"/>
  <c r="D64" i="42"/>
  <c r="E64" i="42"/>
  <c r="I40" i="42"/>
  <c r="I47" i="42"/>
  <c r="G100" i="42"/>
  <c r="I100" i="42"/>
  <c r="H43" i="42"/>
  <c r="H47" i="42" s="1"/>
  <c r="F40" i="42"/>
  <c r="H40" i="42"/>
  <c r="H64" i="42"/>
  <c r="I64" i="42"/>
  <c r="I71" i="42"/>
  <c r="G64" i="42"/>
  <c r="K197" i="4" l="1"/>
  <c r="M445" i="29"/>
  <c r="O111" i="21"/>
  <c r="M765" i="29" s="1"/>
  <c r="K62" i="34"/>
  <c r="I24" i="35"/>
  <c r="K63" i="34"/>
  <c r="L62" i="34"/>
  <c r="I30" i="35"/>
  <c r="K108" i="62"/>
  <c r="K69" i="39"/>
  <c r="L95" i="38"/>
  <c r="K163" i="38"/>
  <c r="H90" i="44"/>
  <c r="G98" i="44"/>
  <c r="K101" i="4"/>
  <c r="W101" i="4" s="1"/>
  <c r="L101" i="49"/>
  <c r="K94" i="54"/>
  <c r="K95" i="54" s="1"/>
  <c r="J72" i="62"/>
  <c r="K129" i="4"/>
  <c r="H7" i="44"/>
  <c r="G42" i="44"/>
  <c r="G71" i="44"/>
  <c r="H41" i="44"/>
  <c r="I41" i="44" s="1"/>
  <c r="J41" i="44" s="1"/>
  <c r="K41" i="44" s="1"/>
  <c r="L41" i="44" s="1"/>
  <c r="M41" i="44" s="1"/>
  <c r="N41" i="44" s="1"/>
  <c r="O41" i="44" s="1"/>
  <c r="P41" i="44" s="1"/>
  <c r="Q41" i="44" s="1"/>
  <c r="R41" i="44" s="1"/>
  <c r="S41" i="44" s="1"/>
  <c r="T41" i="44" s="1"/>
  <c r="U41" i="44" s="1"/>
  <c r="V41" i="44" s="1"/>
  <c r="W41" i="44" s="1"/>
  <c r="X41" i="44" s="1"/>
  <c r="Y41" i="44" s="1"/>
  <c r="I24" i="44"/>
  <c r="J230" i="42"/>
  <c r="J75" i="42" s="1"/>
  <c r="K216" i="42"/>
  <c r="J138" i="44"/>
  <c r="L91" i="61"/>
  <c r="V91" i="61"/>
  <c r="K60" i="50"/>
  <c r="K153" i="49"/>
  <c r="K84" i="4"/>
  <c r="L84" i="49"/>
  <c r="V178" i="61"/>
  <c r="K125" i="54"/>
  <c r="L178" i="61"/>
  <c r="K154" i="4"/>
  <c r="L154" i="49"/>
  <c r="K114" i="50"/>
  <c r="K122" i="50"/>
  <c r="L169" i="49"/>
  <c r="K169" i="4"/>
  <c r="K203" i="4"/>
  <c r="L203" i="49"/>
  <c r="K158" i="49"/>
  <c r="K116" i="50" s="1"/>
  <c r="L213" i="61"/>
  <c r="K133" i="54"/>
  <c r="K196" i="4"/>
  <c r="K137" i="2" s="1"/>
  <c r="K137" i="35" s="1"/>
  <c r="K137" i="50"/>
  <c r="K138" i="50" s="1"/>
  <c r="L196" i="49"/>
  <c r="K110" i="51"/>
  <c r="L110" i="51" s="1"/>
  <c r="L207" i="61"/>
  <c r="K162" i="61"/>
  <c r="K144" i="54"/>
  <c r="L212" i="61"/>
  <c r="L64" i="57"/>
  <c r="K38" i="58"/>
  <c r="K66" i="34"/>
  <c r="K32" i="58"/>
  <c r="K56" i="57"/>
  <c r="K16" i="59"/>
  <c r="L16" i="59" s="1"/>
  <c r="M17" i="14"/>
  <c r="L17" i="36"/>
  <c r="K62" i="51"/>
  <c r="K102" i="4"/>
  <c r="K137" i="49"/>
  <c r="L102" i="49"/>
  <c r="K105" i="4"/>
  <c r="W105" i="4" s="1"/>
  <c r="K72" i="50"/>
  <c r="L105" i="49"/>
  <c r="K168" i="57"/>
  <c r="K125" i="58" s="1"/>
  <c r="K72" i="58"/>
  <c r="L100" i="57"/>
  <c r="K87" i="4"/>
  <c r="W87" i="4" s="1"/>
  <c r="L87" i="49"/>
  <c r="K65" i="50"/>
  <c r="L81" i="57"/>
  <c r="K61" i="58"/>
  <c r="K149" i="57"/>
  <c r="K114" i="58" s="1"/>
  <c r="L86" i="57"/>
  <c r="K154" i="57"/>
  <c r="K68" i="50"/>
  <c r="L98" i="49"/>
  <c r="K161" i="57"/>
  <c r="K121" i="58" s="1"/>
  <c r="K68" i="58"/>
  <c r="L93" i="57"/>
  <c r="K157" i="4"/>
  <c r="J653" i="29" s="1"/>
  <c r="L157" i="49"/>
  <c r="L53" i="38"/>
  <c r="K69" i="58"/>
  <c r="K163" i="57"/>
  <c r="K122" i="58" s="1"/>
  <c r="L95" i="57"/>
  <c r="V104" i="61"/>
  <c r="L104" i="61"/>
  <c r="I94" i="44"/>
  <c r="K56" i="42"/>
  <c r="L56" i="42" s="1"/>
  <c r="M56" i="42" s="1"/>
  <c r="N56" i="42" s="1"/>
  <c r="O56" i="42" s="1"/>
  <c r="P56" i="42" s="1"/>
  <c r="Q56" i="42" s="1"/>
  <c r="R56" i="42" s="1"/>
  <c r="S56" i="42" s="1"/>
  <c r="T56" i="42" s="1"/>
  <c r="U56" i="42" s="1"/>
  <c r="V56" i="42" s="1"/>
  <c r="L197" i="42"/>
  <c r="H30" i="44"/>
  <c r="I30" i="44" s="1"/>
  <c r="G70" i="44"/>
  <c r="K181" i="42"/>
  <c r="J213" i="42"/>
  <c r="H44" i="44"/>
  <c r="G61" i="44"/>
  <c r="K126" i="4" s="1"/>
  <c r="I145" i="44"/>
  <c r="J137" i="44"/>
  <c r="K134" i="4"/>
  <c r="K141" i="44"/>
  <c r="K80" i="54"/>
  <c r="J143" i="44"/>
  <c r="K88" i="4"/>
  <c r="W88" i="4" s="1"/>
  <c r="L88" i="49"/>
  <c r="V87" i="61"/>
  <c r="K60" i="54"/>
  <c r="K79" i="61"/>
  <c r="L87" i="61"/>
  <c r="K157" i="61"/>
  <c r="L174" i="49"/>
  <c r="K174" i="4"/>
  <c r="K125" i="50"/>
  <c r="K156" i="4"/>
  <c r="K118" i="50"/>
  <c r="L156" i="49"/>
  <c r="L167" i="49"/>
  <c r="K121" i="50"/>
  <c r="V173" i="61"/>
  <c r="K122" i="54"/>
  <c r="L173" i="61"/>
  <c r="L195" i="49"/>
  <c r="K200" i="49"/>
  <c r="K195" i="4"/>
  <c r="K199" i="4"/>
  <c r="K136" i="2" s="1"/>
  <c r="K136" i="50"/>
  <c r="L199" i="49"/>
  <c r="L123" i="57"/>
  <c r="K191" i="57"/>
  <c r="K136" i="54"/>
  <c r="L203" i="61"/>
  <c r="K205" i="4"/>
  <c r="K201" i="34" s="1"/>
  <c r="L205" i="49"/>
  <c r="L204" i="49"/>
  <c r="K204" i="4"/>
  <c r="K200" i="34" s="1"/>
  <c r="L54" i="57"/>
  <c r="K41" i="58"/>
  <c r="J26" i="59"/>
  <c r="L59" i="57"/>
  <c r="K16" i="57"/>
  <c r="K10" i="58" s="1"/>
  <c r="L97" i="38"/>
  <c r="K165" i="38"/>
  <c r="K168" i="38"/>
  <c r="L100" i="38"/>
  <c r="L96" i="38"/>
  <c r="K164" i="38"/>
  <c r="L135" i="49"/>
  <c r="K135" i="4"/>
  <c r="K132" i="34" s="1"/>
  <c r="K65" i="54"/>
  <c r="V90" i="61"/>
  <c r="L90" i="61"/>
  <c r="L81" i="38"/>
  <c r="K149" i="38"/>
  <c r="L93" i="38"/>
  <c r="K161" i="38"/>
  <c r="K54" i="34"/>
  <c r="L52" i="38"/>
  <c r="K31" i="39"/>
  <c r="K31" i="35" s="1"/>
  <c r="K69" i="50"/>
  <c r="K100" i="4"/>
  <c r="W100" i="4" s="1"/>
  <c r="L100" i="49"/>
  <c r="K83" i="54"/>
  <c r="K188" i="42"/>
  <c r="K136" i="4"/>
  <c r="K133" i="34" s="1"/>
  <c r="J139" i="44"/>
  <c r="K203" i="42"/>
  <c r="J236" i="42"/>
  <c r="K249" i="42"/>
  <c r="J60" i="42"/>
  <c r="L84" i="57"/>
  <c r="K152" i="57"/>
  <c r="L80" i="57"/>
  <c r="K60" i="58"/>
  <c r="K148" i="57"/>
  <c r="K113" i="58" s="1"/>
  <c r="K108" i="51"/>
  <c r="L171" i="49"/>
  <c r="K171" i="4"/>
  <c r="H160" i="28" s="1"/>
  <c r="K206" i="49"/>
  <c r="V158" i="61"/>
  <c r="L158" i="61"/>
  <c r="K114" i="54"/>
  <c r="V163" i="61"/>
  <c r="L163" i="61"/>
  <c r="K191" i="38"/>
  <c r="L123" i="38"/>
  <c r="K209" i="4"/>
  <c r="L209" i="49"/>
  <c r="K133" i="50"/>
  <c r="K77" i="58"/>
  <c r="K201" i="57"/>
  <c r="K130" i="58" s="1"/>
  <c r="L133" i="57"/>
  <c r="K83" i="58"/>
  <c r="K193" i="57"/>
  <c r="L125" i="57"/>
  <c r="K61" i="59"/>
  <c r="L202" i="61"/>
  <c r="K147" i="54"/>
  <c r="J118" i="62" s="1"/>
  <c r="V174" i="61"/>
  <c r="L174" i="61"/>
  <c r="L63" i="57"/>
  <c r="K24" i="58"/>
  <c r="L55" i="57"/>
  <c r="K30" i="58"/>
  <c r="K15" i="59"/>
  <c r="L62" i="57"/>
  <c r="K64" i="34"/>
  <c r="I553" i="29"/>
  <c r="G114" i="28" s="1"/>
  <c r="I554" i="29"/>
  <c r="I569" i="29" s="1"/>
  <c r="G64" i="28" s="1"/>
  <c r="L97" i="57"/>
  <c r="K132" i="57"/>
  <c r="K200" i="57" s="1"/>
  <c r="K165" i="57"/>
  <c r="K62" i="59"/>
  <c r="K80" i="50"/>
  <c r="L140" i="49"/>
  <c r="L85" i="49"/>
  <c r="K85" i="4"/>
  <c r="K61" i="50"/>
  <c r="K89" i="49"/>
  <c r="K63" i="50" s="1"/>
  <c r="L134" i="49"/>
  <c r="V93" i="61"/>
  <c r="L93" i="61"/>
  <c r="K90" i="4"/>
  <c r="W90" i="4" s="1"/>
  <c r="L129" i="57"/>
  <c r="K197" i="57"/>
  <c r="K85" i="57"/>
  <c r="K153" i="57" s="1"/>
  <c r="K151" i="57"/>
  <c r="K118" i="58" s="1"/>
  <c r="K65" i="58"/>
  <c r="L83" i="57"/>
  <c r="K85" i="50"/>
  <c r="K131" i="49"/>
  <c r="L126" i="49"/>
  <c r="K130" i="4"/>
  <c r="K83" i="2" s="1"/>
  <c r="L130" i="49"/>
  <c r="K83" i="50"/>
  <c r="V103" i="61"/>
  <c r="K69" i="54"/>
  <c r="L103" i="61"/>
  <c r="J237" i="42"/>
  <c r="K206" i="42"/>
  <c r="L206" i="42" s="1"/>
  <c r="M206" i="42" s="1"/>
  <c r="N206" i="42" s="1"/>
  <c r="O206" i="42" s="1"/>
  <c r="P206" i="42" s="1"/>
  <c r="Q206" i="42" s="1"/>
  <c r="H14" i="44"/>
  <c r="J253" i="42"/>
  <c r="K245" i="42"/>
  <c r="L245" i="42" s="1"/>
  <c r="M245" i="42" s="1"/>
  <c r="N245" i="42" s="1"/>
  <c r="O245" i="42" s="1"/>
  <c r="P245" i="42" s="1"/>
  <c r="Q245" i="42" s="1"/>
  <c r="R245" i="42" s="1"/>
  <c r="S245" i="42" s="1"/>
  <c r="T245" i="42" s="1"/>
  <c r="U245" i="42" s="1"/>
  <c r="V245" i="42" s="1"/>
  <c r="L80" i="38"/>
  <c r="K148" i="38"/>
  <c r="K204" i="61"/>
  <c r="V175" i="61"/>
  <c r="L175" i="61"/>
  <c r="K210" i="61"/>
  <c r="K159" i="4" s="1"/>
  <c r="J657" i="29" s="1"/>
  <c r="V160" i="61"/>
  <c r="L160" i="61"/>
  <c r="K118" i="54"/>
  <c r="K190" i="38"/>
  <c r="K124" i="34"/>
  <c r="L122" i="38"/>
  <c r="J72" i="59"/>
  <c r="J78" i="59" s="1"/>
  <c r="L124" i="57"/>
  <c r="K192" i="57"/>
  <c r="K94" i="58"/>
  <c r="K207" i="4"/>
  <c r="K130" i="2" s="1"/>
  <c r="K130" i="50"/>
  <c r="L207" i="49"/>
  <c r="K208" i="4"/>
  <c r="L208" i="49"/>
  <c r="K144" i="50"/>
  <c r="K198" i="4"/>
  <c r="K147" i="2" s="1"/>
  <c r="J118" i="14" s="1"/>
  <c r="K147" i="50"/>
  <c r="J118" i="51" s="1"/>
  <c r="L198" i="49"/>
  <c r="L121" i="57"/>
  <c r="K189" i="57"/>
  <c r="K126" i="57"/>
  <c r="K190" i="57"/>
  <c r="L122" i="57"/>
  <c r="K85" i="58"/>
  <c r="K137" i="54"/>
  <c r="K138" i="54" s="1"/>
  <c r="L200" i="61"/>
  <c r="K110" i="62"/>
  <c r="L170" i="49"/>
  <c r="K170" i="4"/>
  <c r="J668" i="29" s="1"/>
  <c r="V105" i="61"/>
  <c r="L105" i="61"/>
  <c r="V108" i="61"/>
  <c r="L108" i="61"/>
  <c r="K72" i="54"/>
  <c r="K138" i="4"/>
  <c r="K77" i="2" s="1"/>
  <c r="L138" i="49"/>
  <c r="K77" i="50"/>
  <c r="K61" i="54"/>
  <c r="V88" i="61"/>
  <c r="L88" i="61"/>
  <c r="L136" i="49"/>
  <c r="L86" i="38"/>
  <c r="K154" i="38"/>
  <c r="L83" i="38"/>
  <c r="K65" i="39"/>
  <c r="K151" i="38"/>
  <c r="V161" i="61"/>
  <c r="L161" i="61"/>
  <c r="L197" i="4"/>
  <c r="M201" i="61"/>
  <c r="N199" i="61"/>
  <c r="H131" i="34"/>
  <c r="H85" i="38"/>
  <c r="H87" i="34" s="1"/>
  <c r="F24" i="35"/>
  <c r="N32" i="34"/>
  <c r="J38" i="35"/>
  <c r="M16" i="2"/>
  <c r="I819" i="29"/>
  <c r="I876" i="29"/>
  <c r="N29" i="34"/>
  <c r="M28" i="29"/>
  <c r="H38" i="35"/>
  <c r="F38" i="35"/>
  <c r="F26" i="36"/>
  <c r="G41" i="35"/>
  <c r="J30" i="35"/>
  <c r="M18" i="14"/>
  <c r="L18" i="36"/>
  <c r="F123" i="34"/>
  <c r="E666" i="29"/>
  <c r="E868" i="29" s="1"/>
  <c r="I85" i="38"/>
  <c r="I87" i="34" s="1"/>
  <c r="I197" i="38"/>
  <c r="I199" i="34" s="1"/>
  <c r="F126" i="34"/>
  <c r="I32" i="35"/>
  <c r="G38" i="35"/>
  <c r="F41" i="35"/>
  <c r="I38" i="35"/>
  <c r="G26" i="36"/>
  <c r="H32" i="35"/>
  <c r="K57" i="34"/>
  <c r="G27" i="35"/>
  <c r="F27" i="35"/>
  <c r="J41" i="35"/>
  <c r="J18" i="34"/>
  <c r="I123" i="34"/>
  <c r="F32" i="35"/>
  <c r="I26" i="36"/>
  <c r="H18" i="34"/>
  <c r="F201" i="34"/>
  <c r="F133" i="34"/>
  <c r="I18" i="34"/>
  <c r="H41" i="35"/>
  <c r="G32" i="35"/>
  <c r="I198" i="38"/>
  <c r="I200" i="34" s="1"/>
  <c r="I132" i="34"/>
  <c r="G196" i="38"/>
  <c r="G198" i="34" s="1"/>
  <c r="G130" i="34"/>
  <c r="M63" i="34"/>
  <c r="H27" i="35"/>
  <c r="F136" i="34"/>
  <c r="J95" i="58"/>
  <c r="J136" i="34"/>
  <c r="H198" i="38"/>
  <c r="H200" i="34" s="1"/>
  <c r="H132" i="34"/>
  <c r="F132" i="34"/>
  <c r="I41" i="35"/>
  <c r="F30" i="35"/>
  <c r="F127" i="34"/>
  <c r="H123" i="34"/>
  <c r="H192" i="38"/>
  <c r="H194" i="34" s="1"/>
  <c r="H126" i="34"/>
  <c r="I27" i="35"/>
  <c r="H196" i="38"/>
  <c r="H198" i="34" s="1"/>
  <c r="H130" i="34"/>
  <c r="J196" i="38"/>
  <c r="J198" i="34" s="1"/>
  <c r="J130" i="34"/>
  <c r="G85" i="38"/>
  <c r="G87" i="34" s="1"/>
  <c r="M62" i="34"/>
  <c r="H26" i="36"/>
  <c r="H24" i="35"/>
  <c r="G24" i="35"/>
  <c r="J32" i="35"/>
  <c r="G123" i="34"/>
  <c r="G94" i="39"/>
  <c r="G94" i="35" s="1"/>
  <c r="G126" i="34"/>
  <c r="I196" i="38"/>
  <c r="I198" i="34" s="1"/>
  <c r="I130" i="34"/>
  <c r="G198" i="38"/>
  <c r="G200" i="34" s="1"/>
  <c r="G132" i="34"/>
  <c r="L59" i="38"/>
  <c r="L61" i="34" s="1"/>
  <c r="K61" i="34"/>
  <c r="I95" i="58"/>
  <c r="I136" i="34"/>
  <c r="G197" i="38"/>
  <c r="G199" i="34" s="1"/>
  <c r="F18" i="34"/>
  <c r="G16" i="40"/>
  <c r="F135" i="34"/>
  <c r="J123" i="34"/>
  <c r="I94" i="39"/>
  <c r="I94" i="35" s="1"/>
  <c r="J24" i="35"/>
  <c r="J198" i="38"/>
  <c r="J200" i="34" s="1"/>
  <c r="J132" i="34"/>
  <c r="F198" i="34"/>
  <c r="F130" i="34"/>
  <c r="G30" i="35"/>
  <c r="H30" i="35"/>
  <c r="J27" i="35"/>
  <c r="F42" i="50"/>
  <c r="E443" i="29"/>
  <c r="E447" i="29" s="1"/>
  <c r="G73" i="21"/>
  <c r="G66" i="21"/>
  <c r="E665" i="29"/>
  <c r="G110" i="21"/>
  <c r="E667" i="29"/>
  <c r="D751" i="29"/>
  <c r="E664" i="29"/>
  <c r="E858" i="29" s="1"/>
  <c r="E856" i="29" s="1"/>
  <c r="F123" i="2"/>
  <c r="I192" i="38"/>
  <c r="I147" i="39" s="1"/>
  <c r="I147" i="35" s="1"/>
  <c r="H94" i="39"/>
  <c r="H94" i="35" s="1"/>
  <c r="G42" i="54"/>
  <c r="J42" i="50"/>
  <c r="F34" i="51"/>
  <c r="F36" i="51" s="1"/>
  <c r="J42" i="54"/>
  <c r="K16" i="38"/>
  <c r="E128" i="34"/>
  <c r="G42" i="50"/>
  <c r="H34" i="54"/>
  <c r="F34" i="50"/>
  <c r="G87" i="58"/>
  <c r="F34" i="59"/>
  <c r="F36" i="59" s="1"/>
  <c r="H10" i="39"/>
  <c r="H20" i="58"/>
  <c r="H44" i="58" s="1"/>
  <c r="I10" i="39"/>
  <c r="I20" i="58"/>
  <c r="I44" i="58" s="1"/>
  <c r="H73" i="58"/>
  <c r="H74" i="59"/>
  <c r="I73" i="58"/>
  <c r="F193" i="38"/>
  <c r="G120" i="59"/>
  <c r="F19" i="59"/>
  <c r="F74" i="59"/>
  <c r="G95" i="58"/>
  <c r="H87" i="58"/>
  <c r="F72" i="40"/>
  <c r="F10" i="39"/>
  <c r="F20" i="58"/>
  <c r="J10" i="39"/>
  <c r="J20" i="58"/>
  <c r="J44" i="58" s="1"/>
  <c r="G192" i="38"/>
  <c r="I74" i="59"/>
  <c r="K56" i="38"/>
  <c r="F201" i="38"/>
  <c r="F202" i="38"/>
  <c r="G10" i="39"/>
  <c r="G20" i="58"/>
  <c r="G44" i="58" s="1"/>
  <c r="G73" i="58"/>
  <c r="H95" i="58"/>
  <c r="F192" i="38"/>
  <c r="I87" i="58"/>
  <c r="J87" i="58"/>
  <c r="G74" i="59"/>
  <c r="F34" i="58"/>
  <c r="G654" i="29"/>
  <c r="K41" i="2"/>
  <c r="J28" i="62"/>
  <c r="K42" i="54"/>
  <c r="J28" i="51"/>
  <c r="K42" i="50"/>
  <c r="F19" i="51"/>
  <c r="H15" i="29"/>
  <c r="F654" i="29"/>
  <c r="G126" i="50"/>
  <c r="F34" i="54"/>
  <c r="F42" i="54"/>
  <c r="J34" i="54"/>
  <c r="F19" i="62"/>
  <c r="I42" i="50"/>
  <c r="F50" i="50"/>
  <c r="I34" i="50"/>
  <c r="I42" i="54"/>
  <c r="K15" i="29"/>
  <c r="H654" i="29"/>
  <c r="J15" i="29"/>
  <c r="I34" i="54"/>
  <c r="I15" i="29"/>
  <c r="F15" i="29"/>
  <c r="I654" i="29"/>
  <c r="G34" i="50"/>
  <c r="H42" i="50"/>
  <c r="E15" i="29"/>
  <c r="G15" i="29"/>
  <c r="L15" i="29"/>
  <c r="G34" i="54"/>
  <c r="H42" i="54"/>
  <c r="H34" i="50"/>
  <c r="J34" i="50"/>
  <c r="E200" i="4"/>
  <c r="K41" i="39"/>
  <c r="J26" i="40"/>
  <c r="I73" i="42"/>
  <c r="F83" i="2"/>
  <c r="F136" i="2"/>
  <c r="H431" i="29"/>
  <c r="H433" i="29" s="1"/>
  <c r="H434" i="29" s="1"/>
  <c r="I131" i="4"/>
  <c r="H193" i="38"/>
  <c r="H195" i="34" s="1"/>
  <c r="H83" i="39"/>
  <c r="H83" i="35" s="1"/>
  <c r="I80" i="2"/>
  <c r="I80" i="35" s="1"/>
  <c r="F431" i="29"/>
  <c r="F433" i="29" s="1"/>
  <c r="F434" i="29" s="1"/>
  <c r="G131" i="4"/>
  <c r="J193" i="38"/>
  <c r="J195" i="34" s="1"/>
  <c r="K125" i="38"/>
  <c r="J83" i="39"/>
  <c r="J83" i="35" s="1"/>
  <c r="I189" i="38"/>
  <c r="I191" i="34" s="1"/>
  <c r="I85" i="39"/>
  <c r="I126" i="38"/>
  <c r="L67" i="34"/>
  <c r="K27" i="2"/>
  <c r="K27" i="35" s="1"/>
  <c r="L55" i="38"/>
  <c r="K30" i="39"/>
  <c r="J189" i="38"/>
  <c r="K121" i="38"/>
  <c r="J85" i="39"/>
  <c r="J126" i="38"/>
  <c r="F80" i="39"/>
  <c r="F203" i="38"/>
  <c r="F189" i="38"/>
  <c r="K30" i="2"/>
  <c r="I202" i="38"/>
  <c r="I204" i="34" s="1"/>
  <c r="I91" i="39"/>
  <c r="I91" i="35" s="1"/>
  <c r="G80" i="2"/>
  <c r="G80" i="35" s="1"/>
  <c r="L51" i="38"/>
  <c r="K32" i="39"/>
  <c r="G189" i="38"/>
  <c r="G85" i="39"/>
  <c r="G126" i="38"/>
  <c r="F77" i="2"/>
  <c r="J26" i="14"/>
  <c r="G202" i="38"/>
  <c r="G204" i="34" s="1"/>
  <c r="G91" i="39"/>
  <c r="G91" i="35" s="1"/>
  <c r="I201" i="38"/>
  <c r="I203" i="34" s="1"/>
  <c r="I77" i="39"/>
  <c r="I77" i="35" s="1"/>
  <c r="F80" i="2"/>
  <c r="F133" i="2"/>
  <c r="F197" i="38"/>
  <c r="F199" i="34" s="1"/>
  <c r="H189" i="38"/>
  <c r="H85" i="39"/>
  <c r="H126" i="38"/>
  <c r="J202" i="38"/>
  <c r="J204" i="34" s="1"/>
  <c r="J91" i="39"/>
  <c r="J91" i="35" s="1"/>
  <c r="J201" i="38"/>
  <c r="J203" i="34" s="1"/>
  <c r="K133" i="38"/>
  <c r="J77" i="39"/>
  <c r="J77" i="35" s="1"/>
  <c r="G431" i="29"/>
  <c r="G433" i="29" s="1"/>
  <c r="G434" i="29" s="1"/>
  <c r="H131" i="4"/>
  <c r="H202" i="38"/>
  <c r="H204" i="34" s="1"/>
  <c r="H91" i="39"/>
  <c r="H91" i="35" s="1"/>
  <c r="H201" i="38"/>
  <c r="H203" i="34" s="1"/>
  <c r="H77" i="39"/>
  <c r="H77" i="35" s="1"/>
  <c r="J197" i="38"/>
  <c r="J199" i="34" s="1"/>
  <c r="K129" i="38"/>
  <c r="J85" i="38"/>
  <c r="J87" i="34" s="1"/>
  <c r="I193" i="38"/>
  <c r="I195" i="34" s="1"/>
  <c r="I83" i="39"/>
  <c r="I83" i="35" s="1"/>
  <c r="K24" i="39"/>
  <c r="J80" i="2"/>
  <c r="J80" i="35" s="1"/>
  <c r="F200" i="34"/>
  <c r="F94" i="2"/>
  <c r="F200" i="38"/>
  <c r="F202" i="34" s="1"/>
  <c r="E431" i="29"/>
  <c r="E433" i="29" s="1"/>
  <c r="E434" i="29" s="1"/>
  <c r="G193" i="38"/>
  <c r="G195" i="34" s="1"/>
  <c r="G83" i="39"/>
  <c r="G83" i="35" s="1"/>
  <c r="I431" i="29"/>
  <c r="I433" i="29" s="1"/>
  <c r="I434" i="29" s="1"/>
  <c r="J131" i="4"/>
  <c r="G201" i="38"/>
  <c r="G203" i="34" s="1"/>
  <c r="G77" i="39"/>
  <c r="G77" i="35" s="1"/>
  <c r="H80" i="2"/>
  <c r="H80" i="35" s="1"/>
  <c r="J192" i="38"/>
  <c r="J194" i="34" s="1"/>
  <c r="J94" i="39"/>
  <c r="J94" i="35" s="1"/>
  <c r="P65" i="21"/>
  <c r="F126" i="38"/>
  <c r="F94" i="39"/>
  <c r="F32" i="40"/>
  <c r="F83" i="39"/>
  <c r="F131" i="4"/>
  <c r="F85" i="39"/>
  <c r="F77" i="39"/>
  <c r="G58" i="34"/>
  <c r="F91" i="39"/>
  <c r="H58" i="34"/>
  <c r="F58" i="34"/>
  <c r="I58" i="34"/>
  <c r="J58" i="34"/>
  <c r="F91" i="2"/>
  <c r="J69" i="38"/>
  <c r="F69" i="38"/>
  <c r="F71" i="38" s="1"/>
  <c r="G70" i="38" s="1"/>
  <c r="H69" i="38"/>
  <c r="I69" i="38"/>
  <c r="G69" i="38"/>
  <c r="I49" i="42"/>
  <c r="H73" i="42"/>
  <c r="D43" i="42"/>
  <c r="D47" i="42" s="1"/>
  <c r="D49" i="42" s="1"/>
  <c r="D71" i="42"/>
  <c r="D73" i="42" s="1"/>
  <c r="F71" i="42"/>
  <c r="F43" i="42"/>
  <c r="F47" i="42" s="1"/>
  <c r="F49" i="42" s="1"/>
  <c r="H49" i="42"/>
  <c r="F64" i="42"/>
  <c r="G73" i="42"/>
  <c r="G49" i="42"/>
  <c r="E71" i="42"/>
  <c r="E73" i="42" s="1"/>
  <c r="E43" i="42"/>
  <c r="E47" i="42" s="1"/>
  <c r="E49" i="42" s="1"/>
  <c r="K82" i="34" l="1"/>
  <c r="W84" i="4"/>
  <c r="J332" i="29"/>
  <c r="W85" i="4"/>
  <c r="W102" i="4"/>
  <c r="J348" i="29"/>
  <c r="K97" i="34"/>
  <c r="J333" i="29"/>
  <c r="J337" i="29"/>
  <c r="K102" i="34"/>
  <c r="K88" i="34"/>
  <c r="K85" i="34"/>
  <c r="K99" i="34"/>
  <c r="K193" i="34"/>
  <c r="H147" i="39"/>
  <c r="H147" i="35" s="1"/>
  <c r="G153" i="38"/>
  <c r="K192" i="34"/>
  <c r="K34" i="58"/>
  <c r="N445" i="29"/>
  <c r="P111" i="21"/>
  <c r="N765" i="29" s="1"/>
  <c r="K135" i="34"/>
  <c r="L110" i="62"/>
  <c r="K237" i="42"/>
  <c r="L204" i="61"/>
  <c r="K108" i="59"/>
  <c r="L61" i="59"/>
  <c r="L108" i="62"/>
  <c r="K42" i="58"/>
  <c r="K38" i="35"/>
  <c r="K50" i="58"/>
  <c r="K98" i="34"/>
  <c r="K127" i="34"/>
  <c r="K83" i="34"/>
  <c r="M53" i="38"/>
  <c r="M86" i="57"/>
  <c r="L154" i="57"/>
  <c r="K158" i="4"/>
  <c r="J654" i="29" s="1"/>
  <c r="L101" i="4"/>
  <c r="X101" i="4" s="1"/>
  <c r="M101" i="49"/>
  <c r="K18" i="34"/>
  <c r="K118" i="39"/>
  <c r="K153" i="34"/>
  <c r="K156" i="34"/>
  <c r="L61" i="54"/>
  <c r="M88" i="61"/>
  <c r="W88" i="61"/>
  <c r="L138" i="4"/>
  <c r="L77" i="2" s="1"/>
  <c r="L77" i="50"/>
  <c r="M138" i="49"/>
  <c r="L137" i="54"/>
  <c r="L138" i="54" s="1"/>
  <c r="M200" i="61"/>
  <c r="L198" i="4"/>
  <c r="L147" i="2" s="1"/>
  <c r="K118" i="14" s="1"/>
  <c r="M198" i="49"/>
  <c r="L147" i="50"/>
  <c r="K118" i="51" s="1"/>
  <c r="K124" i="51" s="1"/>
  <c r="L208" i="4"/>
  <c r="M208" i="49"/>
  <c r="L144" i="50"/>
  <c r="W175" i="61"/>
  <c r="L210" i="61"/>
  <c r="L159" i="4" s="1"/>
  <c r="K657" i="29" s="1"/>
  <c r="M175" i="61"/>
  <c r="H70" i="44"/>
  <c r="I14" i="44"/>
  <c r="L69" i="54"/>
  <c r="W103" i="61"/>
  <c r="M103" i="61"/>
  <c r="L130" i="4"/>
  <c r="L83" i="2" s="1"/>
  <c r="L83" i="50"/>
  <c r="M130" i="49"/>
  <c r="L85" i="50"/>
  <c r="M126" i="49"/>
  <c r="L131" i="49"/>
  <c r="L65" i="58"/>
  <c r="M83" i="57"/>
  <c r="L151" i="57"/>
  <c r="K140" i="4"/>
  <c r="K137" i="34" s="1"/>
  <c r="M55" i="57"/>
  <c r="L30" i="58"/>
  <c r="L83" i="58"/>
  <c r="M125" i="57"/>
  <c r="L193" i="57"/>
  <c r="L136" i="58" s="1"/>
  <c r="K206" i="4"/>
  <c r="K63" i="58"/>
  <c r="K166" i="34"/>
  <c r="M59" i="57"/>
  <c r="L16" i="57"/>
  <c r="L10" i="58" s="1"/>
  <c r="L136" i="54"/>
  <c r="M203" i="61"/>
  <c r="L199" i="4"/>
  <c r="L136" i="2" s="1"/>
  <c r="M199" i="49"/>
  <c r="L136" i="50"/>
  <c r="M156" i="49"/>
  <c r="L156" i="4"/>
  <c r="L118" i="50"/>
  <c r="K170" i="34"/>
  <c r="M88" i="49"/>
  <c r="L88" i="4"/>
  <c r="X88" i="4" s="1"/>
  <c r="L211" i="61"/>
  <c r="L130" i="54" s="1"/>
  <c r="L77" i="54"/>
  <c r="L181" i="42"/>
  <c r="K213" i="42"/>
  <c r="M197" i="42"/>
  <c r="L237" i="42"/>
  <c r="J94" i="44"/>
  <c r="L68" i="58"/>
  <c r="L161" i="57"/>
  <c r="L121" i="58" s="1"/>
  <c r="M93" i="57"/>
  <c r="M98" i="49"/>
  <c r="L68" i="50"/>
  <c r="L87" i="4"/>
  <c r="X87" i="4" s="1"/>
  <c r="M87" i="49"/>
  <c r="L65" i="50"/>
  <c r="L102" i="4"/>
  <c r="M102" i="49"/>
  <c r="L137" i="49"/>
  <c r="M64" i="57"/>
  <c r="L38" i="58"/>
  <c r="L38" i="35" s="1"/>
  <c r="L66" i="34"/>
  <c r="L162" i="61"/>
  <c r="L116" i="54" s="1"/>
  <c r="M207" i="61"/>
  <c r="L203" i="4"/>
  <c r="M203" i="49"/>
  <c r="L158" i="49"/>
  <c r="K113" i="50"/>
  <c r="K153" i="4"/>
  <c r="J651" i="29" s="1"/>
  <c r="J647" i="29" s="1"/>
  <c r="M91" i="61"/>
  <c r="W91" i="61"/>
  <c r="K72" i="62"/>
  <c r="L94" i="54"/>
  <c r="L95" i="54" s="1"/>
  <c r="L129" i="4"/>
  <c r="W174" i="61"/>
  <c r="M174" i="61"/>
  <c r="L209" i="4"/>
  <c r="M209" i="49"/>
  <c r="L133" i="50"/>
  <c r="L136" i="4"/>
  <c r="L133" i="34" s="1"/>
  <c r="K139" i="44"/>
  <c r="M54" i="57"/>
  <c r="L41" i="58"/>
  <c r="K26" i="59"/>
  <c r="L191" i="57"/>
  <c r="M123" i="57"/>
  <c r="K137" i="44"/>
  <c r="L134" i="4"/>
  <c r="L62" i="51"/>
  <c r="M169" i="49"/>
  <c r="L169" i="4"/>
  <c r="L122" i="50"/>
  <c r="W178" i="61"/>
  <c r="L125" i="54"/>
  <c r="M178" i="61"/>
  <c r="K78" i="4"/>
  <c r="J331" i="29"/>
  <c r="J327" i="29" s="1"/>
  <c r="L216" i="42"/>
  <c r="K230" i="42"/>
  <c r="K75" i="42" s="1"/>
  <c r="K94" i="2"/>
  <c r="J72" i="14"/>
  <c r="K122" i="39"/>
  <c r="K165" i="34"/>
  <c r="K131" i="34"/>
  <c r="K116" i="54"/>
  <c r="M86" i="38"/>
  <c r="L154" i="38"/>
  <c r="J124" i="51"/>
  <c r="J120" i="51"/>
  <c r="K204" i="34"/>
  <c r="K144" i="2"/>
  <c r="K144" i="35" s="1"/>
  <c r="L124" i="34"/>
  <c r="M122" i="38"/>
  <c r="L190" i="38"/>
  <c r="W160" i="61"/>
  <c r="L118" i="54"/>
  <c r="M160" i="61"/>
  <c r="M80" i="38"/>
  <c r="L148" i="38"/>
  <c r="M129" i="57"/>
  <c r="L197" i="57"/>
  <c r="L85" i="57"/>
  <c r="L153" i="57" s="1"/>
  <c r="M134" i="49"/>
  <c r="L89" i="49"/>
  <c r="L165" i="57"/>
  <c r="M97" i="57"/>
  <c r="L132" i="57"/>
  <c r="L200" i="57" s="1"/>
  <c r="M62" i="57"/>
  <c r="L64" i="34"/>
  <c r="J124" i="62"/>
  <c r="J120" i="62"/>
  <c r="K136" i="58"/>
  <c r="K107" i="59"/>
  <c r="M123" i="38"/>
  <c r="L191" i="38"/>
  <c r="K167" i="34"/>
  <c r="J667" i="29"/>
  <c r="L110" i="21"/>
  <c r="M84" i="57"/>
  <c r="L152" i="57"/>
  <c r="L116" i="58" s="1"/>
  <c r="L100" i="4"/>
  <c r="X100" i="4" s="1"/>
  <c r="L69" i="50"/>
  <c r="M100" i="49"/>
  <c r="L54" i="34"/>
  <c r="M52" i="38"/>
  <c r="L31" i="39"/>
  <c r="L31" i="35" s="1"/>
  <c r="M81" i="38"/>
  <c r="L149" i="38"/>
  <c r="M96" i="38"/>
  <c r="L164" i="38"/>
  <c r="J28" i="59"/>
  <c r="J32" i="59"/>
  <c r="K32" i="59" s="1"/>
  <c r="K24" i="57" s="1"/>
  <c r="M204" i="49"/>
  <c r="L204" i="4"/>
  <c r="L200" i="34" s="1"/>
  <c r="M195" i="49"/>
  <c r="L200" i="49"/>
  <c r="L195" i="4"/>
  <c r="L174" i="4"/>
  <c r="M174" i="49"/>
  <c r="L125" i="50"/>
  <c r="L141" i="44"/>
  <c r="J64" i="42"/>
  <c r="J73" i="42" s="1"/>
  <c r="M104" i="61"/>
  <c r="W104" i="61"/>
  <c r="L157" i="4"/>
  <c r="K653" i="29" s="1"/>
  <c r="M157" i="49"/>
  <c r="K65" i="2"/>
  <c r="J338" i="29"/>
  <c r="M105" i="49"/>
  <c r="L105" i="4"/>
  <c r="X105" i="4" s="1"/>
  <c r="L72" i="50"/>
  <c r="K137" i="4"/>
  <c r="N17" i="14"/>
  <c r="M17" i="36"/>
  <c r="L32" i="58"/>
  <c r="L56" i="57"/>
  <c r="M212" i="61"/>
  <c r="L144" i="54"/>
  <c r="L114" i="50"/>
  <c r="M154" i="49"/>
  <c r="L154" i="4"/>
  <c r="J145" i="44"/>
  <c r="K138" i="44"/>
  <c r="H71" i="44"/>
  <c r="G63" i="44"/>
  <c r="G81" i="44" s="1"/>
  <c r="G72" i="44"/>
  <c r="G73" i="44" s="1"/>
  <c r="J78" i="62"/>
  <c r="J74" i="62"/>
  <c r="L69" i="39"/>
  <c r="M95" i="38"/>
  <c r="L163" i="38"/>
  <c r="M83" i="38"/>
  <c r="L65" i="39"/>
  <c r="L151" i="38"/>
  <c r="M136" i="49"/>
  <c r="W108" i="61"/>
  <c r="M108" i="61"/>
  <c r="L72" i="54"/>
  <c r="L190" i="57"/>
  <c r="M122" i="57"/>
  <c r="L85" i="58"/>
  <c r="M121" i="57"/>
  <c r="L189" i="57"/>
  <c r="K78" i="51"/>
  <c r="K148" i="50"/>
  <c r="L126" i="57"/>
  <c r="L192" i="57"/>
  <c r="M124" i="57"/>
  <c r="K72" i="59"/>
  <c r="K78" i="59" s="1"/>
  <c r="L94" i="58"/>
  <c r="M93" i="61"/>
  <c r="W93" i="61"/>
  <c r="L90" i="4"/>
  <c r="X90" i="4" s="1"/>
  <c r="M140" i="49"/>
  <c r="L80" i="50"/>
  <c r="L77" i="58"/>
  <c r="M133" i="57"/>
  <c r="L201" i="57"/>
  <c r="L130" i="58" s="1"/>
  <c r="W163" i="61"/>
  <c r="M163" i="61"/>
  <c r="K116" i="58"/>
  <c r="L249" i="42"/>
  <c r="K60" i="42"/>
  <c r="L83" i="54"/>
  <c r="L121" i="50"/>
  <c r="M167" i="49"/>
  <c r="W87" i="61"/>
  <c r="L60" i="54"/>
  <c r="M87" i="61"/>
  <c r="L157" i="61"/>
  <c r="L79" i="61"/>
  <c r="J77" i="42"/>
  <c r="K53" i="4" s="1"/>
  <c r="J238" i="42"/>
  <c r="J239" i="42" s="1"/>
  <c r="J232" i="42"/>
  <c r="L163" i="57"/>
  <c r="L122" i="58" s="1"/>
  <c r="L69" i="58"/>
  <c r="M95" i="57"/>
  <c r="I153" i="38"/>
  <c r="I155" i="34" s="1"/>
  <c r="W161" i="61"/>
  <c r="M161" i="61"/>
  <c r="W105" i="61"/>
  <c r="M105" i="61"/>
  <c r="M170" i="49"/>
  <c r="L170" i="4"/>
  <c r="K668" i="29" s="1"/>
  <c r="K138" i="58"/>
  <c r="M207" i="49"/>
  <c r="L130" i="50"/>
  <c r="K194" i="57"/>
  <c r="K147" i="58"/>
  <c r="J118" i="59"/>
  <c r="J124" i="59" s="1"/>
  <c r="M85" i="49"/>
  <c r="L85" i="4"/>
  <c r="X85" i="4" s="1"/>
  <c r="L61" i="50"/>
  <c r="L62" i="59"/>
  <c r="L15" i="59"/>
  <c r="M63" i="57"/>
  <c r="L24" i="58"/>
  <c r="M202" i="61"/>
  <c r="L147" i="54"/>
  <c r="K118" i="62" s="1"/>
  <c r="W158" i="61"/>
  <c r="M158" i="61"/>
  <c r="L114" i="54"/>
  <c r="L108" i="51"/>
  <c r="L206" i="49"/>
  <c r="L171" i="4"/>
  <c r="I160" i="28" s="1"/>
  <c r="M171" i="49"/>
  <c r="M80" i="57"/>
  <c r="L60" i="58"/>
  <c r="L148" i="57"/>
  <c r="L113" i="58" s="1"/>
  <c r="K24" i="54"/>
  <c r="K63" i="4"/>
  <c r="L203" i="42"/>
  <c r="K236" i="42"/>
  <c r="L188" i="42"/>
  <c r="K69" i="2"/>
  <c r="J349" i="29"/>
  <c r="M93" i="38"/>
  <c r="L161" i="38"/>
  <c r="W90" i="61"/>
  <c r="L65" i="54"/>
  <c r="M90" i="61"/>
  <c r="M135" i="49"/>
  <c r="L135" i="4"/>
  <c r="L132" i="34" s="1"/>
  <c r="M100" i="38"/>
  <c r="L168" i="38"/>
  <c r="M97" i="38"/>
  <c r="L165" i="38"/>
  <c r="M205" i="49"/>
  <c r="L205" i="4"/>
  <c r="L201" i="34" s="1"/>
  <c r="W173" i="61"/>
  <c r="L122" i="54"/>
  <c r="M173" i="61"/>
  <c r="K118" i="2"/>
  <c r="J658" i="29"/>
  <c r="V157" i="61"/>
  <c r="K113" i="54"/>
  <c r="L80" i="54"/>
  <c r="K143" i="44"/>
  <c r="K92" i="61"/>
  <c r="I44" i="44"/>
  <c r="H61" i="44"/>
  <c r="L126" i="4" s="1"/>
  <c r="J30" i="44"/>
  <c r="I70" i="44"/>
  <c r="M81" i="57"/>
  <c r="L149" i="57"/>
  <c r="L114" i="58" s="1"/>
  <c r="L61" i="58"/>
  <c r="L72" i="58"/>
  <c r="M100" i="57"/>
  <c r="L168" i="57"/>
  <c r="L125" i="58" s="1"/>
  <c r="J347" i="29"/>
  <c r="L64" i="21"/>
  <c r="M16" i="59"/>
  <c r="K148" i="54"/>
  <c r="L196" i="4"/>
  <c r="L137" i="2" s="1"/>
  <c r="L137" i="35" s="1"/>
  <c r="M196" i="49"/>
  <c r="L137" i="50"/>
  <c r="L138" i="50" s="1"/>
  <c r="L133" i="54"/>
  <c r="M213" i="61"/>
  <c r="K122" i="2"/>
  <c r="J669" i="29"/>
  <c r="K151" i="34"/>
  <c r="J652" i="29"/>
  <c r="L60" i="50"/>
  <c r="L153" i="49"/>
  <c r="M84" i="49"/>
  <c r="L84" i="4"/>
  <c r="J24" i="44"/>
  <c r="I71" i="44"/>
  <c r="I7" i="44"/>
  <c r="H42" i="44"/>
  <c r="I90" i="44"/>
  <c r="H98" i="44"/>
  <c r="G118" i="40"/>
  <c r="G118" i="36" s="1"/>
  <c r="H153" i="38"/>
  <c r="N201" i="61"/>
  <c r="M197" i="4"/>
  <c r="O199" i="61"/>
  <c r="O32" i="34"/>
  <c r="N16" i="2"/>
  <c r="I873" i="29"/>
  <c r="G115" i="28" s="1"/>
  <c r="I874" i="29"/>
  <c r="I889" i="29" s="1"/>
  <c r="G65" i="28" s="1"/>
  <c r="N18" i="14"/>
  <c r="M18" i="36"/>
  <c r="E438" i="29"/>
  <c r="E446" i="29" s="1"/>
  <c r="G50" i="50"/>
  <c r="F8" i="51"/>
  <c r="F77" i="35"/>
  <c r="G191" i="34"/>
  <c r="K41" i="35"/>
  <c r="F203" i="34"/>
  <c r="F194" i="34"/>
  <c r="J26" i="36"/>
  <c r="L16" i="38"/>
  <c r="M59" i="38"/>
  <c r="K123" i="34"/>
  <c r="G32" i="40"/>
  <c r="H126" i="58"/>
  <c r="H155" i="34"/>
  <c r="F34" i="62"/>
  <c r="F36" i="62" s="1"/>
  <c r="N62" i="34"/>
  <c r="F72" i="36"/>
  <c r="F136" i="39"/>
  <c r="F136" i="35" s="1"/>
  <c r="F195" i="34"/>
  <c r="H118" i="40"/>
  <c r="H118" i="36" s="1"/>
  <c r="I194" i="34"/>
  <c r="G126" i="58"/>
  <c r="G155" i="34"/>
  <c r="H16" i="40"/>
  <c r="I133" i="2"/>
  <c r="I133" i="35" s="1"/>
  <c r="I205" i="34"/>
  <c r="F94" i="35"/>
  <c r="F80" i="35"/>
  <c r="K95" i="58"/>
  <c r="J205" i="34"/>
  <c r="J133" i="2"/>
  <c r="J133" i="35" s="1"/>
  <c r="J191" i="34"/>
  <c r="F118" i="40"/>
  <c r="F118" i="36" s="1"/>
  <c r="G194" i="34"/>
  <c r="I126" i="58"/>
  <c r="F205" i="34"/>
  <c r="K26" i="40"/>
  <c r="L56" i="34"/>
  <c r="F83" i="35"/>
  <c r="H191" i="34"/>
  <c r="K30" i="35"/>
  <c r="N63" i="34"/>
  <c r="H205" i="34"/>
  <c r="H133" i="2"/>
  <c r="H133" i="35" s="1"/>
  <c r="G133" i="2"/>
  <c r="G133" i="35" s="1"/>
  <c r="G205" i="34"/>
  <c r="F91" i="35"/>
  <c r="F138" i="39"/>
  <c r="F191" i="34"/>
  <c r="L57" i="34"/>
  <c r="L41" i="39"/>
  <c r="F144" i="39"/>
  <c r="F204" i="34"/>
  <c r="E196" i="34"/>
  <c r="E763" i="29"/>
  <c r="E767" i="29" s="1"/>
  <c r="G112" i="21"/>
  <c r="G119" i="21"/>
  <c r="E556" i="29"/>
  <c r="E499" i="29"/>
  <c r="H120" i="59"/>
  <c r="I148" i="58"/>
  <c r="K10" i="39"/>
  <c r="G147" i="39"/>
  <c r="G147" i="35" s="1"/>
  <c r="F130" i="39"/>
  <c r="G87" i="50"/>
  <c r="G97" i="50" s="1"/>
  <c r="F95" i="58"/>
  <c r="F147" i="39"/>
  <c r="F144" i="2"/>
  <c r="F95" i="50"/>
  <c r="H128" i="34"/>
  <c r="H129" i="34" s="1"/>
  <c r="K34" i="50"/>
  <c r="G87" i="54"/>
  <c r="J87" i="54"/>
  <c r="H87" i="54"/>
  <c r="H148" i="58"/>
  <c r="F148" i="58"/>
  <c r="F103" i="58"/>
  <c r="G103" i="58" s="1"/>
  <c r="H103" i="58" s="1"/>
  <c r="I103" i="58" s="1"/>
  <c r="J103" i="58" s="1"/>
  <c r="K103" i="58" s="1"/>
  <c r="H97" i="58"/>
  <c r="J153" i="38"/>
  <c r="J73" i="58"/>
  <c r="J97" i="58" s="1"/>
  <c r="J140" i="58"/>
  <c r="F87" i="58"/>
  <c r="F156" i="58"/>
  <c r="G156" i="58" s="1"/>
  <c r="H156" i="58" s="1"/>
  <c r="I156" i="58" s="1"/>
  <c r="J156" i="58" s="1"/>
  <c r="I140" i="58"/>
  <c r="F194" i="38"/>
  <c r="G97" i="58"/>
  <c r="G148" i="58"/>
  <c r="F120" i="59"/>
  <c r="J74" i="59"/>
  <c r="K87" i="58"/>
  <c r="J148" i="58"/>
  <c r="I120" i="59"/>
  <c r="G140" i="58"/>
  <c r="G19" i="59"/>
  <c r="I97" i="58"/>
  <c r="H140" i="58"/>
  <c r="F44" i="58"/>
  <c r="F48" i="58" s="1"/>
  <c r="F7" i="59" s="1"/>
  <c r="F103" i="50"/>
  <c r="F65" i="51"/>
  <c r="K28" i="62"/>
  <c r="K28" i="51"/>
  <c r="L42" i="54"/>
  <c r="L42" i="50"/>
  <c r="G19" i="62"/>
  <c r="F65" i="62"/>
  <c r="F95" i="54"/>
  <c r="F87" i="50"/>
  <c r="I87" i="50"/>
  <c r="J87" i="50"/>
  <c r="F87" i="54"/>
  <c r="I87" i="54"/>
  <c r="G19" i="51"/>
  <c r="H87" i="50"/>
  <c r="G34" i="62"/>
  <c r="G36" i="62" s="1"/>
  <c r="F130" i="2"/>
  <c r="F147" i="2"/>
  <c r="F200" i="4"/>
  <c r="J128" i="34"/>
  <c r="J129" i="34" s="1"/>
  <c r="I136" i="39"/>
  <c r="I136" i="35" s="1"/>
  <c r="F128" i="34"/>
  <c r="F129" i="34" s="1"/>
  <c r="I118" i="40"/>
  <c r="I118" i="36" s="1"/>
  <c r="J147" i="39"/>
  <c r="J147" i="35" s="1"/>
  <c r="G130" i="39"/>
  <c r="G130" i="35" s="1"/>
  <c r="H138" i="39"/>
  <c r="H194" i="38"/>
  <c r="I130" i="39"/>
  <c r="I130" i="35" s="1"/>
  <c r="M51" i="38"/>
  <c r="L32" i="39"/>
  <c r="L56" i="38"/>
  <c r="L30" i="2"/>
  <c r="K189" i="38"/>
  <c r="L121" i="38"/>
  <c r="K85" i="39"/>
  <c r="I138" i="39"/>
  <c r="I194" i="38"/>
  <c r="N59" i="38"/>
  <c r="J130" i="39"/>
  <c r="J130" i="35" s="1"/>
  <c r="J136" i="39"/>
  <c r="J136" i="35" s="1"/>
  <c r="H751" i="29"/>
  <c r="H753" i="29" s="1"/>
  <c r="H754" i="29" s="1"/>
  <c r="I200" i="4"/>
  <c r="E751" i="29"/>
  <c r="E753" i="29" s="1"/>
  <c r="E754" i="29" s="1"/>
  <c r="G144" i="39"/>
  <c r="G144" i="35" s="1"/>
  <c r="M55" i="38"/>
  <c r="L30" i="39"/>
  <c r="G128" i="34"/>
  <c r="G129" i="34" s="1"/>
  <c r="I751" i="29"/>
  <c r="I753" i="29" s="1"/>
  <c r="I754" i="29" s="1"/>
  <c r="J200" i="4"/>
  <c r="L24" i="39"/>
  <c r="H144" i="39"/>
  <c r="H144" i="35" s="1"/>
  <c r="F133" i="39"/>
  <c r="F133" i="35" s="1"/>
  <c r="G136" i="39"/>
  <c r="G136" i="35" s="1"/>
  <c r="K201" i="38"/>
  <c r="K203" i="34" s="1"/>
  <c r="L133" i="38"/>
  <c r="K77" i="39"/>
  <c r="K77" i="35" s="1"/>
  <c r="J138" i="39"/>
  <c r="J194" i="38"/>
  <c r="K193" i="38"/>
  <c r="K195" i="34" s="1"/>
  <c r="L125" i="38"/>
  <c r="K83" i="39"/>
  <c r="K83" i="35" s="1"/>
  <c r="K197" i="38"/>
  <c r="K199" i="34" s="1"/>
  <c r="L129" i="38"/>
  <c r="K85" i="38"/>
  <c r="K86" i="34"/>
  <c r="G751" i="29"/>
  <c r="G753" i="29" s="1"/>
  <c r="G754" i="29" s="1"/>
  <c r="H200" i="4"/>
  <c r="J144" i="39"/>
  <c r="J144" i="35" s="1"/>
  <c r="K26" i="14"/>
  <c r="L41" i="2"/>
  <c r="M67" i="34"/>
  <c r="L27" i="2"/>
  <c r="L27" i="35" s="1"/>
  <c r="H136" i="39"/>
  <c r="H136" i="35" s="1"/>
  <c r="E334" i="29"/>
  <c r="H130" i="39"/>
  <c r="H130" i="35" s="1"/>
  <c r="J431" i="29"/>
  <c r="J433" i="29" s="1"/>
  <c r="G138" i="39"/>
  <c r="G194" i="38"/>
  <c r="I144" i="39"/>
  <c r="I144" i="35" s="1"/>
  <c r="F751" i="29"/>
  <c r="F753" i="29" s="1"/>
  <c r="F754" i="29" s="1"/>
  <c r="G200" i="4"/>
  <c r="I128" i="34"/>
  <c r="I129" i="34" s="1"/>
  <c r="Q65" i="21"/>
  <c r="G71" i="38"/>
  <c r="H70" i="38" s="1"/>
  <c r="H71" i="38" s="1"/>
  <c r="I70" i="38" s="1"/>
  <c r="I71" i="38" s="1"/>
  <c r="J70" i="38" s="1"/>
  <c r="J71" i="38" s="1"/>
  <c r="K70" i="38" s="1"/>
  <c r="F73" i="42"/>
  <c r="L82" i="34" l="1"/>
  <c r="X84" i="4"/>
  <c r="L85" i="34"/>
  <c r="K55" i="34"/>
  <c r="H158" i="28"/>
  <c r="X102" i="4"/>
  <c r="K337" i="29"/>
  <c r="L97" i="34"/>
  <c r="L102" i="34"/>
  <c r="L99" i="34"/>
  <c r="K333" i="29"/>
  <c r="K348" i="29"/>
  <c r="L138" i="58"/>
  <c r="L193" i="34"/>
  <c r="L78" i="51"/>
  <c r="L167" i="34"/>
  <c r="O445" i="29"/>
  <c r="Q111" i="21"/>
  <c r="O765" i="29" s="1"/>
  <c r="K80" i="2"/>
  <c r="K80" i="35" s="1"/>
  <c r="L127" i="34"/>
  <c r="M61" i="34"/>
  <c r="L34" i="58"/>
  <c r="L107" i="59"/>
  <c r="L108" i="59"/>
  <c r="L42" i="58"/>
  <c r="L18" i="34"/>
  <c r="L123" i="34"/>
  <c r="L158" i="4"/>
  <c r="K654" i="29" s="1"/>
  <c r="L98" i="34"/>
  <c r="L135" i="34"/>
  <c r="M204" i="61"/>
  <c r="L140" i="4"/>
  <c r="L137" i="34" s="1"/>
  <c r="L148" i="54"/>
  <c r="L156" i="34"/>
  <c r="L137" i="4"/>
  <c r="L206" i="4"/>
  <c r="L166" i="34"/>
  <c r="K150" i="34"/>
  <c r="L131" i="34"/>
  <c r="K124" i="62"/>
  <c r="K172" i="61" s="1"/>
  <c r="K128" i="4"/>
  <c r="H159" i="28" s="1"/>
  <c r="K62" i="62"/>
  <c r="K85" i="54"/>
  <c r="K87" i="54" s="1"/>
  <c r="K135" i="61"/>
  <c r="L113" i="50"/>
  <c r="L153" i="4"/>
  <c r="K651" i="29" s="1"/>
  <c r="K647" i="29" s="1"/>
  <c r="M72" i="58"/>
  <c r="M168" i="57"/>
  <c r="M125" i="58" s="1"/>
  <c r="N100" i="57"/>
  <c r="N81" i="57"/>
  <c r="M149" i="57"/>
  <c r="M114" i="58" s="1"/>
  <c r="M61" i="58"/>
  <c r="J44" i="44"/>
  <c r="I61" i="44"/>
  <c r="K667" i="29"/>
  <c r="M110" i="21"/>
  <c r="X158" i="61"/>
  <c r="N158" i="61"/>
  <c r="M114" i="54"/>
  <c r="N207" i="49"/>
  <c r="M130" i="50"/>
  <c r="N170" i="49"/>
  <c r="M170" i="4"/>
  <c r="L668" i="29" s="1"/>
  <c r="W157" i="61"/>
  <c r="L113" i="54"/>
  <c r="N167" i="49"/>
  <c r="M121" i="50"/>
  <c r="M83" i="54"/>
  <c r="M77" i="58"/>
  <c r="M201" i="57"/>
  <c r="M130" i="58" s="1"/>
  <c r="N133" i="57"/>
  <c r="M80" i="50"/>
  <c r="N140" i="49"/>
  <c r="X93" i="61"/>
  <c r="M90" i="4"/>
  <c r="Y90" i="4" s="1"/>
  <c r="N93" i="61"/>
  <c r="M126" i="57"/>
  <c r="N124" i="57"/>
  <c r="L72" i="59"/>
  <c r="L78" i="59" s="1"/>
  <c r="M192" i="57"/>
  <c r="M94" i="58"/>
  <c r="M124" i="34"/>
  <c r="M190" i="57"/>
  <c r="N122" i="57"/>
  <c r="M85" i="58"/>
  <c r="X108" i="61"/>
  <c r="N108" i="61"/>
  <c r="M72" i="54"/>
  <c r="I148" i="44"/>
  <c r="G86" i="44"/>
  <c r="G99" i="44" s="1"/>
  <c r="M32" i="58"/>
  <c r="M34" i="58" s="1"/>
  <c r="M56" i="57"/>
  <c r="L56" i="21"/>
  <c r="L115" i="21"/>
  <c r="J428" i="29"/>
  <c r="J555" i="29" s="1"/>
  <c r="L71" i="21"/>
  <c r="L74" i="21" s="1"/>
  <c r="L73" i="21"/>
  <c r="M141" i="44"/>
  <c r="N204" i="49"/>
  <c r="M204" i="4"/>
  <c r="M200" i="34" s="1"/>
  <c r="N81" i="38"/>
  <c r="M149" i="38"/>
  <c r="N100" i="49"/>
  <c r="M100" i="4"/>
  <c r="Y100" i="4" s="1"/>
  <c r="M69" i="50"/>
  <c r="J109" i="29"/>
  <c r="L11" i="21"/>
  <c r="L112" i="21"/>
  <c r="J763" i="29"/>
  <c r="J767" i="29" s="1"/>
  <c r="N123" i="38"/>
  <c r="M191" i="38"/>
  <c r="M165" i="57"/>
  <c r="N97" i="57"/>
  <c r="M132" i="57"/>
  <c r="M200" i="57" s="1"/>
  <c r="M216" i="42"/>
  <c r="L230" i="42"/>
  <c r="L75" i="42" s="1"/>
  <c r="M169" i="4"/>
  <c r="M122" i="50"/>
  <c r="N169" i="49"/>
  <c r="M191" i="57"/>
  <c r="N123" i="57"/>
  <c r="N54" i="57"/>
  <c r="M41" i="58"/>
  <c r="L26" i="59"/>
  <c r="L32" i="59" s="1"/>
  <c r="L24" i="57" s="1"/>
  <c r="M209" i="4"/>
  <c r="M133" i="50"/>
  <c r="N209" i="49"/>
  <c r="K74" i="62"/>
  <c r="M162" i="61"/>
  <c r="M116" i="54" s="1"/>
  <c r="N207" i="61"/>
  <c r="N64" i="57"/>
  <c r="M38" i="58"/>
  <c r="M38" i="35" s="1"/>
  <c r="M66" i="34"/>
  <c r="N197" i="42"/>
  <c r="M237" i="42"/>
  <c r="M83" i="58"/>
  <c r="M193" i="57"/>
  <c r="M136" i="58" s="1"/>
  <c r="N125" i="57"/>
  <c r="M130" i="4"/>
  <c r="M83" i="2" s="1"/>
  <c r="M83" i="50"/>
  <c r="N130" i="49"/>
  <c r="L204" i="34"/>
  <c r="L144" i="2"/>
  <c r="L144" i="35" s="1"/>
  <c r="N200" i="61"/>
  <c r="M137" i="54"/>
  <c r="M138" i="54" s="1"/>
  <c r="N101" i="49"/>
  <c r="M101" i="4"/>
  <c r="Y101" i="4" s="1"/>
  <c r="L50" i="58"/>
  <c r="J90" i="44"/>
  <c r="I98" i="44"/>
  <c r="K24" i="44"/>
  <c r="J71" i="44"/>
  <c r="M196" i="4"/>
  <c r="M137" i="2" s="1"/>
  <c r="M137" i="35" s="1"/>
  <c r="N196" i="49"/>
  <c r="M137" i="50"/>
  <c r="M138" i="50" s="1"/>
  <c r="J443" i="29"/>
  <c r="J447" i="29" s="1"/>
  <c r="L66" i="21"/>
  <c r="L67" i="21" s="1"/>
  <c r="V92" i="61"/>
  <c r="K63" i="54"/>
  <c r="M165" i="38"/>
  <c r="N97" i="38"/>
  <c r="N135" i="49"/>
  <c r="M203" i="42"/>
  <c r="L236" i="42"/>
  <c r="N63" i="57"/>
  <c r="M24" i="58"/>
  <c r="L83" i="34"/>
  <c r="K332" i="29"/>
  <c r="L207" i="4"/>
  <c r="L130" i="2" s="1"/>
  <c r="X105" i="61"/>
  <c r="N105" i="61"/>
  <c r="X161" i="61"/>
  <c r="N161" i="61"/>
  <c r="M69" i="58"/>
  <c r="N95" i="57"/>
  <c r="M163" i="57"/>
  <c r="M122" i="58" s="1"/>
  <c r="X87" i="61"/>
  <c r="M157" i="61"/>
  <c r="M60" i="54"/>
  <c r="N87" i="61"/>
  <c r="M79" i="61"/>
  <c r="X163" i="61"/>
  <c r="N163" i="61"/>
  <c r="L194" i="57"/>
  <c r="L147" i="58"/>
  <c r="K118" i="59"/>
  <c r="L118" i="39"/>
  <c r="L153" i="34"/>
  <c r="L151" i="34"/>
  <c r="K652" i="29"/>
  <c r="N212" i="61"/>
  <c r="M144" i="54"/>
  <c r="M157" i="4"/>
  <c r="L653" i="29" s="1"/>
  <c r="N157" i="49"/>
  <c r="X104" i="61"/>
  <c r="N104" i="61"/>
  <c r="N86" i="38"/>
  <c r="M154" i="38"/>
  <c r="M136" i="4"/>
  <c r="M133" i="34" s="1"/>
  <c r="L139" i="44"/>
  <c r="K72" i="14"/>
  <c r="L94" i="2"/>
  <c r="L57" i="21"/>
  <c r="L116" i="21"/>
  <c r="L103" i="21" s="1"/>
  <c r="J749" i="29" s="1"/>
  <c r="J429" i="29"/>
  <c r="M87" i="4"/>
  <c r="Y87" i="4" s="1"/>
  <c r="N87" i="49"/>
  <c r="M65" i="50"/>
  <c r="M68" i="50"/>
  <c r="N98" i="49"/>
  <c r="K94" i="44"/>
  <c r="K77" i="42"/>
  <c r="L53" i="4" s="1"/>
  <c r="K232" i="42"/>
  <c r="K238" i="42"/>
  <c r="M199" i="4"/>
  <c r="M136" i="2" s="1"/>
  <c r="N199" i="49"/>
  <c r="M136" i="50"/>
  <c r="L118" i="58"/>
  <c r="K120" i="51"/>
  <c r="K168" i="49"/>
  <c r="N86" i="57"/>
  <c r="M154" i="57"/>
  <c r="H63" i="44"/>
  <c r="H81" i="44" s="1"/>
  <c r="H72" i="44"/>
  <c r="L78" i="4"/>
  <c r="K331" i="29"/>
  <c r="K327" i="29" s="1"/>
  <c r="N213" i="61"/>
  <c r="M133" i="54"/>
  <c r="K30" i="44"/>
  <c r="L143" i="44"/>
  <c r="M80" i="54"/>
  <c r="X173" i="61"/>
  <c r="N173" i="61"/>
  <c r="M122" i="54"/>
  <c r="N205" i="49"/>
  <c r="M205" i="4"/>
  <c r="M201" i="34" s="1"/>
  <c r="M65" i="54"/>
  <c r="X90" i="61"/>
  <c r="N90" i="61"/>
  <c r="K65" i="34"/>
  <c r="K24" i="2"/>
  <c r="K24" i="35" s="1"/>
  <c r="N80" i="57"/>
  <c r="M60" i="58"/>
  <c r="M148" i="57"/>
  <c r="M113" i="58" s="1"/>
  <c r="K120" i="62"/>
  <c r="M15" i="59"/>
  <c r="M61" i="50"/>
  <c r="M85" i="4"/>
  <c r="N85" i="49"/>
  <c r="L24" i="54"/>
  <c r="L63" i="4"/>
  <c r="M61" i="59"/>
  <c r="N121" i="57"/>
  <c r="M189" i="57"/>
  <c r="M110" i="62"/>
  <c r="N136" i="49"/>
  <c r="L122" i="39"/>
  <c r="L165" i="34"/>
  <c r="K78" i="62"/>
  <c r="K102" i="61" s="1"/>
  <c r="M114" i="50"/>
  <c r="M154" i="4"/>
  <c r="N154" i="49"/>
  <c r="O17" i="14"/>
  <c r="N17" i="36"/>
  <c r="N105" i="49"/>
  <c r="M72" i="50"/>
  <c r="M105" i="4"/>
  <c r="Y105" i="4" s="1"/>
  <c r="M174" i="4"/>
  <c r="N174" i="49"/>
  <c r="M125" i="50"/>
  <c r="M200" i="49"/>
  <c r="N195" i="49"/>
  <c r="M195" i="4"/>
  <c r="N96" i="38"/>
  <c r="M164" i="38"/>
  <c r="M166" i="34" s="1"/>
  <c r="M54" i="34"/>
  <c r="N52" i="38"/>
  <c r="M31" i="39"/>
  <c r="M31" i="35" s="1"/>
  <c r="L69" i="2"/>
  <c r="K349" i="29"/>
  <c r="L63" i="58"/>
  <c r="N62" i="57"/>
  <c r="M64" i="34"/>
  <c r="N80" i="38"/>
  <c r="M148" i="38"/>
  <c r="L192" i="34"/>
  <c r="L92" i="61"/>
  <c r="W162" i="61" s="1"/>
  <c r="K28" i="59"/>
  <c r="X174" i="61"/>
  <c r="N174" i="61"/>
  <c r="J78" i="42"/>
  <c r="N91" i="61"/>
  <c r="X91" i="61"/>
  <c r="M158" i="49"/>
  <c r="M203" i="4"/>
  <c r="N203" i="49"/>
  <c r="M62" i="51"/>
  <c r="N102" i="49"/>
  <c r="M102" i="4"/>
  <c r="M137" i="49"/>
  <c r="M137" i="4" s="1"/>
  <c r="K338" i="29"/>
  <c r="L65" i="2"/>
  <c r="M68" i="58"/>
  <c r="M161" i="57"/>
  <c r="M121" i="58" s="1"/>
  <c r="N93" i="57"/>
  <c r="M181" i="42"/>
  <c r="L213" i="42"/>
  <c r="L63" i="50"/>
  <c r="K658" i="29"/>
  <c r="L118" i="2"/>
  <c r="N59" i="57"/>
  <c r="M16" i="57"/>
  <c r="M10" i="58" s="1"/>
  <c r="N83" i="57"/>
  <c r="M65" i="58"/>
  <c r="M151" i="57"/>
  <c r="M85" i="50"/>
  <c r="M131" i="49"/>
  <c r="N126" i="49"/>
  <c r="M126" i="4"/>
  <c r="J14" i="44"/>
  <c r="X175" i="61"/>
  <c r="M210" i="61"/>
  <c r="M159" i="4" s="1"/>
  <c r="L657" i="29" s="1"/>
  <c r="N175" i="61"/>
  <c r="L148" i="50"/>
  <c r="M198" i="4"/>
  <c r="M147" i="2" s="1"/>
  <c r="L118" i="14" s="1"/>
  <c r="N198" i="49"/>
  <c r="M147" i="50"/>
  <c r="L118" i="51" s="1"/>
  <c r="L124" i="51" s="1"/>
  <c r="M138" i="4"/>
  <c r="M77" i="2" s="1"/>
  <c r="N138" i="49"/>
  <c r="M77" i="50"/>
  <c r="M61" i="54"/>
  <c r="X88" i="61"/>
  <c r="N88" i="61"/>
  <c r="N61" i="34"/>
  <c r="J7" i="44"/>
  <c r="I42" i="44"/>
  <c r="M60" i="50"/>
  <c r="M153" i="49"/>
  <c r="M84" i="4"/>
  <c r="Y84" i="4" s="1"/>
  <c r="N84" i="49"/>
  <c r="M168" i="38"/>
  <c r="N100" i="38"/>
  <c r="N93" i="38"/>
  <c r="M161" i="38"/>
  <c r="M188" i="42"/>
  <c r="M108" i="51"/>
  <c r="M171" i="4"/>
  <c r="J160" i="28" s="1"/>
  <c r="M206" i="49"/>
  <c r="N171" i="49"/>
  <c r="N202" i="61"/>
  <c r="M147" i="54"/>
  <c r="L118" i="62" s="1"/>
  <c r="M62" i="59"/>
  <c r="K89" i="4"/>
  <c r="W89" i="4" s="1"/>
  <c r="M108" i="62"/>
  <c r="M249" i="42"/>
  <c r="L60" i="42"/>
  <c r="K94" i="57"/>
  <c r="M65" i="39"/>
  <c r="N83" i="38"/>
  <c r="M151" i="38"/>
  <c r="M69" i="39"/>
  <c r="N95" i="38"/>
  <c r="M163" i="38"/>
  <c r="M135" i="4"/>
  <c r="M132" i="34" s="1"/>
  <c r="L138" i="44"/>
  <c r="M110" i="51"/>
  <c r="L116" i="50"/>
  <c r="M211" i="61"/>
  <c r="M130" i="54" s="1"/>
  <c r="M77" i="54"/>
  <c r="L170" i="34"/>
  <c r="N84" i="57"/>
  <c r="M63" i="58"/>
  <c r="M152" i="57"/>
  <c r="M89" i="49"/>
  <c r="M63" i="50" s="1"/>
  <c r="N134" i="49"/>
  <c r="N129" i="57"/>
  <c r="M197" i="57"/>
  <c r="M85" i="57"/>
  <c r="M153" i="57" s="1"/>
  <c r="X160" i="61"/>
  <c r="N160" i="61"/>
  <c r="M118" i="54"/>
  <c r="M190" i="38"/>
  <c r="N122" i="38"/>
  <c r="L88" i="34"/>
  <c r="X178" i="61"/>
  <c r="N178" i="61"/>
  <c r="M125" i="54"/>
  <c r="L122" i="2"/>
  <c r="K669" i="29"/>
  <c r="M134" i="4"/>
  <c r="L137" i="44"/>
  <c r="K145" i="44"/>
  <c r="L72" i="62"/>
  <c r="M94" i="54"/>
  <c r="M95" i="54" s="1"/>
  <c r="M129" i="4"/>
  <c r="K57" i="61"/>
  <c r="K51" i="4"/>
  <c r="K32" i="54"/>
  <c r="K34" i="54" s="1"/>
  <c r="K16" i="62"/>
  <c r="M64" i="21"/>
  <c r="K347" i="29"/>
  <c r="M88" i="4"/>
  <c r="Y88" i="4" s="1"/>
  <c r="N88" i="49"/>
  <c r="M118" i="50"/>
  <c r="M156" i="4"/>
  <c r="N156" i="49"/>
  <c r="N203" i="61"/>
  <c r="M136" i="54"/>
  <c r="N55" i="57"/>
  <c r="M30" i="58"/>
  <c r="X103" i="61"/>
  <c r="M69" i="54"/>
  <c r="N103" i="61"/>
  <c r="M208" i="4"/>
  <c r="N208" i="49"/>
  <c r="M144" i="50"/>
  <c r="V162" i="61"/>
  <c r="N53" i="38"/>
  <c r="L10" i="39"/>
  <c r="M16" i="38"/>
  <c r="M18" i="34" s="1"/>
  <c r="O201" i="61"/>
  <c r="N197" i="4"/>
  <c r="P199" i="61"/>
  <c r="O29" i="34"/>
  <c r="N28" i="29"/>
  <c r="O16" i="2"/>
  <c r="P32" i="34"/>
  <c r="O18" i="14"/>
  <c r="N18" i="36"/>
  <c r="G103" i="50"/>
  <c r="F54" i="51"/>
  <c r="H50" i="50"/>
  <c r="G8" i="51"/>
  <c r="F144" i="35"/>
  <c r="F130" i="35"/>
  <c r="L30" i="35"/>
  <c r="I16" i="40"/>
  <c r="O62" i="34"/>
  <c r="L41" i="35"/>
  <c r="K26" i="36"/>
  <c r="M193" i="34"/>
  <c r="J126" i="58"/>
  <c r="J150" i="58" s="1"/>
  <c r="J155" i="34"/>
  <c r="L95" i="58"/>
  <c r="M56" i="34"/>
  <c r="P63" i="34"/>
  <c r="O63" i="34"/>
  <c r="K133" i="2"/>
  <c r="K133" i="35" s="1"/>
  <c r="K205" i="34"/>
  <c r="K191" i="34"/>
  <c r="M15" i="29"/>
  <c r="K153" i="38"/>
  <c r="K155" i="34" s="1"/>
  <c r="M57" i="34"/>
  <c r="F147" i="35"/>
  <c r="H32" i="40"/>
  <c r="I150" i="58"/>
  <c r="E758" i="29"/>
  <c r="E766" i="29" s="1"/>
  <c r="E553" i="29"/>
  <c r="C114" i="28" s="1"/>
  <c r="G554" i="29"/>
  <c r="G569" i="29" s="1"/>
  <c r="E64" i="28" s="1"/>
  <c r="E876" i="29"/>
  <c r="E819" i="29"/>
  <c r="G34" i="59"/>
  <c r="G36" i="59" s="1"/>
  <c r="G34" i="51"/>
  <c r="G36" i="51" s="1"/>
  <c r="H150" i="58"/>
  <c r="L34" i="50"/>
  <c r="L87" i="58"/>
  <c r="K140" i="58"/>
  <c r="F148" i="50"/>
  <c r="F140" i="58"/>
  <c r="G150" i="58"/>
  <c r="K148" i="58"/>
  <c r="J120" i="59"/>
  <c r="L26" i="40"/>
  <c r="M41" i="39"/>
  <c r="L103" i="58"/>
  <c r="M10" i="39"/>
  <c r="K74" i="59"/>
  <c r="K152" i="38"/>
  <c r="K154" i="34" s="1"/>
  <c r="F52" i="58"/>
  <c r="G46" i="58"/>
  <c r="G48" i="58" s="1"/>
  <c r="G7" i="59" s="1"/>
  <c r="H19" i="59"/>
  <c r="F80" i="59"/>
  <c r="F82" i="59" s="1"/>
  <c r="F196" i="34"/>
  <c r="H34" i="59"/>
  <c r="H36" i="59" s="1"/>
  <c r="K156" i="58"/>
  <c r="F156" i="50"/>
  <c r="G65" i="51"/>
  <c r="K87" i="50"/>
  <c r="F111" i="51"/>
  <c r="E654" i="29"/>
  <c r="H19" i="51"/>
  <c r="F148" i="54"/>
  <c r="F140" i="54"/>
  <c r="G65" i="62"/>
  <c r="F140" i="50"/>
  <c r="L28" i="62"/>
  <c r="M42" i="54"/>
  <c r="L28" i="51"/>
  <c r="M42" i="50"/>
  <c r="F111" i="62"/>
  <c r="H19" i="62"/>
  <c r="H34" i="51"/>
  <c r="H36" i="51" s="1"/>
  <c r="H34" i="62"/>
  <c r="H36" i="62" s="1"/>
  <c r="K31" i="49"/>
  <c r="G196" i="34"/>
  <c r="M121" i="38"/>
  <c r="L189" i="38"/>
  <c r="L85" i="39"/>
  <c r="H196" i="34"/>
  <c r="J751" i="29"/>
  <c r="J753" i="29" s="1"/>
  <c r="K200" i="4"/>
  <c r="O59" i="38"/>
  <c r="N16" i="38"/>
  <c r="K138" i="39"/>
  <c r="L26" i="14"/>
  <c r="M41" i="2"/>
  <c r="M133" i="38"/>
  <c r="L201" i="38"/>
  <c r="L77" i="39"/>
  <c r="L77" i="35" s="1"/>
  <c r="J196" i="34"/>
  <c r="M30" i="2"/>
  <c r="K130" i="39"/>
  <c r="K130" i="35" s="1"/>
  <c r="I196" i="34"/>
  <c r="K431" i="29"/>
  <c r="K433" i="29" s="1"/>
  <c r="M129" i="38"/>
  <c r="L197" i="38"/>
  <c r="L199" i="34" s="1"/>
  <c r="L85" i="38"/>
  <c r="L86" i="34"/>
  <c r="L193" i="38"/>
  <c r="L195" i="34" s="1"/>
  <c r="M125" i="38"/>
  <c r="L83" i="39"/>
  <c r="L83" i="35" s="1"/>
  <c r="K136" i="39"/>
  <c r="K136" i="35" s="1"/>
  <c r="M24" i="39"/>
  <c r="N55" i="38"/>
  <c r="M30" i="39"/>
  <c r="N51" i="38"/>
  <c r="M32" i="39"/>
  <c r="M56" i="38"/>
  <c r="N67" i="34"/>
  <c r="M27" i="2"/>
  <c r="M27" i="35" s="1"/>
  <c r="N110" i="62" l="1"/>
  <c r="L55" i="34"/>
  <c r="I158" i="28"/>
  <c r="Y102" i="4"/>
  <c r="L332" i="29"/>
  <c r="Y85" i="4"/>
  <c r="M97" i="34"/>
  <c r="M99" i="34"/>
  <c r="M102" i="34"/>
  <c r="L348" i="29"/>
  <c r="L337" i="29"/>
  <c r="L333" i="29"/>
  <c r="J334" i="29"/>
  <c r="M192" i="34"/>
  <c r="M138" i="58"/>
  <c r="L150" i="34"/>
  <c r="N110" i="51"/>
  <c r="M127" i="34"/>
  <c r="J430" i="29"/>
  <c r="J434" i="29" s="1"/>
  <c r="L58" i="21"/>
  <c r="K87" i="34"/>
  <c r="M98" i="34"/>
  <c r="M135" i="34"/>
  <c r="M88" i="34"/>
  <c r="J758" i="29"/>
  <c r="J766" i="29" s="1"/>
  <c r="M158" i="4"/>
  <c r="L654" i="29" s="1"/>
  <c r="M107" i="59"/>
  <c r="H73" i="44"/>
  <c r="L128" i="4" s="1"/>
  <c r="L80" i="2"/>
  <c r="L80" i="35" s="1"/>
  <c r="L94" i="57"/>
  <c r="M42" i="58"/>
  <c r="M50" i="58"/>
  <c r="J438" i="29"/>
  <c r="J446" i="29" s="1"/>
  <c r="L203" i="34"/>
  <c r="M206" i="4"/>
  <c r="M83" i="34"/>
  <c r="V102" i="61"/>
  <c r="M131" i="34"/>
  <c r="N136" i="54"/>
  <c r="O203" i="61"/>
  <c r="N89" i="49"/>
  <c r="N63" i="50" s="1"/>
  <c r="O134" i="49"/>
  <c r="L120" i="62"/>
  <c r="M167" i="34"/>
  <c r="L667" i="29"/>
  <c r="N110" i="21"/>
  <c r="K7" i="44"/>
  <c r="J42" i="44"/>
  <c r="Y175" i="61"/>
  <c r="N210" i="61"/>
  <c r="N159" i="4" s="1"/>
  <c r="M657" i="29" s="1"/>
  <c r="O175" i="61"/>
  <c r="Y91" i="61"/>
  <c r="O91" i="61"/>
  <c r="M170" i="34"/>
  <c r="V172" i="61"/>
  <c r="Y90" i="61"/>
  <c r="O90" i="61"/>
  <c r="N65" i="54"/>
  <c r="O205" i="49"/>
  <c r="N205" i="4"/>
  <c r="N201" i="34" s="1"/>
  <c r="L338" i="29"/>
  <c r="M65" i="2"/>
  <c r="M148" i="54"/>
  <c r="J110" i="29"/>
  <c r="L12" i="21"/>
  <c r="X157" i="61"/>
  <c r="M113" i="54"/>
  <c r="Y105" i="61"/>
  <c r="O105" i="61"/>
  <c r="J556" i="29"/>
  <c r="J554" i="29" s="1"/>
  <c r="J569" i="29" s="1"/>
  <c r="H64" i="28" s="1"/>
  <c r="J499" i="29"/>
  <c r="O64" i="57"/>
  <c r="N38" i="58"/>
  <c r="N38" i="35" s="1"/>
  <c r="N66" i="34"/>
  <c r="O54" i="57"/>
  <c r="M26" i="59"/>
  <c r="M32" i="59" s="1"/>
  <c r="M24" i="57" s="1"/>
  <c r="N41" i="58"/>
  <c r="N191" i="38"/>
  <c r="O123" i="38"/>
  <c r="O204" i="49"/>
  <c r="N204" i="4"/>
  <c r="N200" i="34" s="1"/>
  <c r="G64" i="44"/>
  <c r="G65" i="44" s="1"/>
  <c r="I152" i="44"/>
  <c r="M78" i="51"/>
  <c r="M72" i="59"/>
  <c r="M78" i="59" s="1"/>
  <c r="O124" i="57"/>
  <c r="N192" i="57"/>
  <c r="N94" i="58"/>
  <c r="N77" i="58"/>
  <c r="N201" i="57"/>
  <c r="N130" i="58" s="1"/>
  <c r="O133" i="57"/>
  <c r="K44" i="44"/>
  <c r="J61" i="44"/>
  <c r="N126" i="4" s="1"/>
  <c r="O100" i="57"/>
  <c r="N168" i="57"/>
  <c r="N125" i="58" s="1"/>
  <c r="N72" i="58"/>
  <c r="O53" i="38"/>
  <c r="M204" i="34"/>
  <c r="M144" i="2"/>
  <c r="M144" i="35" s="1"/>
  <c r="N156" i="4"/>
  <c r="N118" i="50"/>
  <c r="O156" i="49"/>
  <c r="L16" i="62"/>
  <c r="M94" i="2"/>
  <c r="L72" i="14"/>
  <c r="K78" i="42"/>
  <c r="O84" i="57"/>
  <c r="N152" i="57"/>
  <c r="M85" i="34"/>
  <c r="O202" i="61"/>
  <c r="N147" i="54"/>
  <c r="M118" i="62" s="1"/>
  <c r="M113" i="50"/>
  <c r="M153" i="4"/>
  <c r="L651" i="29" s="1"/>
  <c r="L647" i="29" s="1"/>
  <c r="N198" i="4"/>
  <c r="N147" i="2" s="1"/>
  <c r="M118" i="14" s="1"/>
  <c r="O198" i="49"/>
  <c r="N147" i="50"/>
  <c r="M118" i="51" s="1"/>
  <c r="M120" i="51" s="1"/>
  <c r="M118" i="58"/>
  <c r="O59" i="57"/>
  <c r="N16" i="57"/>
  <c r="N10" i="58" s="1"/>
  <c r="L238" i="42"/>
  <c r="L232" i="42"/>
  <c r="L77" i="42"/>
  <c r="M53" i="4" s="1"/>
  <c r="L347" i="29"/>
  <c r="N64" i="21"/>
  <c r="N73" i="21" s="1"/>
  <c r="M150" i="34"/>
  <c r="O62" i="57"/>
  <c r="N64" i="34"/>
  <c r="P17" i="14"/>
  <c r="P17" i="36" s="1"/>
  <c r="O17" i="36"/>
  <c r="O136" i="49"/>
  <c r="N61" i="59"/>
  <c r="O80" i="57"/>
  <c r="N60" i="58"/>
  <c r="N148" i="57"/>
  <c r="N113" i="58" s="1"/>
  <c r="M143" i="44"/>
  <c r="N80" i="54"/>
  <c r="M57" i="21"/>
  <c r="M116" i="21"/>
  <c r="M103" i="21" s="1"/>
  <c r="K749" i="29" s="1"/>
  <c r="K429" i="29"/>
  <c r="O86" i="57"/>
  <c r="N154" i="57"/>
  <c r="L94" i="44"/>
  <c r="O157" i="49"/>
  <c r="N157" i="4"/>
  <c r="M653" i="29" s="1"/>
  <c r="O212" i="61"/>
  <c r="N144" i="54"/>
  <c r="Y163" i="61"/>
  <c r="O163" i="61"/>
  <c r="N203" i="42"/>
  <c r="M236" i="42"/>
  <c r="N165" i="38"/>
  <c r="O97" i="38"/>
  <c r="L24" i="44"/>
  <c r="K71" i="44"/>
  <c r="O200" i="61"/>
  <c r="N137" i="54"/>
  <c r="N138" i="54" s="1"/>
  <c r="K428" i="29"/>
  <c r="K555" i="29" s="1"/>
  <c r="M115" i="21"/>
  <c r="M56" i="21"/>
  <c r="M71" i="21"/>
  <c r="M74" i="21" s="1"/>
  <c r="M73" i="21"/>
  <c r="N83" i="58"/>
  <c r="O125" i="57"/>
  <c r="N193" i="57"/>
  <c r="N136" i="58" s="1"/>
  <c r="O197" i="42"/>
  <c r="N237" i="42"/>
  <c r="N162" i="61"/>
  <c r="N116" i="54" s="1"/>
  <c r="O207" i="61"/>
  <c r="L78" i="62"/>
  <c r="L102" i="61" s="1"/>
  <c r="N191" i="57"/>
  <c r="N193" i="34" s="1"/>
  <c r="O123" i="57"/>
  <c r="M122" i="2"/>
  <c r="L669" i="29"/>
  <c r="O97" i="57"/>
  <c r="N165" i="57"/>
  <c r="N132" i="57"/>
  <c r="N200" i="57" s="1"/>
  <c r="J876" i="29"/>
  <c r="J819" i="29"/>
  <c r="N141" i="44"/>
  <c r="N124" i="34"/>
  <c r="N190" i="57"/>
  <c r="O122" i="57"/>
  <c r="N85" i="58"/>
  <c r="N80" i="50"/>
  <c r="O140" i="49"/>
  <c r="O207" i="49"/>
  <c r="N130" i="50"/>
  <c r="Y158" i="61"/>
  <c r="O158" i="61"/>
  <c r="N114" i="54"/>
  <c r="K239" i="42"/>
  <c r="K443" i="29"/>
  <c r="K447" i="29" s="1"/>
  <c r="M66" i="21"/>
  <c r="M67" i="21" s="1"/>
  <c r="L74" i="62"/>
  <c r="N249" i="42"/>
  <c r="M60" i="42"/>
  <c r="M78" i="4"/>
  <c r="L331" i="29"/>
  <c r="L327" i="29" s="1"/>
  <c r="L120" i="51"/>
  <c r="K14" i="44"/>
  <c r="N203" i="4"/>
  <c r="O203" i="49"/>
  <c r="N158" i="49"/>
  <c r="M82" i="34"/>
  <c r="O195" i="49"/>
  <c r="N200" i="49"/>
  <c r="N195" i="4"/>
  <c r="N189" i="57"/>
  <c r="O121" i="57"/>
  <c r="N126" i="57"/>
  <c r="O85" i="49"/>
  <c r="N85" i="4"/>
  <c r="N61" i="50"/>
  <c r="N199" i="4"/>
  <c r="N136" i="2" s="1"/>
  <c r="N136" i="50"/>
  <c r="O199" i="49"/>
  <c r="N204" i="61"/>
  <c r="N69" i="54"/>
  <c r="Y103" i="61"/>
  <c r="O103" i="61"/>
  <c r="O55" i="57"/>
  <c r="N30" i="58"/>
  <c r="M118" i="2"/>
  <c r="L658" i="29"/>
  <c r="M137" i="44"/>
  <c r="L145" i="44"/>
  <c r="L57" i="61"/>
  <c r="L32" i="54"/>
  <c r="L34" i="54" s="1"/>
  <c r="L51" i="4"/>
  <c r="M122" i="39"/>
  <c r="M165" i="34"/>
  <c r="M118" i="39"/>
  <c r="M153" i="34"/>
  <c r="M63" i="4"/>
  <c r="M24" i="54"/>
  <c r="N108" i="51"/>
  <c r="N206" i="49"/>
  <c r="N171" i="4"/>
  <c r="K160" i="28" s="1"/>
  <c r="O171" i="49"/>
  <c r="O93" i="38"/>
  <c r="N161" i="38"/>
  <c r="O88" i="61"/>
  <c r="Y88" i="61"/>
  <c r="N61" i="54"/>
  <c r="N138" i="4"/>
  <c r="N77" i="2" s="1"/>
  <c r="O138" i="49"/>
  <c r="N77" i="50"/>
  <c r="N85" i="50"/>
  <c r="N131" i="49"/>
  <c r="O126" i="49"/>
  <c r="N181" i="42"/>
  <c r="M213" i="42"/>
  <c r="N62" i="51"/>
  <c r="N137" i="49"/>
  <c r="O102" i="49"/>
  <c r="N102" i="4"/>
  <c r="O80" i="38"/>
  <c r="N148" i="38"/>
  <c r="N54" i="34"/>
  <c r="O52" i="38"/>
  <c r="N31" i="39"/>
  <c r="N31" i="35" s="1"/>
  <c r="O96" i="38"/>
  <c r="N164" i="38"/>
  <c r="O154" i="49"/>
  <c r="N154" i="4"/>
  <c r="N114" i="50"/>
  <c r="L24" i="2"/>
  <c r="L24" i="35" s="1"/>
  <c r="L65" i="34"/>
  <c r="L124" i="62"/>
  <c r="Y173" i="61"/>
  <c r="N122" i="54"/>
  <c r="O173" i="61"/>
  <c r="J70" i="44"/>
  <c r="O213" i="61"/>
  <c r="N133" i="54"/>
  <c r="J148" i="44"/>
  <c r="H86" i="44"/>
  <c r="H99" i="44" s="1"/>
  <c r="L168" i="49"/>
  <c r="M12" i="21"/>
  <c r="K110" i="29"/>
  <c r="M156" i="34"/>
  <c r="Y87" i="61"/>
  <c r="O87" i="61"/>
  <c r="N60" i="54"/>
  <c r="N157" i="61"/>
  <c r="N79" i="61"/>
  <c r="Y161" i="61"/>
  <c r="O161" i="61"/>
  <c r="N115" i="21"/>
  <c r="N56" i="21"/>
  <c r="L428" i="29"/>
  <c r="L555" i="29" s="1"/>
  <c r="N196" i="4"/>
  <c r="N137" i="2" s="1"/>
  <c r="N137" i="35" s="1"/>
  <c r="N137" i="50"/>
  <c r="N138" i="50" s="1"/>
  <c r="O196" i="49"/>
  <c r="N130" i="4"/>
  <c r="N83" i="2" s="1"/>
  <c r="N83" i="50"/>
  <c r="O130" i="49"/>
  <c r="M108" i="59"/>
  <c r="N108" i="59" s="1"/>
  <c r="L28" i="59"/>
  <c r="M69" i="2"/>
  <c r="L349" i="29"/>
  <c r="O81" i="38"/>
  <c r="N149" i="38"/>
  <c r="N211" i="61"/>
  <c r="N130" i="54" s="1"/>
  <c r="N77" i="54"/>
  <c r="L102" i="21"/>
  <c r="L117" i="21"/>
  <c r="L119" i="21"/>
  <c r="N32" i="58"/>
  <c r="N56" i="57"/>
  <c r="Y108" i="61"/>
  <c r="O108" i="61"/>
  <c r="N72" i="54"/>
  <c r="M194" i="57"/>
  <c r="M147" i="58"/>
  <c r="L118" i="59"/>
  <c r="Y93" i="61"/>
  <c r="O93" i="61"/>
  <c r="N90" i="4"/>
  <c r="Z90" i="4" s="1"/>
  <c r="M140" i="4"/>
  <c r="M137" i="34" s="1"/>
  <c r="M207" i="4"/>
  <c r="M130" i="2" s="1"/>
  <c r="K109" i="29"/>
  <c r="M11" i="21"/>
  <c r="L62" i="62"/>
  <c r="N208" i="4"/>
  <c r="O208" i="49"/>
  <c r="N144" i="50"/>
  <c r="N88" i="4"/>
  <c r="Z88" i="4" s="1"/>
  <c r="O88" i="49"/>
  <c r="O122" i="38"/>
  <c r="N190" i="38"/>
  <c r="N108" i="62"/>
  <c r="M148" i="50"/>
  <c r="H9" i="28"/>
  <c r="K32" i="2"/>
  <c r="K32" i="35" s="1"/>
  <c r="K53" i="34"/>
  <c r="K58" i="34" s="1"/>
  <c r="J112" i="29"/>
  <c r="J114" i="29" s="1"/>
  <c r="K56" i="4"/>
  <c r="M72" i="62"/>
  <c r="N94" i="54"/>
  <c r="N95" i="54" s="1"/>
  <c r="N129" i="4"/>
  <c r="M92" i="61"/>
  <c r="M89" i="4" s="1"/>
  <c r="Y89" i="4" s="1"/>
  <c r="Y178" i="61"/>
  <c r="N125" i="54"/>
  <c r="O178" i="61"/>
  <c r="Y160" i="61"/>
  <c r="O160" i="61"/>
  <c r="N118" i="54"/>
  <c r="O129" i="57"/>
  <c r="N85" i="57"/>
  <c r="N153" i="57" s="1"/>
  <c r="N197" i="57"/>
  <c r="M116" i="58"/>
  <c r="N135" i="4"/>
  <c r="N132" i="34" s="1"/>
  <c r="M138" i="44"/>
  <c r="N69" i="39"/>
  <c r="N163" i="38"/>
  <c r="O95" i="38"/>
  <c r="N65" i="39"/>
  <c r="O83" i="38"/>
  <c r="N151" i="38"/>
  <c r="N62" i="59"/>
  <c r="N188" i="42"/>
  <c r="N168" i="38"/>
  <c r="O100" i="38"/>
  <c r="N60" i="50"/>
  <c r="N153" i="49"/>
  <c r="N84" i="4"/>
  <c r="Z84" i="4" s="1"/>
  <c r="O84" i="49"/>
  <c r="I63" i="44"/>
  <c r="I81" i="44" s="1"/>
  <c r="I72" i="44"/>
  <c r="N65" i="58"/>
  <c r="O83" i="57"/>
  <c r="N151" i="57"/>
  <c r="N118" i="58" s="1"/>
  <c r="N161" i="57"/>
  <c r="N121" i="58" s="1"/>
  <c r="N68" i="58"/>
  <c r="O93" i="57"/>
  <c r="Y174" i="61"/>
  <c r="O174" i="61"/>
  <c r="W92" i="61"/>
  <c r="L63" i="54"/>
  <c r="L89" i="4"/>
  <c r="X89" i="4" s="1"/>
  <c r="N174" i="4"/>
  <c r="N170" i="34" s="1"/>
  <c r="N125" i="50"/>
  <c r="O174" i="49"/>
  <c r="N105" i="4"/>
  <c r="Z105" i="4" s="1"/>
  <c r="O105" i="49"/>
  <c r="N72" i="50"/>
  <c r="M151" i="34"/>
  <c r="L652" i="29"/>
  <c r="N15" i="59"/>
  <c r="L30" i="44"/>
  <c r="K70" i="44"/>
  <c r="N68" i="50"/>
  <c r="O98" i="49"/>
  <c r="N87" i="4"/>
  <c r="Z87" i="4" s="1"/>
  <c r="O87" i="49"/>
  <c r="N65" i="50"/>
  <c r="N136" i="4"/>
  <c r="N133" i="34" s="1"/>
  <c r="M139" i="44"/>
  <c r="O86" i="38"/>
  <c r="N154" i="38"/>
  <c r="N156" i="34" s="1"/>
  <c r="O104" i="61"/>
  <c r="Y104" i="61"/>
  <c r="M116" i="50"/>
  <c r="N163" i="57"/>
  <c r="N122" i="58" s="1"/>
  <c r="N69" i="58"/>
  <c r="O95" i="57"/>
  <c r="O63" i="57"/>
  <c r="N24" i="58"/>
  <c r="N50" i="58" s="1"/>
  <c r="O135" i="49"/>
  <c r="K90" i="44"/>
  <c r="J98" i="44"/>
  <c r="O101" i="49"/>
  <c r="N101" i="4"/>
  <c r="Z101" i="4" s="1"/>
  <c r="N209" i="4"/>
  <c r="O209" i="49"/>
  <c r="N133" i="50"/>
  <c r="N169" i="4"/>
  <c r="N122" i="50"/>
  <c r="O169" i="49"/>
  <c r="N216" i="42"/>
  <c r="M230" i="42"/>
  <c r="M75" i="42" s="1"/>
  <c r="N100" i="4"/>
  <c r="Z100" i="4" s="1"/>
  <c r="O100" i="49"/>
  <c r="N69" i="50"/>
  <c r="N83" i="54"/>
  <c r="O167" i="49"/>
  <c r="N121" i="50"/>
  <c r="O170" i="49"/>
  <c r="N170" i="4"/>
  <c r="M668" i="29" s="1"/>
  <c r="K124" i="59"/>
  <c r="K162" i="57" s="1"/>
  <c r="K763" i="29"/>
  <c r="K767" i="29" s="1"/>
  <c r="M112" i="21"/>
  <c r="O81" i="57"/>
  <c r="N149" i="57"/>
  <c r="N114" i="58" s="1"/>
  <c r="N61" i="58"/>
  <c r="N16" i="59"/>
  <c r="K125" i="34"/>
  <c r="K131" i="4"/>
  <c r="O197" i="4"/>
  <c r="P201" i="61"/>
  <c r="P197" i="4" s="1"/>
  <c r="P29" i="34"/>
  <c r="O28" i="29"/>
  <c r="P16" i="2"/>
  <c r="K175" i="49"/>
  <c r="K123" i="50"/>
  <c r="P18" i="14"/>
  <c r="P18" i="36" s="1"/>
  <c r="O18" i="36"/>
  <c r="G156" i="50"/>
  <c r="F100" i="51"/>
  <c r="H103" i="50"/>
  <c r="G54" i="51"/>
  <c r="I50" i="50"/>
  <c r="H8" i="51"/>
  <c r="M30" i="35"/>
  <c r="L31" i="57"/>
  <c r="L17" i="58"/>
  <c r="L153" i="38"/>
  <c r="L155" i="34" s="1"/>
  <c r="K31" i="57"/>
  <c r="K17" i="58"/>
  <c r="N57" i="34"/>
  <c r="M41" i="35"/>
  <c r="N15" i="29"/>
  <c r="N56" i="34"/>
  <c r="M95" i="58"/>
  <c r="J16" i="40"/>
  <c r="L26" i="36"/>
  <c r="L205" i="34"/>
  <c r="L133" i="2"/>
  <c r="L133" i="35" s="1"/>
  <c r="I32" i="40"/>
  <c r="P62" i="34"/>
  <c r="M123" i="34"/>
  <c r="L191" i="34"/>
  <c r="E873" i="29"/>
  <c r="C115" i="28" s="1"/>
  <c r="G874" i="29"/>
  <c r="G889" i="29" s="1"/>
  <c r="E65" i="28" s="1"/>
  <c r="K168" i="4"/>
  <c r="F80" i="62"/>
  <c r="F82" i="62" s="1"/>
  <c r="L87" i="50"/>
  <c r="M34" i="50"/>
  <c r="L140" i="58"/>
  <c r="M87" i="58"/>
  <c r="N10" i="39"/>
  <c r="L148" i="58"/>
  <c r="K120" i="59"/>
  <c r="L156" i="58"/>
  <c r="G80" i="59"/>
  <c r="G82" i="59" s="1"/>
  <c r="L74" i="59"/>
  <c r="L152" i="38"/>
  <c r="L154" i="34" s="1"/>
  <c r="M26" i="40"/>
  <c r="N41" i="39"/>
  <c r="M103" i="58"/>
  <c r="I34" i="59"/>
  <c r="I36" i="59" s="1"/>
  <c r="I19" i="59"/>
  <c r="F126" i="59"/>
  <c r="F128" i="59" s="1"/>
  <c r="G52" i="58"/>
  <c r="H46" i="58"/>
  <c r="H48" i="58" s="1"/>
  <c r="H7" i="59" s="1"/>
  <c r="M28" i="62"/>
  <c r="N42" i="54"/>
  <c r="N42" i="50"/>
  <c r="M28" i="51"/>
  <c r="I19" i="62"/>
  <c r="G111" i="51"/>
  <c r="G111" i="62"/>
  <c r="H65" i="51"/>
  <c r="I19" i="51"/>
  <c r="H65" i="62"/>
  <c r="F80" i="51"/>
  <c r="F82" i="51" s="1"/>
  <c r="F126" i="51"/>
  <c r="F128" i="51" s="1"/>
  <c r="I34" i="51"/>
  <c r="I36" i="51" s="1"/>
  <c r="F126" i="62"/>
  <c r="F128" i="62" s="1"/>
  <c r="I34" i="62"/>
  <c r="I36" i="62" s="1"/>
  <c r="G80" i="62"/>
  <c r="G82" i="62" s="1"/>
  <c r="L31" i="49"/>
  <c r="O67" i="34"/>
  <c r="N27" i="2"/>
  <c r="N27" i="35" s="1"/>
  <c r="L130" i="39"/>
  <c r="L130" i="35" s="1"/>
  <c r="L136" i="39"/>
  <c r="L136" i="35" s="1"/>
  <c r="N30" i="2"/>
  <c r="P59" i="38"/>
  <c r="O16" i="38"/>
  <c r="O55" i="38"/>
  <c r="N30" i="39"/>
  <c r="N129" i="38"/>
  <c r="M197" i="38"/>
  <c r="M199" i="34" s="1"/>
  <c r="M86" i="34"/>
  <c r="M85" i="38"/>
  <c r="L138" i="39"/>
  <c r="O51" i="38"/>
  <c r="N32" i="39"/>
  <c r="N56" i="38"/>
  <c r="L431" i="29"/>
  <c r="L433" i="29" s="1"/>
  <c r="M26" i="14"/>
  <c r="N41" i="2"/>
  <c r="N121" i="38"/>
  <c r="M189" i="38"/>
  <c r="M85" i="39"/>
  <c r="N24" i="39"/>
  <c r="N133" i="38"/>
  <c r="M201" i="38"/>
  <c r="M77" i="39"/>
  <c r="M77" i="35" s="1"/>
  <c r="N125" i="38"/>
  <c r="M193" i="38"/>
  <c r="M195" i="34" s="1"/>
  <c r="M83" i="39"/>
  <c r="M83" i="35" s="1"/>
  <c r="K751" i="29"/>
  <c r="K753" i="29" s="1"/>
  <c r="L200" i="4"/>
  <c r="N88" i="34" l="1"/>
  <c r="L125" i="34"/>
  <c r="I159" i="28"/>
  <c r="M55" i="34"/>
  <c r="J158" i="28"/>
  <c r="Z102" i="4"/>
  <c r="M332" i="29"/>
  <c r="Z85" i="4"/>
  <c r="L334" i="29"/>
  <c r="N192" i="34"/>
  <c r="K334" i="29"/>
  <c r="N97" i="34"/>
  <c r="M333" i="29"/>
  <c r="N99" i="34"/>
  <c r="N102" i="34"/>
  <c r="M348" i="29"/>
  <c r="M337" i="29"/>
  <c r="O62" i="59"/>
  <c r="M124" i="62"/>
  <c r="M124" i="51"/>
  <c r="M168" i="49" s="1"/>
  <c r="N148" i="50"/>
  <c r="N148" i="54"/>
  <c r="N206" i="4"/>
  <c r="M203" i="34"/>
  <c r="N18" i="34"/>
  <c r="N34" i="58"/>
  <c r="N42" i="58"/>
  <c r="N135" i="34"/>
  <c r="L85" i="54"/>
  <c r="L87" i="54" s="1"/>
  <c r="L131" i="4"/>
  <c r="N127" i="34"/>
  <c r="L87" i="34"/>
  <c r="L135" i="61"/>
  <c r="O16" i="59"/>
  <c r="L78" i="42"/>
  <c r="N83" i="34"/>
  <c r="J553" i="29"/>
  <c r="H114" i="28" s="1"/>
  <c r="K438" i="29"/>
  <c r="K446" i="29" s="1"/>
  <c r="O204" i="61"/>
  <c r="N158" i="4"/>
  <c r="M654" i="29" s="1"/>
  <c r="O108" i="62"/>
  <c r="M80" i="2"/>
  <c r="M80" i="35" s="1"/>
  <c r="N137" i="4"/>
  <c r="N140" i="4"/>
  <c r="N137" i="34" s="1"/>
  <c r="W102" i="61"/>
  <c r="O121" i="50"/>
  <c r="P167" i="49"/>
  <c r="N230" i="42"/>
  <c r="N75" i="42" s="1"/>
  <c r="O216" i="42"/>
  <c r="P101" i="49"/>
  <c r="O101" i="4"/>
  <c r="AA101" i="4" s="1"/>
  <c r="P135" i="49"/>
  <c r="M338" i="29"/>
  <c r="N65" i="2"/>
  <c r="P174" i="49"/>
  <c r="O174" i="4"/>
  <c r="O125" i="50"/>
  <c r="P93" i="57"/>
  <c r="O68" i="58"/>
  <c r="O161" i="57"/>
  <c r="O121" i="58" s="1"/>
  <c r="O151" i="57"/>
  <c r="O65" i="58"/>
  <c r="P83" i="57"/>
  <c r="O60" i="50"/>
  <c r="O153" i="49"/>
  <c r="P84" i="49"/>
  <c r="O84" i="4"/>
  <c r="O168" i="38"/>
  <c r="P100" i="38"/>
  <c r="P168" i="38" s="1"/>
  <c r="Z160" i="61"/>
  <c r="P160" i="61"/>
  <c r="O118" i="54"/>
  <c r="M74" i="62"/>
  <c r="P122" i="38"/>
  <c r="O190" i="38"/>
  <c r="Z93" i="61"/>
  <c r="P93" i="61"/>
  <c r="O90" i="4"/>
  <c r="AA90" i="4" s="1"/>
  <c r="Z87" i="61"/>
  <c r="O60" i="54"/>
  <c r="P87" i="61"/>
  <c r="O79" i="61"/>
  <c r="O157" i="61"/>
  <c r="N98" i="34"/>
  <c r="O54" i="34"/>
  <c r="O31" i="39"/>
  <c r="O31" i="35" s="1"/>
  <c r="P52" i="38"/>
  <c r="P80" i="38"/>
  <c r="O148" i="38"/>
  <c r="O131" i="49"/>
  <c r="O85" i="50"/>
  <c r="P126" i="49"/>
  <c r="O138" i="4"/>
  <c r="O77" i="2" s="1"/>
  <c r="P138" i="49"/>
  <c r="O77" i="50"/>
  <c r="O61" i="54"/>
  <c r="P88" i="61"/>
  <c r="Z88" i="61"/>
  <c r="P93" i="38"/>
  <c r="O161" i="38"/>
  <c r="O108" i="51"/>
  <c r="I9" i="28"/>
  <c r="L32" i="2"/>
  <c r="L32" i="35" s="1"/>
  <c r="L53" i="34"/>
  <c r="L58" i="34" s="1"/>
  <c r="L56" i="4"/>
  <c r="K112" i="29"/>
  <c r="K114" i="29" s="1"/>
  <c r="N92" i="61"/>
  <c r="N89" i="4" s="1"/>
  <c r="Z89" i="4" s="1"/>
  <c r="O203" i="4"/>
  <c r="P203" i="49"/>
  <c r="O158" i="49"/>
  <c r="O116" i="50" s="1"/>
  <c r="N63" i="4"/>
  <c r="N24" i="54"/>
  <c r="M78" i="62"/>
  <c r="O80" i="50"/>
  <c r="P140" i="49"/>
  <c r="O211" i="61"/>
  <c r="O130" i="54" s="1"/>
  <c r="O77" i="54"/>
  <c r="O162" i="61"/>
  <c r="O116" i="54" s="1"/>
  <c r="P207" i="61"/>
  <c r="O203" i="42"/>
  <c r="N236" i="42"/>
  <c r="L124" i="59"/>
  <c r="L162" i="57" s="1"/>
  <c r="O157" i="4"/>
  <c r="N653" i="29" s="1"/>
  <c r="P157" i="49"/>
  <c r="K430" i="29"/>
  <c r="K434" i="29" s="1"/>
  <c r="N143" i="44"/>
  <c r="O80" i="54"/>
  <c r="O61" i="59"/>
  <c r="O198" i="4"/>
  <c r="O147" i="2" s="1"/>
  <c r="N118" i="14" s="1"/>
  <c r="P198" i="49"/>
  <c r="O147" i="50"/>
  <c r="N118" i="51" s="1"/>
  <c r="M16" i="62"/>
  <c r="K758" i="29"/>
  <c r="K766" i="29" s="1"/>
  <c r="N78" i="51"/>
  <c r="P204" i="49"/>
  <c r="P204" i="4" s="1"/>
  <c r="P200" i="34" s="1"/>
  <c r="O204" i="4"/>
  <c r="O200" i="34" s="1"/>
  <c r="M28" i="59"/>
  <c r="P64" i="57"/>
  <c r="O38" i="58"/>
  <c r="O38" i="35" s="1"/>
  <c r="O66" i="34"/>
  <c r="L109" i="29"/>
  <c r="N11" i="21"/>
  <c r="P205" i="49"/>
  <c r="P205" i="4" s="1"/>
  <c r="P201" i="34" s="1"/>
  <c r="O205" i="4"/>
  <c r="O201" i="34" s="1"/>
  <c r="L172" i="61"/>
  <c r="L168" i="4" s="1"/>
  <c r="O89" i="49"/>
  <c r="P134" i="49"/>
  <c r="O69" i="50"/>
  <c r="P100" i="49"/>
  <c r="O100" i="4"/>
  <c r="AA100" i="4" s="1"/>
  <c r="O169" i="4"/>
  <c r="O122" i="50"/>
  <c r="P169" i="49"/>
  <c r="O133" i="50"/>
  <c r="P209" i="49"/>
  <c r="O209" i="4"/>
  <c r="P98" i="49"/>
  <c r="O68" i="50"/>
  <c r="M30" i="44"/>
  <c r="N78" i="4"/>
  <c r="M331" i="29"/>
  <c r="N85" i="34"/>
  <c r="O135" i="4"/>
  <c r="O132" i="34" s="1"/>
  <c r="N138" i="44"/>
  <c r="X92" i="61"/>
  <c r="M63" i="54"/>
  <c r="O94" i="54"/>
  <c r="O95" i="54" s="1"/>
  <c r="N72" i="62"/>
  <c r="O129" i="4"/>
  <c r="P88" i="49"/>
  <c r="O63" i="50"/>
  <c r="O88" i="4"/>
  <c r="AA88" i="4" s="1"/>
  <c r="O208" i="4"/>
  <c r="O144" i="50"/>
  <c r="P208" i="49"/>
  <c r="J748" i="29"/>
  <c r="L104" i="21"/>
  <c r="N102" i="21"/>
  <c r="N119" i="21"/>
  <c r="O133" i="54"/>
  <c r="P213" i="61"/>
  <c r="P133" i="54" s="1"/>
  <c r="N166" i="34"/>
  <c r="O64" i="21"/>
  <c r="M347" i="29"/>
  <c r="M77" i="42"/>
  <c r="N53" i="4" s="1"/>
  <c r="M238" i="42"/>
  <c r="M232" i="42"/>
  <c r="P171" i="49"/>
  <c r="O171" i="4"/>
  <c r="L160" i="28" s="1"/>
  <c r="O206" i="49"/>
  <c r="N137" i="44"/>
  <c r="O134" i="4"/>
  <c r="M145" i="44"/>
  <c r="P55" i="57"/>
  <c r="P30" i="58" s="1"/>
  <c r="O30" i="58"/>
  <c r="O189" i="57"/>
  <c r="O126" i="57"/>
  <c r="P121" i="57"/>
  <c r="O200" i="49"/>
  <c r="P195" i="49"/>
  <c r="O195" i="4"/>
  <c r="P207" i="49"/>
  <c r="O130" i="50"/>
  <c r="O141" i="44"/>
  <c r="P141" i="44" s="1"/>
  <c r="Q141" i="44" s="1"/>
  <c r="R141" i="44" s="1"/>
  <c r="S141" i="44" s="1"/>
  <c r="T141" i="44" s="1"/>
  <c r="U141" i="44" s="1"/>
  <c r="V141" i="44" s="1"/>
  <c r="W141" i="44" s="1"/>
  <c r="X141" i="44" s="1"/>
  <c r="Y141" i="44" s="1"/>
  <c r="Z141" i="44" s="1"/>
  <c r="AA141" i="44" s="1"/>
  <c r="O191" i="57"/>
  <c r="P123" i="57"/>
  <c r="P191" i="57" s="1"/>
  <c r="P193" i="34" s="1"/>
  <c r="O83" i="58"/>
  <c r="O193" i="57"/>
  <c r="O136" i="58" s="1"/>
  <c r="P125" i="57"/>
  <c r="O110" i="62"/>
  <c r="O137" i="54"/>
  <c r="O138" i="54" s="1"/>
  <c r="P200" i="61"/>
  <c r="P97" i="38"/>
  <c r="O165" i="38"/>
  <c r="Z163" i="61"/>
  <c r="P163" i="61"/>
  <c r="AA163" i="61" s="1"/>
  <c r="N116" i="50"/>
  <c r="P59" i="57"/>
  <c r="P16" i="57" s="1"/>
  <c r="P10" i="58" s="1"/>
  <c r="O16" i="57"/>
  <c r="O10" i="58" s="1"/>
  <c r="M120" i="62"/>
  <c r="N116" i="58"/>
  <c r="P156" i="49"/>
  <c r="O156" i="4"/>
  <c r="O118" i="50"/>
  <c r="O61" i="34"/>
  <c r="O168" i="57"/>
  <c r="O125" i="58" s="1"/>
  <c r="P100" i="57"/>
  <c r="O72" i="58"/>
  <c r="O77" i="58"/>
  <c r="O201" i="57"/>
  <c r="O130" i="58" s="1"/>
  <c r="P133" i="57"/>
  <c r="M118" i="59"/>
  <c r="M124" i="59" s="1"/>
  <c r="N147" i="58"/>
  <c r="O191" i="38"/>
  <c r="P123" i="38"/>
  <c r="P191" i="38" s="1"/>
  <c r="P54" i="57"/>
  <c r="O41" i="58"/>
  <c r="N26" i="59"/>
  <c r="P105" i="61"/>
  <c r="Z105" i="61"/>
  <c r="J72" i="44"/>
  <c r="J63" i="44"/>
  <c r="J81" i="44" s="1"/>
  <c r="P170" i="49"/>
  <c r="O170" i="4"/>
  <c r="N668" i="29" s="1"/>
  <c r="O83" i="54"/>
  <c r="P83" i="54"/>
  <c r="N69" i="2"/>
  <c r="M349" i="29"/>
  <c r="L90" i="44"/>
  <c r="K98" i="44"/>
  <c r="P63" i="57"/>
  <c r="P24" i="58" s="1"/>
  <c r="O24" i="58"/>
  <c r="P86" i="38"/>
  <c r="O154" i="38"/>
  <c r="O15" i="59"/>
  <c r="O105" i="4"/>
  <c r="AA105" i="4" s="1"/>
  <c r="P105" i="49"/>
  <c r="O72" i="50"/>
  <c r="Z174" i="61"/>
  <c r="P174" i="61"/>
  <c r="I73" i="44"/>
  <c r="N113" i="50"/>
  <c r="N153" i="4"/>
  <c r="M651" i="29" s="1"/>
  <c r="N118" i="39"/>
  <c r="N153" i="34"/>
  <c r="O69" i="39"/>
  <c r="P95" i="38"/>
  <c r="O163" i="38"/>
  <c r="P129" i="57"/>
  <c r="O85" i="57"/>
  <c r="O153" i="57" s="1"/>
  <c r="O197" i="57"/>
  <c r="Z178" i="61"/>
  <c r="O125" i="54"/>
  <c r="P178" i="61"/>
  <c r="M72" i="14"/>
  <c r="N94" i="2"/>
  <c r="N204" i="34"/>
  <c r="N144" i="2"/>
  <c r="N144" i="35" s="1"/>
  <c r="Z108" i="61"/>
  <c r="O72" i="54"/>
  <c r="P108" i="61"/>
  <c r="O32" i="58"/>
  <c r="O56" i="57"/>
  <c r="P81" i="38"/>
  <c r="O149" i="38"/>
  <c r="M32" i="54"/>
  <c r="M34" i="54" s="1"/>
  <c r="M57" i="61"/>
  <c r="M51" i="4"/>
  <c r="X162" i="61"/>
  <c r="O196" i="4"/>
  <c r="O137" i="2" s="1"/>
  <c r="O137" i="35" s="1"/>
  <c r="P196" i="49"/>
  <c r="O137" i="50"/>
  <c r="O138" i="50" s="1"/>
  <c r="Z161" i="61"/>
  <c r="P161" i="61"/>
  <c r="Y157" i="61"/>
  <c r="N113" i="54"/>
  <c r="J73" i="44"/>
  <c r="N128" i="4" s="1"/>
  <c r="N125" i="34" s="1"/>
  <c r="N151" i="34"/>
  <c r="M652" i="29"/>
  <c r="P96" i="38"/>
  <c r="O164" i="38"/>
  <c r="N82" i="34"/>
  <c r="O62" i="51"/>
  <c r="O102" i="4"/>
  <c r="O137" i="49"/>
  <c r="P102" i="49"/>
  <c r="O181" i="42"/>
  <c r="N213" i="42"/>
  <c r="M667" i="29"/>
  <c r="O110" i="21"/>
  <c r="M65" i="34"/>
  <c r="M24" i="2"/>
  <c r="M24" i="35" s="1"/>
  <c r="Z103" i="61"/>
  <c r="P103" i="61"/>
  <c r="O69" i="54"/>
  <c r="O199" i="4"/>
  <c r="O136" i="2" s="1"/>
  <c r="P199" i="49"/>
  <c r="O136" i="50"/>
  <c r="N194" i="57"/>
  <c r="N138" i="58"/>
  <c r="O249" i="42"/>
  <c r="N60" i="42"/>
  <c r="K499" i="29"/>
  <c r="K556" i="29"/>
  <c r="K553" i="29" s="1"/>
  <c r="I114" i="28" s="1"/>
  <c r="Z158" i="61"/>
  <c r="O114" i="54"/>
  <c r="P158" i="61"/>
  <c r="N207" i="4"/>
  <c r="N130" i="2" s="1"/>
  <c r="O165" i="57"/>
  <c r="P97" i="57"/>
  <c r="O132" i="57"/>
  <c r="O200" i="57" s="1"/>
  <c r="M102" i="21"/>
  <c r="M117" i="21"/>
  <c r="M119" i="21"/>
  <c r="N167" i="34"/>
  <c r="P212" i="61"/>
  <c r="P144" i="54" s="1"/>
  <c r="O144" i="54"/>
  <c r="N107" i="59"/>
  <c r="M58" i="21"/>
  <c r="P136" i="49"/>
  <c r="P62" i="57"/>
  <c r="P64" i="34" s="1"/>
  <c r="O64" i="34"/>
  <c r="P202" i="61"/>
  <c r="P147" i="54" s="1"/>
  <c r="O118" i="62" s="1"/>
  <c r="O120" i="62" s="1"/>
  <c r="O147" i="54"/>
  <c r="N118" i="62" s="1"/>
  <c r="N63" i="58"/>
  <c r="N72" i="59"/>
  <c r="N78" i="59" s="1"/>
  <c r="P124" i="57"/>
  <c r="O94" i="58"/>
  <c r="O192" i="57"/>
  <c r="Z90" i="61"/>
  <c r="P90" i="61"/>
  <c r="O65" i="54"/>
  <c r="Z175" i="61"/>
  <c r="P175" i="61"/>
  <c r="O210" i="61"/>
  <c r="O159" i="4" s="1"/>
  <c r="N657" i="29" s="1"/>
  <c r="L7" i="44"/>
  <c r="K42" i="44"/>
  <c r="N134" i="4"/>
  <c r="N131" i="34" s="1"/>
  <c r="O61" i="58"/>
  <c r="P81" i="57"/>
  <c r="O149" i="57"/>
  <c r="O114" i="58" s="1"/>
  <c r="K819" i="29"/>
  <c r="K876" i="29"/>
  <c r="N122" i="2"/>
  <c r="M669" i="29"/>
  <c r="P95" i="57"/>
  <c r="O163" i="57"/>
  <c r="O122" i="58" s="1"/>
  <c r="O69" i="58"/>
  <c r="P104" i="61"/>
  <c r="AA104" i="61" s="1"/>
  <c r="Z104" i="61"/>
  <c r="N139" i="44"/>
  <c r="O136" i="4"/>
  <c r="O133" i="34" s="1"/>
  <c r="P87" i="49"/>
  <c r="O87" i="4"/>
  <c r="AA87" i="4" s="1"/>
  <c r="O65" i="50"/>
  <c r="K148" i="44"/>
  <c r="I86" i="44"/>
  <c r="I99" i="44" s="1"/>
  <c r="O188" i="42"/>
  <c r="O65" i="39"/>
  <c r="P83" i="38"/>
  <c r="O151" i="38"/>
  <c r="N122" i="39"/>
  <c r="N165" i="34"/>
  <c r="O130" i="4"/>
  <c r="O83" i="2" s="1"/>
  <c r="O83" i="50"/>
  <c r="P130" i="49"/>
  <c r="H64" i="44"/>
  <c r="H65" i="44" s="1"/>
  <c r="J152" i="44"/>
  <c r="Z173" i="61"/>
  <c r="P173" i="61"/>
  <c r="O122" i="54"/>
  <c r="O114" i="50"/>
  <c r="P154" i="49"/>
  <c r="O154" i="4"/>
  <c r="O110" i="51"/>
  <c r="P110" i="51" s="1"/>
  <c r="O85" i="4"/>
  <c r="AA85" i="4" s="1"/>
  <c r="O61" i="50"/>
  <c r="P85" i="49"/>
  <c r="L14" i="44"/>
  <c r="O124" i="34"/>
  <c r="P122" i="57"/>
  <c r="O190" i="57"/>
  <c r="O85" i="58"/>
  <c r="O237" i="42"/>
  <c r="P197" i="42"/>
  <c r="M24" i="44"/>
  <c r="L71" i="44"/>
  <c r="M239" i="42"/>
  <c r="M94" i="44"/>
  <c r="N94" i="44" s="1"/>
  <c r="O94" i="44" s="1"/>
  <c r="P94" i="44" s="1"/>
  <c r="Q94" i="44" s="1"/>
  <c r="R94" i="44" s="1"/>
  <c r="S94" i="44" s="1"/>
  <c r="T94" i="44" s="1"/>
  <c r="U94" i="44" s="1"/>
  <c r="V94" i="44" s="1"/>
  <c r="W94" i="44" s="1"/>
  <c r="X94" i="44" s="1"/>
  <c r="Y94" i="44" s="1"/>
  <c r="P86" i="57"/>
  <c r="P154" i="57" s="1"/>
  <c r="O154" i="57"/>
  <c r="O60" i="58"/>
  <c r="P80" i="57"/>
  <c r="O148" i="57"/>
  <c r="O113" i="58" s="1"/>
  <c r="L443" i="29"/>
  <c r="L447" i="29" s="1"/>
  <c r="N66" i="21"/>
  <c r="N67" i="21" s="1"/>
  <c r="L110" i="29"/>
  <c r="N12" i="21"/>
  <c r="M94" i="57"/>
  <c r="P84" i="57"/>
  <c r="O63" i="58"/>
  <c r="O152" i="57"/>
  <c r="O116" i="58" s="1"/>
  <c r="M658" i="29"/>
  <c r="N118" i="2"/>
  <c r="P53" i="38"/>
  <c r="L44" i="44"/>
  <c r="K61" i="44"/>
  <c r="L239" i="42"/>
  <c r="Z91" i="61"/>
  <c r="P91" i="61"/>
  <c r="L763" i="29"/>
  <c r="L767" i="29" s="1"/>
  <c r="N112" i="21"/>
  <c r="P203" i="61"/>
  <c r="P136" i="54" s="1"/>
  <c r="O136" i="54"/>
  <c r="K99" i="4"/>
  <c r="W99" i="4" s="1"/>
  <c r="K123" i="54"/>
  <c r="K70" i="54"/>
  <c r="L175" i="49"/>
  <c r="L123" i="50"/>
  <c r="K106" i="49"/>
  <c r="K70" i="50"/>
  <c r="H156" i="50"/>
  <c r="G100" i="51"/>
  <c r="I103" i="50"/>
  <c r="H54" i="51"/>
  <c r="J50" i="50"/>
  <c r="I8" i="51"/>
  <c r="N30" i="35"/>
  <c r="M191" i="34"/>
  <c r="M205" i="34"/>
  <c r="M133" i="2"/>
  <c r="M133" i="35" s="1"/>
  <c r="N95" i="58"/>
  <c r="O56" i="34"/>
  <c r="O193" i="34"/>
  <c r="K16" i="40"/>
  <c r="M153" i="38"/>
  <c r="M155" i="34" s="1"/>
  <c r="M87" i="34"/>
  <c r="N41" i="35"/>
  <c r="J32" i="40"/>
  <c r="K124" i="38" s="1"/>
  <c r="O57" i="34"/>
  <c r="O15" i="29"/>
  <c r="N123" i="34"/>
  <c r="M26" i="36"/>
  <c r="M87" i="50"/>
  <c r="J664" i="29"/>
  <c r="J858" i="29" s="1"/>
  <c r="J856" i="29" s="1"/>
  <c r="K123" i="2"/>
  <c r="N87" i="58"/>
  <c r="L120" i="59"/>
  <c r="M148" i="58"/>
  <c r="J34" i="59"/>
  <c r="J36" i="59" s="1"/>
  <c r="H80" i="59"/>
  <c r="H82" i="59" s="1"/>
  <c r="M140" i="58"/>
  <c r="H52" i="58"/>
  <c r="I46" i="58"/>
  <c r="I48" i="58" s="1"/>
  <c r="I7" i="59" s="1"/>
  <c r="N103" i="58"/>
  <c r="M156" i="58"/>
  <c r="M152" i="38"/>
  <c r="M154" i="34" s="1"/>
  <c r="O10" i="39"/>
  <c r="N26" i="40"/>
  <c r="O41" i="39"/>
  <c r="G126" i="59"/>
  <c r="G128" i="59" s="1"/>
  <c r="J19" i="59"/>
  <c r="M74" i="59"/>
  <c r="I65" i="51"/>
  <c r="I65" i="62"/>
  <c r="N34" i="50"/>
  <c r="H111" i="62"/>
  <c r="J19" i="62"/>
  <c r="N28" i="62"/>
  <c r="O42" i="54"/>
  <c r="N28" i="51"/>
  <c r="O42" i="50"/>
  <c r="J19" i="51"/>
  <c r="H111" i="51"/>
  <c r="G126" i="62"/>
  <c r="G128" i="62" s="1"/>
  <c r="G126" i="51"/>
  <c r="G128" i="51" s="1"/>
  <c r="J34" i="51"/>
  <c r="J36" i="51" s="1"/>
  <c r="H80" i="62"/>
  <c r="H82" i="62" s="1"/>
  <c r="J34" i="62"/>
  <c r="J36" i="62" s="1"/>
  <c r="G80" i="51"/>
  <c r="G82" i="51" s="1"/>
  <c r="M31" i="49"/>
  <c r="O121" i="38"/>
  <c r="N189" i="38"/>
  <c r="N85" i="39"/>
  <c r="P55" i="38"/>
  <c r="O30" i="39"/>
  <c r="M431" i="29"/>
  <c r="M433" i="29" s="1"/>
  <c r="P51" i="38"/>
  <c r="O32" i="39"/>
  <c r="O56" i="38"/>
  <c r="M136" i="39"/>
  <c r="M136" i="35" s="1"/>
  <c r="O129" i="38"/>
  <c r="N197" i="38"/>
  <c r="N199" i="34" s="1"/>
  <c r="N86" i="34"/>
  <c r="N85" i="38"/>
  <c r="P16" i="38"/>
  <c r="P67" i="34"/>
  <c r="O27" i="2"/>
  <c r="O27" i="35" s="1"/>
  <c r="O24" i="39"/>
  <c r="O125" i="38"/>
  <c r="N193" i="38"/>
  <c r="N195" i="34" s="1"/>
  <c r="N83" i="39"/>
  <c r="N83" i="35" s="1"/>
  <c r="O133" i="38"/>
  <c r="N201" i="38"/>
  <c r="N77" i="39"/>
  <c r="N77" i="35" s="1"/>
  <c r="O41" i="2"/>
  <c r="N26" i="14"/>
  <c r="L751" i="29"/>
  <c r="L753" i="29" s="1"/>
  <c r="M200" i="4"/>
  <c r="M130" i="39"/>
  <c r="M130" i="35" s="1"/>
  <c r="M138" i="39"/>
  <c r="O30" i="2"/>
  <c r="O88" i="34" l="1"/>
  <c r="K159" i="28"/>
  <c r="O82" i="34"/>
  <c r="AA84" i="4"/>
  <c r="N55" i="34"/>
  <c r="K158" i="28"/>
  <c r="AA102" i="4"/>
  <c r="O97" i="34"/>
  <c r="N337" i="29"/>
  <c r="N333" i="29"/>
  <c r="M334" i="29"/>
  <c r="N348" i="29"/>
  <c r="O102" i="34"/>
  <c r="O85" i="34"/>
  <c r="O108" i="59"/>
  <c r="N150" i="34"/>
  <c r="O148" i="50"/>
  <c r="O34" i="58"/>
  <c r="N80" i="2"/>
  <c r="N80" i="35" s="1"/>
  <c r="O207" i="4"/>
  <c r="O130" i="2" s="1"/>
  <c r="K554" i="29"/>
  <c r="K569" i="29" s="1"/>
  <c r="I64" i="28" s="1"/>
  <c r="Y162" i="61"/>
  <c r="O127" i="34"/>
  <c r="P110" i="62"/>
  <c r="N203" i="34"/>
  <c r="O42" i="58"/>
  <c r="O135" i="34"/>
  <c r="N135" i="61"/>
  <c r="O107" i="59"/>
  <c r="L70" i="44"/>
  <c r="M162" i="57"/>
  <c r="O50" i="58"/>
  <c r="P50" i="58" s="1"/>
  <c r="P61" i="34"/>
  <c r="P18" i="34"/>
  <c r="M78" i="42"/>
  <c r="O137" i="4"/>
  <c r="O98" i="34"/>
  <c r="O166" i="34"/>
  <c r="N131" i="4"/>
  <c r="N78" i="62"/>
  <c r="N85" i="54"/>
  <c r="N87" i="54" s="1"/>
  <c r="O131" i="34"/>
  <c r="M44" i="44"/>
  <c r="L61" i="44"/>
  <c r="P126" i="4" s="1"/>
  <c r="N94" i="57"/>
  <c r="L499" i="29"/>
  <c r="L556" i="29"/>
  <c r="P190" i="57"/>
  <c r="P85" i="58"/>
  <c r="P85" i="4"/>
  <c r="P61" i="50"/>
  <c r="P65" i="39"/>
  <c r="P151" i="38"/>
  <c r="P65" i="50"/>
  <c r="P87" i="4"/>
  <c r="AB87" i="4" s="1"/>
  <c r="AA175" i="61"/>
  <c r="P210" i="61"/>
  <c r="P159" i="4" s="1"/>
  <c r="O657" i="29" s="1"/>
  <c r="N120" i="62"/>
  <c r="O148" i="54"/>
  <c r="P165" i="57"/>
  <c r="P132" i="57"/>
  <c r="P200" i="57" s="1"/>
  <c r="O63" i="4"/>
  <c r="O24" i="54"/>
  <c r="N238" i="42"/>
  <c r="N77" i="42"/>
  <c r="O53" i="4" s="1"/>
  <c r="N232" i="42"/>
  <c r="P64" i="21"/>
  <c r="P73" i="21" s="1"/>
  <c r="N347" i="29"/>
  <c r="O115" i="21"/>
  <c r="O56" i="21"/>
  <c r="M428" i="29"/>
  <c r="M555" i="29" s="1"/>
  <c r="O71" i="21"/>
  <c r="O73" i="21"/>
  <c r="AA161" i="61"/>
  <c r="P137" i="50"/>
  <c r="P138" i="50" s="1"/>
  <c r="P196" i="4"/>
  <c r="P137" i="2" s="1"/>
  <c r="P137" i="35" s="1"/>
  <c r="P197" i="57"/>
  <c r="P85" i="57"/>
  <c r="P153" i="57" s="1"/>
  <c r="P15" i="59"/>
  <c r="AA105" i="61"/>
  <c r="O26" i="59"/>
  <c r="O28" i="59" s="1"/>
  <c r="P41" i="58"/>
  <c r="P137" i="54"/>
  <c r="P138" i="54" s="1"/>
  <c r="P204" i="61"/>
  <c r="P130" i="50"/>
  <c r="P134" i="4"/>
  <c r="O137" i="44"/>
  <c r="N145" i="44"/>
  <c r="M443" i="29"/>
  <c r="M447" i="29" s="1"/>
  <c r="O66" i="21"/>
  <c r="O67" i="21" s="1"/>
  <c r="P88" i="4"/>
  <c r="AB88" i="4" s="1"/>
  <c r="P122" i="50"/>
  <c r="P169" i="4"/>
  <c r="P100" i="4"/>
  <c r="AB100" i="4" s="1"/>
  <c r="P69" i="50"/>
  <c r="O18" i="34"/>
  <c r="N65" i="34"/>
  <c r="N24" i="2"/>
  <c r="N24" i="35" s="1"/>
  <c r="Y92" i="61"/>
  <c r="N63" i="54"/>
  <c r="P161" i="38"/>
  <c r="P85" i="50"/>
  <c r="P131" i="49"/>
  <c r="AA87" i="61"/>
  <c r="P60" i="54"/>
  <c r="P157" i="61"/>
  <c r="P79" i="61"/>
  <c r="P90" i="4"/>
  <c r="AB90" i="4" s="1"/>
  <c r="AA93" i="61"/>
  <c r="P124" i="34"/>
  <c r="P190" i="38"/>
  <c r="AA160" i="61"/>
  <c r="P118" i="54"/>
  <c r="O170" i="34"/>
  <c r="P121" i="50"/>
  <c r="M109" i="29"/>
  <c r="O11" i="21"/>
  <c r="O151" i="34"/>
  <c r="N652" i="29"/>
  <c r="AA173" i="61"/>
  <c r="P122" i="54"/>
  <c r="P130" i="4"/>
  <c r="P83" i="2" s="1"/>
  <c r="P83" i="50"/>
  <c r="I64" i="44"/>
  <c r="I65" i="44" s="1"/>
  <c r="K152" i="44"/>
  <c r="K63" i="44"/>
  <c r="K81" i="44" s="1"/>
  <c r="K72" i="44"/>
  <c r="N118" i="59"/>
  <c r="O147" i="58"/>
  <c r="P148" i="54"/>
  <c r="K748" i="29"/>
  <c r="M104" i="21"/>
  <c r="P69" i="54"/>
  <c r="AA103" i="61"/>
  <c r="M763" i="29"/>
  <c r="M767" i="29" s="1"/>
  <c r="O112" i="21"/>
  <c r="P181" i="42"/>
  <c r="O213" i="42"/>
  <c r="P62" i="51"/>
  <c r="P164" i="38"/>
  <c r="M128" i="4"/>
  <c r="J159" i="28" s="1"/>
  <c r="M85" i="54"/>
  <c r="M87" i="54" s="1"/>
  <c r="M135" i="61"/>
  <c r="P170" i="4"/>
  <c r="O668" i="29" s="1"/>
  <c r="L148" i="44"/>
  <c r="J86" i="44"/>
  <c r="J99" i="44" s="1"/>
  <c r="P201" i="57"/>
  <c r="P130" i="58" s="1"/>
  <c r="P77" i="58"/>
  <c r="P168" i="57"/>
  <c r="P125" i="58" s="1"/>
  <c r="P72" i="58"/>
  <c r="O118" i="2"/>
  <c r="N658" i="29"/>
  <c r="N124" i="62"/>
  <c r="O124" i="62" s="1"/>
  <c r="P124" i="62" s="1"/>
  <c r="O99" i="34"/>
  <c r="P211" i="61"/>
  <c r="P130" i="54" s="1"/>
  <c r="P77" i="54"/>
  <c r="P189" i="57"/>
  <c r="P126" i="57"/>
  <c r="O206" i="4"/>
  <c r="M110" i="29"/>
  <c r="O12" i="21"/>
  <c r="O204" i="34"/>
  <c r="O144" i="2"/>
  <c r="O144" i="35" s="1"/>
  <c r="O94" i="2"/>
  <c r="N72" i="14"/>
  <c r="N30" i="44"/>
  <c r="N16" i="62"/>
  <c r="L438" i="29"/>
  <c r="L446" i="29" s="1"/>
  <c r="P61" i="59"/>
  <c r="P157" i="4"/>
  <c r="O653" i="29" s="1"/>
  <c r="N239" i="42"/>
  <c r="O140" i="4"/>
  <c r="O137" i="34" s="1"/>
  <c r="O158" i="4"/>
  <c r="N654" i="29" s="1"/>
  <c r="P77" i="50"/>
  <c r="P138" i="4"/>
  <c r="P77" i="2" s="1"/>
  <c r="P148" i="38"/>
  <c r="O78" i="4"/>
  <c r="N331" i="29"/>
  <c r="P151" i="57"/>
  <c r="P118" i="58" s="1"/>
  <c r="P65" i="58"/>
  <c r="P125" i="50"/>
  <c r="P174" i="4"/>
  <c r="P170" i="34" s="1"/>
  <c r="P101" i="4"/>
  <c r="AB101" i="4" s="1"/>
  <c r="M102" i="61"/>
  <c r="M70" i="54" s="1"/>
  <c r="L819" i="29"/>
  <c r="L876" i="29"/>
  <c r="P60" i="58"/>
  <c r="P148" i="57"/>
  <c r="P113" i="58" s="1"/>
  <c r="M14" i="44"/>
  <c r="N14" i="44" s="1"/>
  <c r="O14" i="44" s="1"/>
  <c r="P14" i="44" s="1"/>
  <c r="Q14" i="44" s="1"/>
  <c r="R14" i="44" s="1"/>
  <c r="S14" i="44" s="1"/>
  <c r="T14" i="44" s="1"/>
  <c r="U14" i="44" s="1"/>
  <c r="V14" i="44" s="1"/>
  <c r="W14" i="44" s="1"/>
  <c r="X14" i="44" s="1"/>
  <c r="Y14" i="44" s="1"/>
  <c r="O83" i="34"/>
  <c r="N332" i="29"/>
  <c r="P114" i="50"/>
  <c r="P154" i="4"/>
  <c r="O652" i="29" s="1"/>
  <c r="O139" i="44"/>
  <c r="P139" i="44" s="1"/>
  <c r="Q139" i="44" s="1"/>
  <c r="R139" i="44" s="1"/>
  <c r="S139" i="44" s="1"/>
  <c r="T139" i="44" s="1"/>
  <c r="U139" i="44" s="1"/>
  <c r="V139" i="44" s="1"/>
  <c r="W139" i="44" s="1"/>
  <c r="X139" i="44" s="1"/>
  <c r="Y139" i="44" s="1"/>
  <c r="Z139" i="44" s="1"/>
  <c r="AA139" i="44" s="1"/>
  <c r="P136" i="4"/>
  <c r="P133" i="34" s="1"/>
  <c r="P163" i="57"/>
  <c r="P122" i="58" s="1"/>
  <c r="P69" i="58"/>
  <c r="N32" i="54"/>
  <c r="N34" i="54" s="1"/>
  <c r="N57" i="61"/>
  <c r="N51" i="4"/>
  <c r="P149" i="57"/>
  <c r="P114" i="58" s="1"/>
  <c r="P61" i="58"/>
  <c r="M7" i="44"/>
  <c r="L42" i="44"/>
  <c r="P249" i="42"/>
  <c r="O60" i="42"/>
  <c r="P136" i="50"/>
  <c r="P199" i="4"/>
  <c r="P136" i="2" s="1"/>
  <c r="P102" i="4"/>
  <c r="P137" i="49"/>
  <c r="P56" i="57"/>
  <c r="P32" i="58"/>
  <c r="P34" i="58" s="1"/>
  <c r="O122" i="39"/>
  <c r="O165" i="34"/>
  <c r="N57" i="21"/>
  <c r="N58" i="21" s="1"/>
  <c r="N116" i="21"/>
  <c r="L429" i="29"/>
  <c r="L430" i="29" s="1"/>
  <c r="L434" i="29" s="1"/>
  <c r="N71" i="21"/>
  <c r="N74" i="21" s="1"/>
  <c r="P105" i="4"/>
  <c r="AB105" i="4" s="1"/>
  <c r="P72" i="50"/>
  <c r="O156" i="34"/>
  <c r="M429" i="29"/>
  <c r="O57" i="21"/>
  <c r="O116" i="21"/>
  <c r="O103" i="21" s="1"/>
  <c r="M749" i="29" s="1"/>
  <c r="N28" i="59"/>
  <c r="P118" i="50"/>
  <c r="P156" i="4"/>
  <c r="O167" i="34"/>
  <c r="N667" i="29"/>
  <c r="P110" i="21"/>
  <c r="J875" i="29"/>
  <c r="J750" i="29"/>
  <c r="J754" i="29" s="1"/>
  <c r="N74" i="62"/>
  <c r="P133" i="50"/>
  <c r="P209" i="4"/>
  <c r="O122" i="2"/>
  <c r="N669" i="29"/>
  <c r="L758" i="29"/>
  <c r="L766" i="29" s="1"/>
  <c r="P38" i="58"/>
  <c r="P38" i="35" s="1"/>
  <c r="P66" i="34"/>
  <c r="N124" i="51"/>
  <c r="N168" i="49" s="1"/>
  <c r="N120" i="51"/>
  <c r="P203" i="42"/>
  <c r="O236" i="42"/>
  <c r="P158" i="49"/>
  <c r="P61" i="54"/>
  <c r="AA88" i="61"/>
  <c r="P54" i="34"/>
  <c r="P31" i="39"/>
  <c r="P31" i="35" s="1"/>
  <c r="Z157" i="61"/>
  <c r="O113" i="54"/>
  <c r="M62" i="62"/>
  <c r="N62" i="62" s="1"/>
  <c r="P62" i="59"/>
  <c r="P60" i="50"/>
  <c r="P153" i="49"/>
  <c r="P84" i="4"/>
  <c r="AB84" i="4" s="1"/>
  <c r="P68" i="58"/>
  <c r="P161" i="57"/>
  <c r="P121" i="58" s="1"/>
  <c r="P216" i="42"/>
  <c r="O230" i="42"/>
  <c r="O75" i="42" s="1"/>
  <c r="P108" i="62"/>
  <c r="AA91" i="61"/>
  <c r="P152" i="57"/>
  <c r="N24" i="44"/>
  <c r="M71" i="44"/>
  <c r="P237" i="42"/>
  <c r="Q197" i="42"/>
  <c r="Q237" i="42" s="1"/>
  <c r="O118" i="39"/>
  <c r="O153" i="34"/>
  <c r="P188" i="42"/>
  <c r="Q188" i="42" s="1"/>
  <c r="O65" i="2"/>
  <c r="N338" i="29"/>
  <c r="P65" i="54"/>
  <c r="AA90" i="61"/>
  <c r="O72" i="59"/>
  <c r="O78" i="59" s="1"/>
  <c r="P78" i="59" s="1"/>
  <c r="P192" i="57"/>
  <c r="P94" i="58"/>
  <c r="P114" i="54"/>
  <c r="AA158" i="61"/>
  <c r="M53" i="34"/>
  <c r="M58" i="34" s="1"/>
  <c r="J9" i="28"/>
  <c r="M56" i="4"/>
  <c r="L112" i="29"/>
  <c r="L114" i="29" s="1"/>
  <c r="M32" i="2"/>
  <c r="M32" i="35" s="1"/>
  <c r="P149" i="38"/>
  <c r="P72" i="54"/>
  <c r="AA108" i="61"/>
  <c r="AA178" i="61"/>
  <c r="P125" i="54"/>
  <c r="P69" i="39"/>
  <c r="P163" i="38"/>
  <c r="AA174" i="61"/>
  <c r="P154" i="38"/>
  <c r="P88" i="34"/>
  <c r="L98" i="44"/>
  <c r="M90" i="44"/>
  <c r="P165" i="38"/>
  <c r="P83" i="58"/>
  <c r="P193" i="57"/>
  <c r="P136" i="58" s="1"/>
  <c r="P200" i="49"/>
  <c r="P195" i="4"/>
  <c r="O194" i="57"/>
  <c r="O138" i="58"/>
  <c r="O92" i="61"/>
  <c r="Z162" i="61" s="1"/>
  <c r="P108" i="51"/>
  <c r="P171" i="4"/>
  <c r="M160" i="28" s="1"/>
  <c r="P206" i="49"/>
  <c r="L748" i="29"/>
  <c r="L875" i="29" s="1"/>
  <c r="P144" i="50"/>
  <c r="P208" i="4"/>
  <c r="O72" i="62"/>
  <c r="O74" i="62" s="1"/>
  <c r="P94" i="54"/>
  <c r="P95" i="54" s="1"/>
  <c r="P129" i="4"/>
  <c r="O138" i="44"/>
  <c r="P138" i="44" s="1"/>
  <c r="Q138" i="44" s="1"/>
  <c r="R138" i="44" s="1"/>
  <c r="S138" i="44" s="1"/>
  <c r="T138" i="44" s="1"/>
  <c r="U138" i="44" s="1"/>
  <c r="V138" i="44" s="1"/>
  <c r="W138" i="44" s="1"/>
  <c r="X138" i="44" s="1"/>
  <c r="Y138" i="44" s="1"/>
  <c r="Z138" i="44" s="1"/>
  <c r="AA138" i="44" s="1"/>
  <c r="P68" i="50"/>
  <c r="O69" i="2"/>
  <c r="N349" i="29"/>
  <c r="P89" i="49"/>
  <c r="M172" i="61"/>
  <c r="M168" i="4" s="1"/>
  <c r="W172" i="61"/>
  <c r="N32" i="59"/>
  <c r="N24" i="57" s="1"/>
  <c r="O78" i="51"/>
  <c r="P147" i="50"/>
  <c r="O118" i="51" s="1"/>
  <c r="P198" i="4"/>
  <c r="P147" i="2" s="1"/>
  <c r="O118" i="14" s="1"/>
  <c r="O143" i="44"/>
  <c r="P143" i="44" s="1"/>
  <c r="Q143" i="44" s="1"/>
  <c r="R143" i="44" s="1"/>
  <c r="S143" i="44" s="1"/>
  <c r="T143" i="44" s="1"/>
  <c r="U143" i="44" s="1"/>
  <c r="V143" i="44" s="1"/>
  <c r="W143" i="44" s="1"/>
  <c r="X143" i="44" s="1"/>
  <c r="Y143" i="44" s="1"/>
  <c r="Z143" i="44" s="1"/>
  <c r="AA143" i="44" s="1"/>
  <c r="P80" i="54"/>
  <c r="P203" i="4"/>
  <c r="P162" i="61"/>
  <c r="P80" i="50"/>
  <c r="P140" i="4"/>
  <c r="P137" i="34" s="1"/>
  <c r="O126" i="4"/>
  <c r="N431" i="29" s="1"/>
  <c r="N433" i="29" s="1"/>
  <c r="O192" i="34"/>
  <c r="O113" i="50"/>
  <c r="O153" i="4"/>
  <c r="N651" i="29" s="1"/>
  <c r="O118" i="58"/>
  <c r="P115" i="21"/>
  <c r="N428" i="29"/>
  <c r="N555" i="29" s="1"/>
  <c r="P56" i="21"/>
  <c r="P135" i="4"/>
  <c r="P132" i="34" s="1"/>
  <c r="N78" i="42"/>
  <c r="P16" i="59"/>
  <c r="K192" i="38"/>
  <c r="K126" i="34"/>
  <c r="K128" i="34" s="1"/>
  <c r="K94" i="39"/>
  <c r="K94" i="35" s="1"/>
  <c r="K126" i="38"/>
  <c r="L99" i="4"/>
  <c r="J344" i="29"/>
  <c r="K70" i="2"/>
  <c r="M175" i="49"/>
  <c r="M123" i="50"/>
  <c r="L70" i="54"/>
  <c r="J25" i="29"/>
  <c r="K17" i="2"/>
  <c r="M106" i="49"/>
  <c r="M70" i="50"/>
  <c r="L123" i="54"/>
  <c r="L106" i="49"/>
  <c r="L70" i="50"/>
  <c r="I156" i="50"/>
  <c r="H100" i="51"/>
  <c r="J103" i="50"/>
  <c r="I54" i="51"/>
  <c r="J8" i="51"/>
  <c r="K50" i="50"/>
  <c r="O30" i="35"/>
  <c r="K664" i="29"/>
  <c r="K858" i="29" s="1"/>
  <c r="K856" i="29" s="1"/>
  <c r="O41" i="35"/>
  <c r="N26" i="36"/>
  <c r="K32" i="40"/>
  <c r="N153" i="38"/>
  <c r="N155" i="34" s="1"/>
  <c r="N87" i="34"/>
  <c r="P57" i="34"/>
  <c r="N191" i="34"/>
  <c r="P56" i="34"/>
  <c r="N205" i="34"/>
  <c r="N133" i="2"/>
  <c r="N133" i="35" s="1"/>
  <c r="M31" i="57"/>
  <c r="M17" i="58"/>
  <c r="O95" i="58"/>
  <c r="L16" i="40"/>
  <c r="L123" i="2"/>
  <c r="K19" i="59"/>
  <c r="O26" i="40"/>
  <c r="P42" i="58"/>
  <c r="P41" i="39"/>
  <c r="N156" i="58"/>
  <c r="I80" i="59"/>
  <c r="I82" i="59" s="1"/>
  <c r="M120" i="59"/>
  <c r="N148" i="58"/>
  <c r="O103" i="58"/>
  <c r="K34" i="59"/>
  <c r="K36" i="59" s="1"/>
  <c r="P10" i="39"/>
  <c r="H126" i="59"/>
  <c r="H128" i="59" s="1"/>
  <c r="J46" i="58"/>
  <c r="J48" i="58" s="1"/>
  <c r="J7" i="59" s="1"/>
  <c r="I52" i="58"/>
  <c r="N74" i="59"/>
  <c r="N140" i="58"/>
  <c r="N152" i="38"/>
  <c r="N154" i="34" s="1"/>
  <c r="O87" i="58"/>
  <c r="N31" i="49"/>
  <c r="O34" i="50"/>
  <c r="N87" i="50"/>
  <c r="K19" i="62"/>
  <c r="I111" i="62"/>
  <c r="J65" i="62"/>
  <c r="P30" i="2"/>
  <c r="J65" i="51"/>
  <c r="K19" i="51"/>
  <c r="I111" i="51"/>
  <c r="O28" i="62"/>
  <c r="P42" i="54"/>
  <c r="O28" i="51"/>
  <c r="P42" i="50"/>
  <c r="I80" i="62"/>
  <c r="I82" i="62" s="1"/>
  <c r="H80" i="51"/>
  <c r="H82" i="51" s="1"/>
  <c r="K34" i="51"/>
  <c r="K36" i="51" s="1"/>
  <c r="H126" i="51"/>
  <c r="H128" i="51" s="1"/>
  <c r="K34" i="62"/>
  <c r="K36" i="62" s="1"/>
  <c r="H126" i="62"/>
  <c r="H128" i="62" s="1"/>
  <c r="P24" i="39"/>
  <c r="O26" i="14"/>
  <c r="P41" i="2"/>
  <c r="P30" i="39"/>
  <c r="N136" i="39"/>
  <c r="N136" i="35" s="1"/>
  <c r="P129" i="38"/>
  <c r="O197" i="38"/>
  <c r="O199" i="34" s="1"/>
  <c r="O86" i="34"/>
  <c r="O85" i="38"/>
  <c r="P125" i="38"/>
  <c r="O193" i="38"/>
  <c r="O195" i="34" s="1"/>
  <c r="O83" i="39"/>
  <c r="O83" i="35" s="1"/>
  <c r="M751" i="29"/>
  <c r="M753" i="29" s="1"/>
  <c r="N200" i="4"/>
  <c r="N130" i="39"/>
  <c r="N130" i="35" s="1"/>
  <c r="P32" i="39"/>
  <c r="P56" i="38"/>
  <c r="N138" i="39"/>
  <c r="P27" i="2"/>
  <c r="P27" i="35" s="1"/>
  <c r="P133" i="38"/>
  <c r="O201" i="38"/>
  <c r="O77" i="39"/>
  <c r="O77" i="35" s="1"/>
  <c r="P121" i="38"/>
  <c r="O189" i="38"/>
  <c r="O85" i="39"/>
  <c r="O74" i="21" l="1"/>
  <c r="O58" i="21"/>
  <c r="O123" i="34"/>
  <c r="O55" i="34"/>
  <c r="L158" i="28"/>
  <c r="AB102" i="4"/>
  <c r="O332" i="29"/>
  <c r="AB85" i="4"/>
  <c r="K344" i="29"/>
  <c r="K538" i="29" s="1"/>
  <c r="K536" i="29" s="1"/>
  <c r="X99" i="4"/>
  <c r="O348" i="29"/>
  <c r="P97" i="34"/>
  <c r="O337" i="29"/>
  <c r="P102" i="34"/>
  <c r="O333" i="29"/>
  <c r="P99" i="34"/>
  <c r="P108" i="59"/>
  <c r="P116" i="58"/>
  <c r="P63" i="58"/>
  <c r="O203" i="34"/>
  <c r="P135" i="34"/>
  <c r="M430" i="29"/>
  <c r="M434" i="29" s="1"/>
  <c r="P127" i="34"/>
  <c r="P192" i="34"/>
  <c r="O80" i="2"/>
  <c r="O80" i="35" s="1"/>
  <c r="P137" i="4"/>
  <c r="M438" i="29"/>
  <c r="M446" i="29" s="1"/>
  <c r="P83" i="34"/>
  <c r="P131" i="34"/>
  <c r="P206" i="4"/>
  <c r="P151" i="34"/>
  <c r="L873" i="29"/>
  <c r="J115" i="28" s="1"/>
  <c r="P167" i="34"/>
  <c r="P156" i="34"/>
  <c r="M758" i="29"/>
  <c r="M766" i="29" s="1"/>
  <c r="P166" i="34"/>
  <c r="O32" i="54"/>
  <c r="O34" i="54" s="1"/>
  <c r="O51" i="4"/>
  <c r="O57" i="61"/>
  <c r="P122" i="39"/>
  <c r="P165" i="34"/>
  <c r="J874" i="29"/>
  <c r="J889" i="29" s="1"/>
  <c r="H65" i="28" s="1"/>
  <c r="J873" i="29"/>
  <c r="H115" i="28" s="1"/>
  <c r="Q64" i="21"/>
  <c r="Q73" i="21" s="1"/>
  <c r="O347" i="29"/>
  <c r="N7" i="44"/>
  <c r="M42" i="44"/>
  <c r="X102" i="61"/>
  <c r="N102" i="61"/>
  <c r="N70" i="54" s="1"/>
  <c r="M99" i="4"/>
  <c r="Y99" i="4" s="1"/>
  <c r="O30" i="44"/>
  <c r="N70" i="44"/>
  <c r="M876" i="29"/>
  <c r="M819" i="29"/>
  <c r="K875" i="29"/>
  <c r="K874" i="29" s="1"/>
  <c r="K889" i="29" s="1"/>
  <c r="I65" i="28" s="1"/>
  <c r="K750" i="29"/>
  <c r="K754" i="29" s="1"/>
  <c r="K73" i="44"/>
  <c r="O62" i="62" s="1"/>
  <c r="P69" i="2"/>
  <c r="O349" i="29"/>
  <c r="M499" i="29"/>
  <c r="M556" i="29"/>
  <c r="M553" i="29" s="1"/>
  <c r="K114" i="28" s="1"/>
  <c r="P207" i="4"/>
  <c r="P130" i="2" s="1"/>
  <c r="N124" i="59"/>
  <c r="N162" i="57" s="1"/>
  <c r="O102" i="21"/>
  <c r="O117" i="21"/>
  <c r="O119" i="21"/>
  <c r="P65" i="2"/>
  <c r="O338" i="29"/>
  <c r="O124" i="51"/>
  <c r="P124" i="51" s="1"/>
  <c r="O120" i="51"/>
  <c r="N172" i="61"/>
  <c r="N123" i="54" s="1"/>
  <c r="X172" i="61"/>
  <c r="P204" i="34"/>
  <c r="P144" i="2"/>
  <c r="P144" i="35" s="1"/>
  <c r="Z92" i="61"/>
  <c r="O63" i="54"/>
  <c r="O118" i="59"/>
  <c r="P147" i="58"/>
  <c r="P158" i="4"/>
  <c r="O654" i="29" s="1"/>
  <c r="P112" i="21"/>
  <c r="N763" i="29"/>
  <c r="N767" i="29" s="1"/>
  <c r="P118" i="2"/>
  <c r="O658" i="29"/>
  <c r="N103" i="21"/>
  <c r="N117" i="21"/>
  <c r="P24" i="54"/>
  <c r="P63" i="4"/>
  <c r="N109" i="29"/>
  <c r="P11" i="21"/>
  <c r="P194" i="57"/>
  <c r="P138" i="58"/>
  <c r="J64" i="44"/>
  <c r="J65" i="44" s="1"/>
  <c r="L152" i="44"/>
  <c r="M125" i="34"/>
  <c r="M131" i="4"/>
  <c r="O77" i="42"/>
  <c r="P53" i="4" s="1"/>
  <c r="O238" i="42"/>
  <c r="O232" i="42"/>
  <c r="M148" i="44"/>
  <c r="K86" i="44"/>
  <c r="K99" i="44" s="1"/>
  <c r="O89" i="4"/>
  <c r="AA89" i="4" s="1"/>
  <c r="P122" i="2"/>
  <c r="O669" i="29"/>
  <c r="P12" i="21"/>
  <c r="N110" i="29"/>
  <c r="L553" i="29"/>
  <c r="J114" i="28" s="1"/>
  <c r="L554" i="29"/>
  <c r="L569" i="29" s="1"/>
  <c r="J64" i="28" s="1"/>
  <c r="N44" i="44"/>
  <c r="M61" i="44"/>
  <c r="P102" i="21"/>
  <c r="P119" i="21"/>
  <c r="P78" i="51"/>
  <c r="O72" i="14"/>
  <c r="P94" i="2"/>
  <c r="P148" i="50"/>
  <c r="N90" i="44"/>
  <c r="M98" i="44"/>
  <c r="O24" i="44"/>
  <c r="N71" i="44"/>
  <c r="P78" i="4"/>
  <c r="O331" i="29"/>
  <c r="O239" i="42"/>
  <c r="O78" i="62"/>
  <c r="P78" i="62" s="1"/>
  <c r="Q249" i="42"/>
  <c r="P60" i="42"/>
  <c r="P82" i="34"/>
  <c r="O16" i="62"/>
  <c r="P98" i="34"/>
  <c r="Q181" i="42"/>
  <c r="P213" i="42"/>
  <c r="O150" i="34"/>
  <c r="P63" i="50"/>
  <c r="P137" i="44"/>
  <c r="O145" i="44"/>
  <c r="P116" i="54"/>
  <c r="N443" i="29"/>
  <c r="N447" i="29" s="1"/>
  <c r="P66" i="21"/>
  <c r="P67" i="21" s="1"/>
  <c r="P85" i="34"/>
  <c r="Q115" i="21"/>
  <c r="O428" i="29"/>
  <c r="O555" i="29" s="1"/>
  <c r="Q56" i="21"/>
  <c r="O667" i="29"/>
  <c r="Q110" i="21"/>
  <c r="P107" i="59"/>
  <c r="Q216" i="42"/>
  <c r="Q230" i="42" s="1"/>
  <c r="Q75" i="42" s="1"/>
  <c r="P230" i="42"/>
  <c r="P75" i="42" s="1"/>
  <c r="P113" i="50"/>
  <c r="P153" i="4"/>
  <c r="O651" i="29" s="1"/>
  <c r="Q203" i="42"/>
  <c r="P236" i="42"/>
  <c r="O32" i="59"/>
  <c r="P32" i="59" s="1"/>
  <c r="L63" i="44"/>
  <c r="L81" i="44" s="1"/>
  <c r="L72" i="44"/>
  <c r="M112" i="29"/>
  <c r="M114" i="29" s="1"/>
  <c r="K9" i="28"/>
  <c r="N32" i="2"/>
  <c r="N32" i="35" s="1"/>
  <c r="N53" i="34"/>
  <c r="N58" i="34" s="1"/>
  <c r="N56" i="4"/>
  <c r="P116" i="50"/>
  <c r="M70" i="44"/>
  <c r="AA157" i="61"/>
  <c r="P113" i="54"/>
  <c r="P92" i="61"/>
  <c r="O65" i="34"/>
  <c r="O24" i="2"/>
  <c r="O24" i="35" s="1"/>
  <c r="P118" i="39"/>
  <c r="P153" i="34"/>
  <c r="O94" i="57"/>
  <c r="P94" i="57" s="1"/>
  <c r="K24" i="38"/>
  <c r="L124" i="38"/>
  <c r="L70" i="2"/>
  <c r="L664" i="29"/>
  <c r="L858" i="29" s="1"/>
  <c r="L856" i="29" s="1"/>
  <c r="M123" i="2"/>
  <c r="O191" i="34"/>
  <c r="J538" i="29"/>
  <c r="J536" i="29" s="1"/>
  <c r="K25" i="29"/>
  <c r="L17" i="2"/>
  <c r="N175" i="49"/>
  <c r="N123" i="50"/>
  <c r="M25" i="29"/>
  <c r="M123" i="54"/>
  <c r="N106" i="49"/>
  <c r="N70" i="50"/>
  <c r="J156" i="50"/>
  <c r="I100" i="51"/>
  <c r="K103" i="50"/>
  <c r="J54" i="51"/>
  <c r="K8" i="51"/>
  <c r="L50" i="50"/>
  <c r="P41" i="35"/>
  <c r="M16" i="40"/>
  <c r="O26" i="36"/>
  <c r="P123" i="34"/>
  <c r="O153" i="38"/>
  <c r="O155" i="34" s="1"/>
  <c r="N31" i="57"/>
  <c r="N17" i="58"/>
  <c r="O133" i="2"/>
  <c r="O133" i="35" s="1"/>
  <c r="O205" i="34"/>
  <c r="P95" i="58"/>
  <c r="L32" i="40"/>
  <c r="P30" i="35"/>
  <c r="O87" i="50"/>
  <c r="O140" i="58"/>
  <c r="O148" i="58"/>
  <c r="N120" i="59"/>
  <c r="J80" i="59"/>
  <c r="J82" i="59" s="1"/>
  <c r="L34" i="59"/>
  <c r="L36" i="59" s="1"/>
  <c r="O152" i="38"/>
  <c r="O154" i="34" s="1"/>
  <c r="K46" i="58"/>
  <c r="J52" i="58"/>
  <c r="O74" i="59"/>
  <c r="I126" i="59"/>
  <c r="I128" i="59" s="1"/>
  <c r="L19" i="59"/>
  <c r="O156" i="58"/>
  <c r="L19" i="62"/>
  <c r="K65" i="51"/>
  <c r="J111" i="62"/>
  <c r="L19" i="51"/>
  <c r="J111" i="51"/>
  <c r="K65" i="62"/>
  <c r="P34" i="50"/>
  <c r="I126" i="62"/>
  <c r="I128" i="62" s="1"/>
  <c r="L34" i="51"/>
  <c r="L36" i="51" s="1"/>
  <c r="I80" i="51"/>
  <c r="I82" i="51" s="1"/>
  <c r="O31" i="49"/>
  <c r="L34" i="62"/>
  <c r="L36" i="62" s="1"/>
  <c r="I126" i="51"/>
  <c r="I128" i="51" s="1"/>
  <c r="J80" i="62"/>
  <c r="J82" i="62" s="1"/>
  <c r="O136" i="39"/>
  <c r="O136" i="35" s="1"/>
  <c r="P193" i="38"/>
  <c r="P195" i="34" s="1"/>
  <c r="P83" i="39"/>
  <c r="P83" i="35" s="1"/>
  <c r="P80" i="2"/>
  <c r="P80" i="35" s="1"/>
  <c r="P201" i="38"/>
  <c r="P77" i="39"/>
  <c r="P77" i="35" s="1"/>
  <c r="N751" i="29"/>
  <c r="N753" i="29" s="1"/>
  <c r="O200" i="4"/>
  <c r="O130" i="39"/>
  <c r="O130" i="35" s="1"/>
  <c r="O138" i="39"/>
  <c r="P189" i="38"/>
  <c r="P85" i="39"/>
  <c r="P197" i="38"/>
  <c r="P199" i="34" s="1"/>
  <c r="P85" i="38"/>
  <c r="P86" i="34"/>
  <c r="O431" i="29"/>
  <c r="O433" i="29" s="1"/>
  <c r="O87" i="34" l="1"/>
  <c r="P55" i="34"/>
  <c r="M158" i="28"/>
  <c r="N334" i="29"/>
  <c r="N99" i="4"/>
  <c r="N70" i="2" s="1"/>
  <c r="M554" i="29"/>
  <c r="M569" i="29" s="1"/>
  <c r="K64" i="28" s="1"/>
  <c r="Q236" i="42"/>
  <c r="O124" i="59"/>
  <c r="P124" i="59" s="1"/>
  <c r="O168" i="49"/>
  <c r="P168" i="49" s="1"/>
  <c r="M124" i="38"/>
  <c r="N168" i="4"/>
  <c r="M664" i="29" s="1"/>
  <c r="M858" i="29" s="1"/>
  <c r="M856" i="29" s="1"/>
  <c r="P203" i="34"/>
  <c r="N758" i="29"/>
  <c r="N766" i="29" s="1"/>
  <c r="P16" i="62"/>
  <c r="AA92" i="61"/>
  <c r="P63" i="54"/>
  <c r="Q213" i="42"/>
  <c r="P24" i="44"/>
  <c r="O71" i="44"/>
  <c r="AA162" i="61"/>
  <c r="O172" i="61"/>
  <c r="O123" i="54" s="1"/>
  <c r="Y172" i="61"/>
  <c r="K873" i="29"/>
  <c r="I115" i="28" s="1"/>
  <c r="P30" i="44"/>
  <c r="M72" i="44"/>
  <c r="M73" i="44" s="1"/>
  <c r="M63" i="44"/>
  <c r="M81" i="44" s="1"/>
  <c r="L874" i="29"/>
  <c r="L889" i="29" s="1"/>
  <c r="J65" i="28" s="1"/>
  <c r="L73" i="44"/>
  <c r="P62" i="62" s="1"/>
  <c r="O24" i="57"/>
  <c r="P24" i="57" s="1"/>
  <c r="R249" i="42"/>
  <c r="Q60" i="42"/>
  <c r="O109" i="29"/>
  <c r="Q11" i="21"/>
  <c r="Q26" i="21"/>
  <c r="O78" i="42"/>
  <c r="O44" i="44"/>
  <c r="N61" i="44"/>
  <c r="O110" i="29"/>
  <c r="Q12" i="21"/>
  <c r="N819" i="29"/>
  <c r="N876" i="29"/>
  <c r="O128" i="4"/>
  <c r="L159" i="28" s="1"/>
  <c r="O135" i="61"/>
  <c r="O85" i="54"/>
  <c r="O87" i="54" s="1"/>
  <c r="L344" i="29"/>
  <c r="M70" i="2"/>
  <c r="O7" i="44"/>
  <c r="O70" i="44" s="1"/>
  <c r="N42" i="44"/>
  <c r="N148" i="44"/>
  <c r="L86" i="44"/>
  <c r="L99" i="44" s="1"/>
  <c r="N556" i="29"/>
  <c r="N499" i="29"/>
  <c r="P51" i="4"/>
  <c r="P32" i="54"/>
  <c r="P34" i="54" s="1"/>
  <c r="P57" i="61"/>
  <c r="O90" i="44"/>
  <c r="N98" i="44"/>
  <c r="P89" i="4"/>
  <c r="AB89" i="4" s="1"/>
  <c r="N438" i="29"/>
  <c r="N446" i="29" s="1"/>
  <c r="L749" i="29"/>
  <c r="L750" i="29" s="1"/>
  <c r="L754" i="29" s="1"/>
  <c r="N104" i="21"/>
  <c r="M748" i="29"/>
  <c r="O104" i="21"/>
  <c r="P116" i="21"/>
  <c r="N429" i="29"/>
  <c r="N430" i="29" s="1"/>
  <c r="N434" i="29" s="1"/>
  <c r="P57" i="21"/>
  <c r="P58" i="21" s="1"/>
  <c r="P71" i="21"/>
  <c r="P74" i="21" s="1"/>
  <c r="O102" i="61"/>
  <c r="O70" i="54" s="1"/>
  <c r="Y102" i="61"/>
  <c r="P150" i="34"/>
  <c r="O763" i="29"/>
  <c r="O767" i="29" s="1"/>
  <c r="Q112" i="21"/>
  <c r="Q102" i="21"/>
  <c r="Q119" i="21"/>
  <c r="Q137" i="44"/>
  <c r="P145" i="44"/>
  <c r="P238" i="42"/>
  <c r="P239" i="42" s="1"/>
  <c r="P77" i="42"/>
  <c r="P78" i="42" s="1"/>
  <c r="P232" i="42"/>
  <c r="N748" i="29"/>
  <c r="N875" i="29" s="1"/>
  <c r="M152" i="44"/>
  <c r="K64" i="44"/>
  <c r="K65" i="44" s="1"/>
  <c r="P65" i="34"/>
  <c r="P24" i="2"/>
  <c r="P24" i="35" s="1"/>
  <c r="Q66" i="21"/>
  <c r="Q67" i="21" s="1"/>
  <c r="O443" i="29"/>
  <c r="O447" i="29" s="1"/>
  <c r="O53" i="34"/>
  <c r="O58" i="34" s="1"/>
  <c r="N112" i="29"/>
  <c r="N114" i="29" s="1"/>
  <c r="L9" i="28"/>
  <c r="O56" i="4"/>
  <c r="O32" i="2"/>
  <c r="O32" i="35" s="1"/>
  <c r="L24" i="38"/>
  <c r="K17" i="39"/>
  <c r="K17" i="35" s="1"/>
  <c r="K26" i="34"/>
  <c r="L192" i="38"/>
  <c r="L126" i="34"/>
  <c r="L128" i="34" s="1"/>
  <c r="L126" i="38"/>
  <c r="L94" i="39"/>
  <c r="L94" i="35" s="1"/>
  <c r="P191" i="34"/>
  <c r="N17" i="2"/>
  <c r="O106" i="49"/>
  <c r="O70" i="50"/>
  <c r="L25" i="29"/>
  <c r="M17" i="2"/>
  <c r="O175" i="49"/>
  <c r="O17" i="2"/>
  <c r="K156" i="50"/>
  <c r="J100" i="51"/>
  <c r="L103" i="50"/>
  <c r="K54" i="51"/>
  <c r="L8" i="51"/>
  <c r="M50" i="50"/>
  <c r="P153" i="38"/>
  <c r="P155" i="34" s="1"/>
  <c r="O31" i="57"/>
  <c r="O17" i="58"/>
  <c r="M32" i="40"/>
  <c r="N124" i="38" s="1"/>
  <c r="N16" i="40"/>
  <c r="P205" i="34"/>
  <c r="P133" i="2"/>
  <c r="P133" i="35" s="1"/>
  <c r="P87" i="50"/>
  <c r="P87" i="58"/>
  <c r="P148" i="58"/>
  <c r="O120" i="59"/>
  <c r="M34" i="59"/>
  <c r="M36" i="59" s="1"/>
  <c r="P140" i="58"/>
  <c r="P103" i="58"/>
  <c r="K80" i="59"/>
  <c r="K82" i="59" s="1"/>
  <c r="M19" i="59"/>
  <c r="P156" i="58"/>
  <c r="P152" i="38"/>
  <c r="P154" i="34" s="1"/>
  <c r="J126" i="59"/>
  <c r="J128" i="59" s="1"/>
  <c r="L65" i="51"/>
  <c r="K111" i="51"/>
  <c r="M19" i="51"/>
  <c r="M19" i="62"/>
  <c r="L65" i="62"/>
  <c r="K111" i="62"/>
  <c r="M34" i="51"/>
  <c r="M36" i="51" s="1"/>
  <c r="J80" i="51"/>
  <c r="J82" i="51" s="1"/>
  <c r="J126" i="51"/>
  <c r="J128" i="51" s="1"/>
  <c r="K80" i="62"/>
  <c r="K82" i="62" s="1"/>
  <c r="M34" i="62"/>
  <c r="M36" i="62" s="1"/>
  <c r="J126" i="62"/>
  <c r="J128" i="62" s="1"/>
  <c r="O751" i="29"/>
  <c r="O753" i="29" s="1"/>
  <c r="P200" i="4"/>
  <c r="P136" i="39"/>
  <c r="P136" i="35" s="1"/>
  <c r="P138" i="39"/>
  <c r="P130" i="39"/>
  <c r="P130" i="35" s="1"/>
  <c r="M344" i="29" l="1"/>
  <c r="M538" i="29" s="1"/>
  <c r="M536" i="29" s="1"/>
  <c r="Z99" i="4"/>
  <c r="O334" i="29"/>
  <c r="O123" i="50"/>
  <c r="O162" i="57"/>
  <c r="P162" i="57" s="1"/>
  <c r="N123" i="2"/>
  <c r="N873" i="29"/>
  <c r="L115" i="28" s="1"/>
  <c r="O99" i="4"/>
  <c r="O70" i="2" s="1"/>
  <c r="P87" i="34"/>
  <c r="R137" i="44"/>
  <c r="Q145" i="44"/>
  <c r="O112" i="29"/>
  <c r="O114" i="29" s="1"/>
  <c r="P56" i="4"/>
  <c r="P53" i="34"/>
  <c r="P58" i="34" s="1"/>
  <c r="M9" i="28"/>
  <c r="O125" i="34"/>
  <c r="O131" i="4"/>
  <c r="Q57" i="21"/>
  <c r="Q58" i="21" s="1"/>
  <c r="Q116" i="21"/>
  <c r="O429" i="29"/>
  <c r="O430" i="29" s="1"/>
  <c r="O434" i="29" s="1"/>
  <c r="Q71" i="21"/>
  <c r="Q74" i="21" s="1"/>
  <c r="O819" i="29"/>
  <c r="O876" i="29"/>
  <c r="Z102" i="61"/>
  <c r="P102" i="61"/>
  <c r="AA102" i="61" s="1"/>
  <c r="P103" i="21"/>
  <c r="P117" i="21"/>
  <c r="P90" i="44"/>
  <c r="O98" i="44"/>
  <c r="L64" i="44"/>
  <c r="L65" i="44" s="1"/>
  <c r="N152" i="44"/>
  <c r="L538" i="29"/>
  <c r="L536" i="29" s="1"/>
  <c r="S249" i="42"/>
  <c r="R60" i="42"/>
  <c r="Q24" i="44"/>
  <c r="P71" i="44"/>
  <c r="N72" i="44"/>
  <c r="N73" i="44" s="1"/>
  <c r="N63" i="44"/>
  <c r="N81" i="44" s="1"/>
  <c r="P44" i="44"/>
  <c r="O61" i="44"/>
  <c r="Q30" i="44"/>
  <c r="P172" i="61"/>
  <c r="P168" i="4" s="1"/>
  <c r="P123" i="2" s="1"/>
  <c r="Z172" i="61"/>
  <c r="O168" i="4"/>
  <c r="Q238" i="42"/>
  <c r="Q239" i="42" s="1"/>
  <c r="Q232" i="42"/>
  <c r="Q77" i="42"/>
  <c r="Q78" i="42" s="1"/>
  <c r="O499" i="29"/>
  <c r="O556" i="29"/>
  <c r="O553" i="29" s="1"/>
  <c r="M114" i="28" s="1"/>
  <c r="O748" i="29"/>
  <c r="O875" i="29" s="1"/>
  <c r="O438" i="29"/>
  <c r="O446" i="29" s="1"/>
  <c r="M875" i="29"/>
  <c r="M750" i="29"/>
  <c r="M754" i="29" s="1"/>
  <c r="N553" i="29"/>
  <c r="L114" i="28" s="1"/>
  <c r="N554" i="29"/>
  <c r="N569" i="29" s="1"/>
  <c r="L64" i="28" s="1"/>
  <c r="P7" i="44"/>
  <c r="P70" i="44" s="1"/>
  <c r="O42" i="44"/>
  <c r="Q13" i="21"/>
  <c r="P128" i="4"/>
  <c r="M159" i="28" s="1"/>
  <c r="P135" i="61"/>
  <c r="P85" i="54"/>
  <c r="P87" i="54" s="1"/>
  <c r="O148" i="44"/>
  <c r="M86" i="44"/>
  <c r="M99" i="44" s="1"/>
  <c r="O758" i="29"/>
  <c r="O766" i="29" s="1"/>
  <c r="M24" i="38"/>
  <c r="L17" i="39"/>
  <c r="L17" i="35" s="1"/>
  <c r="L26" i="34"/>
  <c r="N192" i="38"/>
  <c r="N94" i="39"/>
  <c r="N94" i="35" s="1"/>
  <c r="N126" i="34"/>
  <c r="N128" i="34" s="1"/>
  <c r="N126" i="38"/>
  <c r="M192" i="38"/>
  <c r="M126" i="38"/>
  <c r="M126" i="34"/>
  <c r="M128" i="34" s="1"/>
  <c r="M94" i="39"/>
  <c r="M94" i="35" s="1"/>
  <c r="L194" i="34"/>
  <c r="L196" i="34" s="1"/>
  <c r="L147" i="39"/>
  <c r="L147" i="35" s="1"/>
  <c r="L194" i="38"/>
  <c r="K118" i="40"/>
  <c r="K118" i="36" s="1"/>
  <c r="N25" i="29"/>
  <c r="P175" i="49"/>
  <c r="P123" i="50"/>
  <c r="P106" i="49"/>
  <c r="P70" i="50"/>
  <c r="L156" i="50"/>
  <c r="K100" i="51"/>
  <c r="M103" i="50"/>
  <c r="L54" i="51"/>
  <c r="M8" i="51"/>
  <c r="N50" i="50"/>
  <c r="O16" i="40"/>
  <c r="N32" i="40"/>
  <c r="O124" i="38" s="1"/>
  <c r="P31" i="57"/>
  <c r="P17" i="58"/>
  <c r="N19" i="59"/>
  <c r="N34" i="59"/>
  <c r="N36" i="59" s="1"/>
  <c r="K126" i="59"/>
  <c r="K128" i="59" s="1"/>
  <c r="L80" i="59"/>
  <c r="L82" i="59" s="1"/>
  <c r="M65" i="62"/>
  <c r="L111" i="51"/>
  <c r="N19" i="62"/>
  <c r="M65" i="51"/>
  <c r="N19" i="51"/>
  <c r="L111" i="62"/>
  <c r="L80" i="62"/>
  <c r="L82" i="62" s="1"/>
  <c r="K126" i="51"/>
  <c r="K128" i="51" s="1"/>
  <c r="K126" i="62"/>
  <c r="K128" i="62" s="1"/>
  <c r="K80" i="51"/>
  <c r="K82" i="51" s="1"/>
  <c r="N34" i="62"/>
  <c r="N36" i="62" s="1"/>
  <c r="N34" i="51"/>
  <c r="N36" i="51" s="1"/>
  <c r="N344" i="29" l="1"/>
  <c r="N538" i="29" s="1"/>
  <c r="N536" i="29" s="1"/>
  <c r="AA99" i="4"/>
  <c r="P123" i="54"/>
  <c r="P70" i="54"/>
  <c r="O554" i="29"/>
  <c r="O569" i="29" s="1"/>
  <c r="M64" i="28" s="1"/>
  <c r="P99" i="4"/>
  <c r="P125" i="34"/>
  <c r="P131" i="4"/>
  <c r="M873" i="29"/>
  <c r="K115" i="28" s="1"/>
  <c r="N874" i="29"/>
  <c r="N889" i="29" s="1"/>
  <c r="L65" i="28" s="1"/>
  <c r="M874" i="29"/>
  <c r="M889" i="29" s="1"/>
  <c r="K65" i="28" s="1"/>
  <c r="O874" i="29"/>
  <c r="O889" i="29" s="1"/>
  <c r="M65" i="28" s="1"/>
  <c r="AA172" i="61"/>
  <c r="Q44" i="44"/>
  <c r="P61" i="44"/>
  <c r="R24" i="44"/>
  <c r="Q71" i="44"/>
  <c r="Q90" i="44"/>
  <c r="P98" i="44"/>
  <c r="O152" i="44"/>
  <c r="M64" i="44"/>
  <c r="M65" i="44" s="1"/>
  <c r="P148" i="44"/>
  <c r="N86" i="44"/>
  <c r="N99" i="44" s="1"/>
  <c r="O873" i="29"/>
  <c r="M115" i="28" s="1"/>
  <c r="Q103" i="21"/>
  <c r="Q117" i="21"/>
  <c r="O72" i="44"/>
  <c r="O73" i="44" s="1"/>
  <c r="O63" i="44"/>
  <c r="O81" i="44" s="1"/>
  <c r="O123" i="2"/>
  <c r="N664" i="29"/>
  <c r="R30" i="44"/>
  <c r="Q70" i="44"/>
  <c r="T249" i="42"/>
  <c r="S60" i="42"/>
  <c r="N749" i="29"/>
  <c r="N750" i="29" s="1"/>
  <c r="N754" i="29" s="1"/>
  <c r="P104" i="21"/>
  <c r="Q7" i="44"/>
  <c r="P42" i="44"/>
  <c r="S137" i="44"/>
  <c r="R145" i="44"/>
  <c r="O192" i="38"/>
  <c r="O126" i="38"/>
  <c r="O126" i="34"/>
  <c r="O128" i="34" s="1"/>
  <c r="O94" i="39"/>
  <c r="O94" i="35" s="1"/>
  <c r="N24" i="38"/>
  <c r="M17" i="39"/>
  <c r="M17" i="35" s="1"/>
  <c r="M26" i="34"/>
  <c r="M194" i="34"/>
  <c r="M196" i="34" s="1"/>
  <c r="M147" i="39"/>
  <c r="M147" i="35" s="1"/>
  <c r="L118" i="40"/>
  <c r="L118" i="36" s="1"/>
  <c r="M194" i="38"/>
  <c r="N194" i="34"/>
  <c r="N196" i="34" s="1"/>
  <c r="N147" i="39"/>
  <c r="N147" i="35" s="1"/>
  <c r="N194" i="38"/>
  <c r="M118" i="40"/>
  <c r="M118" i="36" s="1"/>
  <c r="O25" i="29"/>
  <c r="O664" i="29"/>
  <c r="O858" i="29" s="1"/>
  <c r="O856" i="29" s="1"/>
  <c r="P17" i="2"/>
  <c r="M156" i="50"/>
  <c r="L100" i="51"/>
  <c r="N103" i="50"/>
  <c r="M54" i="51"/>
  <c r="N8" i="51"/>
  <c r="O50" i="50"/>
  <c r="P16" i="40"/>
  <c r="O32" i="40"/>
  <c r="P124" i="38" s="1"/>
  <c r="P34" i="59"/>
  <c r="P36" i="59" s="1"/>
  <c r="O34" i="59"/>
  <c r="O36" i="59" s="1"/>
  <c r="O19" i="59"/>
  <c r="P19" i="59"/>
  <c r="L126" i="59"/>
  <c r="L128" i="59" s="1"/>
  <c r="M80" i="59"/>
  <c r="M82" i="59" s="1"/>
  <c r="N65" i="51"/>
  <c r="P19" i="62"/>
  <c r="O19" i="62"/>
  <c r="M111" i="51"/>
  <c r="M111" i="62"/>
  <c r="P19" i="51"/>
  <c r="O19" i="51"/>
  <c r="N65" i="62"/>
  <c r="L80" i="51"/>
  <c r="L82" i="51" s="1"/>
  <c r="P34" i="51"/>
  <c r="P36" i="51" s="1"/>
  <c r="O34" i="51"/>
  <c r="O36" i="51" s="1"/>
  <c r="L126" i="51"/>
  <c r="L128" i="51" s="1"/>
  <c r="L126" i="62"/>
  <c r="L128" i="62" s="1"/>
  <c r="P34" i="62"/>
  <c r="P36" i="62" s="1"/>
  <c r="O34" i="62"/>
  <c r="O36" i="62" s="1"/>
  <c r="M80" i="62"/>
  <c r="M82" i="62" s="1"/>
  <c r="D56" i="4"/>
  <c r="E56" i="4"/>
  <c r="G68" i="34"/>
  <c r="G71" i="34" s="1"/>
  <c r="H68" i="34"/>
  <c r="H71" i="34" s="1"/>
  <c r="I68" i="34"/>
  <c r="I71" i="34" s="1"/>
  <c r="J68" i="34"/>
  <c r="J71" i="34" s="1"/>
  <c r="F68" i="34"/>
  <c r="F71" i="34" s="1"/>
  <c r="F73" i="34" s="1"/>
  <c r="G72" i="34" s="1"/>
  <c r="F20" i="21"/>
  <c r="D126" i="29" s="1"/>
  <c r="F34" i="21"/>
  <c r="C43" i="21"/>
  <c r="F41" i="21"/>
  <c r="E41" i="21"/>
  <c r="C41" i="21"/>
  <c r="B41" i="21"/>
  <c r="D39" i="21"/>
  <c r="D43" i="21" s="1"/>
  <c r="C36" i="21"/>
  <c r="B36" i="21"/>
  <c r="D35" i="21"/>
  <c r="E35" i="21"/>
  <c r="D28" i="21"/>
  <c r="C28" i="21"/>
  <c r="E26" i="21"/>
  <c r="C26" i="21"/>
  <c r="B26" i="21"/>
  <c r="P26" i="21"/>
  <c r="N26" i="21"/>
  <c r="L26" i="21"/>
  <c r="K26" i="21"/>
  <c r="J26" i="21"/>
  <c r="D26" i="21"/>
  <c r="D21" i="21"/>
  <c r="C21" i="21"/>
  <c r="B21" i="21"/>
  <c r="P70" i="2" l="1"/>
  <c r="AB99" i="4"/>
  <c r="O344" i="29"/>
  <c r="O538" i="29" s="1"/>
  <c r="O536" i="29" s="1"/>
  <c r="G20" i="21"/>
  <c r="P63" i="44"/>
  <c r="P81" i="44" s="1"/>
  <c r="P72" i="44"/>
  <c r="P73" i="44" s="1"/>
  <c r="S30" i="44"/>
  <c r="Q61" i="44"/>
  <c r="R44" i="44"/>
  <c r="D41" i="21"/>
  <c r="R7" i="44"/>
  <c r="Q42" i="44"/>
  <c r="N858" i="29"/>
  <c r="N856" i="29" s="1"/>
  <c r="P152" i="44"/>
  <c r="N64" i="44"/>
  <c r="N65" i="44" s="1"/>
  <c r="R90" i="44"/>
  <c r="Q98" i="44"/>
  <c r="U249" i="42"/>
  <c r="T60" i="42"/>
  <c r="O749" i="29"/>
  <c r="O750" i="29" s="1"/>
  <c r="O754" i="29" s="1"/>
  <c r="Q104" i="21"/>
  <c r="S24" i="44"/>
  <c r="R71" i="44"/>
  <c r="T137" i="44"/>
  <c r="S145" i="44"/>
  <c r="Q148" i="44"/>
  <c r="O86" i="44"/>
  <c r="O99" i="44" s="1"/>
  <c r="P192" i="38"/>
  <c r="P126" i="34"/>
  <c r="P128" i="34" s="1"/>
  <c r="P94" i="39"/>
  <c r="P94" i="35" s="1"/>
  <c r="P126" i="38"/>
  <c r="O24" i="38"/>
  <c r="N17" i="39"/>
  <c r="N17" i="35" s="1"/>
  <c r="N26" i="34"/>
  <c r="O194" i="34"/>
  <c r="O196" i="34" s="1"/>
  <c r="O194" i="38"/>
  <c r="N118" i="40"/>
  <c r="N118" i="36" s="1"/>
  <c r="O147" i="39"/>
  <c r="O147" i="35" s="1"/>
  <c r="N156" i="50"/>
  <c r="M100" i="51"/>
  <c r="O103" i="50"/>
  <c r="N54" i="51"/>
  <c r="O8" i="51"/>
  <c r="P50" i="50"/>
  <c r="P8" i="51" s="1"/>
  <c r="P32" i="40"/>
  <c r="J20" i="50"/>
  <c r="J44" i="50" s="1"/>
  <c r="I20" i="50"/>
  <c r="I44" i="50" s="1"/>
  <c r="H20" i="50"/>
  <c r="H44" i="50" s="1"/>
  <c r="F20" i="54"/>
  <c r="F44" i="54" s="1"/>
  <c r="F48" i="54" s="1"/>
  <c r="F7" i="62" s="1"/>
  <c r="F20" i="50"/>
  <c r="F44" i="50" s="1"/>
  <c r="F48" i="50" s="1"/>
  <c r="F7" i="51" s="1"/>
  <c r="G20" i="50"/>
  <c r="G44" i="50" s="1"/>
  <c r="N80" i="59"/>
  <c r="N82" i="59" s="1"/>
  <c r="M126" i="59"/>
  <c r="M128" i="59" s="1"/>
  <c r="N111" i="51"/>
  <c r="P65" i="62"/>
  <c r="O65" i="62"/>
  <c r="N111" i="62"/>
  <c r="P65" i="51"/>
  <c r="O65" i="51"/>
  <c r="M126" i="62"/>
  <c r="M128" i="62" s="1"/>
  <c r="M126" i="51"/>
  <c r="M128" i="51" s="1"/>
  <c r="N80" i="62"/>
  <c r="N82" i="62" s="1"/>
  <c r="M80" i="51"/>
  <c r="M82" i="51" s="1"/>
  <c r="I16" i="35"/>
  <c r="H30" i="29"/>
  <c r="F16" i="35"/>
  <c r="E30" i="29"/>
  <c r="I30" i="29"/>
  <c r="H16" i="35"/>
  <c r="G30" i="29"/>
  <c r="G16" i="35"/>
  <c r="F30" i="29"/>
  <c r="J16" i="35"/>
  <c r="F97" i="34"/>
  <c r="K75" i="34"/>
  <c r="L75" i="34" s="1"/>
  <c r="M75" i="34" s="1"/>
  <c r="N75" i="34" s="1"/>
  <c r="O75" i="34" s="1"/>
  <c r="P75" i="34" s="1"/>
  <c r="G73" i="34"/>
  <c r="H72" i="34" s="1"/>
  <c r="H73" i="34" s="1"/>
  <c r="I72" i="34" s="1"/>
  <c r="I73" i="34" s="1"/>
  <c r="J72" i="34" s="1"/>
  <c r="J73" i="34" s="1"/>
  <c r="K72" i="34" s="1"/>
  <c r="I26" i="21"/>
  <c r="M26" i="21"/>
  <c r="D36" i="21"/>
  <c r="E43" i="21"/>
  <c r="E36" i="21"/>
  <c r="O26" i="21"/>
  <c r="E28" i="21"/>
  <c r="E21" i="21"/>
  <c r="F21" i="4"/>
  <c r="C148" i="28" s="1"/>
  <c r="G21" i="4"/>
  <c r="D148" i="28" s="1"/>
  <c r="H21" i="4"/>
  <c r="E148" i="28" s="1"/>
  <c r="I21" i="4"/>
  <c r="F148" i="28" s="1"/>
  <c r="J21" i="4"/>
  <c r="G148" i="28" s="1"/>
  <c r="E125" i="14"/>
  <c r="E73" i="14"/>
  <c r="E119" i="14" s="1"/>
  <c r="E79" i="14"/>
  <c r="E77" i="14"/>
  <c r="E123" i="14" s="1"/>
  <c r="E57" i="14"/>
  <c r="E103" i="14" s="1"/>
  <c r="E56" i="14"/>
  <c r="E102" i="14" s="1"/>
  <c r="E53" i="14"/>
  <c r="E99" i="14" s="1"/>
  <c r="E16" i="3"/>
  <c r="E16" i="37" s="1"/>
  <c r="E50" i="41"/>
  <c r="E125" i="40"/>
  <c r="E125" i="36" s="1"/>
  <c r="E73" i="40"/>
  <c r="E72" i="40"/>
  <c r="E118" i="40" s="1"/>
  <c r="E71" i="40"/>
  <c r="E77" i="40"/>
  <c r="E77" i="36" s="1"/>
  <c r="E79" i="40"/>
  <c r="E79" i="36" s="1"/>
  <c r="F8" i="40"/>
  <c r="E54" i="40"/>
  <c r="E55" i="40"/>
  <c r="E56" i="40"/>
  <c r="E56" i="36" s="1"/>
  <c r="E57" i="40"/>
  <c r="E103" i="40" s="1"/>
  <c r="E53" i="40"/>
  <c r="E53" i="36" s="1"/>
  <c r="E62" i="40"/>
  <c r="E86" i="40"/>
  <c r="E87" i="40"/>
  <c r="E40" i="14"/>
  <c r="E40" i="36" s="1"/>
  <c r="E26" i="14"/>
  <c r="E25" i="14"/>
  <c r="E25" i="36" s="1"/>
  <c r="E16" i="14"/>
  <c r="E62" i="14" s="1"/>
  <c r="E15" i="14"/>
  <c r="E9" i="14"/>
  <c r="E9" i="36" s="1"/>
  <c r="E8" i="14"/>
  <c r="E28" i="38"/>
  <c r="E30" i="34" s="1"/>
  <c r="E62" i="38"/>
  <c r="E85" i="38"/>
  <c r="E83" i="38"/>
  <c r="E30" i="4"/>
  <c r="E27" i="4"/>
  <c r="E25" i="4"/>
  <c r="E24" i="4"/>
  <c r="E23" i="4"/>
  <c r="E16" i="4"/>
  <c r="E15" i="4"/>
  <c r="E14" i="4"/>
  <c r="E13" i="4"/>
  <c r="E12" i="4"/>
  <c r="E11" i="4"/>
  <c r="H94" i="37"/>
  <c r="M94" i="37"/>
  <c r="F32" i="37"/>
  <c r="G32" i="37"/>
  <c r="H32" i="37"/>
  <c r="J32" i="37"/>
  <c r="N32" i="37"/>
  <c r="O32" i="37"/>
  <c r="P17" i="37"/>
  <c r="O17" i="37"/>
  <c r="N17" i="37"/>
  <c r="M17" i="37"/>
  <c r="L17" i="37"/>
  <c r="K17" i="37"/>
  <c r="J17" i="37"/>
  <c r="I17" i="37"/>
  <c r="H17" i="37"/>
  <c r="G17" i="37"/>
  <c r="F17" i="37"/>
  <c r="B100" i="41"/>
  <c r="P94" i="41"/>
  <c r="O94" i="41"/>
  <c r="N94" i="41"/>
  <c r="M94" i="41"/>
  <c r="L94" i="41"/>
  <c r="K94" i="41"/>
  <c r="J94" i="41"/>
  <c r="I94" i="41"/>
  <c r="H94" i="41"/>
  <c r="G94" i="41"/>
  <c r="F94" i="41"/>
  <c r="E94" i="41"/>
  <c r="D94" i="41"/>
  <c r="C94" i="41"/>
  <c r="B94" i="41"/>
  <c r="B93" i="41"/>
  <c r="B95" i="41" s="1"/>
  <c r="P88" i="41"/>
  <c r="H88" i="41"/>
  <c r="B86" i="41"/>
  <c r="B89" i="41" s="1"/>
  <c r="B90" i="41" s="1"/>
  <c r="C84" i="41" s="1"/>
  <c r="C86" i="41" s="1"/>
  <c r="E84" i="41"/>
  <c r="D84" i="41"/>
  <c r="D86" i="41" s="1"/>
  <c r="B76" i="41"/>
  <c r="D74" i="41"/>
  <c r="B66" i="41"/>
  <c r="P60" i="41"/>
  <c r="O60" i="41"/>
  <c r="N60" i="41"/>
  <c r="M60" i="41"/>
  <c r="L60" i="41"/>
  <c r="K60" i="41"/>
  <c r="J60" i="41"/>
  <c r="I60" i="41"/>
  <c r="H60" i="41"/>
  <c r="G60" i="41"/>
  <c r="F60" i="41"/>
  <c r="E60" i="41"/>
  <c r="D60" i="41"/>
  <c r="C60" i="41"/>
  <c r="B60" i="41"/>
  <c r="B59" i="41"/>
  <c r="P54" i="41"/>
  <c r="O54" i="41"/>
  <c r="N54" i="41"/>
  <c r="M54" i="41"/>
  <c r="L54" i="41"/>
  <c r="K54" i="41"/>
  <c r="K88" i="41" s="1"/>
  <c r="J54" i="41"/>
  <c r="I54" i="41"/>
  <c r="H54" i="41"/>
  <c r="G54" i="41"/>
  <c r="F54" i="41"/>
  <c r="E54" i="41"/>
  <c r="D54" i="41"/>
  <c r="D88" i="41" s="1"/>
  <c r="D100" i="41" s="1"/>
  <c r="B52" i="41"/>
  <c r="B55" i="41" s="1"/>
  <c r="B56" i="41" s="1"/>
  <c r="C50" i="41" s="1"/>
  <c r="D50" i="41"/>
  <c r="D52" i="41" s="1"/>
  <c r="C42" i="41"/>
  <c r="B42" i="41"/>
  <c r="D40" i="41"/>
  <c r="D59" i="41" s="1"/>
  <c r="D61" i="41" s="1"/>
  <c r="P32" i="41"/>
  <c r="O32" i="41"/>
  <c r="N32" i="41"/>
  <c r="M32" i="41"/>
  <c r="L32" i="41"/>
  <c r="K32" i="41"/>
  <c r="J32" i="41"/>
  <c r="I32" i="41"/>
  <c r="H32" i="41"/>
  <c r="G32" i="41"/>
  <c r="F32" i="41"/>
  <c r="E32" i="41"/>
  <c r="D32" i="41"/>
  <c r="C32" i="41"/>
  <c r="C54" i="41" s="1"/>
  <c r="B32" i="41"/>
  <c r="P26" i="41"/>
  <c r="O26" i="41"/>
  <c r="N26" i="41"/>
  <c r="M26" i="41"/>
  <c r="L26" i="41"/>
  <c r="K26" i="41"/>
  <c r="J26" i="41"/>
  <c r="I26" i="41"/>
  <c r="H26" i="41"/>
  <c r="G26" i="41"/>
  <c r="F26" i="41"/>
  <c r="E26" i="41"/>
  <c r="D26" i="41"/>
  <c r="C26" i="41"/>
  <c r="B26" i="41"/>
  <c r="D25" i="41"/>
  <c r="C25" i="41"/>
  <c r="B25" i="41"/>
  <c r="B27" i="41" s="1"/>
  <c r="E18" i="41"/>
  <c r="E21" i="41" s="1"/>
  <c r="E22" i="41" s="1"/>
  <c r="F16" i="41" s="1"/>
  <c r="D18" i="41"/>
  <c r="D21" i="41" s="1"/>
  <c r="D22" i="41" s="1"/>
  <c r="C18" i="41"/>
  <c r="C21" i="41" s="1"/>
  <c r="C22" i="41" s="1"/>
  <c r="B18" i="41"/>
  <c r="B21" i="41" s="1"/>
  <c r="B22" i="41" s="1"/>
  <c r="D8" i="41"/>
  <c r="C8" i="41"/>
  <c r="B8" i="41"/>
  <c r="C134" i="40"/>
  <c r="B134" i="40"/>
  <c r="B128" i="40"/>
  <c r="C126" i="40"/>
  <c r="B126" i="40"/>
  <c r="D123" i="40"/>
  <c r="C120" i="40"/>
  <c r="C128" i="40" s="1"/>
  <c r="B120" i="40"/>
  <c r="D118" i="40"/>
  <c r="C111" i="40"/>
  <c r="B111" i="40"/>
  <c r="L110" i="40"/>
  <c r="D110" i="40"/>
  <c r="C104" i="40"/>
  <c r="C113" i="40" s="1"/>
  <c r="B104" i="40"/>
  <c r="D101" i="40"/>
  <c r="D99" i="40"/>
  <c r="C88" i="40"/>
  <c r="B88" i="40"/>
  <c r="D133" i="40"/>
  <c r="C80" i="40"/>
  <c r="B80" i="40"/>
  <c r="D125" i="40"/>
  <c r="F125" i="40" s="1"/>
  <c r="E78" i="40"/>
  <c r="D77" i="40"/>
  <c r="C74" i="40"/>
  <c r="C82" i="40" s="1"/>
  <c r="B74" i="40"/>
  <c r="B82" i="40" s="1"/>
  <c r="P72" i="40"/>
  <c r="P72" i="36" s="1"/>
  <c r="O72" i="40"/>
  <c r="O72" i="36" s="1"/>
  <c r="N72" i="40"/>
  <c r="N72" i="36" s="1"/>
  <c r="M72" i="40"/>
  <c r="M72" i="36" s="1"/>
  <c r="L72" i="40"/>
  <c r="L72" i="36" s="1"/>
  <c r="K72" i="40"/>
  <c r="K72" i="36" s="1"/>
  <c r="J72" i="40"/>
  <c r="J72" i="36" s="1"/>
  <c r="I72" i="40"/>
  <c r="I72" i="36" s="1"/>
  <c r="H72" i="40"/>
  <c r="H72" i="36" s="1"/>
  <c r="G72" i="40"/>
  <c r="D117" i="40"/>
  <c r="C65" i="40"/>
  <c r="B65" i="40"/>
  <c r="P64" i="40"/>
  <c r="P110" i="40" s="1"/>
  <c r="O64" i="40"/>
  <c r="O110" i="40" s="1"/>
  <c r="N64" i="40"/>
  <c r="N110" i="40" s="1"/>
  <c r="M64" i="40"/>
  <c r="M110" i="40" s="1"/>
  <c r="L64" i="40"/>
  <c r="K64" i="40"/>
  <c r="K110" i="40" s="1"/>
  <c r="J64" i="40"/>
  <c r="J110" i="40" s="1"/>
  <c r="I64" i="40"/>
  <c r="I110" i="40" s="1"/>
  <c r="H64" i="40"/>
  <c r="H110" i="40" s="1"/>
  <c r="G64" i="40"/>
  <c r="G110" i="40" s="1"/>
  <c r="F64" i="40"/>
  <c r="F110" i="40" s="1"/>
  <c r="E64" i="40"/>
  <c r="A64" i="40"/>
  <c r="A110" i="40" s="1"/>
  <c r="P63" i="40"/>
  <c r="O63" i="40"/>
  <c r="N63" i="40"/>
  <c r="M63" i="40"/>
  <c r="L63" i="40"/>
  <c r="K63" i="40"/>
  <c r="J63" i="40"/>
  <c r="I63" i="40"/>
  <c r="H63" i="40"/>
  <c r="G63" i="40"/>
  <c r="F63" i="40"/>
  <c r="E63" i="40"/>
  <c r="E109" i="40" s="1"/>
  <c r="D109" i="40"/>
  <c r="A63" i="40"/>
  <c r="A109" i="40" s="1"/>
  <c r="E61" i="40"/>
  <c r="D107" i="40"/>
  <c r="A61" i="40"/>
  <c r="A107" i="40" s="1"/>
  <c r="C58" i="40"/>
  <c r="B58" i="40"/>
  <c r="D103" i="40"/>
  <c r="F56" i="40"/>
  <c r="D100" i="40"/>
  <c r="E42" i="40"/>
  <c r="D42" i="40"/>
  <c r="C42" i="40"/>
  <c r="B42" i="40"/>
  <c r="E34" i="40"/>
  <c r="D34" i="40"/>
  <c r="C34" i="40"/>
  <c r="B34" i="40"/>
  <c r="B36" i="40" s="1"/>
  <c r="F33" i="40"/>
  <c r="F31" i="40"/>
  <c r="E28" i="40"/>
  <c r="E36" i="40" s="1"/>
  <c r="D28" i="40"/>
  <c r="D36" i="40" s="1"/>
  <c r="C28" i="40"/>
  <c r="B28" i="40"/>
  <c r="F27" i="40"/>
  <c r="F25" i="40"/>
  <c r="F28" i="40" s="1"/>
  <c r="E19" i="40"/>
  <c r="D19" i="40"/>
  <c r="C19" i="40"/>
  <c r="B19" i="40"/>
  <c r="E12" i="40"/>
  <c r="D12" i="40"/>
  <c r="C12" i="40"/>
  <c r="C21" i="40" s="1"/>
  <c r="B12" i="40"/>
  <c r="B21" i="40" s="1"/>
  <c r="F11" i="40"/>
  <c r="F10" i="40"/>
  <c r="G10" i="40" s="1"/>
  <c r="F9" i="40"/>
  <c r="C148" i="39"/>
  <c r="B148" i="39"/>
  <c r="E147" i="39"/>
  <c r="D147" i="39"/>
  <c r="N148" i="39"/>
  <c r="L148" i="39"/>
  <c r="I148" i="39"/>
  <c r="G148" i="39"/>
  <c r="F148" i="39"/>
  <c r="E144" i="39"/>
  <c r="D144" i="39"/>
  <c r="D148" i="39" s="1"/>
  <c r="B140" i="39"/>
  <c r="C133" i="39"/>
  <c r="B126" i="39"/>
  <c r="B150" i="39" s="1"/>
  <c r="B154" i="39" s="1"/>
  <c r="C152" i="39" s="1"/>
  <c r="D125" i="39"/>
  <c r="D103" i="39"/>
  <c r="D156" i="39" s="1"/>
  <c r="D99" i="39"/>
  <c r="D152" i="39" s="1"/>
  <c r="C95" i="39"/>
  <c r="B95" i="39"/>
  <c r="O95" i="39"/>
  <c r="N95" i="39"/>
  <c r="M95" i="39"/>
  <c r="G95" i="39"/>
  <c r="F95" i="39"/>
  <c r="E94" i="39"/>
  <c r="D94" i="39"/>
  <c r="L95" i="39"/>
  <c r="J95" i="39"/>
  <c r="I95" i="39"/>
  <c r="H95" i="39"/>
  <c r="E91" i="39"/>
  <c r="D91" i="39"/>
  <c r="D95" i="39" s="1"/>
  <c r="B87" i="39"/>
  <c r="F139" i="39"/>
  <c r="E86" i="39"/>
  <c r="D86" i="39"/>
  <c r="D139" i="39" s="1"/>
  <c r="C86" i="39"/>
  <c r="C139" i="39" s="1"/>
  <c r="E85" i="39"/>
  <c r="D85" i="39"/>
  <c r="D138" i="39" s="1"/>
  <c r="C85" i="39"/>
  <c r="C138" i="39" s="1"/>
  <c r="E84" i="39"/>
  <c r="D84" i="39"/>
  <c r="D137" i="39" s="1"/>
  <c r="A84" i="39"/>
  <c r="A137" i="39" s="1"/>
  <c r="E83" i="39"/>
  <c r="D83" i="39"/>
  <c r="D136" i="39" s="1"/>
  <c r="C83" i="39"/>
  <c r="C136" i="39" s="1"/>
  <c r="E80" i="39"/>
  <c r="D80" i="39"/>
  <c r="D133" i="39" s="1"/>
  <c r="C80" i="39"/>
  <c r="E79" i="39"/>
  <c r="D79" i="39"/>
  <c r="D132" i="39" s="1"/>
  <c r="C79" i="39"/>
  <c r="C132" i="39" s="1"/>
  <c r="E78" i="39"/>
  <c r="D78" i="39"/>
  <c r="D131" i="39" s="1"/>
  <c r="A78" i="39"/>
  <c r="A131" i="39" s="1"/>
  <c r="E77" i="39"/>
  <c r="D77" i="39"/>
  <c r="C77" i="39"/>
  <c r="B73" i="39"/>
  <c r="B97" i="39" s="1"/>
  <c r="B101" i="39" s="1"/>
  <c r="E72" i="39"/>
  <c r="D72" i="39"/>
  <c r="C72" i="39"/>
  <c r="C125" i="39" s="1"/>
  <c r="E71" i="39"/>
  <c r="D71" i="39"/>
  <c r="D124" i="39" s="1"/>
  <c r="C71" i="39"/>
  <c r="C124" i="39" s="1"/>
  <c r="E70" i="39"/>
  <c r="D70" i="39"/>
  <c r="D123" i="39" s="1"/>
  <c r="E69" i="39"/>
  <c r="D69" i="39"/>
  <c r="D122" i="39" s="1"/>
  <c r="C69" i="39"/>
  <c r="C122" i="39" s="1"/>
  <c r="E68" i="39"/>
  <c r="D68" i="39"/>
  <c r="D121" i="39" s="1"/>
  <c r="C68" i="39"/>
  <c r="C121" i="39" s="1"/>
  <c r="E65" i="39"/>
  <c r="D65" i="39"/>
  <c r="D118" i="39" s="1"/>
  <c r="C65" i="39"/>
  <c r="C118" i="39" s="1"/>
  <c r="E64" i="39"/>
  <c r="D64" i="39"/>
  <c r="D117" i="39" s="1"/>
  <c r="C64" i="39"/>
  <c r="C117" i="39" s="1"/>
  <c r="E63" i="39"/>
  <c r="D63" i="39"/>
  <c r="D116" i="39" s="1"/>
  <c r="C63" i="39"/>
  <c r="C116" i="39" s="1"/>
  <c r="E62" i="39"/>
  <c r="D62" i="39"/>
  <c r="D115" i="39" s="1"/>
  <c r="C62" i="39"/>
  <c r="C115" i="39" s="1"/>
  <c r="E61" i="39"/>
  <c r="D61" i="39"/>
  <c r="D114" i="39" s="1"/>
  <c r="C61" i="39"/>
  <c r="C114" i="39" s="1"/>
  <c r="E60" i="39"/>
  <c r="D60" i="39"/>
  <c r="D113" i="39" s="1"/>
  <c r="C60" i="39"/>
  <c r="P55" i="39"/>
  <c r="P108" i="39" s="1"/>
  <c r="O55" i="39"/>
  <c r="O108" i="39" s="1"/>
  <c r="N55" i="39"/>
  <c r="N108" i="39" s="1"/>
  <c r="M55" i="39"/>
  <c r="M108" i="39" s="1"/>
  <c r="L55" i="39"/>
  <c r="L108" i="39" s="1"/>
  <c r="K55" i="39"/>
  <c r="K108" i="39" s="1"/>
  <c r="J55" i="39"/>
  <c r="J108" i="39" s="1"/>
  <c r="I55" i="39"/>
  <c r="I108" i="39" s="1"/>
  <c r="H55" i="39"/>
  <c r="H108" i="39" s="1"/>
  <c r="G55" i="39"/>
  <c r="G108" i="39" s="1"/>
  <c r="F55" i="39"/>
  <c r="F108" i="39" s="1"/>
  <c r="E55" i="39"/>
  <c r="E108" i="39" s="1"/>
  <c r="D55" i="39"/>
  <c r="D108" i="39" s="1"/>
  <c r="F50" i="39"/>
  <c r="G50" i="39" s="1"/>
  <c r="H50" i="39" s="1"/>
  <c r="I50" i="39" s="1"/>
  <c r="J50" i="39" s="1"/>
  <c r="K50" i="39" s="1"/>
  <c r="L50" i="39" s="1"/>
  <c r="M50" i="39" s="1"/>
  <c r="N50" i="39" s="1"/>
  <c r="O50" i="39" s="1"/>
  <c r="P50" i="39" s="1"/>
  <c r="C50" i="39"/>
  <c r="P42" i="39"/>
  <c r="O42" i="39"/>
  <c r="N42" i="39"/>
  <c r="M42" i="39"/>
  <c r="L42" i="39"/>
  <c r="K42" i="39"/>
  <c r="J42" i="39"/>
  <c r="I42" i="39"/>
  <c r="H42" i="39"/>
  <c r="G42" i="39"/>
  <c r="F42" i="39"/>
  <c r="E42" i="39"/>
  <c r="D42" i="39"/>
  <c r="C42" i="39"/>
  <c r="B42" i="39"/>
  <c r="E34" i="39"/>
  <c r="D34" i="39"/>
  <c r="C34" i="39"/>
  <c r="B34" i="39"/>
  <c r="E20" i="39"/>
  <c r="D20" i="39"/>
  <c r="D44" i="39" s="1"/>
  <c r="D48" i="39" s="1"/>
  <c r="C20" i="39"/>
  <c r="C44" i="39" s="1"/>
  <c r="B20" i="39"/>
  <c r="B44" i="39" s="1"/>
  <c r="B48" i="39" s="1"/>
  <c r="D185" i="38"/>
  <c r="P125" i="39"/>
  <c r="O125" i="39"/>
  <c r="N125" i="39"/>
  <c r="M125" i="39"/>
  <c r="L125" i="39"/>
  <c r="K125" i="39"/>
  <c r="C168" i="38"/>
  <c r="B168" i="38"/>
  <c r="Q167" i="38"/>
  <c r="Q166" i="38"/>
  <c r="C165" i="38"/>
  <c r="C200" i="38" s="1"/>
  <c r="B165" i="38"/>
  <c r="B200" i="38" s="1"/>
  <c r="C163" i="38"/>
  <c r="B163" i="38"/>
  <c r="F204" i="38"/>
  <c r="F207" i="38" s="1"/>
  <c r="F209" i="38" s="1"/>
  <c r="G208" i="38" s="1"/>
  <c r="P121" i="39"/>
  <c r="O121" i="39"/>
  <c r="N121" i="39"/>
  <c r="M121" i="39"/>
  <c r="L121" i="39"/>
  <c r="K121" i="39"/>
  <c r="C161" i="38"/>
  <c r="C169" i="38" s="1"/>
  <c r="B161" i="38"/>
  <c r="C156" i="38"/>
  <c r="B156" i="38"/>
  <c r="N116" i="39"/>
  <c r="M116" i="39"/>
  <c r="L116" i="39"/>
  <c r="J116" i="39"/>
  <c r="I116" i="39"/>
  <c r="H116" i="39"/>
  <c r="G116" i="39"/>
  <c r="C153" i="38"/>
  <c r="B153" i="38"/>
  <c r="C152" i="38"/>
  <c r="B152" i="38"/>
  <c r="C151" i="38"/>
  <c r="B151" i="38"/>
  <c r="C150" i="38"/>
  <c r="B150" i="38"/>
  <c r="P114" i="39"/>
  <c r="O114" i="39"/>
  <c r="N114" i="39"/>
  <c r="M114" i="39"/>
  <c r="L114" i="39"/>
  <c r="K114" i="39"/>
  <c r="C149" i="38"/>
  <c r="B149" i="38"/>
  <c r="P113" i="39"/>
  <c r="O113" i="39"/>
  <c r="N113" i="39"/>
  <c r="M113" i="39"/>
  <c r="L113" i="39"/>
  <c r="K113" i="39"/>
  <c r="C148" i="38"/>
  <c r="B148" i="38"/>
  <c r="P72" i="39"/>
  <c r="O72" i="39"/>
  <c r="N72" i="39"/>
  <c r="M72" i="39"/>
  <c r="L72" i="39"/>
  <c r="K72" i="39"/>
  <c r="D100" i="38"/>
  <c r="D168" i="38" s="1"/>
  <c r="C100" i="38"/>
  <c r="B100" i="38"/>
  <c r="F99" i="38"/>
  <c r="F101" i="34" s="1"/>
  <c r="E99" i="38"/>
  <c r="D99" i="38"/>
  <c r="D167" i="38" s="1"/>
  <c r="A99" i="38"/>
  <c r="A167" i="38" s="1"/>
  <c r="F98" i="38"/>
  <c r="D98" i="38"/>
  <c r="D166" i="38" s="1"/>
  <c r="A98" i="38"/>
  <c r="A166" i="38" s="1"/>
  <c r="D97" i="38"/>
  <c r="C97" i="38"/>
  <c r="C132" i="38" s="1"/>
  <c r="B97" i="38"/>
  <c r="B132" i="38" s="1"/>
  <c r="A97" i="38"/>
  <c r="D95" i="38"/>
  <c r="D163" i="38" s="1"/>
  <c r="C95" i="38"/>
  <c r="B95" i="38"/>
  <c r="A95" i="38"/>
  <c r="E94" i="38"/>
  <c r="D94" i="38"/>
  <c r="D162" i="38" s="1"/>
  <c r="A94" i="38"/>
  <c r="P68" i="39"/>
  <c r="O68" i="39"/>
  <c r="N68" i="39"/>
  <c r="M68" i="39"/>
  <c r="L68" i="39"/>
  <c r="K68" i="39"/>
  <c r="E93" i="38"/>
  <c r="D93" i="38"/>
  <c r="D161" i="38" s="1"/>
  <c r="C93" i="38"/>
  <c r="B93" i="38"/>
  <c r="A93" i="38"/>
  <c r="P89" i="38"/>
  <c r="O89" i="38"/>
  <c r="N89" i="38"/>
  <c r="M89" i="38"/>
  <c r="L89" i="38"/>
  <c r="K89" i="38"/>
  <c r="J89" i="38"/>
  <c r="I89" i="38"/>
  <c r="G89" i="38"/>
  <c r="F89" i="38"/>
  <c r="E89" i="38"/>
  <c r="D89" i="38"/>
  <c r="D157" i="38" s="1"/>
  <c r="P88" i="38"/>
  <c r="O88" i="38"/>
  <c r="N88" i="38"/>
  <c r="M88" i="38"/>
  <c r="L88" i="38"/>
  <c r="K88" i="38"/>
  <c r="J88" i="38"/>
  <c r="I88" i="38"/>
  <c r="G88" i="38"/>
  <c r="F88" i="38"/>
  <c r="E88" i="38"/>
  <c r="D88" i="38"/>
  <c r="D156" i="38" s="1"/>
  <c r="C88" i="38"/>
  <c r="B88" i="38"/>
  <c r="P63" i="39"/>
  <c r="M63" i="39"/>
  <c r="L63" i="39"/>
  <c r="K63" i="39"/>
  <c r="J63" i="39"/>
  <c r="I63" i="39"/>
  <c r="H63" i="39"/>
  <c r="G63" i="39"/>
  <c r="F85" i="38"/>
  <c r="F87" i="34" s="1"/>
  <c r="D85" i="38"/>
  <c r="D153" i="38" s="1"/>
  <c r="C85" i="38"/>
  <c r="B85" i="38"/>
  <c r="F152" i="38"/>
  <c r="E84" i="38"/>
  <c r="D84" i="38"/>
  <c r="D152" i="38" s="1"/>
  <c r="C84" i="38"/>
  <c r="B84" i="38"/>
  <c r="D83" i="38"/>
  <c r="D151" i="38" s="1"/>
  <c r="C83" i="38"/>
  <c r="B83" i="38"/>
  <c r="D82" i="38"/>
  <c r="D150" i="38" s="1"/>
  <c r="C82" i="38"/>
  <c r="B82" i="38"/>
  <c r="P61" i="39"/>
  <c r="O61" i="39"/>
  <c r="N61" i="39"/>
  <c r="M61" i="39"/>
  <c r="L61" i="39"/>
  <c r="K61" i="39"/>
  <c r="D81" i="38"/>
  <c r="D149" i="38" s="1"/>
  <c r="C81" i="38"/>
  <c r="B81" i="38"/>
  <c r="P60" i="39"/>
  <c r="O60" i="39"/>
  <c r="N60" i="39"/>
  <c r="M60" i="39"/>
  <c r="L60" i="39"/>
  <c r="K60" i="39"/>
  <c r="D80" i="38"/>
  <c r="D148" i="38" s="1"/>
  <c r="C80" i="38"/>
  <c r="B80" i="38"/>
  <c r="K73" i="38"/>
  <c r="L73" i="38" s="1"/>
  <c r="M73" i="38" s="1"/>
  <c r="N73" i="38" s="1"/>
  <c r="O73" i="38" s="1"/>
  <c r="P73" i="38" s="1"/>
  <c r="K31" i="38"/>
  <c r="J31" i="38"/>
  <c r="I31" i="38"/>
  <c r="H31" i="38"/>
  <c r="G31" i="38"/>
  <c r="F31" i="38"/>
  <c r="D31" i="38"/>
  <c r="C31" i="38"/>
  <c r="B31" i="38"/>
  <c r="AE30" i="38"/>
  <c r="AE27" i="38"/>
  <c r="AE25" i="38"/>
  <c r="AE23" i="38"/>
  <c r="J21" i="38"/>
  <c r="I21" i="38"/>
  <c r="H21" i="38"/>
  <c r="G21" i="38"/>
  <c r="F21" i="38"/>
  <c r="D21" i="38"/>
  <c r="C21" i="38"/>
  <c r="B21" i="38"/>
  <c r="AE19" i="38"/>
  <c r="AE16" i="38"/>
  <c r="AE15" i="38"/>
  <c r="AE14" i="38"/>
  <c r="AE13" i="38"/>
  <c r="AE12" i="38"/>
  <c r="AE11" i="38"/>
  <c r="AE9" i="38"/>
  <c r="P4" i="38"/>
  <c r="O4" i="38"/>
  <c r="N4" i="38"/>
  <c r="M4" i="38"/>
  <c r="L4" i="38"/>
  <c r="K4" i="38"/>
  <c r="J4" i="38"/>
  <c r="I4" i="38"/>
  <c r="H4" i="38"/>
  <c r="G4" i="38"/>
  <c r="B100" i="37"/>
  <c r="P94" i="37"/>
  <c r="O94" i="37"/>
  <c r="D94" i="37"/>
  <c r="C94" i="37"/>
  <c r="B94" i="37"/>
  <c r="B95" i="37" s="1"/>
  <c r="B93" i="37"/>
  <c r="B89" i="37"/>
  <c r="B90" i="37" s="1"/>
  <c r="C84" i="37" s="1"/>
  <c r="C86" i="37" s="1"/>
  <c r="B86" i="37"/>
  <c r="D84" i="37"/>
  <c r="D86" i="37" s="1"/>
  <c r="B76" i="37"/>
  <c r="D74" i="37"/>
  <c r="D76" i="37" s="1"/>
  <c r="B66" i="37"/>
  <c r="D60" i="37"/>
  <c r="C60" i="37"/>
  <c r="B60" i="37"/>
  <c r="B59" i="37"/>
  <c r="B61" i="37" s="1"/>
  <c r="D54" i="37"/>
  <c r="D88" i="37" s="1"/>
  <c r="D100" i="37" s="1"/>
  <c r="B52" i="37"/>
  <c r="B55" i="37" s="1"/>
  <c r="B56" i="37" s="1"/>
  <c r="C50" i="37" s="1"/>
  <c r="C59" i="37" s="1"/>
  <c r="D50" i="37"/>
  <c r="D52" i="37" s="1"/>
  <c r="D55" i="37" s="1"/>
  <c r="D56" i="37" s="1"/>
  <c r="C42" i="37"/>
  <c r="B42" i="37"/>
  <c r="D40" i="37"/>
  <c r="P32" i="37"/>
  <c r="K32" i="37"/>
  <c r="I32" i="37"/>
  <c r="E32" i="37"/>
  <c r="D32" i="37"/>
  <c r="C32" i="37"/>
  <c r="C54" i="37" s="1"/>
  <c r="C66" i="37" s="1"/>
  <c r="B32" i="37"/>
  <c r="D26" i="37"/>
  <c r="C26" i="37"/>
  <c r="B26" i="37"/>
  <c r="D25" i="37"/>
  <c r="C25" i="37"/>
  <c r="B25" i="37"/>
  <c r="B27" i="37" s="1"/>
  <c r="C21" i="37"/>
  <c r="C22" i="37" s="1"/>
  <c r="D18" i="37"/>
  <c r="D21" i="37" s="1"/>
  <c r="D22" i="37" s="1"/>
  <c r="C18" i="37"/>
  <c r="B18" i="37"/>
  <c r="B21" i="37" s="1"/>
  <c r="B22" i="37" s="1"/>
  <c r="D8" i="37"/>
  <c r="C8" i="37"/>
  <c r="B8" i="37"/>
  <c r="C134" i="36"/>
  <c r="B134" i="36"/>
  <c r="C128" i="36"/>
  <c r="C126" i="36"/>
  <c r="B126" i="36"/>
  <c r="D124" i="36"/>
  <c r="C120" i="36"/>
  <c r="B120" i="36"/>
  <c r="B128" i="36" s="1"/>
  <c r="D119" i="36"/>
  <c r="C111" i="36"/>
  <c r="B111" i="36"/>
  <c r="C104" i="36"/>
  <c r="C113" i="36" s="1"/>
  <c r="C129" i="36" s="1"/>
  <c r="C136" i="36" s="1"/>
  <c r="B104" i="36"/>
  <c r="C88" i="36"/>
  <c r="B88" i="36"/>
  <c r="D87" i="36"/>
  <c r="D133" i="36" s="1"/>
  <c r="D86" i="36"/>
  <c r="C80" i="36"/>
  <c r="B80" i="36"/>
  <c r="D79" i="36"/>
  <c r="D125" i="36" s="1"/>
  <c r="D78" i="36"/>
  <c r="D77" i="36"/>
  <c r="D123" i="36" s="1"/>
  <c r="C74" i="36"/>
  <c r="C82" i="36" s="1"/>
  <c r="B74" i="36"/>
  <c r="B82" i="36" s="1"/>
  <c r="D73" i="36"/>
  <c r="D72" i="36"/>
  <c r="D118" i="36" s="1"/>
  <c r="D71" i="36"/>
  <c r="D117" i="36" s="1"/>
  <c r="C65" i="36"/>
  <c r="B65" i="36"/>
  <c r="D64" i="36"/>
  <c r="D110" i="36" s="1"/>
  <c r="A64" i="36"/>
  <c r="A110" i="36" s="1"/>
  <c r="D63" i="36"/>
  <c r="D109" i="36" s="1"/>
  <c r="A63" i="36"/>
  <c r="A109" i="36" s="1"/>
  <c r="D62" i="36"/>
  <c r="D61" i="36"/>
  <c r="A61" i="36"/>
  <c r="A107" i="36" s="1"/>
  <c r="C58" i="36"/>
  <c r="B58" i="36"/>
  <c r="B67" i="36" s="1"/>
  <c r="D57" i="36"/>
  <c r="D56" i="36"/>
  <c r="D102" i="36" s="1"/>
  <c r="D55" i="36"/>
  <c r="D101" i="36" s="1"/>
  <c r="D54" i="36"/>
  <c r="D100" i="36" s="1"/>
  <c r="D53" i="36"/>
  <c r="D42" i="36"/>
  <c r="C42" i="36"/>
  <c r="B42" i="36"/>
  <c r="B36" i="36"/>
  <c r="D34" i="36"/>
  <c r="C34" i="36"/>
  <c r="B34" i="36"/>
  <c r="D28" i="36"/>
  <c r="D36" i="36" s="1"/>
  <c r="C28" i="36"/>
  <c r="C36" i="36" s="1"/>
  <c r="B28" i="36"/>
  <c r="D19" i="36"/>
  <c r="C19" i="36"/>
  <c r="B19" i="36"/>
  <c r="D12" i="36"/>
  <c r="C12" i="36"/>
  <c r="C21" i="36" s="1"/>
  <c r="C37" i="36" s="1"/>
  <c r="C44" i="36" s="1"/>
  <c r="B12" i="36"/>
  <c r="C148" i="35"/>
  <c r="B148" i="35"/>
  <c r="D147" i="35"/>
  <c r="D148" i="35" s="1"/>
  <c r="D144" i="35"/>
  <c r="B140" i="35"/>
  <c r="B126" i="35"/>
  <c r="D103" i="35"/>
  <c r="D156" i="35" s="1"/>
  <c r="D99" i="35"/>
  <c r="D152" i="35" s="1"/>
  <c r="C95" i="35"/>
  <c r="B95" i="35"/>
  <c r="D94" i="35"/>
  <c r="D95" i="35" s="1"/>
  <c r="D91" i="35"/>
  <c r="B87" i="35"/>
  <c r="D86" i="35"/>
  <c r="D139" i="35" s="1"/>
  <c r="C86" i="35"/>
  <c r="C139" i="35" s="1"/>
  <c r="D85" i="35"/>
  <c r="D138" i="35" s="1"/>
  <c r="C85" i="35"/>
  <c r="C138" i="35" s="1"/>
  <c r="D84" i="35"/>
  <c r="D137" i="35" s="1"/>
  <c r="A84" i="35"/>
  <c r="A137" i="35" s="1"/>
  <c r="D83" i="35"/>
  <c r="D136" i="35" s="1"/>
  <c r="C83" i="35"/>
  <c r="D80" i="35"/>
  <c r="D133" i="35" s="1"/>
  <c r="C80" i="35"/>
  <c r="C133" i="35" s="1"/>
  <c r="D79" i="35"/>
  <c r="D132" i="35" s="1"/>
  <c r="C79" i="35"/>
  <c r="C132" i="35" s="1"/>
  <c r="D78" i="35"/>
  <c r="D131" i="35" s="1"/>
  <c r="A78" i="35"/>
  <c r="A131" i="35" s="1"/>
  <c r="D77" i="35"/>
  <c r="D87" i="35" s="1"/>
  <c r="C77" i="35"/>
  <c r="B73" i="35"/>
  <c r="B97" i="35" s="1"/>
  <c r="B101" i="35" s="1"/>
  <c r="B105" i="35" s="1"/>
  <c r="D72" i="35"/>
  <c r="D125" i="35" s="1"/>
  <c r="C72" i="35"/>
  <c r="C125" i="35" s="1"/>
  <c r="D71" i="35"/>
  <c r="D124" i="35" s="1"/>
  <c r="C71" i="35"/>
  <c r="C124" i="35" s="1"/>
  <c r="D70" i="35"/>
  <c r="D123" i="35" s="1"/>
  <c r="D69" i="35"/>
  <c r="D122" i="35" s="1"/>
  <c r="C69" i="35"/>
  <c r="C122" i="35" s="1"/>
  <c r="D68" i="35"/>
  <c r="D121" i="35" s="1"/>
  <c r="C68" i="35"/>
  <c r="C121" i="35" s="1"/>
  <c r="D65" i="35"/>
  <c r="D118" i="35" s="1"/>
  <c r="C65" i="35"/>
  <c r="C118" i="35" s="1"/>
  <c r="D64" i="35"/>
  <c r="D117" i="35" s="1"/>
  <c r="C64" i="35"/>
  <c r="C117" i="35" s="1"/>
  <c r="D63" i="35"/>
  <c r="D116" i="35" s="1"/>
  <c r="C63" i="35"/>
  <c r="C116" i="35" s="1"/>
  <c r="D62" i="35"/>
  <c r="D115" i="35" s="1"/>
  <c r="C62" i="35"/>
  <c r="C115" i="35" s="1"/>
  <c r="D61" i="35"/>
  <c r="D114" i="35" s="1"/>
  <c r="C61" i="35"/>
  <c r="C114" i="35" s="1"/>
  <c r="D60" i="35"/>
  <c r="D113" i="35" s="1"/>
  <c r="C60" i="35"/>
  <c r="C113" i="35" s="1"/>
  <c r="P55" i="35"/>
  <c r="P108" i="35" s="1"/>
  <c r="O55" i="35"/>
  <c r="O108" i="35" s="1"/>
  <c r="N55" i="35"/>
  <c r="N108" i="35" s="1"/>
  <c r="M55" i="35"/>
  <c r="M108" i="35" s="1"/>
  <c r="L55" i="35"/>
  <c r="L108" i="35" s="1"/>
  <c r="K55" i="35"/>
  <c r="K108" i="35" s="1"/>
  <c r="J55" i="35"/>
  <c r="J108" i="35" s="1"/>
  <c r="I55" i="35"/>
  <c r="I108" i="35" s="1"/>
  <c r="H55" i="35"/>
  <c r="H108" i="35" s="1"/>
  <c r="G55" i="35"/>
  <c r="G108" i="35" s="1"/>
  <c r="F55" i="35"/>
  <c r="F108" i="35" s="1"/>
  <c r="E55" i="35"/>
  <c r="E108" i="35" s="1"/>
  <c r="D55" i="35"/>
  <c r="D108" i="35" s="1"/>
  <c r="C50" i="35"/>
  <c r="D42" i="35"/>
  <c r="C42" i="35"/>
  <c r="B42" i="35"/>
  <c r="D34" i="35"/>
  <c r="C34" i="35"/>
  <c r="B34" i="35"/>
  <c r="D20" i="35"/>
  <c r="D44" i="35" s="1"/>
  <c r="D48" i="35" s="1"/>
  <c r="C20" i="35"/>
  <c r="B20" i="35"/>
  <c r="D187" i="34"/>
  <c r="D170" i="34"/>
  <c r="C170" i="34"/>
  <c r="B170" i="34"/>
  <c r="Q169" i="34"/>
  <c r="D169" i="34"/>
  <c r="Q168" i="34"/>
  <c r="D168" i="34"/>
  <c r="D167" i="34"/>
  <c r="C167" i="34"/>
  <c r="C202" i="34" s="1"/>
  <c r="B167" i="34"/>
  <c r="B202" i="34" s="1"/>
  <c r="D165" i="34"/>
  <c r="C165" i="34"/>
  <c r="B165" i="34"/>
  <c r="D164" i="34"/>
  <c r="D163" i="34"/>
  <c r="C163" i="34"/>
  <c r="B163" i="34"/>
  <c r="D159" i="34"/>
  <c r="D158" i="34"/>
  <c r="C158" i="34"/>
  <c r="B158" i="34"/>
  <c r="D155" i="34"/>
  <c r="C155" i="34"/>
  <c r="B155" i="34"/>
  <c r="D154" i="34"/>
  <c r="C154" i="34"/>
  <c r="B154" i="34"/>
  <c r="D153" i="34"/>
  <c r="C153" i="34"/>
  <c r="B153" i="34"/>
  <c r="D152" i="34"/>
  <c r="C152" i="34"/>
  <c r="B152" i="34"/>
  <c r="D151" i="34"/>
  <c r="C151" i="34"/>
  <c r="B151" i="34"/>
  <c r="D150" i="34"/>
  <c r="C150" i="34"/>
  <c r="B150" i="34"/>
  <c r="D102" i="34"/>
  <c r="C102" i="34"/>
  <c r="B102" i="34"/>
  <c r="D101" i="34"/>
  <c r="A101" i="34"/>
  <c r="A169" i="34" s="1"/>
  <c r="D100" i="34"/>
  <c r="A100" i="34"/>
  <c r="A168" i="34" s="1"/>
  <c r="D99" i="34"/>
  <c r="C99" i="34"/>
  <c r="C134" i="34" s="1"/>
  <c r="B99" i="34"/>
  <c r="B134" i="34" s="1"/>
  <c r="A99" i="34"/>
  <c r="D97" i="34"/>
  <c r="C97" i="34"/>
  <c r="B97" i="34"/>
  <c r="A97" i="34"/>
  <c r="D96" i="34"/>
  <c r="A96" i="34"/>
  <c r="D95" i="34"/>
  <c r="C95" i="34"/>
  <c r="B95" i="34"/>
  <c r="A95" i="34"/>
  <c r="D91" i="34"/>
  <c r="D90" i="34"/>
  <c r="C90" i="34"/>
  <c r="B90" i="34"/>
  <c r="D87" i="34"/>
  <c r="C87" i="34"/>
  <c r="B87" i="34"/>
  <c r="D86" i="34"/>
  <c r="C86" i="34"/>
  <c r="B86" i="34"/>
  <c r="D85" i="34"/>
  <c r="C85" i="34"/>
  <c r="B85" i="34"/>
  <c r="D84" i="34"/>
  <c r="C84" i="34"/>
  <c r="B84" i="34"/>
  <c r="D83" i="34"/>
  <c r="C83" i="34"/>
  <c r="B83" i="34"/>
  <c r="D82" i="34"/>
  <c r="C82" i="34"/>
  <c r="B82" i="34"/>
  <c r="D33" i="34"/>
  <c r="C33" i="34"/>
  <c r="B33" i="34"/>
  <c r="AE32" i="34"/>
  <c r="AE29" i="34"/>
  <c r="AE27" i="34"/>
  <c r="AE25" i="34"/>
  <c r="D23" i="34"/>
  <c r="C23" i="34"/>
  <c r="B23" i="34"/>
  <c r="AE21" i="34"/>
  <c r="AE18" i="34"/>
  <c r="AE17" i="34"/>
  <c r="AE16" i="34"/>
  <c r="AE15" i="34"/>
  <c r="AE14" i="34"/>
  <c r="AE13" i="34"/>
  <c r="AE11" i="34"/>
  <c r="D191" i="4"/>
  <c r="E84" i="3"/>
  <c r="D84" i="3"/>
  <c r="D74" i="3"/>
  <c r="E54" i="3"/>
  <c r="F54" i="3"/>
  <c r="G54" i="3"/>
  <c r="H54" i="3"/>
  <c r="I54" i="3"/>
  <c r="J54" i="3"/>
  <c r="K54" i="3"/>
  <c r="L54" i="3"/>
  <c r="M54" i="3"/>
  <c r="N54" i="3"/>
  <c r="O54" i="3"/>
  <c r="P54" i="3"/>
  <c r="D54" i="3"/>
  <c r="D50" i="3"/>
  <c r="D40" i="3"/>
  <c r="D124" i="14"/>
  <c r="A109" i="14"/>
  <c r="E78" i="14"/>
  <c r="E124" i="14" s="1"/>
  <c r="D78" i="14"/>
  <c r="E72" i="14"/>
  <c r="F78" i="14" s="1"/>
  <c r="D72" i="14"/>
  <c r="D118" i="14" s="1"/>
  <c r="E63" i="14"/>
  <c r="F63" i="14"/>
  <c r="F109" i="14" s="1"/>
  <c r="G63" i="14"/>
  <c r="G109" i="14" s="1"/>
  <c r="H63" i="14"/>
  <c r="I63" i="14"/>
  <c r="J63" i="14"/>
  <c r="K63" i="14"/>
  <c r="L63" i="14"/>
  <c r="M63" i="14"/>
  <c r="M109" i="14" s="1"/>
  <c r="N63" i="14"/>
  <c r="O63" i="14"/>
  <c r="O109" i="14" s="1"/>
  <c r="P63" i="14"/>
  <c r="E64" i="14"/>
  <c r="E61" i="14"/>
  <c r="E107" i="14" s="1"/>
  <c r="F107" i="14" s="1"/>
  <c r="G107" i="14" s="1"/>
  <c r="H107" i="14" s="1"/>
  <c r="I107" i="14" s="1"/>
  <c r="J107" i="14" s="1"/>
  <c r="K107" i="14" s="1"/>
  <c r="L107" i="14" s="1"/>
  <c r="M107" i="14" s="1"/>
  <c r="N107" i="14" s="1"/>
  <c r="O107" i="14" s="1"/>
  <c r="P107" i="14" s="1"/>
  <c r="D64" i="14"/>
  <c r="D110" i="14" s="1"/>
  <c r="D63" i="14"/>
  <c r="D109" i="14" s="1"/>
  <c r="A64" i="14"/>
  <c r="A110" i="14" s="1"/>
  <c r="A63" i="14"/>
  <c r="A61" i="14"/>
  <c r="A107" i="14" s="1"/>
  <c r="D61" i="14"/>
  <c r="D107" i="14" s="1"/>
  <c r="I131" i="2"/>
  <c r="I131" i="35" s="1"/>
  <c r="M131" i="2"/>
  <c r="M131" i="35" s="1"/>
  <c r="E131" i="2"/>
  <c r="E144" i="2"/>
  <c r="I148" i="2"/>
  <c r="J148" i="2"/>
  <c r="K148" i="2"/>
  <c r="L148" i="2"/>
  <c r="E147" i="2"/>
  <c r="H148" i="2"/>
  <c r="M148" i="2"/>
  <c r="N148" i="2"/>
  <c r="P148" i="2"/>
  <c r="D147" i="2"/>
  <c r="D148" i="2" s="1"/>
  <c r="D144" i="2"/>
  <c r="H139" i="2"/>
  <c r="L139" i="2"/>
  <c r="E86" i="2"/>
  <c r="F86" i="2"/>
  <c r="G86" i="2"/>
  <c r="H86" i="2"/>
  <c r="I86" i="2"/>
  <c r="J86" i="2"/>
  <c r="K86" i="2"/>
  <c r="L86" i="2"/>
  <c r="M86" i="2"/>
  <c r="N86" i="2"/>
  <c r="O86" i="2"/>
  <c r="D86" i="2"/>
  <c r="E70" i="2"/>
  <c r="D70" i="2"/>
  <c r="D123" i="2" s="1"/>
  <c r="D99" i="2"/>
  <c r="E91" i="2"/>
  <c r="I95" i="2"/>
  <c r="J95" i="2"/>
  <c r="E94" i="2"/>
  <c r="E95" i="2" s="1"/>
  <c r="H95" i="2"/>
  <c r="M95" i="2"/>
  <c r="N95" i="2"/>
  <c r="D94" i="2"/>
  <c r="D95" i="2" s="1"/>
  <c r="D91" i="2"/>
  <c r="E84" i="2"/>
  <c r="E137" i="2" s="1"/>
  <c r="D84" i="2"/>
  <c r="D137" i="2" s="1"/>
  <c r="A84" i="2"/>
  <c r="A137" i="2" s="1"/>
  <c r="E78" i="2"/>
  <c r="F78" i="2"/>
  <c r="F78" i="35" s="1"/>
  <c r="G78" i="2"/>
  <c r="H78" i="2"/>
  <c r="H78" i="35" s="1"/>
  <c r="I78" i="2"/>
  <c r="I78" i="35" s="1"/>
  <c r="J78" i="2"/>
  <c r="K78" i="2"/>
  <c r="L78" i="2"/>
  <c r="L78" i="35" s="1"/>
  <c r="M78" i="2"/>
  <c r="M78" i="35" s="1"/>
  <c r="N78" i="2"/>
  <c r="O78" i="2"/>
  <c r="P78" i="2"/>
  <c r="P78" i="35" s="1"/>
  <c r="D78" i="2"/>
  <c r="D131" i="2" s="1"/>
  <c r="A78" i="2"/>
  <c r="A131" i="2" s="1"/>
  <c r="E148" i="2"/>
  <c r="C148" i="2"/>
  <c r="B148" i="2"/>
  <c r="K95" i="2"/>
  <c r="C95" i="2"/>
  <c r="B95" i="2"/>
  <c r="Q172" i="4"/>
  <c r="Q173" i="4"/>
  <c r="E103" i="4"/>
  <c r="A99" i="4"/>
  <c r="A100" i="4"/>
  <c r="A102" i="4"/>
  <c r="A103" i="4"/>
  <c r="A172" i="4" s="1"/>
  <c r="A104" i="4"/>
  <c r="A173" i="4" s="1"/>
  <c r="A98" i="4"/>
  <c r="D99" i="4"/>
  <c r="D103" i="4"/>
  <c r="D104" i="4"/>
  <c r="D173" i="4" s="1"/>
  <c r="D93" i="4"/>
  <c r="D162" i="4" s="1"/>
  <c r="E93" i="4"/>
  <c r="E162" i="4" s="1"/>
  <c r="H159" i="34"/>
  <c r="A46" i="28"/>
  <c r="A52" i="28" s="1"/>
  <c r="A58" i="28" s="1"/>
  <c r="A64" i="28" s="1"/>
  <c r="A70" i="28" s="1"/>
  <c r="A76" i="28" s="1"/>
  <c r="A82" i="28" s="1"/>
  <c r="A88" i="28" s="1"/>
  <c r="A96" i="28" s="1"/>
  <c r="A102" i="28" s="1"/>
  <c r="A108" i="28" s="1"/>
  <c r="A114" i="28" s="1"/>
  <c r="A120" i="28" s="1"/>
  <c r="A126" i="28" s="1"/>
  <c r="A132" i="28" s="1"/>
  <c r="A138" i="28" s="1"/>
  <c r="A47" i="28"/>
  <c r="A53" i="28" s="1"/>
  <c r="A59" i="28" s="1"/>
  <c r="A65" i="28" s="1"/>
  <c r="A71" i="28" s="1"/>
  <c r="A77" i="28" s="1"/>
  <c r="A83" i="28" s="1"/>
  <c r="A89" i="28" s="1"/>
  <c r="A97" i="28" s="1"/>
  <c r="A103" i="28" s="1"/>
  <c r="A109" i="28" s="1"/>
  <c r="A115" i="28" s="1"/>
  <c r="A121" i="28" s="1"/>
  <c r="A127" i="28" s="1"/>
  <c r="A133" i="28" s="1"/>
  <c r="A139" i="28" s="1"/>
  <c r="A45" i="28"/>
  <c r="A51" i="28" s="1"/>
  <c r="A57" i="28" s="1"/>
  <c r="A63" i="28" s="1"/>
  <c r="A69" i="28" s="1"/>
  <c r="A75" i="28" s="1"/>
  <c r="A81" i="28" s="1"/>
  <c r="A87" i="28" s="1"/>
  <c r="A95" i="28" s="1"/>
  <c r="A101" i="28" s="1"/>
  <c r="A107" i="28" s="1"/>
  <c r="A113" i="28" s="1"/>
  <c r="A119" i="28" s="1"/>
  <c r="A125" i="28" s="1"/>
  <c r="A131" i="28" s="1"/>
  <c r="A137" i="28" s="1"/>
  <c r="A39" i="28"/>
  <c r="A40" i="28"/>
  <c r="A38" i="28"/>
  <c r="A25" i="28"/>
  <c r="A26" i="28"/>
  <c r="A24" i="28"/>
  <c r="E5" i="12"/>
  <c r="D5" i="12"/>
  <c r="B5" i="12"/>
  <c r="E42" i="2"/>
  <c r="D42" i="2"/>
  <c r="C42" i="2"/>
  <c r="B42" i="2"/>
  <c r="N42" i="2"/>
  <c r="M42" i="2"/>
  <c r="K42" i="2"/>
  <c r="J42" i="2"/>
  <c r="I42" i="2"/>
  <c r="H42" i="2"/>
  <c r="F42" i="2"/>
  <c r="O42" i="2"/>
  <c r="L42" i="2"/>
  <c r="G42" i="2"/>
  <c r="E19" i="14"/>
  <c r="D19" i="14"/>
  <c r="D21" i="4"/>
  <c r="B8" i="6"/>
  <c r="C8" i="6"/>
  <c r="D8" i="6"/>
  <c r="B22" i="6"/>
  <c r="C22" i="6"/>
  <c r="B27" i="6"/>
  <c r="D27" i="6"/>
  <c r="B28" i="6"/>
  <c r="C28" i="6"/>
  <c r="D28" i="6"/>
  <c r="B29" i="6"/>
  <c r="C29" i="6"/>
  <c r="D29" i="6"/>
  <c r="B33" i="6"/>
  <c r="C33" i="6"/>
  <c r="D33" i="6"/>
  <c r="B34" i="6"/>
  <c r="C34" i="6"/>
  <c r="D34" i="6"/>
  <c r="B37" i="6"/>
  <c r="C37" i="6"/>
  <c r="D37" i="6"/>
  <c r="C41" i="6"/>
  <c r="B8" i="3"/>
  <c r="B18" i="3"/>
  <c r="B21" i="3" s="1"/>
  <c r="B22" i="3" s="1"/>
  <c r="B25" i="3"/>
  <c r="B27" i="3" s="1"/>
  <c r="B26" i="3"/>
  <c r="C26" i="3"/>
  <c r="D26" i="3"/>
  <c r="B32" i="3"/>
  <c r="C32" i="3"/>
  <c r="C54" i="3" s="1"/>
  <c r="D32" i="3"/>
  <c r="B42" i="3"/>
  <c r="B52" i="3"/>
  <c r="B55" i="3" s="1"/>
  <c r="B56" i="3" s="1"/>
  <c r="C50" i="3" s="1"/>
  <c r="C52" i="3" s="1"/>
  <c r="B59" i="3"/>
  <c r="B60" i="3"/>
  <c r="C60" i="3"/>
  <c r="D60" i="3"/>
  <c r="B66" i="3"/>
  <c r="D66" i="3"/>
  <c r="B76" i="3"/>
  <c r="B86" i="3"/>
  <c r="B89" i="3" s="1"/>
  <c r="B90" i="3" s="1"/>
  <c r="C84" i="3" s="1"/>
  <c r="C86" i="3" s="1"/>
  <c r="D88" i="3"/>
  <c r="B93" i="3"/>
  <c r="B95" i="3" s="1"/>
  <c r="B94" i="3"/>
  <c r="C94" i="3"/>
  <c r="D94" i="3"/>
  <c r="B100" i="3"/>
  <c r="D100" i="3"/>
  <c r="G78" i="14" l="1"/>
  <c r="D126" i="39"/>
  <c r="L86" i="35"/>
  <c r="L85" i="2"/>
  <c r="L85" i="35" s="1"/>
  <c r="H86" i="35"/>
  <c r="H85" i="2"/>
  <c r="H85" i="35" s="1"/>
  <c r="H10" i="40"/>
  <c r="O78" i="35"/>
  <c r="O131" i="2"/>
  <c r="O131" i="35" s="1"/>
  <c r="K78" i="35"/>
  <c r="K131" i="2"/>
  <c r="K131" i="35" s="1"/>
  <c r="G78" i="35"/>
  <c r="G131" i="2"/>
  <c r="G131" i="35" s="1"/>
  <c r="L139" i="35"/>
  <c r="L138" i="2"/>
  <c r="L138" i="35" s="1"/>
  <c r="K100" i="41"/>
  <c r="F62" i="14"/>
  <c r="G62" i="14" s="1"/>
  <c r="H62" i="14" s="1"/>
  <c r="I62" i="14" s="1"/>
  <c r="J62" i="14" s="1"/>
  <c r="K62" i="14" s="1"/>
  <c r="L62" i="14" s="1"/>
  <c r="M62" i="14" s="1"/>
  <c r="N62" i="14" s="1"/>
  <c r="O62" i="14" s="1"/>
  <c r="P62" i="14" s="1"/>
  <c r="E108" i="14"/>
  <c r="F108" i="14" s="1"/>
  <c r="G108" i="14" s="1"/>
  <c r="H108" i="14" s="1"/>
  <c r="I108" i="14" s="1"/>
  <c r="J108" i="14" s="1"/>
  <c r="K108" i="14" s="1"/>
  <c r="L108" i="14" s="1"/>
  <c r="M108" i="14" s="1"/>
  <c r="N108" i="14" s="1"/>
  <c r="O108" i="14" s="1"/>
  <c r="P108" i="14" s="1"/>
  <c r="E103" i="36"/>
  <c r="F103" i="40"/>
  <c r="B61" i="3"/>
  <c r="N78" i="35"/>
  <c r="N131" i="2"/>
  <c r="N131" i="35" s="1"/>
  <c r="J78" i="35"/>
  <c r="J131" i="2"/>
  <c r="J131" i="35" s="1"/>
  <c r="H139" i="35"/>
  <c r="H138" i="2"/>
  <c r="H138" i="35" s="1"/>
  <c r="D126" i="35"/>
  <c r="C129" i="40"/>
  <c r="C136" i="40" s="1"/>
  <c r="M86" i="35"/>
  <c r="M85" i="2"/>
  <c r="M85" i="35" s="1"/>
  <c r="I86" i="35"/>
  <c r="I85" i="2"/>
  <c r="I85" i="35" s="1"/>
  <c r="M139" i="2"/>
  <c r="I139" i="2"/>
  <c r="F131" i="2"/>
  <c r="F131" i="35" s="1"/>
  <c r="B150" i="35"/>
  <c r="B154" i="35" s="1"/>
  <c r="B21" i="36"/>
  <c r="B37" i="36" s="1"/>
  <c r="B44" i="36" s="1"/>
  <c r="C67" i="36"/>
  <c r="C83" i="36" s="1"/>
  <c r="C90" i="36" s="1"/>
  <c r="D80" i="36"/>
  <c r="E156" i="38"/>
  <c r="J90" i="34"/>
  <c r="J156" i="38"/>
  <c r="N90" i="34"/>
  <c r="N156" i="38"/>
  <c r="N158" i="34" s="1"/>
  <c r="E91" i="34"/>
  <c r="E157" i="38"/>
  <c r="E159" i="34" s="1"/>
  <c r="J91" i="34"/>
  <c r="J157" i="38"/>
  <c r="J159" i="34" s="1"/>
  <c r="N91" i="34"/>
  <c r="N157" i="38"/>
  <c r="N159" i="34" s="1"/>
  <c r="E162" i="38"/>
  <c r="E130" i="39"/>
  <c r="E136" i="39"/>
  <c r="D21" i="40"/>
  <c r="D37" i="40" s="1"/>
  <c r="F34" i="40"/>
  <c r="F36" i="40" s="1"/>
  <c r="F63" i="36"/>
  <c r="J63" i="36"/>
  <c r="N63" i="36"/>
  <c r="E64" i="36"/>
  <c r="B67" i="40"/>
  <c r="B83" i="40" s="1"/>
  <c r="B90" i="40" s="1"/>
  <c r="E78" i="36"/>
  <c r="B113" i="40"/>
  <c r="B129" i="40" s="1"/>
  <c r="B136" i="40" s="1"/>
  <c r="F109" i="40"/>
  <c r="F109" i="36" s="1"/>
  <c r="E88" i="41"/>
  <c r="E54" i="37"/>
  <c r="I66" i="41"/>
  <c r="I54" i="37"/>
  <c r="M88" i="41"/>
  <c r="M54" i="37"/>
  <c r="B61" i="41"/>
  <c r="D19" i="29"/>
  <c r="E16" i="34"/>
  <c r="D25" i="29"/>
  <c r="E26" i="34"/>
  <c r="E151" i="38"/>
  <c r="E8" i="36"/>
  <c r="E50" i="54"/>
  <c r="E50" i="2"/>
  <c r="E156" i="35" s="1"/>
  <c r="E73" i="36"/>
  <c r="E123" i="40"/>
  <c r="E123" i="36" s="1"/>
  <c r="Q152" i="44"/>
  <c r="O64" i="44"/>
  <c r="O65" i="44" s="1"/>
  <c r="S71" i="44"/>
  <c r="T24" i="44"/>
  <c r="V249" i="42"/>
  <c r="V60" i="42" s="1"/>
  <c r="U60" i="42"/>
  <c r="S7" i="44"/>
  <c r="R42" i="44"/>
  <c r="T30" i="44"/>
  <c r="C88" i="37"/>
  <c r="C100" i="37" s="1"/>
  <c r="F90" i="34"/>
  <c r="F156" i="38"/>
  <c r="K90" i="34"/>
  <c r="K156" i="38"/>
  <c r="K158" i="34" s="1"/>
  <c r="O90" i="34"/>
  <c r="O156" i="38"/>
  <c r="O158" i="34" s="1"/>
  <c r="F91" i="34"/>
  <c r="F157" i="38"/>
  <c r="F159" i="34" s="1"/>
  <c r="K91" i="34"/>
  <c r="K157" i="38"/>
  <c r="K159" i="34" s="1"/>
  <c r="O91" i="34"/>
  <c r="O157" i="38"/>
  <c r="O159" i="34" s="1"/>
  <c r="E133" i="39"/>
  <c r="E140" i="39" s="1"/>
  <c r="E139" i="39"/>
  <c r="E86" i="35"/>
  <c r="E91" i="35"/>
  <c r="E147" i="35"/>
  <c r="G11" i="40"/>
  <c r="G109" i="40"/>
  <c r="G109" i="36" s="1"/>
  <c r="G63" i="36"/>
  <c r="K63" i="36"/>
  <c r="O109" i="40"/>
  <c r="O109" i="36" s="1"/>
  <c r="O63" i="36"/>
  <c r="C67" i="40"/>
  <c r="C83" i="40" s="1"/>
  <c r="C90" i="40" s="1"/>
  <c r="G125" i="40"/>
  <c r="J109" i="40"/>
  <c r="F88" i="41"/>
  <c r="F54" i="37"/>
  <c r="J66" i="41"/>
  <c r="J54" i="37"/>
  <c r="N88" i="41"/>
  <c r="N54" i="37"/>
  <c r="P100" i="41"/>
  <c r="D12" i="29"/>
  <c r="E13" i="34"/>
  <c r="D14" i="29"/>
  <c r="E17" i="34"/>
  <c r="D30" i="29"/>
  <c r="E27" i="34"/>
  <c r="E153" i="38"/>
  <c r="E26" i="36"/>
  <c r="F32" i="14"/>
  <c r="C153" i="28" s="1"/>
  <c r="E62" i="36"/>
  <c r="E99" i="40"/>
  <c r="E99" i="36" s="1"/>
  <c r="E110" i="40"/>
  <c r="E124" i="40"/>
  <c r="E124" i="36" s="1"/>
  <c r="O86" i="35"/>
  <c r="O85" i="2"/>
  <c r="O85" i="35" s="1"/>
  <c r="K86" i="35"/>
  <c r="K85" i="2"/>
  <c r="K85" i="35" s="1"/>
  <c r="G86" i="35"/>
  <c r="G85" i="2"/>
  <c r="G85" i="35" s="1"/>
  <c r="O139" i="2"/>
  <c r="K139" i="2"/>
  <c r="G139" i="2"/>
  <c r="P131" i="2"/>
  <c r="P131" i="35" s="1"/>
  <c r="L131" i="2"/>
  <c r="L131" i="35" s="1"/>
  <c r="H131" i="2"/>
  <c r="H131" i="35" s="1"/>
  <c r="G90" i="34"/>
  <c r="G156" i="38"/>
  <c r="L90" i="34"/>
  <c r="L156" i="38"/>
  <c r="L158" i="34" s="1"/>
  <c r="P90" i="34"/>
  <c r="P156" i="38"/>
  <c r="P158" i="34" s="1"/>
  <c r="G91" i="34"/>
  <c r="G157" i="38"/>
  <c r="L91" i="34"/>
  <c r="L157" i="38"/>
  <c r="L159" i="34" s="1"/>
  <c r="P91" i="34"/>
  <c r="P157" i="38"/>
  <c r="P159" i="34" s="1"/>
  <c r="E167" i="38"/>
  <c r="E169" i="34" s="1"/>
  <c r="E101" i="34"/>
  <c r="E70" i="35"/>
  <c r="E132" i="39"/>
  <c r="E138" i="39"/>
  <c r="E144" i="35"/>
  <c r="G31" i="40"/>
  <c r="G56" i="40"/>
  <c r="H109" i="40"/>
  <c r="H63" i="36"/>
  <c r="L109" i="40"/>
  <c r="L63" i="36"/>
  <c r="P109" i="40"/>
  <c r="P63" i="36"/>
  <c r="F101" i="40"/>
  <c r="K109" i="40"/>
  <c r="G88" i="41"/>
  <c r="G54" i="37"/>
  <c r="K66" i="41"/>
  <c r="K54" i="37"/>
  <c r="O88" i="41"/>
  <c r="O54" i="37"/>
  <c r="H100" i="41"/>
  <c r="D13" i="29"/>
  <c r="E14" i="34"/>
  <c r="D15" i="29"/>
  <c r="E18" i="34"/>
  <c r="D28" i="29"/>
  <c r="E29" i="34"/>
  <c r="E15" i="36"/>
  <c r="F15" i="14"/>
  <c r="E101" i="40"/>
  <c r="E54" i="14"/>
  <c r="E54" i="36" s="1"/>
  <c r="E71" i="14"/>
  <c r="E117" i="14" s="1"/>
  <c r="E118" i="14"/>
  <c r="F124" i="14" s="1"/>
  <c r="U137" i="44"/>
  <c r="T145" i="44"/>
  <c r="S90" i="44"/>
  <c r="R98" i="44"/>
  <c r="R148" i="44"/>
  <c r="P86" i="44"/>
  <c r="P99" i="44" s="1"/>
  <c r="N86" i="35"/>
  <c r="N85" i="2"/>
  <c r="N85" i="35" s="1"/>
  <c r="J86" i="35"/>
  <c r="J85" i="2"/>
  <c r="J85" i="35" s="1"/>
  <c r="F86" i="35"/>
  <c r="F85" i="2"/>
  <c r="F85" i="35" s="1"/>
  <c r="N139" i="2"/>
  <c r="J139" i="2"/>
  <c r="F139" i="2"/>
  <c r="F138" i="2" s="1"/>
  <c r="F138" i="35" s="1"/>
  <c r="D21" i="36"/>
  <c r="D37" i="36" s="1"/>
  <c r="D44" i="36" s="1"/>
  <c r="D66" i="37"/>
  <c r="E152" i="38"/>
  <c r="I90" i="34"/>
  <c r="I156" i="38"/>
  <c r="M90" i="34"/>
  <c r="M156" i="38"/>
  <c r="M158" i="34" s="1"/>
  <c r="I91" i="34"/>
  <c r="I157" i="38"/>
  <c r="I159" i="34" s="1"/>
  <c r="M91" i="34"/>
  <c r="M157" i="38"/>
  <c r="M159" i="34" s="1"/>
  <c r="E161" i="38"/>
  <c r="F166" i="38"/>
  <c r="F168" i="34" s="1"/>
  <c r="F100" i="34"/>
  <c r="D87" i="39"/>
  <c r="E131" i="39"/>
  <c r="E131" i="35" s="1"/>
  <c r="E78" i="35"/>
  <c r="E137" i="39"/>
  <c r="E137" i="35" s="1"/>
  <c r="E84" i="35"/>
  <c r="E94" i="35"/>
  <c r="E95" i="35" s="1"/>
  <c r="E63" i="36"/>
  <c r="I109" i="40"/>
  <c r="I63" i="36"/>
  <c r="M109" i="40"/>
  <c r="M109" i="36" s="1"/>
  <c r="M63" i="36"/>
  <c r="N109" i="40"/>
  <c r="D27" i="41"/>
  <c r="H66" i="41"/>
  <c r="H54" i="37"/>
  <c r="L88" i="41"/>
  <c r="L54" i="37"/>
  <c r="P66" i="41"/>
  <c r="P54" i="37"/>
  <c r="J88" i="41"/>
  <c r="D16" i="29"/>
  <c r="E15" i="34"/>
  <c r="D26" i="29"/>
  <c r="E25" i="34"/>
  <c r="E105" i="4"/>
  <c r="E174" i="4" s="1"/>
  <c r="E32" i="34"/>
  <c r="E16" i="36"/>
  <c r="F16" i="14"/>
  <c r="E57" i="36"/>
  <c r="E102" i="40"/>
  <c r="E102" i="36" s="1"/>
  <c r="E117" i="40"/>
  <c r="E117" i="36" s="1"/>
  <c r="E132" i="40"/>
  <c r="E50" i="3"/>
  <c r="E50" i="37" s="1"/>
  <c r="E52" i="37" s="1"/>
  <c r="E55" i="37" s="1"/>
  <c r="E56" i="37" s="1"/>
  <c r="F50" i="37" s="1"/>
  <c r="F52" i="37" s="1"/>
  <c r="F55" i="37" s="1"/>
  <c r="F56" i="37" s="1"/>
  <c r="G50" i="37" s="1"/>
  <c r="G52" i="37" s="1"/>
  <c r="G55" i="37" s="1"/>
  <c r="G56" i="37" s="1"/>
  <c r="H50" i="37" s="1"/>
  <c r="H52" i="37" s="1"/>
  <c r="H55" i="37" s="1"/>
  <c r="H56" i="37" s="1"/>
  <c r="I50" i="37" s="1"/>
  <c r="I52" i="37" s="1"/>
  <c r="I55" i="37" s="1"/>
  <c r="I56" i="37" s="1"/>
  <c r="J50" i="37" s="1"/>
  <c r="J52" i="37" s="1"/>
  <c r="J55" i="37" s="1"/>
  <c r="J56" i="37" s="1"/>
  <c r="K50" i="37" s="1"/>
  <c r="K52" i="37" s="1"/>
  <c r="K55" i="37" s="1"/>
  <c r="K56" i="37" s="1"/>
  <c r="L50" i="37" s="1"/>
  <c r="L52" i="37" s="1"/>
  <c r="L55" i="37" s="1"/>
  <c r="L56" i="37" s="1"/>
  <c r="M50" i="37" s="1"/>
  <c r="M52" i="37" s="1"/>
  <c r="M55" i="37" s="1"/>
  <c r="M56" i="37" s="1"/>
  <c r="N50" i="37" s="1"/>
  <c r="N52" i="37" s="1"/>
  <c r="N55" i="37" s="1"/>
  <c r="N56" i="37" s="1"/>
  <c r="O50" i="37" s="1"/>
  <c r="O52" i="37" s="1"/>
  <c r="O55" i="37" s="1"/>
  <c r="O56" i="37" s="1"/>
  <c r="P50" i="37" s="1"/>
  <c r="P52" i="37" s="1"/>
  <c r="P55" i="37" s="1"/>
  <c r="P56" i="37" s="1"/>
  <c r="E55" i="14"/>
  <c r="E101" i="14" s="1"/>
  <c r="Q63" i="44"/>
  <c r="Q81" i="44" s="1"/>
  <c r="Q72" i="44"/>
  <c r="Q73" i="44" s="1"/>
  <c r="R61" i="44"/>
  <c r="S44" i="44"/>
  <c r="R70" i="44"/>
  <c r="G19" i="21"/>
  <c r="E124" i="29" s="1"/>
  <c r="E126" i="29"/>
  <c r="P95" i="39"/>
  <c r="B35" i="34"/>
  <c r="B40" i="34" s="1"/>
  <c r="B71" i="34" s="1"/>
  <c r="B171" i="34"/>
  <c r="O148" i="39"/>
  <c r="P24" i="38"/>
  <c r="O17" i="39"/>
  <c r="O17" i="35" s="1"/>
  <c r="O26" i="34"/>
  <c r="P194" i="34"/>
  <c r="P196" i="34" s="1"/>
  <c r="O118" i="40"/>
  <c r="O118" i="36" s="1"/>
  <c r="P147" i="39"/>
  <c r="P147" i="35" s="1"/>
  <c r="P148" i="35" s="1"/>
  <c r="P194" i="38"/>
  <c r="E133" i="40"/>
  <c r="E119" i="40"/>
  <c r="E119" i="36" s="1"/>
  <c r="G27" i="40"/>
  <c r="E118" i="36"/>
  <c r="F124" i="40"/>
  <c r="E72" i="36"/>
  <c r="F78" i="40"/>
  <c r="F78" i="36" s="1"/>
  <c r="G25" i="40"/>
  <c r="G9" i="40"/>
  <c r="G101" i="40"/>
  <c r="F54" i="40"/>
  <c r="G54" i="40" s="1"/>
  <c r="H54" i="40" s="1"/>
  <c r="I54" i="40" s="1"/>
  <c r="J54" i="40" s="1"/>
  <c r="K54" i="40" s="1"/>
  <c r="L54" i="40" s="1"/>
  <c r="M54" i="40" s="1"/>
  <c r="N54" i="40" s="1"/>
  <c r="O54" i="40" s="1"/>
  <c r="P54" i="40" s="1"/>
  <c r="F15" i="40"/>
  <c r="G15" i="40" s="1"/>
  <c r="E100" i="40"/>
  <c r="G8" i="40"/>
  <c r="E107" i="40"/>
  <c r="E61" i="36"/>
  <c r="E108" i="40"/>
  <c r="E108" i="36" s="1"/>
  <c r="E86" i="41"/>
  <c r="E89" i="41" s="1"/>
  <c r="E90" i="41" s="1"/>
  <c r="F84" i="41" s="1"/>
  <c r="E84" i="37"/>
  <c r="O156" i="50"/>
  <c r="N100" i="51"/>
  <c r="P103" i="50"/>
  <c r="P54" i="51" s="1"/>
  <c r="O54" i="51"/>
  <c r="G72" i="36"/>
  <c r="F161" i="38"/>
  <c r="F163" i="34" s="1"/>
  <c r="F68" i="39"/>
  <c r="G46" i="50"/>
  <c r="G48" i="50" s="1"/>
  <c r="G7" i="51" s="1"/>
  <c r="G12" i="51" s="1"/>
  <c r="F52" i="50"/>
  <c r="G46" i="54"/>
  <c r="E172" i="4"/>
  <c r="D666" i="29" s="1"/>
  <c r="D868" i="29" s="1"/>
  <c r="D346" i="29"/>
  <c r="D548" i="29" s="1"/>
  <c r="G159" i="34"/>
  <c r="H109" i="14"/>
  <c r="E66" i="38"/>
  <c r="E69" i="38" s="1"/>
  <c r="E132" i="38"/>
  <c r="K109" i="14"/>
  <c r="F148" i="38"/>
  <c r="F60" i="39"/>
  <c r="F168" i="38"/>
  <c r="F170" i="34" s="1"/>
  <c r="F72" i="39"/>
  <c r="F149" i="38"/>
  <c r="F61" i="39"/>
  <c r="F163" i="38"/>
  <c r="F136" i="38"/>
  <c r="F139" i="38" s="1"/>
  <c r="F141" i="38" s="1"/>
  <c r="G140" i="38" s="1"/>
  <c r="F162" i="38"/>
  <c r="F70" i="39"/>
  <c r="F70" i="35" s="1"/>
  <c r="E148" i="39"/>
  <c r="F150" i="38"/>
  <c r="F62" i="39"/>
  <c r="D132" i="38"/>
  <c r="D165" i="38"/>
  <c r="F165" i="38"/>
  <c r="F167" i="34" s="1"/>
  <c r="F62" i="40"/>
  <c r="F151" i="38"/>
  <c r="F167" i="38"/>
  <c r="F169" i="34" s="1"/>
  <c r="F94" i="37"/>
  <c r="N94" i="37"/>
  <c r="E42" i="36"/>
  <c r="G94" i="37"/>
  <c r="E50" i="35"/>
  <c r="F50" i="35" s="1"/>
  <c r="G50" i="35" s="1"/>
  <c r="H50" i="35" s="1"/>
  <c r="I50" i="35" s="1"/>
  <c r="J50" i="35" s="1"/>
  <c r="K50" i="35" s="1"/>
  <c r="L50" i="35" s="1"/>
  <c r="M50" i="35" s="1"/>
  <c r="N50" i="35" s="1"/>
  <c r="O50" i="35" s="1"/>
  <c r="P50" i="35" s="1"/>
  <c r="E95" i="39"/>
  <c r="N126" i="59"/>
  <c r="N128" i="59" s="1"/>
  <c r="P80" i="59"/>
  <c r="P82" i="59" s="1"/>
  <c r="O80" i="59"/>
  <c r="O82" i="59" s="1"/>
  <c r="I109" i="14"/>
  <c r="P111" i="62"/>
  <c r="O111" i="62"/>
  <c r="P109" i="14"/>
  <c r="J30" i="29"/>
  <c r="P111" i="51"/>
  <c r="O111" i="51"/>
  <c r="P80" i="62"/>
  <c r="P82" i="62" s="1"/>
  <c r="O80" i="62"/>
  <c r="O82" i="62" s="1"/>
  <c r="N80" i="51"/>
  <c r="N82" i="51" s="1"/>
  <c r="N126" i="51"/>
  <c r="N128" i="51" s="1"/>
  <c r="N126" i="62"/>
  <c r="N128" i="62" s="1"/>
  <c r="E12" i="36"/>
  <c r="E18" i="37"/>
  <c r="E21" i="37" s="1"/>
  <c r="E22" i="37" s="1"/>
  <c r="K94" i="37"/>
  <c r="L94" i="37"/>
  <c r="L32" i="37"/>
  <c r="D168" i="4"/>
  <c r="C664" i="29" s="1"/>
  <c r="C344" i="29"/>
  <c r="F64" i="14"/>
  <c r="F64" i="36" s="1"/>
  <c r="J109" i="14"/>
  <c r="E109" i="14"/>
  <c r="E109" i="36" s="1"/>
  <c r="E110" i="14"/>
  <c r="F110" i="14" s="1"/>
  <c r="F110" i="36" s="1"/>
  <c r="N109" i="14"/>
  <c r="D172" i="4"/>
  <c r="C666" i="29" s="1"/>
  <c r="C868" i="29" s="1"/>
  <c r="C346" i="29"/>
  <c r="C548" i="29" s="1"/>
  <c r="L109" i="14"/>
  <c r="E349" i="29"/>
  <c r="E350" i="29" s="1"/>
  <c r="F63" i="39"/>
  <c r="F153" i="38"/>
  <c r="F155" i="34" s="1"/>
  <c r="F42" i="35"/>
  <c r="N42" i="35"/>
  <c r="J42" i="35"/>
  <c r="K42" i="35"/>
  <c r="G42" i="35"/>
  <c r="O42" i="35"/>
  <c r="L25" i="38"/>
  <c r="K16" i="35"/>
  <c r="K116" i="39"/>
  <c r="N63" i="39"/>
  <c r="O116" i="39"/>
  <c r="O63" i="39"/>
  <c r="P116" i="39"/>
  <c r="F95" i="35"/>
  <c r="P95" i="35"/>
  <c r="I148" i="35"/>
  <c r="H148" i="39"/>
  <c r="O148" i="35"/>
  <c r="J148" i="39"/>
  <c r="M148" i="39"/>
  <c r="L95" i="35"/>
  <c r="H95" i="35"/>
  <c r="E148" i="35"/>
  <c r="F156" i="39"/>
  <c r="G156" i="39" s="1"/>
  <c r="E44" i="39"/>
  <c r="E73" i="39"/>
  <c r="E126" i="39"/>
  <c r="J148" i="35"/>
  <c r="G148" i="35"/>
  <c r="G95" i="35"/>
  <c r="G148" i="2"/>
  <c r="O148" i="2"/>
  <c r="H42" i="35"/>
  <c r="M95" i="35"/>
  <c r="N95" i="35"/>
  <c r="O95" i="35"/>
  <c r="H148" i="35"/>
  <c r="P42" i="35"/>
  <c r="L95" i="2"/>
  <c r="F148" i="2"/>
  <c r="J95" i="35"/>
  <c r="L148" i="35"/>
  <c r="P95" i="2"/>
  <c r="O95" i="2"/>
  <c r="G95" i="2"/>
  <c r="I95" i="35"/>
  <c r="F95" i="2"/>
  <c r="F148" i="35"/>
  <c r="K5" i="12"/>
  <c r="E22" i="12"/>
  <c r="H5" i="12"/>
  <c r="B22" i="12"/>
  <c r="J5" i="12"/>
  <c r="D22" i="12"/>
  <c r="D35" i="34"/>
  <c r="D40" i="34" s="1"/>
  <c r="D171" i="34"/>
  <c r="C35" i="34"/>
  <c r="C40" i="34" s="1"/>
  <c r="C71" i="34" s="1"/>
  <c r="C73" i="34" s="1"/>
  <c r="D72" i="34" s="1"/>
  <c r="C103" i="34"/>
  <c r="B160" i="34"/>
  <c r="B173" i="34" s="1"/>
  <c r="B178" i="34" s="1"/>
  <c r="B180" i="34" s="1"/>
  <c r="D92" i="34"/>
  <c r="AE23" i="34"/>
  <c r="E82" i="38"/>
  <c r="E98" i="38"/>
  <c r="J134" i="34"/>
  <c r="K200" i="38"/>
  <c r="M200" i="38"/>
  <c r="I33" i="38"/>
  <c r="I38" i="38" s="1"/>
  <c r="I40" i="38" s="1"/>
  <c r="G134" i="34"/>
  <c r="O200" i="38"/>
  <c r="N200" i="38"/>
  <c r="C33" i="38"/>
  <c r="C38" i="38" s="1"/>
  <c r="C69" i="38" s="1"/>
  <c r="C71" i="38" s="1"/>
  <c r="D70" i="38" s="1"/>
  <c r="D71" i="38" s="1"/>
  <c r="E70" i="38" s="1"/>
  <c r="H134" i="34"/>
  <c r="P200" i="38"/>
  <c r="E100" i="38"/>
  <c r="L200" i="38"/>
  <c r="C90" i="38"/>
  <c r="E81" i="38"/>
  <c r="I134" i="34"/>
  <c r="B169" i="38"/>
  <c r="E31" i="38"/>
  <c r="B33" i="38"/>
  <c r="B38" i="38" s="1"/>
  <c r="B69" i="38" s="1"/>
  <c r="J33" i="38"/>
  <c r="J38" i="38" s="1"/>
  <c r="J45" i="38" s="1"/>
  <c r="G33" i="38"/>
  <c r="G38" i="38" s="1"/>
  <c r="G45" i="38" s="1"/>
  <c r="C101" i="38"/>
  <c r="E95" i="38"/>
  <c r="E97" i="38"/>
  <c r="E21" i="38"/>
  <c r="E80" i="38"/>
  <c r="F101" i="38"/>
  <c r="B158" i="38"/>
  <c r="C158" i="38"/>
  <c r="F7" i="21"/>
  <c r="AE31" i="38"/>
  <c r="F33" i="38"/>
  <c r="F38" i="38" s="1"/>
  <c r="F40" i="38" s="1"/>
  <c r="B101" i="38"/>
  <c r="B90" i="38"/>
  <c r="F210" i="4"/>
  <c r="F213" i="4" s="1"/>
  <c r="F215" i="4" s="1"/>
  <c r="G214" i="4" s="1"/>
  <c r="F138" i="34"/>
  <c r="F141" i="4"/>
  <c r="F144" i="4" s="1"/>
  <c r="F146" i="4" s="1"/>
  <c r="G145" i="4" s="1"/>
  <c r="E99" i="4"/>
  <c r="E96" i="34" s="1"/>
  <c r="E21" i="4"/>
  <c r="F19" i="21"/>
  <c r="H33" i="38"/>
  <c r="H38" i="38" s="1"/>
  <c r="H40" i="38" s="1"/>
  <c r="H101" i="38"/>
  <c r="H169" i="38"/>
  <c r="G90" i="38"/>
  <c r="G158" i="38"/>
  <c r="I158" i="38"/>
  <c r="H90" i="38"/>
  <c r="I90" i="38"/>
  <c r="H158" i="38"/>
  <c r="I169" i="38"/>
  <c r="G101" i="38"/>
  <c r="J158" i="38"/>
  <c r="J169" i="38"/>
  <c r="J101" i="38"/>
  <c r="J90" i="38"/>
  <c r="G169" i="38"/>
  <c r="J4" i="34"/>
  <c r="H4" i="34"/>
  <c r="I4" i="34"/>
  <c r="P4" i="34"/>
  <c r="O4" i="34"/>
  <c r="G4" i="34"/>
  <c r="G34" i="39"/>
  <c r="O34" i="39"/>
  <c r="H20" i="39"/>
  <c r="M34" i="39"/>
  <c r="J23" i="34"/>
  <c r="J8" i="34" s="1"/>
  <c r="J20" i="39"/>
  <c r="H34" i="39"/>
  <c r="K4" i="34"/>
  <c r="K34" i="39"/>
  <c r="P34" i="39"/>
  <c r="J34" i="39"/>
  <c r="L4" i="34"/>
  <c r="G23" i="34"/>
  <c r="G8" i="34" s="1"/>
  <c r="F34" i="39"/>
  <c r="N34" i="39"/>
  <c r="I20" i="39"/>
  <c r="L34" i="39"/>
  <c r="I34" i="39"/>
  <c r="I23" i="34"/>
  <c r="I8" i="34" s="1"/>
  <c r="F23" i="34"/>
  <c r="F8" i="34" s="1"/>
  <c r="D27" i="37"/>
  <c r="D93" i="37"/>
  <c r="D55" i="41"/>
  <c r="D56" i="41" s="1"/>
  <c r="E52" i="41" s="1"/>
  <c r="E55" i="41" s="1"/>
  <c r="E56" i="41" s="1"/>
  <c r="F50" i="41" s="1"/>
  <c r="F52" i="41" s="1"/>
  <c r="F55" i="41" s="1"/>
  <c r="F56" i="41" s="1"/>
  <c r="D66" i="41"/>
  <c r="D93" i="41"/>
  <c r="D95" i="41" s="1"/>
  <c r="D42" i="41"/>
  <c r="D76" i="41"/>
  <c r="F18" i="41"/>
  <c r="F21" i="41" s="1"/>
  <c r="F22" i="41" s="1"/>
  <c r="E34" i="35"/>
  <c r="E123" i="2"/>
  <c r="E123" i="35" s="1"/>
  <c r="E20" i="35"/>
  <c r="E80" i="36"/>
  <c r="E120" i="36"/>
  <c r="E19" i="36"/>
  <c r="D169" i="38"/>
  <c r="D101" i="38"/>
  <c r="D33" i="38"/>
  <c r="D38" i="38" s="1"/>
  <c r="D43" i="38" s="1"/>
  <c r="J94" i="37"/>
  <c r="I94" i="37"/>
  <c r="M32" i="37"/>
  <c r="E86" i="37"/>
  <c r="E34" i="36"/>
  <c r="E28" i="36"/>
  <c r="L42" i="35"/>
  <c r="E42" i="35"/>
  <c r="M42" i="35"/>
  <c r="I42" i="35"/>
  <c r="M148" i="35"/>
  <c r="N148" i="35"/>
  <c r="F33" i="34"/>
  <c r="F9" i="34" s="1"/>
  <c r="H23" i="34"/>
  <c r="H8" i="34" s="1"/>
  <c r="M4" i="34"/>
  <c r="N4" i="34"/>
  <c r="C59" i="41"/>
  <c r="C61" i="41" s="1"/>
  <c r="C52" i="41"/>
  <c r="C55" i="41" s="1"/>
  <c r="C56" i="41" s="1"/>
  <c r="C27" i="41"/>
  <c r="C66" i="41"/>
  <c r="C88" i="41"/>
  <c r="C100" i="41" s="1"/>
  <c r="F66" i="41"/>
  <c r="L66" i="41"/>
  <c r="N66" i="41"/>
  <c r="D89" i="41"/>
  <c r="D90" i="41" s="1"/>
  <c r="E66" i="41"/>
  <c r="M66" i="41"/>
  <c r="I88" i="41"/>
  <c r="G66" i="41"/>
  <c r="O66" i="41"/>
  <c r="H9" i="40"/>
  <c r="D80" i="40"/>
  <c r="D124" i="40"/>
  <c r="E21" i="40"/>
  <c r="E37" i="40" s="1"/>
  <c r="E44" i="40" s="1"/>
  <c r="B37" i="40"/>
  <c r="B44" i="40" s="1"/>
  <c r="H27" i="40"/>
  <c r="F117" i="40"/>
  <c r="E58" i="40"/>
  <c r="D108" i="40"/>
  <c r="F55" i="40"/>
  <c r="F77" i="40"/>
  <c r="D88" i="40"/>
  <c r="D132" i="40"/>
  <c r="D134" i="40" s="1"/>
  <c r="G33" i="40"/>
  <c r="G34" i="40" s="1"/>
  <c r="D119" i="40"/>
  <c r="F73" i="40"/>
  <c r="C36" i="40"/>
  <c r="C37" i="40" s="1"/>
  <c r="C44" i="40" s="1"/>
  <c r="D65" i="40"/>
  <c r="D44" i="40"/>
  <c r="F57" i="40"/>
  <c r="D58" i="40"/>
  <c r="F79" i="40"/>
  <c r="D74" i="40"/>
  <c r="D126" i="40"/>
  <c r="D102" i="40"/>
  <c r="B105" i="39"/>
  <c r="C99" i="39"/>
  <c r="E48" i="39"/>
  <c r="D52" i="39"/>
  <c r="B52" i="39"/>
  <c r="C46" i="39"/>
  <c r="C48" i="39" s="1"/>
  <c r="C52" i="39" s="1"/>
  <c r="F20" i="39"/>
  <c r="G20" i="39"/>
  <c r="K95" i="39"/>
  <c r="B158" i="39"/>
  <c r="D73" i="39"/>
  <c r="D97" i="39" s="1"/>
  <c r="D101" i="39" s="1"/>
  <c r="E87" i="39"/>
  <c r="C73" i="39"/>
  <c r="C97" i="39" s="1"/>
  <c r="C113" i="39"/>
  <c r="C126" i="39" s="1"/>
  <c r="C103" i="39"/>
  <c r="C87" i="39"/>
  <c r="C130" i="39"/>
  <c r="C140" i="39" s="1"/>
  <c r="F103" i="39"/>
  <c r="G103" i="39" s="1"/>
  <c r="H103" i="39" s="1"/>
  <c r="I103" i="39" s="1"/>
  <c r="J103" i="39" s="1"/>
  <c r="K103" i="39" s="1"/>
  <c r="L103" i="39" s="1"/>
  <c r="M103" i="39" s="1"/>
  <c r="N103" i="39" s="1"/>
  <c r="O103" i="39" s="1"/>
  <c r="P103" i="39" s="1"/>
  <c r="D130" i="39"/>
  <c r="D140" i="39" s="1"/>
  <c r="D150" i="39" s="1"/>
  <c r="D154" i="39" s="1"/>
  <c r="D40" i="38"/>
  <c r="C171" i="38"/>
  <c r="C176" i="38" s="1"/>
  <c r="C207" i="38" s="1"/>
  <c r="C209" i="38" s="1"/>
  <c r="D208" i="38" s="1"/>
  <c r="D90" i="38"/>
  <c r="I101" i="38"/>
  <c r="AE21" i="38"/>
  <c r="B40" i="38"/>
  <c r="B43" i="38"/>
  <c r="D158" i="38"/>
  <c r="C40" i="38"/>
  <c r="C43" i="38"/>
  <c r="B45" i="38"/>
  <c r="B49" i="38" s="1"/>
  <c r="F90" i="38"/>
  <c r="C27" i="37"/>
  <c r="C89" i="37"/>
  <c r="C90" i="37" s="1"/>
  <c r="D59" i="37"/>
  <c r="D61" i="37" s="1"/>
  <c r="D42" i="37"/>
  <c r="C61" i="37"/>
  <c r="C52" i="37"/>
  <c r="C55" i="37" s="1"/>
  <c r="C56" i="37" s="1"/>
  <c r="D89" i="37"/>
  <c r="D90" i="37" s="1"/>
  <c r="D95" i="37"/>
  <c r="B83" i="36"/>
  <c r="B90" i="36" s="1"/>
  <c r="D126" i="36"/>
  <c r="D107" i="36"/>
  <c r="D65" i="36"/>
  <c r="D108" i="36"/>
  <c r="D103" i="36"/>
  <c r="D120" i="36"/>
  <c r="D58" i="36"/>
  <c r="D67" i="36" s="1"/>
  <c r="D74" i="36"/>
  <c r="D82" i="36" s="1"/>
  <c r="D128" i="36" s="1"/>
  <c r="D88" i="36"/>
  <c r="D132" i="36"/>
  <c r="D134" i="36" s="1"/>
  <c r="D99" i="36"/>
  <c r="B113" i="36"/>
  <c r="B129" i="36" s="1"/>
  <c r="B136" i="36" s="1"/>
  <c r="E46" i="35"/>
  <c r="D52" i="35"/>
  <c r="C136" i="35"/>
  <c r="C103" i="35"/>
  <c r="C126" i="35"/>
  <c r="C150" i="35" s="1"/>
  <c r="C152" i="35"/>
  <c r="B158" i="35"/>
  <c r="B44" i="35"/>
  <c r="B48" i="35" s="1"/>
  <c r="C44" i="35"/>
  <c r="C73" i="35"/>
  <c r="K95" i="35"/>
  <c r="C99" i="35"/>
  <c r="D73" i="35"/>
  <c r="D97" i="35" s="1"/>
  <c r="D101" i="35" s="1"/>
  <c r="C87" i="35"/>
  <c r="C130" i="35"/>
  <c r="C140" i="35" s="1"/>
  <c r="D130" i="35"/>
  <c r="D140" i="35" s="1"/>
  <c r="D150" i="35" s="1"/>
  <c r="D154" i="35" s="1"/>
  <c r="B47" i="34"/>
  <c r="B51" i="34" s="1"/>
  <c r="C171" i="34"/>
  <c r="B103" i="34"/>
  <c r="B92" i="34"/>
  <c r="D103" i="34"/>
  <c r="AE33" i="34"/>
  <c r="B45" i="34"/>
  <c r="B42" i="34"/>
  <c r="C92" i="34"/>
  <c r="C105" i="34" s="1"/>
  <c r="C110" i="34" s="1"/>
  <c r="C141" i="34" s="1"/>
  <c r="C143" i="34" s="1"/>
  <c r="D142" i="34" s="1"/>
  <c r="C160" i="34"/>
  <c r="D160" i="34"/>
  <c r="P42" i="2"/>
  <c r="B35" i="6"/>
  <c r="C66" i="3"/>
  <c r="C88" i="3"/>
  <c r="C100" i="3" s="1"/>
  <c r="C89" i="3"/>
  <c r="C90" i="3" s="1"/>
  <c r="D86" i="3" s="1"/>
  <c r="D89" i="3" s="1"/>
  <c r="D90" i="3" s="1"/>
  <c r="C55" i="3"/>
  <c r="C56" i="3" s="1"/>
  <c r="D52" i="3" s="1"/>
  <c r="D55" i="3" s="1"/>
  <c r="D56" i="3" s="1"/>
  <c r="C18" i="3"/>
  <c r="C21" i="3" s="1"/>
  <c r="C22" i="3" s="1"/>
  <c r="D30" i="6"/>
  <c r="B30" i="6"/>
  <c r="C30" i="6"/>
  <c r="D35" i="6"/>
  <c r="C35" i="6"/>
  <c r="G124" i="14" l="1"/>
  <c r="H78" i="14"/>
  <c r="C101" i="39"/>
  <c r="D111" i="36"/>
  <c r="C89" i="41"/>
  <c r="C90" i="41" s="1"/>
  <c r="E163" i="38"/>
  <c r="E149" i="38"/>
  <c r="G78" i="40"/>
  <c r="G78" i="36" s="1"/>
  <c r="F61" i="40"/>
  <c r="G61" i="40" s="1"/>
  <c r="G28" i="40"/>
  <c r="G36" i="40" s="1"/>
  <c r="E119" i="29"/>
  <c r="E127" i="29" s="1"/>
  <c r="E128" i="29"/>
  <c r="L100" i="41"/>
  <c r="N139" i="35"/>
  <c r="N138" i="2"/>
  <c r="N138" i="35" s="1"/>
  <c r="N140" i="35" s="1"/>
  <c r="P64" i="44"/>
  <c r="P65" i="44" s="1"/>
  <c r="R152" i="44"/>
  <c r="E71" i="36"/>
  <c r="E74" i="36" s="1"/>
  <c r="P109" i="36"/>
  <c r="H109" i="36"/>
  <c r="O139" i="35"/>
  <c r="O138" i="2"/>
  <c r="O138" i="35" s="1"/>
  <c r="O140" i="35" s="1"/>
  <c r="H11" i="40"/>
  <c r="U30" i="44"/>
  <c r="I139" i="35"/>
  <c r="I138" i="2"/>
  <c r="I138" i="35" s="1"/>
  <c r="I140" i="35" s="1"/>
  <c r="H140" i="35"/>
  <c r="C150" i="39"/>
  <c r="C154" i="39" s="1"/>
  <c r="E148" i="38"/>
  <c r="L16" i="39"/>
  <c r="L27" i="34"/>
  <c r="L7" i="34" s="1"/>
  <c r="S148" i="44"/>
  <c r="Q86" i="44"/>
  <c r="Q99" i="44" s="1"/>
  <c r="G16" i="14"/>
  <c r="F16" i="36"/>
  <c r="J100" i="41"/>
  <c r="S98" i="44"/>
  <c r="T90" i="44"/>
  <c r="O100" i="41"/>
  <c r="G100" i="41"/>
  <c r="K109" i="36"/>
  <c r="F139" i="35"/>
  <c r="E110" i="36"/>
  <c r="G32" i="14"/>
  <c r="F32" i="36"/>
  <c r="N100" i="41"/>
  <c r="F100" i="41"/>
  <c r="J109" i="36"/>
  <c r="R63" i="44"/>
  <c r="R81" i="44" s="1"/>
  <c r="R72" i="44"/>
  <c r="R73" i="44" s="1"/>
  <c r="U24" i="44"/>
  <c r="T71" i="44"/>
  <c r="M139" i="35"/>
  <c r="M138" i="2"/>
  <c r="M138" i="35" s="1"/>
  <c r="M140" i="35" s="1"/>
  <c r="L140" i="35"/>
  <c r="I100" i="41"/>
  <c r="E166" i="38"/>
  <c r="E168" i="34" s="1"/>
  <c r="E100" i="34"/>
  <c r="F126" i="29"/>
  <c r="T44" i="44"/>
  <c r="S61" i="44"/>
  <c r="E103" i="54"/>
  <c r="E103" i="2"/>
  <c r="E100" i="14"/>
  <c r="G15" i="14"/>
  <c r="F61" i="14"/>
  <c r="L109" i="36"/>
  <c r="H56" i="40"/>
  <c r="G139" i="35"/>
  <c r="G138" i="2"/>
  <c r="G138" i="35" s="1"/>
  <c r="G140" i="35" s="1"/>
  <c r="T7" i="44"/>
  <c r="S42" i="44"/>
  <c r="E52" i="54"/>
  <c r="F50" i="54"/>
  <c r="H33" i="40"/>
  <c r="D104" i="36"/>
  <c r="D113" i="36" s="1"/>
  <c r="D129" i="36" s="1"/>
  <c r="D136" i="36" s="1"/>
  <c r="D83" i="36"/>
  <c r="D90" i="36" s="1"/>
  <c r="E165" i="38"/>
  <c r="E168" i="38"/>
  <c r="E170" i="34" s="1"/>
  <c r="E102" i="34"/>
  <c r="E150" i="38"/>
  <c r="N109" i="36"/>
  <c r="I109" i="36"/>
  <c r="J139" i="35"/>
  <c r="J138" i="2"/>
  <c r="J138" i="35" s="1"/>
  <c r="V137" i="44"/>
  <c r="U145" i="44"/>
  <c r="E101" i="36"/>
  <c r="H31" i="40"/>
  <c r="K139" i="35"/>
  <c r="K138" i="2"/>
  <c r="K138" i="35" s="1"/>
  <c r="K140" i="35" s="1"/>
  <c r="E55" i="36"/>
  <c r="H125" i="40"/>
  <c r="S70" i="44"/>
  <c r="M100" i="41"/>
  <c r="E100" i="41"/>
  <c r="F140" i="35"/>
  <c r="G103" i="40"/>
  <c r="I10" i="40"/>
  <c r="D42" i="34"/>
  <c r="D10" i="37"/>
  <c r="F141" i="34"/>
  <c r="F143" i="34" s="1"/>
  <c r="G142" i="34" s="1"/>
  <c r="F139" i="34"/>
  <c r="P148" i="39"/>
  <c r="P17" i="39"/>
  <c r="P17" i="35" s="1"/>
  <c r="P26" i="34"/>
  <c r="I27" i="40"/>
  <c r="G124" i="40"/>
  <c r="F124" i="36"/>
  <c r="H25" i="40"/>
  <c r="H101" i="40"/>
  <c r="I9" i="40"/>
  <c r="H8" i="40"/>
  <c r="H15" i="40" s="1"/>
  <c r="E100" i="36"/>
  <c r="F100" i="40"/>
  <c r="G100" i="40" s="1"/>
  <c r="H100" i="40" s="1"/>
  <c r="I100" i="40" s="1"/>
  <c r="J100" i="40" s="1"/>
  <c r="K100" i="40" s="1"/>
  <c r="L100" i="40" s="1"/>
  <c r="M100" i="40" s="1"/>
  <c r="N100" i="40" s="1"/>
  <c r="O100" i="40" s="1"/>
  <c r="P100" i="40" s="1"/>
  <c r="F15" i="36"/>
  <c r="F19" i="40"/>
  <c r="E107" i="36"/>
  <c r="G50" i="41"/>
  <c r="G52" i="41" s="1"/>
  <c r="G55" i="41" s="1"/>
  <c r="G56" i="41" s="1"/>
  <c r="F87" i="40"/>
  <c r="G16" i="41"/>
  <c r="F41" i="40"/>
  <c r="F86" i="41"/>
  <c r="F89" i="41" s="1"/>
  <c r="F90" i="41" s="1"/>
  <c r="P156" i="50"/>
  <c r="P100" i="51" s="1"/>
  <c r="O100" i="51"/>
  <c r="F206" i="34"/>
  <c r="F209" i="34" s="1"/>
  <c r="F211" i="34" s="1"/>
  <c r="G210" i="34" s="1"/>
  <c r="F164" i="34"/>
  <c r="F122" i="39"/>
  <c r="F165" i="34"/>
  <c r="F118" i="39"/>
  <c r="E71" i="38"/>
  <c r="F80" i="21" s="1"/>
  <c r="G78" i="21" s="1"/>
  <c r="G62" i="40"/>
  <c r="F62" i="36"/>
  <c r="E21" i="36"/>
  <c r="F121" i="39"/>
  <c r="F158" i="38"/>
  <c r="D173" i="34"/>
  <c r="D178" i="34" s="1"/>
  <c r="H46" i="50"/>
  <c r="H48" i="50" s="1"/>
  <c r="H7" i="51" s="1"/>
  <c r="H12" i="51" s="1"/>
  <c r="G52" i="50"/>
  <c r="E168" i="4"/>
  <c r="E164" i="34" s="1"/>
  <c r="D344" i="29"/>
  <c r="I45" i="38"/>
  <c r="I49" i="38" s="1"/>
  <c r="I43" i="38"/>
  <c r="D171" i="38"/>
  <c r="D176" i="38" s="1"/>
  <c r="D183" i="38" s="1"/>
  <c r="D187" i="38" s="1"/>
  <c r="E150" i="39"/>
  <c r="E154" i="39" s="1"/>
  <c r="G43" i="38"/>
  <c r="G40" i="38"/>
  <c r="C103" i="38"/>
  <c r="C108" i="38" s="1"/>
  <c r="C139" i="38" s="1"/>
  <c r="C141" i="38" s="1"/>
  <c r="D140" i="38" s="1"/>
  <c r="E200" i="38"/>
  <c r="E169" i="38"/>
  <c r="E33" i="38"/>
  <c r="E38" i="38" s="1"/>
  <c r="E45" i="38" s="1"/>
  <c r="E49" i="38" s="1"/>
  <c r="E669" i="29"/>
  <c r="E670" i="29" s="1"/>
  <c r="E867" i="29" s="1"/>
  <c r="E871" i="29" s="1"/>
  <c r="E872" i="29" s="1"/>
  <c r="D136" i="38"/>
  <c r="D139" i="38" s="1"/>
  <c r="D200" i="38"/>
  <c r="D204" i="38" s="1"/>
  <c r="D207" i="38" s="1"/>
  <c r="D209" i="38" s="1"/>
  <c r="E208" i="38" s="1"/>
  <c r="F125" i="39"/>
  <c r="F115" i="39"/>
  <c r="F108" i="40"/>
  <c r="F123" i="39"/>
  <c r="F123" i="35" s="1"/>
  <c r="F169" i="38"/>
  <c r="E90" i="38"/>
  <c r="F65" i="59"/>
  <c r="F113" i="39"/>
  <c r="F73" i="58"/>
  <c r="F97" i="58" s="1"/>
  <c r="F101" i="58" s="1"/>
  <c r="F53" i="59" s="1"/>
  <c r="F114" i="39"/>
  <c r="I12" i="60"/>
  <c r="I29" i="60"/>
  <c r="I31" i="60" s="1"/>
  <c r="G136" i="38"/>
  <c r="G139" i="38" s="1"/>
  <c r="G141" i="38" s="1"/>
  <c r="H140" i="38" s="1"/>
  <c r="G200" i="38"/>
  <c r="G204" i="38" s="1"/>
  <c r="G207" i="38" s="1"/>
  <c r="G209" i="38" s="1"/>
  <c r="H208" i="38" s="1"/>
  <c r="G12" i="60"/>
  <c r="G29" i="60"/>
  <c r="G31" i="60" s="1"/>
  <c r="I136" i="38"/>
  <c r="I139" i="38" s="1"/>
  <c r="I200" i="38"/>
  <c r="I204" i="38" s="1"/>
  <c r="I207" i="38" s="1"/>
  <c r="J136" i="38"/>
  <c r="J139" i="38" s="1"/>
  <c r="J200" i="38"/>
  <c r="J204" i="38" s="1"/>
  <c r="J207" i="38" s="1"/>
  <c r="J29" i="60"/>
  <c r="J31" i="60" s="1"/>
  <c r="J12" i="60"/>
  <c r="H136" i="38"/>
  <c r="H139" i="38" s="1"/>
  <c r="H200" i="38"/>
  <c r="H204" i="38" s="1"/>
  <c r="H207" i="38" s="1"/>
  <c r="F116" i="39"/>
  <c r="P126" i="59"/>
  <c r="P128" i="59" s="1"/>
  <c r="O126" i="59"/>
  <c r="O128" i="59" s="1"/>
  <c r="K30" i="29"/>
  <c r="P126" i="62"/>
  <c r="P128" i="62" s="1"/>
  <c r="O126" i="62"/>
  <c r="O128" i="62" s="1"/>
  <c r="P80" i="51"/>
  <c r="P82" i="51" s="1"/>
  <c r="O80" i="51"/>
  <c r="O82" i="51" s="1"/>
  <c r="P126" i="51"/>
  <c r="P128" i="51" s="1"/>
  <c r="O126" i="51"/>
  <c r="O128" i="51" s="1"/>
  <c r="F6" i="21"/>
  <c r="D124" i="29"/>
  <c r="G110" i="14"/>
  <c r="G110" i="36" s="1"/>
  <c r="G64" i="14"/>
  <c r="G64" i="36" s="1"/>
  <c r="C538" i="29"/>
  <c r="C536" i="29" s="1"/>
  <c r="C858" i="29"/>
  <c r="C856" i="29" s="1"/>
  <c r="E547" i="29"/>
  <c r="E551" i="29" s="1"/>
  <c r="E552" i="29" s="1"/>
  <c r="J43" i="38"/>
  <c r="J40" i="38"/>
  <c r="M25" i="38"/>
  <c r="L31" i="38"/>
  <c r="L16" i="35"/>
  <c r="H43" i="38"/>
  <c r="G49" i="38"/>
  <c r="G10" i="41"/>
  <c r="J49" i="38"/>
  <c r="J10" i="41"/>
  <c r="E97" i="39"/>
  <c r="E101" i="39" s="1"/>
  <c r="C47" i="34"/>
  <c r="C51" i="34" s="1"/>
  <c r="C45" i="34"/>
  <c r="C42" i="34"/>
  <c r="D47" i="34"/>
  <c r="D51" i="34" s="1"/>
  <c r="D45" i="34"/>
  <c r="D105" i="34"/>
  <c r="D110" i="34" s="1"/>
  <c r="D115" i="34" s="1"/>
  <c r="B209" i="34"/>
  <c r="B185" i="34"/>
  <c r="B189" i="34" s="1"/>
  <c r="B183" i="34"/>
  <c r="F103" i="38"/>
  <c r="B171" i="38"/>
  <c r="B176" i="38" s="1"/>
  <c r="B178" i="38" s="1"/>
  <c r="E101" i="38"/>
  <c r="F45" i="38"/>
  <c r="E23" i="34"/>
  <c r="C45" i="38"/>
  <c r="C49" i="38" s="1"/>
  <c r="F43" i="38"/>
  <c r="G103" i="38"/>
  <c r="E136" i="38"/>
  <c r="E139" i="38" s="1"/>
  <c r="C113" i="38"/>
  <c r="C110" i="38"/>
  <c r="C115" i="38"/>
  <c r="C119" i="38" s="1"/>
  <c r="B183" i="38"/>
  <c r="B187" i="38" s="1"/>
  <c r="B103" i="38"/>
  <c r="B108" i="38" s="1"/>
  <c r="B139" i="38" s="1"/>
  <c r="G171" i="38"/>
  <c r="G176" i="38" s="1"/>
  <c r="D45" i="38"/>
  <c r="D49" i="38" s="1"/>
  <c r="D103" i="38"/>
  <c r="D108" i="38" s="1"/>
  <c r="D110" i="38" s="1"/>
  <c r="I171" i="38"/>
  <c r="I176" i="38" s="1"/>
  <c r="E33" i="34"/>
  <c r="H171" i="38"/>
  <c r="H176" i="38" s="1"/>
  <c r="H45" i="38"/>
  <c r="H103" i="38"/>
  <c r="J103" i="38"/>
  <c r="I103" i="38"/>
  <c r="J171" i="38"/>
  <c r="J176" i="38" s="1"/>
  <c r="J80" i="60" s="1"/>
  <c r="G44" i="39"/>
  <c r="H44" i="39"/>
  <c r="I44" i="39"/>
  <c r="F44" i="39"/>
  <c r="F35" i="34"/>
  <c r="F40" i="34" s="1"/>
  <c r="F42" i="34" s="1"/>
  <c r="J44" i="39"/>
  <c r="G18" i="41"/>
  <c r="G21" i="41" s="1"/>
  <c r="G22" i="41" s="1"/>
  <c r="E44" i="35"/>
  <c r="E48" i="35" s="1"/>
  <c r="F46" i="35" s="1"/>
  <c r="G73" i="40"/>
  <c r="G79" i="40"/>
  <c r="G57" i="40"/>
  <c r="E36" i="36"/>
  <c r="E37" i="36" s="1"/>
  <c r="E44" i="36" s="1"/>
  <c r="E43" i="38"/>
  <c r="E40" i="38"/>
  <c r="G55" i="40"/>
  <c r="G117" i="40"/>
  <c r="D82" i="40"/>
  <c r="D128" i="40" s="1"/>
  <c r="D111" i="40"/>
  <c r="D104" i="40"/>
  <c r="D120" i="40"/>
  <c r="H28" i="40"/>
  <c r="E80" i="40"/>
  <c r="G19" i="40"/>
  <c r="E126" i="40"/>
  <c r="F123" i="40"/>
  <c r="F80" i="40"/>
  <c r="G77" i="40"/>
  <c r="F71" i="40"/>
  <c r="E74" i="40"/>
  <c r="D67" i="40"/>
  <c r="H34" i="40"/>
  <c r="D158" i="39"/>
  <c r="F46" i="39"/>
  <c r="E52" i="39"/>
  <c r="C156" i="39"/>
  <c r="C105" i="39"/>
  <c r="D105" i="39"/>
  <c r="H156" i="39"/>
  <c r="I156" i="39" s="1"/>
  <c r="J156" i="39" s="1"/>
  <c r="K156" i="39" s="1"/>
  <c r="L156" i="39" s="1"/>
  <c r="M156" i="39" s="1"/>
  <c r="N156" i="39" s="1"/>
  <c r="O156" i="39" s="1"/>
  <c r="P156" i="39" s="1"/>
  <c r="D181" i="38"/>
  <c r="C178" i="38"/>
  <c r="C181" i="38"/>
  <c r="C183" i="38"/>
  <c r="C187" i="38" s="1"/>
  <c r="E126" i="36"/>
  <c r="E128" i="36" s="1"/>
  <c r="E82" i="36"/>
  <c r="D158" i="35"/>
  <c r="E152" i="35"/>
  <c r="E99" i="35"/>
  <c r="D105" i="35"/>
  <c r="C46" i="35"/>
  <c r="C48" i="35" s="1"/>
  <c r="C52" i="35" s="1"/>
  <c r="B52" i="35"/>
  <c r="C154" i="35"/>
  <c r="C97" i="35"/>
  <c r="C101" i="35" s="1"/>
  <c r="C105" i="35" s="1"/>
  <c r="C156" i="35"/>
  <c r="C115" i="34"/>
  <c r="C117" i="34"/>
  <c r="C121" i="34" s="1"/>
  <c r="C112" i="34"/>
  <c r="C173" i="34"/>
  <c r="C178" i="34" s="1"/>
  <c r="C209" i="34" s="1"/>
  <c r="C211" i="34" s="1"/>
  <c r="D210" i="34" s="1"/>
  <c r="B105" i="34"/>
  <c r="B110" i="34" s="1"/>
  <c r="B141" i="34" s="1"/>
  <c r="D183" i="34"/>
  <c r="D185" i="34"/>
  <c r="D180" i="34"/>
  <c r="D18" i="3"/>
  <c r="D21" i="3" s="1"/>
  <c r="D22" i="3" s="1"/>
  <c r="N84" i="25"/>
  <c r="O84" i="25"/>
  <c r="N85" i="25"/>
  <c r="O85" i="25"/>
  <c r="P85" i="25"/>
  <c r="Q85" i="25"/>
  <c r="M85" i="25"/>
  <c r="M84" i="25"/>
  <c r="G79" i="21" l="1"/>
  <c r="H124" i="14"/>
  <c r="I124" i="14" s="1"/>
  <c r="J124" i="14" s="1"/>
  <c r="K124" i="14" s="1"/>
  <c r="L124" i="14" s="1"/>
  <c r="M124" i="14" s="1"/>
  <c r="N124" i="14" s="1"/>
  <c r="O124" i="14" s="1"/>
  <c r="P124" i="14" s="1"/>
  <c r="I78" i="14"/>
  <c r="C158" i="39"/>
  <c r="F61" i="36"/>
  <c r="I30" i="21"/>
  <c r="I29" i="21"/>
  <c r="H78" i="40"/>
  <c r="H78" i="36" s="1"/>
  <c r="D83" i="40"/>
  <c r="D90" i="40" s="1"/>
  <c r="M16" i="39"/>
  <c r="M27" i="34"/>
  <c r="M7" i="34" s="1"/>
  <c r="H103" i="40"/>
  <c r="W137" i="44"/>
  <c r="V145" i="44"/>
  <c r="U7" i="44"/>
  <c r="T42" i="44"/>
  <c r="H15" i="14"/>
  <c r="I15" i="14" s="1"/>
  <c r="J15" i="14" s="1"/>
  <c r="K15" i="14" s="1"/>
  <c r="L15" i="14" s="1"/>
  <c r="M15" i="14" s="1"/>
  <c r="N15" i="14" s="1"/>
  <c r="O15" i="14" s="1"/>
  <c r="P15" i="14" s="1"/>
  <c r="G61" i="14"/>
  <c r="H61" i="14" s="1"/>
  <c r="I61" i="14" s="1"/>
  <c r="J61" i="14" s="1"/>
  <c r="K61" i="14" s="1"/>
  <c r="L61" i="14" s="1"/>
  <c r="M61" i="14" s="1"/>
  <c r="N61" i="14" s="1"/>
  <c r="O61" i="14" s="1"/>
  <c r="P61" i="14" s="1"/>
  <c r="G126" i="29"/>
  <c r="G124" i="29"/>
  <c r="T148" i="44"/>
  <c r="R86" i="44"/>
  <c r="R99" i="44" s="1"/>
  <c r="U90" i="44"/>
  <c r="T98" i="44"/>
  <c r="H16" i="14"/>
  <c r="G16" i="36"/>
  <c r="G15" i="36"/>
  <c r="E158" i="38"/>
  <c r="E171" i="38" s="1"/>
  <c r="E176" i="38" s="1"/>
  <c r="I125" i="40"/>
  <c r="J140" i="35"/>
  <c r="G50" i="54"/>
  <c r="F8" i="62"/>
  <c r="F52" i="54"/>
  <c r="I56" i="40"/>
  <c r="E156" i="54"/>
  <c r="E156" i="2"/>
  <c r="H28" i="21"/>
  <c r="F124" i="29"/>
  <c r="T70" i="44"/>
  <c r="I11" i="40"/>
  <c r="J10" i="40"/>
  <c r="V24" i="44"/>
  <c r="U71" i="44"/>
  <c r="S152" i="44"/>
  <c r="Q64" i="44"/>
  <c r="Q65" i="44" s="1"/>
  <c r="V30" i="44"/>
  <c r="U70" i="44"/>
  <c r="I31" i="40"/>
  <c r="I33" i="40"/>
  <c r="S63" i="44"/>
  <c r="S81" i="44" s="1"/>
  <c r="S72" i="44"/>
  <c r="S73" i="44" s="1"/>
  <c r="E105" i="54"/>
  <c r="F103" i="54"/>
  <c r="U44" i="44"/>
  <c r="T61" i="44"/>
  <c r="H32" i="14"/>
  <c r="G32" i="36"/>
  <c r="I78" i="40"/>
  <c r="D189" i="34"/>
  <c r="D78" i="37"/>
  <c r="J27" i="40"/>
  <c r="G124" i="36"/>
  <c r="H124" i="40"/>
  <c r="I25" i="40"/>
  <c r="J9" i="40"/>
  <c r="I101" i="40"/>
  <c r="F107" i="40"/>
  <c r="G107" i="40" s="1"/>
  <c r="I8" i="40"/>
  <c r="I15" i="40" s="1"/>
  <c r="I15" i="36" s="1"/>
  <c r="F65" i="36"/>
  <c r="H61" i="40"/>
  <c r="H16" i="41"/>
  <c r="G41" i="40"/>
  <c r="G84" i="41"/>
  <c r="F133" i="40"/>
  <c r="H50" i="41"/>
  <c r="H52" i="41" s="1"/>
  <c r="H55" i="41" s="1"/>
  <c r="H56" i="41" s="1"/>
  <c r="G87" i="40"/>
  <c r="H62" i="40"/>
  <c r="G62" i="36"/>
  <c r="G108" i="40"/>
  <c r="F108" i="36"/>
  <c r="F52" i="21"/>
  <c r="F171" i="38"/>
  <c r="F176" i="38" s="1"/>
  <c r="F181" i="38" s="1"/>
  <c r="D178" i="38"/>
  <c r="I10" i="41"/>
  <c r="D664" i="29"/>
  <c r="I46" i="50"/>
  <c r="I48" i="50" s="1"/>
  <c r="I7" i="51" s="1"/>
  <c r="I12" i="51" s="1"/>
  <c r="H52" i="50"/>
  <c r="D538" i="29"/>
  <c r="D536" i="29" s="1"/>
  <c r="D141" i="38"/>
  <c r="E140" i="38" s="1"/>
  <c r="E141" i="38" s="1"/>
  <c r="D112" i="34"/>
  <c r="D44" i="37" s="1"/>
  <c r="D117" i="34"/>
  <c r="D121" i="34" s="1"/>
  <c r="H209" i="38"/>
  <c r="I208" i="38" s="1"/>
  <c r="I209" i="38" s="1"/>
  <c r="J208" i="38" s="1"/>
  <c r="J209" i="38" s="1"/>
  <c r="K208" i="38" s="1"/>
  <c r="E10" i="41"/>
  <c r="E204" i="38"/>
  <c r="E207" i="38" s="1"/>
  <c r="E209" i="38" s="1"/>
  <c r="E103" i="38"/>
  <c r="E46" i="60" s="1"/>
  <c r="E29" i="60"/>
  <c r="E31" i="60" s="1"/>
  <c r="E12" i="60"/>
  <c r="B207" i="38"/>
  <c r="F105" i="58"/>
  <c r="G99" i="58"/>
  <c r="G101" i="58" s="1"/>
  <c r="G53" i="59" s="1"/>
  <c r="F126" i="58"/>
  <c r="F150" i="58" s="1"/>
  <c r="F154" i="58" s="1"/>
  <c r="G65" i="59"/>
  <c r="F111" i="59"/>
  <c r="E80" i="60"/>
  <c r="H141" i="38"/>
  <c r="I140" i="38" s="1"/>
  <c r="I141" i="38" s="1"/>
  <c r="J140" i="38" s="1"/>
  <c r="J141" i="38" s="1"/>
  <c r="K140" i="38" s="1"/>
  <c r="F80" i="60"/>
  <c r="F29" i="60"/>
  <c r="F31" i="60" s="1"/>
  <c r="F12" i="60"/>
  <c r="H108" i="38"/>
  <c r="H115" i="38" s="1"/>
  <c r="H119" i="38" s="1"/>
  <c r="H65" i="60"/>
  <c r="H46" i="60"/>
  <c r="H12" i="60"/>
  <c r="H29" i="60"/>
  <c r="H31" i="60" s="1"/>
  <c r="G108" i="38"/>
  <c r="G115" i="38" s="1"/>
  <c r="G119" i="38" s="1"/>
  <c r="G46" i="60"/>
  <c r="G65" i="60"/>
  <c r="H78" i="41"/>
  <c r="H80" i="60"/>
  <c r="F44" i="41"/>
  <c r="F46" i="60"/>
  <c r="F65" i="60"/>
  <c r="I46" i="60"/>
  <c r="I65" i="60"/>
  <c r="J108" i="38"/>
  <c r="J113" i="38" s="1"/>
  <c r="J46" i="60"/>
  <c r="J65" i="60"/>
  <c r="I183" i="38"/>
  <c r="I99" i="60" s="1"/>
  <c r="I80" i="60"/>
  <c r="G78" i="41"/>
  <c r="G80" i="60"/>
  <c r="L30" i="29"/>
  <c r="H64" i="14"/>
  <c r="H64" i="36" s="1"/>
  <c r="H110" i="14"/>
  <c r="H110" i="36" s="1"/>
  <c r="D128" i="29"/>
  <c r="D119" i="29"/>
  <c r="E894" i="29"/>
  <c r="C89" i="28" s="1"/>
  <c r="E864" i="29"/>
  <c r="E861" i="29"/>
  <c r="E544" i="29"/>
  <c r="E574" i="29"/>
  <c r="C88" i="28" s="1"/>
  <c r="E541" i="29"/>
  <c r="G87" i="21"/>
  <c r="G52" i="21"/>
  <c r="G51" i="21"/>
  <c r="H36" i="40"/>
  <c r="N25" i="38"/>
  <c r="M31" i="38"/>
  <c r="F108" i="38"/>
  <c r="F110" i="38" s="1"/>
  <c r="M16" i="35"/>
  <c r="H49" i="38"/>
  <c r="H10" i="41"/>
  <c r="F49" i="38"/>
  <c r="F10" i="41"/>
  <c r="F63" i="41"/>
  <c r="E52" i="35"/>
  <c r="G63" i="41"/>
  <c r="E35" i="34"/>
  <c r="E40" i="34" s="1"/>
  <c r="E47" i="34" s="1"/>
  <c r="E51" i="34" s="1"/>
  <c r="G181" i="38"/>
  <c r="B181" i="38"/>
  <c r="G44" i="41"/>
  <c r="I181" i="38"/>
  <c r="G183" i="38"/>
  <c r="G178" i="38"/>
  <c r="H44" i="41"/>
  <c r="I78" i="41"/>
  <c r="B113" i="38"/>
  <c r="B115" i="38"/>
  <c r="B119" i="38" s="1"/>
  <c r="B110" i="38"/>
  <c r="D115" i="38"/>
  <c r="D119" i="38" s="1"/>
  <c r="D113" i="38"/>
  <c r="H181" i="38"/>
  <c r="I178" i="38"/>
  <c r="H183" i="38"/>
  <c r="H63" i="41"/>
  <c r="H178" i="38"/>
  <c r="J63" i="41"/>
  <c r="J44" i="41"/>
  <c r="I108" i="38"/>
  <c r="I44" i="41"/>
  <c r="I63" i="41"/>
  <c r="J78" i="41"/>
  <c r="J183" i="38"/>
  <c r="J99" i="60" s="1"/>
  <c r="J178" i="38"/>
  <c r="J181" i="38"/>
  <c r="F48" i="39"/>
  <c r="F12" i="59" s="1"/>
  <c r="F21" i="59" s="1"/>
  <c r="F37" i="59" s="1"/>
  <c r="F47" i="34"/>
  <c r="F51" i="34" s="1"/>
  <c r="F45" i="34"/>
  <c r="H18" i="41"/>
  <c r="H21" i="41" s="1"/>
  <c r="H22" i="41" s="1"/>
  <c r="E82" i="40"/>
  <c r="H73" i="40"/>
  <c r="H79" i="40"/>
  <c r="H57" i="40"/>
  <c r="F74" i="40"/>
  <c r="F82" i="40" s="1"/>
  <c r="G71" i="40"/>
  <c r="H77" i="40"/>
  <c r="G80" i="40"/>
  <c r="H55" i="40"/>
  <c r="F119" i="40"/>
  <c r="E120" i="40"/>
  <c r="E128" i="40" s="1"/>
  <c r="H117" i="40"/>
  <c r="H19" i="40"/>
  <c r="D113" i="40"/>
  <c r="D129" i="40" s="1"/>
  <c r="D136" i="40" s="1"/>
  <c r="F102" i="40"/>
  <c r="E104" i="40"/>
  <c r="F126" i="40"/>
  <c r="G123" i="40"/>
  <c r="F99" i="39"/>
  <c r="E105" i="39"/>
  <c r="E158" i="39"/>
  <c r="F152" i="39"/>
  <c r="C158" i="35"/>
  <c r="C180" i="34"/>
  <c r="C183" i="34"/>
  <c r="C185" i="34"/>
  <c r="C189" i="34" s="1"/>
  <c r="B112" i="34"/>
  <c r="B117" i="34"/>
  <c r="B121" i="34" s="1"/>
  <c r="B115" i="34"/>
  <c r="R85" i="25"/>
  <c r="I78" i="36" l="1"/>
  <c r="J78" i="14"/>
  <c r="J78" i="40"/>
  <c r="J78" i="36" s="1"/>
  <c r="J30" i="21"/>
  <c r="J29" i="21"/>
  <c r="E183" i="38"/>
  <c r="E181" i="38"/>
  <c r="E178" i="38"/>
  <c r="E78" i="41"/>
  <c r="V44" i="44"/>
  <c r="U61" i="44"/>
  <c r="G103" i="54"/>
  <c r="F54" i="62"/>
  <c r="J31" i="40"/>
  <c r="I34" i="40"/>
  <c r="E158" i="54"/>
  <c r="F156" i="54"/>
  <c r="J125" i="40"/>
  <c r="G119" i="29"/>
  <c r="G127" i="29" s="1"/>
  <c r="G128" i="29"/>
  <c r="X137" i="44"/>
  <c r="W145" i="44"/>
  <c r="U148" i="44"/>
  <c r="S86" i="44"/>
  <c r="S99" i="44" s="1"/>
  <c r="V71" i="44"/>
  <c r="W24" i="44"/>
  <c r="I16" i="14"/>
  <c r="H16" i="36"/>
  <c r="T152" i="44"/>
  <c r="R64" i="44"/>
  <c r="R65" i="44" s="1"/>
  <c r="N16" i="39"/>
  <c r="N27" i="34"/>
  <c r="N7" i="34" s="1"/>
  <c r="I32" i="14"/>
  <c r="H32" i="36"/>
  <c r="J33" i="40"/>
  <c r="K10" i="40"/>
  <c r="F119" i="29"/>
  <c r="F127" i="29" s="1"/>
  <c r="F128" i="29"/>
  <c r="G8" i="62"/>
  <c r="H50" i="54"/>
  <c r="V90" i="44"/>
  <c r="U98" i="44"/>
  <c r="T72" i="44"/>
  <c r="T73" i="44" s="1"/>
  <c r="T63" i="44"/>
  <c r="T81" i="44" s="1"/>
  <c r="J11" i="40"/>
  <c r="E6" i="41"/>
  <c r="E8" i="41" s="1"/>
  <c r="G61" i="36"/>
  <c r="G65" i="36" s="1"/>
  <c r="W30" i="44"/>
  <c r="V70" i="44"/>
  <c r="J56" i="40"/>
  <c r="H126" i="29"/>
  <c r="H124" i="29"/>
  <c r="V7" i="44"/>
  <c r="U42" i="44"/>
  <c r="I103" i="40"/>
  <c r="H15" i="36"/>
  <c r="F107" i="36"/>
  <c r="F111" i="36" s="1"/>
  <c r="K27" i="40"/>
  <c r="H124" i="36"/>
  <c r="I124" i="40"/>
  <c r="J25" i="40"/>
  <c r="I28" i="40"/>
  <c r="I36" i="40" s="1"/>
  <c r="J101" i="40"/>
  <c r="K9" i="40"/>
  <c r="J15" i="40"/>
  <c r="J15" i="36" s="1"/>
  <c r="J8" i="40"/>
  <c r="I61" i="40"/>
  <c r="H61" i="36"/>
  <c r="H107" i="40"/>
  <c r="G107" i="36"/>
  <c r="I16" i="41"/>
  <c r="H41" i="40"/>
  <c r="I50" i="41"/>
  <c r="I52" i="41" s="1"/>
  <c r="I55" i="41" s="1"/>
  <c r="I56" i="41" s="1"/>
  <c r="H87" i="40"/>
  <c r="G86" i="41"/>
  <c r="G89" i="41" s="1"/>
  <c r="G90" i="41" s="1"/>
  <c r="F78" i="41"/>
  <c r="F80" i="41" s="1"/>
  <c r="F183" i="38"/>
  <c r="F187" i="38" s="1"/>
  <c r="F178" i="38"/>
  <c r="K101" i="57"/>
  <c r="K78" i="40"/>
  <c r="H108" i="40"/>
  <c r="G108" i="36"/>
  <c r="F158" i="58"/>
  <c r="F99" i="59"/>
  <c r="I62" i="40"/>
  <c r="H62" i="36"/>
  <c r="J65" i="41"/>
  <c r="F65" i="41"/>
  <c r="F46" i="41"/>
  <c r="G46" i="41"/>
  <c r="H110" i="38"/>
  <c r="I46" i="41"/>
  <c r="G65" i="41"/>
  <c r="J46" i="41"/>
  <c r="I65" i="41"/>
  <c r="H46" i="41"/>
  <c r="H65" i="41"/>
  <c r="J80" i="41"/>
  <c r="I80" i="41"/>
  <c r="G80" i="41"/>
  <c r="H80" i="41"/>
  <c r="J46" i="50"/>
  <c r="J48" i="50" s="1"/>
  <c r="J7" i="51" s="1"/>
  <c r="J12" i="51" s="1"/>
  <c r="I52" i="50"/>
  <c r="D858" i="29"/>
  <c r="D856" i="29" s="1"/>
  <c r="H113" i="38"/>
  <c r="E65" i="60"/>
  <c r="E108" i="38"/>
  <c r="E113" i="38" s="1"/>
  <c r="G110" i="38"/>
  <c r="G113" i="38"/>
  <c r="G152" i="58"/>
  <c r="G154" i="58" s="1"/>
  <c r="E74" i="41"/>
  <c r="E115" i="38"/>
  <c r="E119" i="38" s="1"/>
  <c r="F98" i="21" s="1"/>
  <c r="E63" i="41"/>
  <c r="E44" i="41"/>
  <c r="E25" i="60"/>
  <c r="E27" i="60" s="1"/>
  <c r="E33" i="60" s="1"/>
  <c r="E74" i="60"/>
  <c r="E8" i="60"/>
  <c r="E13" i="60" s="1"/>
  <c r="E40" i="60"/>
  <c r="G111" i="59"/>
  <c r="H65" i="59"/>
  <c r="J110" i="38"/>
  <c r="J115" i="38"/>
  <c r="J119" i="38" s="1"/>
  <c r="G105" i="58"/>
  <c r="H99" i="58"/>
  <c r="H101" i="58" s="1"/>
  <c r="H53" i="59" s="1"/>
  <c r="F99" i="60"/>
  <c r="I97" i="41"/>
  <c r="I99" i="41" s="1"/>
  <c r="H187" i="38"/>
  <c r="H99" i="60"/>
  <c r="I187" i="38"/>
  <c r="G187" i="38"/>
  <c r="G99" i="60"/>
  <c r="M30" i="29"/>
  <c r="I110" i="14"/>
  <c r="I110" i="36" s="1"/>
  <c r="I64" i="14"/>
  <c r="I64" i="36" s="1"/>
  <c r="C138" i="28"/>
  <c r="C139" i="28"/>
  <c r="F113" i="38"/>
  <c r="F115" i="38"/>
  <c r="F119" i="38" s="1"/>
  <c r="G60" i="21"/>
  <c r="G53" i="21"/>
  <c r="G80" i="21"/>
  <c r="H78" i="21" s="1"/>
  <c r="H79" i="21" s="1"/>
  <c r="G46" i="39"/>
  <c r="G48" i="39" s="1"/>
  <c r="F7" i="40"/>
  <c r="O25" i="38"/>
  <c r="N31" i="38"/>
  <c r="G97" i="41"/>
  <c r="G99" i="41" s="1"/>
  <c r="N16" i="35"/>
  <c r="E42" i="34"/>
  <c r="E45" i="34"/>
  <c r="H97" i="41"/>
  <c r="H99" i="41" s="1"/>
  <c r="J187" i="38"/>
  <c r="J97" i="41"/>
  <c r="J99" i="41" s="1"/>
  <c r="I110" i="38"/>
  <c r="I113" i="38"/>
  <c r="I115" i="38"/>
  <c r="I119" i="38" s="1"/>
  <c r="F52" i="39"/>
  <c r="I18" i="41"/>
  <c r="I21" i="41" s="1"/>
  <c r="I22" i="41" s="1"/>
  <c r="I73" i="40"/>
  <c r="I79" i="40"/>
  <c r="I57" i="40"/>
  <c r="G102" i="40"/>
  <c r="G119" i="40"/>
  <c r="F120" i="40"/>
  <c r="F128" i="40" s="1"/>
  <c r="I77" i="40"/>
  <c r="H80" i="40"/>
  <c r="H71" i="40"/>
  <c r="G74" i="40"/>
  <c r="G82" i="40" s="1"/>
  <c r="I55" i="40"/>
  <c r="G126" i="40"/>
  <c r="H123" i="40"/>
  <c r="I19" i="40"/>
  <c r="I117" i="40"/>
  <c r="P84" i="25"/>
  <c r="K78" i="14" l="1"/>
  <c r="K30" i="21"/>
  <c r="K29" i="21"/>
  <c r="F97" i="41"/>
  <c r="F99" i="41" s="1"/>
  <c r="J103" i="40"/>
  <c r="I126" i="29"/>
  <c r="I124" i="29"/>
  <c r="I50" i="54"/>
  <c r="H8" i="62"/>
  <c r="O16" i="39"/>
  <c r="O27" i="34"/>
  <c r="O7" i="34" s="1"/>
  <c r="U72" i="44"/>
  <c r="U73" i="44" s="1"/>
  <c r="U63" i="44"/>
  <c r="U81" i="44" s="1"/>
  <c r="X30" i="44"/>
  <c r="L10" i="40"/>
  <c r="J32" i="14"/>
  <c r="J5" i="4"/>
  <c r="I32" i="36"/>
  <c r="J16" i="14"/>
  <c r="I16" i="36"/>
  <c r="U152" i="44"/>
  <c r="S64" i="44"/>
  <c r="S65" i="44" s="1"/>
  <c r="H103" i="54"/>
  <c r="G54" i="62"/>
  <c r="E25" i="41"/>
  <c r="W7" i="44"/>
  <c r="V42" i="44"/>
  <c r="V98" i="44"/>
  <c r="W90" i="44"/>
  <c r="X24" i="44"/>
  <c r="W71" i="44"/>
  <c r="Y137" i="44"/>
  <c r="X145" i="44"/>
  <c r="K125" i="40"/>
  <c r="J34" i="40"/>
  <c r="K31" i="40"/>
  <c r="E40" i="41"/>
  <c r="H119" i="29"/>
  <c r="H127" i="29" s="1"/>
  <c r="H128" i="29"/>
  <c r="K56" i="40"/>
  <c r="K11" i="40"/>
  <c r="V148" i="44"/>
  <c r="T86" i="44"/>
  <c r="T99" i="44" s="1"/>
  <c r="K33" i="40"/>
  <c r="G156" i="54"/>
  <c r="F100" i="62"/>
  <c r="V61" i="44"/>
  <c r="W44" i="44"/>
  <c r="E99" i="60"/>
  <c r="E97" i="41"/>
  <c r="E187" i="38"/>
  <c r="K94" i="38"/>
  <c r="K96" i="34" s="1"/>
  <c r="L27" i="40"/>
  <c r="I124" i="36"/>
  <c r="K25" i="40"/>
  <c r="J28" i="40"/>
  <c r="J36" i="40" s="1"/>
  <c r="L9" i="40"/>
  <c r="K101" i="40"/>
  <c r="K8" i="40"/>
  <c r="H65" i="36"/>
  <c r="I107" i="40"/>
  <c r="H107" i="36"/>
  <c r="G111" i="36"/>
  <c r="I61" i="36"/>
  <c r="J61" i="40"/>
  <c r="H84" i="41"/>
  <c r="G133" i="40"/>
  <c r="J50" i="41"/>
  <c r="J52" i="41" s="1"/>
  <c r="J55" i="41" s="1"/>
  <c r="J56" i="41" s="1"/>
  <c r="I87" i="40"/>
  <c r="J16" i="41"/>
  <c r="J18" i="41" s="1"/>
  <c r="J21" i="41" s="1"/>
  <c r="J22" i="41" s="1"/>
  <c r="I41" i="40"/>
  <c r="K70" i="58"/>
  <c r="K78" i="36"/>
  <c r="K169" i="57"/>
  <c r="L78" i="40"/>
  <c r="I108" i="40"/>
  <c r="H108" i="36"/>
  <c r="L70" i="58"/>
  <c r="L101" i="57"/>
  <c r="J62" i="40"/>
  <c r="I62" i="36"/>
  <c r="H152" i="58"/>
  <c r="H154" i="58" s="1"/>
  <c r="H99" i="59" s="1"/>
  <c r="G99" i="59"/>
  <c r="F6" i="60"/>
  <c r="F8" i="60" s="1"/>
  <c r="F13" i="60" s="1"/>
  <c r="E110" i="38"/>
  <c r="J52" i="50"/>
  <c r="K13" i="49" s="1"/>
  <c r="K9" i="50" s="1"/>
  <c r="K46" i="50"/>
  <c r="G158" i="58"/>
  <c r="F126" i="21"/>
  <c r="E59" i="41"/>
  <c r="E61" i="41" s="1"/>
  <c r="E42" i="41"/>
  <c r="E76" i="41"/>
  <c r="E93" i="41"/>
  <c r="E95" i="41" s="1"/>
  <c r="E42" i="60"/>
  <c r="E47" i="60" s="1"/>
  <c r="F40" i="60" s="1"/>
  <c r="E59" i="60"/>
  <c r="E61" i="60" s="1"/>
  <c r="E67" i="60" s="1"/>
  <c r="E76" i="60"/>
  <c r="E81" i="60" s="1"/>
  <c r="F74" i="60" s="1"/>
  <c r="E93" i="60"/>
  <c r="E95" i="60" s="1"/>
  <c r="E101" i="60" s="1"/>
  <c r="I65" i="59"/>
  <c r="I99" i="58"/>
  <c r="I101" i="58" s="1"/>
  <c r="I53" i="59" s="1"/>
  <c r="H105" i="58"/>
  <c r="H111" i="59"/>
  <c r="G7" i="40"/>
  <c r="G12" i="59"/>
  <c r="G21" i="59" s="1"/>
  <c r="G37" i="59" s="1"/>
  <c r="N30" i="29"/>
  <c r="J64" i="14"/>
  <c r="J64" i="36" s="1"/>
  <c r="J110" i="14"/>
  <c r="J110" i="36" s="1"/>
  <c r="H46" i="39"/>
  <c r="H48" i="39" s="1"/>
  <c r="I46" i="39" s="1"/>
  <c r="I48" i="39" s="1"/>
  <c r="G52" i="39"/>
  <c r="H52" i="21"/>
  <c r="H87" i="21"/>
  <c r="H51" i="21"/>
  <c r="P25" i="38"/>
  <c r="O31" i="38"/>
  <c r="O16" i="35"/>
  <c r="J73" i="40"/>
  <c r="J79" i="40"/>
  <c r="J57" i="40"/>
  <c r="H74" i="40"/>
  <c r="H82" i="40" s="1"/>
  <c r="I71" i="40"/>
  <c r="H102" i="40"/>
  <c r="J55" i="40"/>
  <c r="J117" i="40"/>
  <c r="H126" i="40"/>
  <c r="I123" i="40"/>
  <c r="J77" i="40"/>
  <c r="I80" i="40"/>
  <c r="J19" i="40"/>
  <c r="H119" i="40"/>
  <c r="G120" i="40"/>
  <c r="G128" i="40" s="1"/>
  <c r="Q84" i="25"/>
  <c r="G124" i="21" l="1"/>
  <c r="L78" i="14"/>
  <c r="L30" i="21"/>
  <c r="L29" i="21"/>
  <c r="W148" i="44"/>
  <c r="U86" i="44"/>
  <c r="U99" i="44" s="1"/>
  <c r="K103" i="40"/>
  <c r="P16" i="39"/>
  <c r="P27" i="34"/>
  <c r="P7" i="34" s="1"/>
  <c r="F25" i="60"/>
  <c r="F27" i="60" s="1"/>
  <c r="F33" i="60" s="1"/>
  <c r="L31" i="40"/>
  <c r="K34" i="40"/>
  <c r="L125" i="40"/>
  <c r="X71" i="44"/>
  <c r="Y24" i="44"/>
  <c r="Y71" i="44" s="1"/>
  <c r="X7" i="44"/>
  <c r="X70" i="44" s="1"/>
  <c r="W42" i="44"/>
  <c r="M10" i="40"/>
  <c r="J126" i="29"/>
  <c r="J124" i="29"/>
  <c r="T64" i="44"/>
  <c r="T65" i="44" s="1"/>
  <c r="V152" i="44"/>
  <c r="I119" i="29"/>
  <c r="I127" i="29" s="1"/>
  <c r="I128" i="29"/>
  <c r="L33" i="40"/>
  <c r="L11" i="40"/>
  <c r="W98" i="44"/>
  <c r="X90" i="44"/>
  <c r="K32" i="14"/>
  <c r="J32" i="36"/>
  <c r="W70" i="44"/>
  <c r="X44" i="44"/>
  <c r="W61" i="44"/>
  <c r="L56" i="40"/>
  <c r="V63" i="44"/>
  <c r="V81" i="44" s="1"/>
  <c r="V72" i="44"/>
  <c r="V73" i="44" s="1"/>
  <c r="G100" i="62"/>
  <c r="H156" i="54"/>
  <c r="Z137" i="44"/>
  <c r="Y145" i="44"/>
  <c r="E27" i="41"/>
  <c r="H54" i="62"/>
  <c r="I103" i="54"/>
  <c r="K16" i="14"/>
  <c r="J16" i="36"/>
  <c r="Y30" i="44"/>
  <c r="J50" i="54"/>
  <c r="I8" i="62"/>
  <c r="H111" i="36"/>
  <c r="L94" i="38"/>
  <c r="L101" i="38" s="1"/>
  <c r="K70" i="39"/>
  <c r="K70" i="35" s="1"/>
  <c r="K101" i="38"/>
  <c r="M27" i="40"/>
  <c r="K28" i="40"/>
  <c r="L25" i="40"/>
  <c r="L101" i="40"/>
  <c r="M9" i="40"/>
  <c r="L8" i="40"/>
  <c r="K15" i="40"/>
  <c r="K15" i="36" s="1"/>
  <c r="J61" i="36"/>
  <c r="K61" i="40"/>
  <c r="I65" i="36"/>
  <c r="J107" i="40"/>
  <c r="I107" i="36"/>
  <c r="K16" i="41"/>
  <c r="J41" i="40"/>
  <c r="K50" i="41"/>
  <c r="K52" i="41" s="1"/>
  <c r="K55" i="41" s="1"/>
  <c r="K56" i="41" s="1"/>
  <c r="J87" i="40"/>
  <c r="H86" i="41"/>
  <c r="H89" i="41" s="1"/>
  <c r="H90" i="41" s="1"/>
  <c r="K123" i="58"/>
  <c r="I152" i="58"/>
  <c r="I154" i="58" s="1"/>
  <c r="I99" i="59" s="1"/>
  <c r="H158" i="58"/>
  <c r="M78" i="40"/>
  <c r="L78" i="36"/>
  <c r="G6" i="60"/>
  <c r="G25" i="60" s="1"/>
  <c r="G27" i="60" s="1"/>
  <c r="G33" i="60" s="1"/>
  <c r="F40" i="59"/>
  <c r="J108" i="40"/>
  <c r="I108" i="36"/>
  <c r="K62" i="40"/>
  <c r="J62" i="36"/>
  <c r="L169" i="57"/>
  <c r="L123" i="58"/>
  <c r="G97" i="21"/>
  <c r="G106" i="21" s="1"/>
  <c r="F93" i="60"/>
  <c r="F95" i="60" s="1"/>
  <c r="F101" i="60" s="1"/>
  <c r="F76" i="60"/>
  <c r="F81" i="60" s="1"/>
  <c r="F59" i="60"/>
  <c r="F61" i="60" s="1"/>
  <c r="F67" i="60" s="1"/>
  <c r="F42" i="60"/>
  <c r="F47" i="60" s="1"/>
  <c r="J65" i="59"/>
  <c r="I111" i="59"/>
  <c r="H52" i="39"/>
  <c r="J99" i="58"/>
  <c r="J101" i="58" s="1"/>
  <c r="J53" i="59" s="1"/>
  <c r="I105" i="58"/>
  <c r="H7" i="40"/>
  <c r="H12" i="59"/>
  <c r="H21" i="59" s="1"/>
  <c r="H37" i="59" s="1"/>
  <c r="I7" i="40"/>
  <c r="I12" i="59"/>
  <c r="I21" i="59" s="1"/>
  <c r="I37" i="59" s="1"/>
  <c r="H80" i="21"/>
  <c r="O30" i="29"/>
  <c r="K110" i="14"/>
  <c r="K110" i="36" s="1"/>
  <c r="K64" i="14"/>
  <c r="K64" i="36" s="1"/>
  <c r="H53" i="21"/>
  <c r="H61" i="21" s="1"/>
  <c r="H60" i="21"/>
  <c r="P31" i="38"/>
  <c r="P16" i="35"/>
  <c r="K18" i="41"/>
  <c r="K21" i="41" s="1"/>
  <c r="K22" i="41" s="1"/>
  <c r="K73" i="40"/>
  <c r="K79" i="40"/>
  <c r="K57" i="40"/>
  <c r="J80" i="40"/>
  <c r="K77" i="40"/>
  <c r="K117" i="40"/>
  <c r="I74" i="40"/>
  <c r="I82" i="40" s="1"/>
  <c r="J71" i="40"/>
  <c r="K55" i="40"/>
  <c r="I126" i="40"/>
  <c r="J123" i="40"/>
  <c r="I102" i="40"/>
  <c r="I119" i="40"/>
  <c r="H120" i="40"/>
  <c r="H128" i="40" s="1"/>
  <c r="I52" i="39"/>
  <c r="J46" i="39"/>
  <c r="J48" i="39" s="1"/>
  <c r="R84" i="25"/>
  <c r="G125" i="21" l="1"/>
  <c r="G98" i="21" s="1"/>
  <c r="G133" i="21"/>
  <c r="M78" i="14"/>
  <c r="I78" i="21"/>
  <c r="I51" i="21" s="1"/>
  <c r="I60" i="21" s="1"/>
  <c r="G126" i="21"/>
  <c r="H124" i="21" s="1"/>
  <c r="M30" i="21"/>
  <c r="M29" i="21"/>
  <c r="K36" i="40"/>
  <c r="L16" i="14"/>
  <c r="K16" i="36"/>
  <c r="L32" i="14"/>
  <c r="K32" i="36"/>
  <c r="W63" i="44"/>
  <c r="W81" i="44" s="1"/>
  <c r="W72" i="44"/>
  <c r="W73" i="44" s="1"/>
  <c r="J103" i="54"/>
  <c r="I54" i="62"/>
  <c r="X98" i="44"/>
  <c r="Y90" i="44"/>
  <c r="Y98" i="44" s="1"/>
  <c r="Y7" i="44"/>
  <c r="Y42" i="44" s="1"/>
  <c r="X42" i="44"/>
  <c r="M125" i="40"/>
  <c r="L103" i="40"/>
  <c r="J8" i="62"/>
  <c r="K50" i="54"/>
  <c r="I156" i="54"/>
  <c r="H100" i="62"/>
  <c r="X148" i="44"/>
  <c r="V86" i="44"/>
  <c r="V99" i="44" s="1"/>
  <c r="M11" i="40"/>
  <c r="AA137" i="44"/>
  <c r="AA145" i="44" s="1"/>
  <c r="Z145" i="44"/>
  <c r="M56" i="40"/>
  <c r="M33" i="40"/>
  <c r="X61" i="44"/>
  <c r="Y44" i="44"/>
  <c r="Y61" i="44" s="1"/>
  <c r="K126" i="29"/>
  <c r="K124" i="29"/>
  <c r="J128" i="29"/>
  <c r="J119" i="29"/>
  <c r="J127" i="29" s="1"/>
  <c r="N10" i="40"/>
  <c r="M31" i="40"/>
  <c r="L34" i="40"/>
  <c r="U64" i="44"/>
  <c r="U65" i="44" s="1"/>
  <c r="W152" i="44"/>
  <c r="K19" i="40"/>
  <c r="M94" i="38"/>
  <c r="M101" i="38" s="1"/>
  <c r="L96" i="34"/>
  <c r="L70" i="39"/>
  <c r="L70" i="35" s="1"/>
  <c r="N27" i="40"/>
  <c r="L28" i="40"/>
  <c r="L36" i="40" s="1"/>
  <c r="M25" i="40"/>
  <c r="N9" i="40"/>
  <c r="M101" i="40"/>
  <c r="M8" i="40"/>
  <c r="J65" i="36"/>
  <c r="L15" i="40"/>
  <c r="L15" i="36" s="1"/>
  <c r="I111" i="36"/>
  <c r="J107" i="36"/>
  <c r="K107" i="40"/>
  <c r="L61" i="40"/>
  <c r="K61" i="36"/>
  <c r="I84" i="41"/>
  <c r="H133" i="40"/>
  <c r="L50" i="41"/>
  <c r="L52" i="41" s="1"/>
  <c r="L55" i="41" s="1"/>
  <c r="L56" i="41" s="1"/>
  <c r="K87" i="40"/>
  <c r="L16" i="41"/>
  <c r="K41" i="40"/>
  <c r="I158" i="58"/>
  <c r="G99" i="21"/>
  <c r="J152" i="58"/>
  <c r="J154" i="58" s="1"/>
  <c r="J99" i="59" s="1"/>
  <c r="G8" i="60"/>
  <c r="G13" i="60" s="1"/>
  <c r="H6" i="60" s="1"/>
  <c r="H8" i="60" s="1"/>
  <c r="H13" i="60" s="1"/>
  <c r="M96" i="34"/>
  <c r="N78" i="40"/>
  <c r="M78" i="36"/>
  <c r="M70" i="58"/>
  <c r="M101" i="57"/>
  <c r="L62" i="40"/>
  <c r="K62" i="36"/>
  <c r="K108" i="40"/>
  <c r="J108" i="36"/>
  <c r="G74" i="60"/>
  <c r="F132" i="59"/>
  <c r="G40" i="60"/>
  <c r="F86" i="59"/>
  <c r="J105" i="58"/>
  <c r="K82" i="57" s="1"/>
  <c r="K99" i="58"/>
  <c r="J111" i="59"/>
  <c r="K65" i="59"/>
  <c r="J7" i="40"/>
  <c r="J12" i="59"/>
  <c r="J21" i="59" s="1"/>
  <c r="J37" i="59" s="1"/>
  <c r="L64" i="14"/>
  <c r="L64" i="36" s="1"/>
  <c r="L110" i="14"/>
  <c r="L110" i="36" s="1"/>
  <c r="L18" i="41"/>
  <c r="L21" i="41" s="1"/>
  <c r="L73" i="40"/>
  <c r="L79" i="40"/>
  <c r="L57" i="40"/>
  <c r="L117" i="40"/>
  <c r="K71" i="40"/>
  <c r="J74" i="40"/>
  <c r="J82" i="40" s="1"/>
  <c r="K123" i="40"/>
  <c r="K80" i="40"/>
  <c r="L77" i="40"/>
  <c r="J119" i="40"/>
  <c r="I120" i="40"/>
  <c r="I128" i="40" s="1"/>
  <c r="L55" i="40"/>
  <c r="J102" i="40"/>
  <c r="J52" i="39"/>
  <c r="K46" i="39"/>
  <c r="H125" i="21" l="1"/>
  <c r="H98" i="21" s="1"/>
  <c r="H133" i="21"/>
  <c r="H97" i="21"/>
  <c r="H106" i="21" s="1"/>
  <c r="N78" i="14"/>
  <c r="N78" i="36" s="1"/>
  <c r="I79" i="21"/>
  <c r="I80" i="21" s="1"/>
  <c r="J78" i="21" s="1"/>
  <c r="I87" i="21"/>
  <c r="N29" i="21"/>
  <c r="N30" i="21"/>
  <c r="Y70" i="44"/>
  <c r="N33" i="40"/>
  <c r="J156" i="54"/>
  <c r="I100" i="62"/>
  <c r="M32" i="14"/>
  <c r="L32" i="36"/>
  <c r="K119" i="29"/>
  <c r="K127" i="29" s="1"/>
  <c r="K128" i="29"/>
  <c r="N125" i="40"/>
  <c r="N11" i="40"/>
  <c r="O10" i="40"/>
  <c r="L126" i="29"/>
  <c r="L124" i="29"/>
  <c r="N56" i="40"/>
  <c r="X152" i="44"/>
  <c r="V64" i="44"/>
  <c r="V65" i="44" s="1"/>
  <c r="K8" i="62"/>
  <c r="L50" i="54"/>
  <c r="X72" i="44"/>
  <c r="X73" i="44" s="1"/>
  <c r="X63" i="44"/>
  <c r="X81" i="44" s="1"/>
  <c r="Y148" i="44"/>
  <c r="W86" i="44"/>
  <c r="W99" i="44" s="1"/>
  <c r="M16" i="14"/>
  <c r="L16" i="36"/>
  <c r="N31" i="40"/>
  <c r="M34" i="40"/>
  <c r="M103" i="40"/>
  <c r="Y63" i="44"/>
  <c r="Y81" i="44" s="1"/>
  <c r="Y72" i="44"/>
  <c r="Y73" i="44" s="1"/>
  <c r="K103" i="54"/>
  <c r="J54" i="62"/>
  <c r="M70" i="39"/>
  <c r="M70" i="35" s="1"/>
  <c r="H126" i="21"/>
  <c r="L19" i="40"/>
  <c r="J111" i="36"/>
  <c r="N94" i="38"/>
  <c r="N70" i="39" s="1"/>
  <c r="G42" i="60"/>
  <c r="G47" i="60" s="1"/>
  <c r="G86" i="59" s="1"/>
  <c r="G76" i="60"/>
  <c r="G81" i="60" s="1"/>
  <c r="G132" i="59" s="1"/>
  <c r="O27" i="40"/>
  <c r="M28" i="40"/>
  <c r="N25" i="40"/>
  <c r="N101" i="40"/>
  <c r="O9" i="40"/>
  <c r="N8" i="40"/>
  <c r="M15" i="40"/>
  <c r="M15" i="36" s="1"/>
  <c r="L61" i="36"/>
  <c r="M61" i="40"/>
  <c r="K107" i="36"/>
  <c r="L107" i="40"/>
  <c r="K65" i="36"/>
  <c r="I86" i="41"/>
  <c r="I89" i="41" s="1"/>
  <c r="I90" i="41" s="1"/>
  <c r="M50" i="41"/>
  <c r="M52" i="41" s="1"/>
  <c r="M55" i="41" s="1"/>
  <c r="M56" i="41" s="1"/>
  <c r="L87" i="40"/>
  <c r="G40" i="59"/>
  <c r="J158" i="58"/>
  <c r="K13" i="57" s="1"/>
  <c r="K152" i="58"/>
  <c r="O78" i="40"/>
  <c r="H25" i="60"/>
  <c r="H27" i="60" s="1"/>
  <c r="H33" i="60" s="1"/>
  <c r="G93" i="60"/>
  <c r="G95" i="60" s="1"/>
  <c r="G101" i="60" s="1"/>
  <c r="M169" i="57"/>
  <c r="M123" i="58"/>
  <c r="G59" i="60"/>
  <c r="G61" i="60" s="1"/>
  <c r="G67" i="60" s="1"/>
  <c r="N70" i="58"/>
  <c r="N101" i="57"/>
  <c r="I6" i="60"/>
  <c r="I25" i="60" s="1"/>
  <c r="I27" i="60" s="1"/>
  <c r="I33" i="60" s="1"/>
  <c r="H40" i="59"/>
  <c r="L108" i="40"/>
  <c r="K108" i="36"/>
  <c r="M62" i="40"/>
  <c r="L62" i="36"/>
  <c r="I52" i="21"/>
  <c r="I53" i="21" s="1"/>
  <c r="I61" i="21" s="1"/>
  <c r="K111" i="59"/>
  <c r="L65" i="59"/>
  <c r="M110" i="14"/>
  <c r="M110" i="36" s="1"/>
  <c r="M64" i="14"/>
  <c r="M64" i="36" s="1"/>
  <c r="M21" i="41"/>
  <c r="M22" i="41" s="1"/>
  <c r="L22" i="41"/>
  <c r="M73" i="40"/>
  <c r="M79" i="40"/>
  <c r="M57" i="40"/>
  <c r="M55" i="40"/>
  <c r="L71" i="40"/>
  <c r="K74" i="40"/>
  <c r="K82" i="40" s="1"/>
  <c r="M117" i="40"/>
  <c r="K119" i="40"/>
  <c r="L123" i="40"/>
  <c r="L80" i="40"/>
  <c r="M77" i="40"/>
  <c r="M19" i="40"/>
  <c r="K102" i="40"/>
  <c r="R91" i="25"/>
  <c r="S91" i="25" s="1"/>
  <c r="H99" i="21" l="1"/>
  <c r="O78" i="14"/>
  <c r="J79" i="21"/>
  <c r="J52" i="21" s="1"/>
  <c r="J51" i="21"/>
  <c r="J53" i="21" s="1"/>
  <c r="J61" i="21" s="1"/>
  <c r="J87" i="21"/>
  <c r="I124" i="21"/>
  <c r="I133" i="21" s="1"/>
  <c r="O30" i="21"/>
  <c r="O29" i="21"/>
  <c r="M36" i="40"/>
  <c r="I8" i="60"/>
  <c r="I13" i="60" s="1"/>
  <c r="I40" i="59" s="1"/>
  <c r="K54" i="62"/>
  <c r="L103" i="54"/>
  <c r="N103" i="40"/>
  <c r="Y152" i="44"/>
  <c r="W64" i="44"/>
  <c r="W65" i="44" s="1"/>
  <c r="O56" i="40"/>
  <c r="J100" i="62"/>
  <c r="K156" i="54"/>
  <c r="Z148" i="44"/>
  <c r="X86" i="44"/>
  <c r="X99" i="44" s="1"/>
  <c r="L119" i="29"/>
  <c r="L127" i="29" s="1"/>
  <c r="L128" i="29"/>
  <c r="P10" i="40"/>
  <c r="O11" i="40"/>
  <c r="O125" i="40"/>
  <c r="L8" i="62"/>
  <c r="M50" i="54"/>
  <c r="AA148" i="44"/>
  <c r="Y86" i="44"/>
  <c r="Y99" i="44" s="1"/>
  <c r="O31" i="40"/>
  <c r="N34" i="40"/>
  <c r="N16" i="14"/>
  <c r="M16" i="36"/>
  <c r="M126" i="29"/>
  <c r="M124" i="29"/>
  <c r="N32" i="14"/>
  <c r="M32" i="36"/>
  <c r="O33" i="40"/>
  <c r="N101" i="38"/>
  <c r="H40" i="60"/>
  <c r="H42" i="60" s="1"/>
  <c r="H47" i="60" s="1"/>
  <c r="H86" i="59" s="1"/>
  <c r="N96" i="34"/>
  <c r="H74" i="60"/>
  <c r="H76" i="60" s="1"/>
  <c r="H81" i="60" s="1"/>
  <c r="I74" i="60" s="1"/>
  <c r="O94" i="38"/>
  <c r="O96" i="34" s="1"/>
  <c r="N70" i="35"/>
  <c r="P27" i="40"/>
  <c r="O25" i="40"/>
  <c r="N28" i="40"/>
  <c r="P9" i="40"/>
  <c r="O101" i="40"/>
  <c r="L65" i="36"/>
  <c r="O8" i="40"/>
  <c r="K111" i="36"/>
  <c r="N15" i="40"/>
  <c r="N15" i="36" s="1"/>
  <c r="M107" i="40"/>
  <c r="L107" i="36"/>
  <c r="M61" i="36"/>
  <c r="N61" i="40"/>
  <c r="M16" i="41"/>
  <c r="L41" i="40"/>
  <c r="N16" i="41"/>
  <c r="N18" i="41" s="1"/>
  <c r="N21" i="41" s="1"/>
  <c r="M41" i="40"/>
  <c r="N50" i="41"/>
  <c r="N52" i="41" s="1"/>
  <c r="N55" i="41" s="1"/>
  <c r="N56" i="41" s="1"/>
  <c r="M87" i="40"/>
  <c r="J84" i="41"/>
  <c r="I133" i="40"/>
  <c r="O70" i="58"/>
  <c r="O101" i="57"/>
  <c r="N169" i="57"/>
  <c r="N123" i="58"/>
  <c r="P78" i="40"/>
  <c r="O78" i="36"/>
  <c r="J6" i="60"/>
  <c r="J25" i="60" s="1"/>
  <c r="J27" i="60" s="1"/>
  <c r="J33" i="60" s="1"/>
  <c r="N62" i="40"/>
  <c r="M62" i="36"/>
  <c r="M108" i="40"/>
  <c r="L108" i="36"/>
  <c r="M65" i="59"/>
  <c r="L111" i="59"/>
  <c r="N64" i="14"/>
  <c r="N64" i="36" s="1"/>
  <c r="N110" i="14"/>
  <c r="N110" i="36" s="1"/>
  <c r="J80" i="21"/>
  <c r="K78" i="21" s="1"/>
  <c r="M18" i="41"/>
  <c r="N73" i="40"/>
  <c r="N79" i="40"/>
  <c r="N57" i="40"/>
  <c r="M123" i="40"/>
  <c r="M80" i="40"/>
  <c r="N77" i="40"/>
  <c r="N55" i="40"/>
  <c r="N117" i="40"/>
  <c r="L102" i="40"/>
  <c r="L74" i="40"/>
  <c r="L82" i="40" s="1"/>
  <c r="M71" i="40"/>
  <c r="L119" i="40"/>
  <c r="K120" i="40"/>
  <c r="I97" i="21" l="1"/>
  <c r="I106" i="21" s="1"/>
  <c r="J60" i="21"/>
  <c r="P78" i="14"/>
  <c r="K79" i="21"/>
  <c r="I125" i="21"/>
  <c r="P29" i="21"/>
  <c r="P30" i="21"/>
  <c r="H59" i="60"/>
  <c r="H61" i="60" s="1"/>
  <c r="H67" i="60" s="1"/>
  <c r="M119" i="29"/>
  <c r="M127" i="29" s="1"/>
  <c r="M128" i="29"/>
  <c r="Y64" i="44"/>
  <c r="Y65" i="44" s="1"/>
  <c r="AA152" i="44"/>
  <c r="O70" i="39"/>
  <c r="O70" i="35" s="1"/>
  <c r="N36" i="40"/>
  <c r="P31" i="40"/>
  <c r="O34" i="40"/>
  <c r="P33" i="40"/>
  <c r="O32" i="14"/>
  <c r="N32" i="36"/>
  <c r="M8" i="62"/>
  <c r="N50" i="54"/>
  <c r="P125" i="40"/>
  <c r="X64" i="44"/>
  <c r="X65" i="44" s="1"/>
  <c r="Z152" i="44"/>
  <c r="P56" i="40"/>
  <c r="O103" i="40"/>
  <c r="P11" i="40"/>
  <c r="N124" i="29"/>
  <c r="N126" i="29"/>
  <c r="O16" i="14"/>
  <c r="N16" i="36"/>
  <c r="L156" i="54"/>
  <c r="K100" i="62"/>
  <c r="M103" i="54"/>
  <c r="L54" i="62"/>
  <c r="I40" i="60"/>
  <c r="I59" i="60" s="1"/>
  <c r="I61" i="60" s="1"/>
  <c r="I67" i="60" s="1"/>
  <c r="H93" i="60"/>
  <c r="H95" i="60" s="1"/>
  <c r="H101" i="60" s="1"/>
  <c r="O101" i="38"/>
  <c r="P94" i="38"/>
  <c r="P96" i="34" s="1"/>
  <c r="I76" i="60"/>
  <c r="I81" i="60" s="1"/>
  <c r="J74" i="60" s="1"/>
  <c r="P25" i="40"/>
  <c r="O28" i="40"/>
  <c r="O36" i="40" s="1"/>
  <c r="P101" i="40"/>
  <c r="N19" i="40"/>
  <c r="P8" i="40"/>
  <c r="O15" i="40"/>
  <c r="O15" i="36" s="1"/>
  <c r="M65" i="36"/>
  <c r="L111" i="36"/>
  <c r="N61" i="36"/>
  <c r="O61" i="40"/>
  <c r="M107" i="36"/>
  <c r="N107" i="40"/>
  <c r="J86" i="41"/>
  <c r="J89" i="41" s="1"/>
  <c r="J90" i="41" s="1"/>
  <c r="O50" i="41"/>
  <c r="O52" i="41" s="1"/>
  <c r="O55" i="41" s="1"/>
  <c r="O56" i="41" s="1"/>
  <c r="N87" i="40"/>
  <c r="H132" i="59"/>
  <c r="J8" i="60"/>
  <c r="J13" i="60" s="1"/>
  <c r="K6" i="60" s="1"/>
  <c r="K8" i="60" s="1"/>
  <c r="P70" i="58"/>
  <c r="P101" i="57"/>
  <c r="O169" i="57"/>
  <c r="O123" i="58"/>
  <c r="I93" i="60"/>
  <c r="I95" i="60" s="1"/>
  <c r="I101" i="60" s="1"/>
  <c r="O62" i="40"/>
  <c r="N62" i="36"/>
  <c r="N108" i="40"/>
  <c r="M108" i="36"/>
  <c r="N65" i="59"/>
  <c r="M111" i="59"/>
  <c r="O110" i="14"/>
  <c r="O110" i="36" s="1"/>
  <c r="O64" i="14"/>
  <c r="O64" i="36" s="1"/>
  <c r="K87" i="21"/>
  <c r="K51" i="21"/>
  <c r="O21" i="41"/>
  <c r="N22" i="41"/>
  <c r="O73" i="40"/>
  <c r="O79" i="40"/>
  <c r="O57" i="40"/>
  <c r="O55" i="40"/>
  <c r="M119" i="40"/>
  <c r="L120" i="40"/>
  <c r="N123" i="40"/>
  <c r="M74" i="40"/>
  <c r="M82" i="40" s="1"/>
  <c r="N71" i="40"/>
  <c r="N80" i="40"/>
  <c r="O77" i="40"/>
  <c r="M102" i="40"/>
  <c r="O117" i="40"/>
  <c r="P78" i="36" l="1"/>
  <c r="J40" i="59"/>
  <c r="P101" i="38"/>
  <c r="I98" i="21"/>
  <c r="I99" i="21" s="1"/>
  <c r="I126" i="21"/>
  <c r="Q30" i="21"/>
  <c r="Q29" i="21"/>
  <c r="I42" i="60"/>
  <c r="I47" i="60" s="1"/>
  <c r="J40" i="60" s="1"/>
  <c r="J42" i="60" s="1"/>
  <c r="J47" i="60" s="1"/>
  <c r="M156" i="54"/>
  <c r="L100" i="62"/>
  <c r="P103" i="40"/>
  <c r="O50" i="54"/>
  <c r="N8" i="62"/>
  <c r="P31" i="49"/>
  <c r="P32" i="14"/>
  <c r="O32" i="36"/>
  <c r="P34" i="40"/>
  <c r="N128" i="29"/>
  <c r="N119" i="29"/>
  <c r="N127" i="29" s="1"/>
  <c r="O126" i="29"/>
  <c r="O19" i="40"/>
  <c r="N103" i="54"/>
  <c r="M54" i="62"/>
  <c r="P16" i="14"/>
  <c r="P16" i="36" s="1"/>
  <c r="O16" i="36"/>
  <c r="P70" i="39"/>
  <c r="P70" i="35" s="1"/>
  <c r="I132" i="59"/>
  <c r="J76" i="60"/>
  <c r="J81" i="60" s="1"/>
  <c r="K74" i="60" s="1"/>
  <c r="P28" i="40"/>
  <c r="P15" i="40"/>
  <c r="N65" i="36"/>
  <c r="N107" i="36"/>
  <c r="O107" i="40"/>
  <c r="M111" i="36"/>
  <c r="O61" i="36"/>
  <c r="P61" i="40"/>
  <c r="P61" i="36" s="1"/>
  <c r="O16" i="41"/>
  <c r="N41" i="40"/>
  <c r="P50" i="41"/>
  <c r="P52" i="41" s="1"/>
  <c r="P55" i="41" s="1"/>
  <c r="P56" i="41" s="1"/>
  <c r="P87" i="40" s="1"/>
  <c r="O87" i="40"/>
  <c r="K84" i="41"/>
  <c r="J133" i="40"/>
  <c r="J93" i="60"/>
  <c r="J95" i="60" s="1"/>
  <c r="J101" i="60" s="1"/>
  <c r="P169" i="57"/>
  <c r="P123" i="58"/>
  <c r="O108" i="40"/>
  <c r="N108" i="36"/>
  <c r="P62" i="40"/>
  <c r="P62" i="36" s="1"/>
  <c r="O62" i="36"/>
  <c r="K25" i="60"/>
  <c r="K27" i="60" s="1"/>
  <c r="N111" i="59"/>
  <c r="P65" i="59"/>
  <c r="O65" i="59"/>
  <c r="P64" i="14"/>
  <c r="P64" i="36" s="1"/>
  <c r="P110" i="14"/>
  <c r="P110" i="36" s="1"/>
  <c r="K80" i="21"/>
  <c r="L78" i="21" s="1"/>
  <c r="K52" i="21"/>
  <c r="K53" i="21" s="1"/>
  <c r="K61" i="21" s="1"/>
  <c r="K60" i="21"/>
  <c r="O18" i="41"/>
  <c r="P21" i="41"/>
  <c r="P22" i="41" s="1"/>
  <c r="P41" i="40" s="1"/>
  <c r="O22" i="41"/>
  <c r="P73" i="40"/>
  <c r="P79" i="40"/>
  <c r="P57" i="40"/>
  <c r="N74" i="40"/>
  <c r="N82" i="40" s="1"/>
  <c r="O71" i="40"/>
  <c r="O123" i="40"/>
  <c r="N102" i="40"/>
  <c r="P77" i="40"/>
  <c r="O80" i="40"/>
  <c r="P55" i="40"/>
  <c r="P117" i="40"/>
  <c r="N119" i="40"/>
  <c r="M120" i="40"/>
  <c r="K18" i="19"/>
  <c r="J18" i="19"/>
  <c r="I18" i="19"/>
  <c r="H18" i="19"/>
  <c r="H19" i="19" s="1"/>
  <c r="I19" i="19" s="1"/>
  <c r="J19" i="19" s="1"/>
  <c r="K19" i="19" s="1"/>
  <c r="M83" i="25"/>
  <c r="N83" i="25" s="1"/>
  <c r="O83" i="25" s="1"/>
  <c r="P83" i="25" s="1"/>
  <c r="Q83" i="25" s="1"/>
  <c r="R83" i="25" s="1"/>
  <c r="M82" i="25"/>
  <c r="N82" i="25" s="1"/>
  <c r="O82" i="25" s="1"/>
  <c r="P82" i="25" s="1"/>
  <c r="Q82" i="25" s="1"/>
  <c r="R82" i="25" s="1"/>
  <c r="M81" i="25"/>
  <c r="N81" i="25" s="1"/>
  <c r="O81" i="25" s="1"/>
  <c r="P81" i="25" s="1"/>
  <c r="Q81" i="25" s="1"/>
  <c r="R81" i="25" s="1"/>
  <c r="M80" i="25"/>
  <c r="N80" i="25" s="1"/>
  <c r="O80" i="25" s="1"/>
  <c r="P80" i="25" s="1"/>
  <c r="Q80" i="25" s="1"/>
  <c r="R80" i="25" s="1"/>
  <c r="M79" i="25"/>
  <c r="N79" i="25" s="1"/>
  <c r="O79" i="25" s="1"/>
  <c r="P79" i="25" s="1"/>
  <c r="Q79" i="25" s="1"/>
  <c r="R79" i="25" s="1"/>
  <c r="M78" i="25"/>
  <c r="N78" i="25" s="1"/>
  <c r="O78" i="25" s="1"/>
  <c r="P78" i="25" s="1"/>
  <c r="Q78" i="25" s="1"/>
  <c r="R78" i="25" s="1"/>
  <c r="M77" i="25"/>
  <c r="N77" i="25" s="1"/>
  <c r="O77" i="25" s="1"/>
  <c r="P77" i="25" s="1"/>
  <c r="Q77" i="25" s="1"/>
  <c r="R77" i="25" s="1"/>
  <c r="M76" i="25"/>
  <c r="N76" i="25" s="1"/>
  <c r="O76" i="25" s="1"/>
  <c r="P76" i="25" s="1"/>
  <c r="Q76" i="25" s="1"/>
  <c r="R76" i="25" s="1"/>
  <c r="M75" i="25"/>
  <c r="N75" i="25" s="1"/>
  <c r="O75" i="25" s="1"/>
  <c r="P75" i="25" s="1"/>
  <c r="Q75" i="25" s="1"/>
  <c r="R75" i="25" s="1"/>
  <c r="M74" i="25"/>
  <c r="N74" i="25" s="1"/>
  <c r="O74" i="25" s="1"/>
  <c r="P74" i="25" s="1"/>
  <c r="Q74" i="25" s="1"/>
  <c r="R74" i="25" s="1"/>
  <c r="M73" i="25"/>
  <c r="N73" i="25" s="1"/>
  <c r="O73" i="25" s="1"/>
  <c r="P73" i="25" s="1"/>
  <c r="Q73" i="25" s="1"/>
  <c r="R73" i="25" s="1"/>
  <c r="M72" i="25"/>
  <c r="N72" i="25" s="1"/>
  <c r="O72" i="25" s="1"/>
  <c r="P72" i="25" s="1"/>
  <c r="Q72" i="25" s="1"/>
  <c r="R72" i="25" s="1"/>
  <c r="M71" i="25"/>
  <c r="N71" i="25" s="1"/>
  <c r="O71" i="25" s="1"/>
  <c r="P71" i="25" s="1"/>
  <c r="Q71" i="25" s="1"/>
  <c r="R71" i="25" s="1"/>
  <c r="M70" i="25"/>
  <c r="N70" i="25" s="1"/>
  <c r="O70" i="25" s="1"/>
  <c r="P70" i="25" s="1"/>
  <c r="Q70" i="25" s="1"/>
  <c r="R70" i="25" s="1"/>
  <c r="M69" i="25"/>
  <c r="N69" i="25" s="1"/>
  <c r="O69" i="25" s="1"/>
  <c r="P69" i="25" s="1"/>
  <c r="Q69" i="25" s="1"/>
  <c r="R69" i="25" s="1"/>
  <c r="M68" i="25"/>
  <c r="N68" i="25" s="1"/>
  <c r="O68" i="25" s="1"/>
  <c r="P68" i="25" s="1"/>
  <c r="Q68" i="25" s="1"/>
  <c r="R68" i="25" s="1"/>
  <c r="M67" i="25"/>
  <c r="N67" i="25" s="1"/>
  <c r="O67" i="25" s="1"/>
  <c r="P67" i="25" s="1"/>
  <c r="Q67" i="25" s="1"/>
  <c r="R67" i="25" s="1"/>
  <c r="M66" i="25"/>
  <c r="N66" i="25" s="1"/>
  <c r="O66" i="25" s="1"/>
  <c r="P66" i="25" s="1"/>
  <c r="Q66" i="25" s="1"/>
  <c r="R66" i="25" s="1"/>
  <c r="M65" i="25"/>
  <c r="N65" i="25" s="1"/>
  <c r="O65" i="25" s="1"/>
  <c r="P65" i="25" s="1"/>
  <c r="Q65" i="25" s="1"/>
  <c r="R65" i="25" s="1"/>
  <c r="M64" i="25"/>
  <c r="N64" i="25" s="1"/>
  <c r="O64" i="25" s="1"/>
  <c r="P64" i="25" s="1"/>
  <c r="Q64" i="25" s="1"/>
  <c r="R64" i="25" s="1"/>
  <c r="M63" i="25"/>
  <c r="N63" i="25" s="1"/>
  <c r="O63" i="25" s="1"/>
  <c r="P63" i="25" s="1"/>
  <c r="Q63" i="25" s="1"/>
  <c r="R63" i="25" s="1"/>
  <c r="M62" i="25"/>
  <c r="N62" i="25" s="1"/>
  <c r="O62" i="25" s="1"/>
  <c r="P62" i="25" s="1"/>
  <c r="Q62" i="25" s="1"/>
  <c r="R62" i="25" s="1"/>
  <c r="M61" i="25"/>
  <c r="N61" i="25" s="1"/>
  <c r="O61" i="25" s="1"/>
  <c r="P61" i="25" s="1"/>
  <c r="Q61" i="25" s="1"/>
  <c r="R61" i="25" s="1"/>
  <c r="M60" i="25"/>
  <c r="N60" i="25" s="1"/>
  <c r="O60" i="25" s="1"/>
  <c r="P60" i="25" s="1"/>
  <c r="Q60" i="25" s="1"/>
  <c r="R60" i="25" s="1"/>
  <c r="M59" i="25"/>
  <c r="N59" i="25" s="1"/>
  <c r="O59" i="25" s="1"/>
  <c r="P59" i="25" s="1"/>
  <c r="Q59" i="25" s="1"/>
  <c r="R59" i="25" s="1"/>
  <c r="M58" i="25"/>
  <c r="N58" i="25" s="1"/>
  <c r="O58" i="25" s="1"/>
  <c r="P58" i="25" s="1"/>
  <c r="Q58" i="25" s="1"/>
  <c r="R58" i="25" s="1"/>
  <c r="M57" i="25"/>
  <c r="N57" i="25" s="1"/>
  <c r="O57" i="25" s="1"/>
  <c r="P57" i="25" s="1"/>
  <c r="Q57" i="25" s="1"/>
  <c r="R57" i="25" s="1"/>
  <c r="M56" i="25"/>
  <c r="N56" i="25" s="1"/>
  <c r="O56" i="25" s="1"/>
  <c r="P56" i="25" s="1"/>
  <c r="Q56" i="25" s="1"/>
  <c r="R56" i="25" s="1"/>
  <c r="M55" i="25"/>
  <c r="N55" i="25" s="1"/>
  <c r="O55" i="25" s="1"/>
  <c r="P55" i="25" s="1"/>
  <c r="Q55" i="25" s="1"/>
  <c r="R55" i="25" s="1"/>
  <c r="M54" i="25"/>
  <c r="N54" i="25" s="1"/>
  <c r="O54" i="25" s="1"/>
  <c r="P54" i="25" s="1"/>
  <c r="Q54" i="25" s="1"/>
  <c r="R54" i="25" s="1"/>
  <c r="M53" i="25"/>
  <c r="N53" i="25" s="1"/>
  <c r="O53" i="25" s="1"/>
  <c r="P53" i="25" s="1"/>
  <c r="Q53" i="25" s="1"/>
  <c r="R53" i="25" s="1"/>
  <c r="M52" i="25"/>
  <c r="N52" i="25" s="1"/>
  <c r="O52" i="25" s="1"/>
  <c r="P52" i="25" s="1"/>
  <c r="Q52" i="25" s="1"/>
  <c r="R52" i="25" s="1"/>
  <c r="M51" i="25"/>
  <c r="N51" i="25" s="1"/>
  <c r="O51" i="25" s="1"/>
  <c r="P51" i="25" s="1"/>
  <c r="Q51" i="25" s="1"/>
  <c r="R51" i="25" s="1"/>
  <c r="M50" i="25"/>
  <c r="N50" i="25" s="1"/>
  <c r="O50" i="25" s="1"/>
  <c r="P50" i="25" s="1"/>
  <c r="Q50" i="25" s="1"/>
  <c r="R50" i="25" s="1"/>
  <c r="M49" i="25"/>
  <c r="N49" i="25" s="1"/>
  <c r="O49" i="25" s="1"/>
  <c r="P49" i="25" s="1"/>
  <c r="Q49" i="25" s="1"/>
  <c r="R49" i="25" s="1"/>
  <c r="M48" i="25"/>
  <c r="N48" i="25" s="1"/>
  <c r="O48" i="25" s="1"/>
  <c r="P48" i="25" s="1"/>
  <c r="Q48" i="25" s="1"/>
  <c r="R48" i="25" s="1"/>
  <c r="M47" i="25"/>
  <c r="N47" i="25" s="1"/>
  <c r="O47" i="25" s="1"/>
  <c r="P47" i="25" s="1"/>
  <c r="Q47" i="25" s="1"/>
  <c r="R47" i="25" s="1"/>
  <c r="M46" i="25"/>
  <c r="N46" i="25" s="1"/>
  <c r="O46" i="25" s="1"/>
  <c r="P46" i="25" s="1"/>
  <c r="Q46" i="25" s="1"/>
  <c r="R46" i="25" s="1"/>
  <c r="M45" i="25"/>
  <c r="N45" i="25" s="1"/>
  <c r="O45" i="25" s="1"/>
  <c r="P45" i="25" s="1"/>
  <c r="Q45" i="25" s="1"/>
  <c r="R45" i="25" s="1"/>
  <c r="M44" i="25"/>
  <c r="N44" i="25" s="1"/>
  <c r="O44" i="25" s="1"/>
  <c r="P44" i="25" s="1"/>
  <c r="Q44" i="25" s="1"/>
  <c r="R44" i="25" s="1"/>
  <c r="M43" i="25"/>
  <c r="N43" i="25" s="1"/>
  <c r="O43" i="25" s="1"/>
  <c r="P43" i="25" s="1"/>
  <c r="Q43" i="25" s="1"/>
  <c r="R43" i="25" s="1"/>
  <c r="M42" i="25"/>
  <c r="N42" i="25" s="1"/>
  <c r="O42" i="25" s="1"/>
  <c r="P42" i="25" s="1"/>
  <c r="Q42" i="25" s="1"/>
  <c r="R42" i="25" s="1"/>
  <c r="M41" i="25"/>
  <c r="N41" i="25" s="1"/>
  <c r="O41" i="25" s="1"/>
  <c r="P41" i="25" s="1"/>
  <c r="Q41" i="25" s="1"/>
  <c r="R41" i="25" s="1"/>
  <c r="M40" i="25"/>
  <c r="N40" i="25" s="1"/>
  <c r="O40" i="25" s="1"/>
  <c r="P40" i="25" s="1"/>
  <c r="Q40" i="25" s="1"/>
  <c r="R40" i="25" s="1"/>
  <c r="M39" i="25"/>
  <c r="N39" i="25" s="1"/>
  <c r="O39" i="25" s="1"/>
  <c r="P39" i="25" s="1"/>
  <c r="Q39" i="25" s="1"/>
  <c r="R39" i="25" s="1"/>
  <c r="M38" i="25"/>
  <c r="N38" i="25" s="1"/>
  <c r="O38" i="25" s="1"/>
  <c r="P38" i="25" s="1"/>
  <c r="Q38" i="25" s="1"/>
  <c r="R38" i="25" s="1"/>
  <c r="M37" i="25"/>
  <c r="N37" i="25" s="1"/>
  <c r="O37" i="25" s="1"/>
  <c r="P37" i="25" s="1"/>
  <c r="Q37" i="25" s="1"/>
  <c r="R37" i="25" s="1"/>
  <c r="M36" i="25"/>
  <c r="N36" i="25" s="1"/>
  <c r="O36" i="25" s="1"/>
  <c r="P36" i="25" s="1"/>
  <c r="Q36" i="25" s="1"/>
  <c r="R36" i="25" s="1"/>
  <c r="M35" i="25"/>
  <c r="N35" i="25" s="1"/>
  <c r="O35" i="25" s="1"/>
  <c r="P35" i="25" s="1"/>
  <c r="Q35" i="25" s="1"/>
  <c r="R35" i="25" s="1"/>
  <c r="M34" i="25"/>
  <c r="N34" i="25" s="1"/>
  <c r="O34" i="25" s="1"/>
  <c r="P34" i="25" s="1"/>
  <c r="Q34" i="25" s="1"/>
  <c r="R34" i="25" s="1"/>
  <c r="M33" i="25"/>
  <c r="N33" i="25" s="1"/>
  <c r="O33" i="25" s="1"/>
  <c r="P33" i="25" s="1"/>
  <c r="Q33" i="25" s="1"/>
  <c r="R33" i="25" s="1"/>
  <c r="M32" i="25"/>
  <c r="N32" i="25" s="1"/>
  <c r="O32" i="25" s="1"/>
  <c r="P32" i="25" s="1"/>
  <c r="Q32" i="25" s="1"/>
  <c r="R32" i="25" s="1"/>
  <c r="M31" i="25"/>
  <c r="N31" i="25" s="1"/>
  <c r="O31" i="25" s="1"/>
  <c r="P31" i="25" s="1"/>
  <c r="Q31" i="25" s="1"/>
  <c r="R31" i="25" s="1"/>
  <c r="M30" i="25"/>
  <c r="N30" i="25" s="1"/>
  <c r="O30" i="25" s="1"/>
  <c r="P30" i="25" s="1"/>
  <c r="Q30" i="25" s="1"/>
  <c r="R30" i="25" s="1"/>
  <c r="M29" i="25"/>
  <c r="N29" i="25" s="1"/>
  <c r="O29" i="25" s="1"/>
  <c r="P29" i="25" s="1"/>
  <c r="Q29" i="25" s="1"/>
  <c r="R29" i="25" s="1"/>
  <c r="M28" i="25"/>
  <c r="N28" i="25" s="1"/>
  <c r="O28" i="25" s="1"/>
  <c r="P28" i="25" s="1"/>
  <c r="Q28" i="25" s="1"/>
  <c r="R28" i="25" s="1"/>
  <c r="M27" i="25"/>
  <c r="N27" i="25" s="1"/>
  <c r="O27" i="25" s="1"/>
  <c r="P27" i="25" s="1"/>
  <c r="Q27" i="25" s="1"/>
  <c r="R27" i="25" s="1"/>
  <c r="M26" i="25"/>
  <c r="N26" i="25" s="1"/>
  <c r="O26" i="25" s="1"/>
  <c r="P26" i="25" s="1"/>
  <c r="Q26" i="25" s="1"/>
  <c r="R26" i="25" s="1"/>
  <c r="M25" i="25"/>
  <c r="N25" i="25" s="1"/>
  <c r="O25" i="25" s="1"/>
  <c r="P25" i="25" s="1"/>
  <c r="Q25" i="25" s="1"/>
  <c r="R25" i="25" s="1"/>
  <c r="M24" i="25"/>
  <c r="N24" i="25" s="1"/>
  <c r="O24" i="25" s="1"/>
  <c r="P24" i="25" s="1"/>
  <c r="Q24" i="25" s="1"/>
  <c r="R24" i="25" s="1"/>
  <c r="M23" i="25"/>
  <c r="N23" i="25" s="1"/>
  <c r="O23" i="25" s="1"/>
  <c r="P23" i="25" s="1"/>
  <c r="Q23" i="25" s="1"/>
  <c r="R23" i="25" s="1"/>
  <c r="M22" i="25"/>
  <c r="N22" i="25" s="1"/>
  <c r="O22" i="25" s="1"/>
  <c r="P22" i="25" s="1"/>
  <c r="Q22" i="25" s="1"/>
  <c r="R22" i="25" s="1"/>
  <c r="M21" i="25"/>
  <c r="N21" i="25" s="1"/>
  <c r="O21" i="25" s="1"/>
  <c r="P21" i="25" s="1"/>
  <c r="Q21" i="25" s="1"/>
  <c r="R21" i="25" s="1"/>
  <c r="M20" i="25"/>
  <c r="N20" i="25" s="1"/>
  <c r="O20" i="25" s="1"/>
  <c r="P20" i="25" s="1"/>
  <c r="Q20" i="25" s="1"/>
  <c r="R20" i="25" s="1"/>
  <c r="M19" i="25"/>
  <c r="N19" i="25" s="1"/>
  <c r="O19" i="25" s="1"/>
  <c r="P19" i="25" s="1"/>
  <c r="Q19" i="25" s="1"/>
  <c r="R19" i="25" s="1"/>
  <c r="M18" i="25"/>
  <c r="N18" i="25" s="1"/>
  <c r="O18" i="25" s="1"/>
  <c r="P18" i="25" s="1"/>
  <c r="Q18" i="25" s="1"/>
  <c r="R18" i="25" s="1"/>
  <c r="M17" i="25"/>
  <c r="N17" i="25" s="1"/>
  <c r="O17" i="25" s="1"/>
  <c r="P17" i="25" s="1"/>
  <c r="Q17" i="25" s="1"/>
  <c r="R17" i="25" s="1"/>
  <c r="M16" i="25"/>
  <c r="N16" i="25" s="1"/>
  <c r="O16" i="25" s="1"/>
  <c r="P16" i="25" s="1"/>
  <c r="Q16" i="25" s="1"/>
  <c r="R16" i="25" s="1"/>
  <c r="M15" i="25"/>
  <c r="N15" i="25" s="1"/>
  <c r="O15" i="25" s="1"/>
  <c r="P15" i="25" s="1"/>
  <c r="Q15" i="25" s="1"/>
  <c r="R15" i="25" s="1"/>
  <c r="M14" i="25"/>
  <c r="N14" i="25" s="1"/>
  <c r="O14" i="25" s="1"/>
  <c r="P14" i="25" s="1"/>
  <c r="Q14" i="25" s="1"/>
  <c r="R14" i="25" s="1"/>
  <c r="M13" i="25"/>
  <c r="N13" i="25" s="1"/>
  <c r="O13" i="25" s="1"/>
  <c r="P13" i="25" s="1"/>
  <c r="Q13" i="25" s="1"/>
  <c r="R13" i="25" s="1"/>
  <c r="M12" i="25"/>
  <c r="N12" i="25" s="1"/>
  <c r="O12" i="25" s="1"/>
  <c r="P12" i="25" s="1"/>
  <c r="Q12" i="25" s="1"/>
  <c r="R12" i="25" s="1"/>
  <c r="M11" i="25"/>
  <c r="N11" i="25" s="1"/>
  <c r="O11" i="25" s="1"/>
  <c r="P11" i="25" s="1"/>
  <c r="Q11" i="25" s="1"/>
  <c r="R11" i="25" s="1"/>
  <c r="M10" i="25"/>
  <c r="N10" i="25" s="1"/>
  <c r="O10" i="25" s="1"/>
  <c r="P10" i="25" s="1"/>
  <c r="Q10" i="25" s="1"/>
  <c r="R10" i="25" s="1"/>
  <c r="M9" i="25"/>
  <c r="N9" i="25" s="1"/>
  <c r="O9" i="25" s="1"/>
  <c r="P9" i="25" s="1"/>
  <c r="Q9" i="25" s="1"/>
  <c r="R9" i="25" s="1"/>
  <c r="M8" i="25"/>
  <c r="N8" i="25" s="1"/>
  <c r="O8" i="25" s="1"/>
  <c r="P8" i="25" s="1"/>
  <c r="Q8" i="25" s="1"/>
  <c r="R8" i="25" s="1"/>
  <c r="M7" i="25"/>
  <c r="N7" i="25" s="1"/>
  <c r="O7" i="25" s="1"/>
  <c r="P7" i="25" s="1"/>
  <c r="Q7" i="25" s="1"/>
  <c r="R7" i="25" s="1"/>
  <c r="M6" i="25"/>
  <c r="N6" i="25" s="1"/>
  <c r="O6" i="25" s="1"/>
  <c r="P6" i="25" s="1"/>
  <c r="Q6" i="25" s="1"/>
  <c r="R6" i="25" s="1"/>
  <c r="M5" i="25"/>
  <c r="N5" i="25" s="1"/>
  <c r="O5" i="25" s="1"/>
  <c r="P5" i="25" s="1"/>
  <c r="Q5" i="25" s="1"/>
  <c r="R5" i="25" s="1"/>
  <c r="P32" i="36" l="1"/>
  <c r="J59" i="60"/>
  <c r="J61" i="60" s="1"/>
  <c r="J67" i="60" s="1"/>
  <c r="I86" i="59"/>
  <c r="L79" i="21"/>
  <c r="J124" i="21"/>
  <c r="Q21" i="21"/>
  <c r="Q22" i="21" s="1"/>
  <c r="O124" i="29"/>
  <c r="Q28" i="21"/>
  <c r="O103" i="54"/>
  <c r="N54" i="62"/>
  <c r="P36" i="40"/>
  <c r="O8" i="62"/>
  <c r="P50" i="54"/>
  <c r="P8" i="62" s="1"/>
  <c r="N156" i="54"/>
  <c r="M100" i="62"/>
  <c r="J132" i="59"/>
  <c r="N111" i="36"/>
  <c r="O65" i="36"/>
  <c r="K76" i="60"/>
  <c r="P15" i="36"/>
  <c r="P19" i="40"/>
  <c r="O107" i="36"/>
  <c r="P107" i="40"/>
  <c r="P107" i="36" s="1"/>
  <c r="P16" i="41"/>
  <c r="P18" i="41" s="1"/>
  <c r="O41" i="40"/>
  <c r="K86" i="41"/>
  <c r="K89" i="41" s="1"/>
  <c r="K90" i="41" s="1"/>
  <c r="P65" i="36"/>
  <c r="K93" i="60"/>
  <c r="K95" i="60" s="1"/>
  <c r="P108" i="40"/>
  <c r="P108" i="36" s="1"/>
  <c r="O108" i="36"/>
  <c r="K40" i="60"/>
  <c r="J86" i="59"/>
  <c r="P111" i="59"/>
  <c r="O111" i="59"/>
  <c r="L87" i="21"/>
  <c r="L51" i="21"/>
  <c r="P80" i="40"/>
  <c r="O102" i="40"/>
  <c r="P123" i="40"/>
  <c r="O74" i="40"/>
  <c r="O82" i="40" s="1"/>
  <c r="P71" i="40"/>
  <c r="O119" i="40"/>
  <c r="N120" i="40"/>
  <c r="J125" i="21" l="1"/>
  <c r="J98" i="21" s="1"/>
  <c r="J97" i="21"/>
  <c r="J126" i="21"/>
  <c r="J133" i="21"/>
  <c r="O156" i="54"/>
  <c r="N100" i="62"/>
  <c r="O128" i="29"/>
  <c r="O119" i="29"/>
  <c r="O127" i="29" s="1"/>
  <c r="O54" i="62"/>
  <c r="P103" i="54"/>
  <c r="P54" i="62" s="1"/>
  <c r="P111" i="36"/>
  <c r="O111" i="36"/>
  <c r="L84" i="41"/>
  <c r="K133" i="40"/>
  <c r="K42" i="60"/>
  <c r="K59" i="60"/>
  <c r="K61" i="60" s="1"/>
  <c r="L60" i="21"/>
  <c r="L80" i="21"/>
  <c r="M78" i="21" s="1"/>
  <c r="L52" i="21"/>
  <c r="L53" i="21" s="1"/>
  <c r="L61" i="21" s="1"/>
  <c r="P74" i="40"/>
  <c r="P82" i="40" s="1"/>
  <c r="P119" i="40"/>
  <c r="O120" i="40"/>
  <c r="P102" i="40"/>
  <c r="F31" i="4"/>
  <c r="M79" i="21" l="1"/>
  <c r="J106" i="21"/>
  <c r="J99" i="21"/>
  <c r="K124" i="21"/>
  <c r="P156" i="54"/>
  <c r="P100" i="62" s="1"/>
  <c r="O100" i="62"/>
  <c r="L86" i="41"/>
  <c r="L89" i="41" s="1"/>
  <c r="L90" i="41" s="1"/>
  <c r="M87" i="21"/>
  <c r="M51" i="21"/>
  <c r="I202" i="34"/>
  <c r="H202" i="34"/>
  <c r="J202" i="34"/>
  <c r="G202" i="34"/>
  <c r="P120" i="40"/>
  <c r="G12" i="30"/>
  <c r="F12" i="30"/>
  <c r="G8" i="30"/>
  <c r="F8" i="30"/>
  <c r="G7" i="30"/>
  <c r="F7" i="30"/>
  <c r="K125" i="21" l="1"/>
  <c r="K98" i="21" s="1"/>
  <c r="K126" i="21"/>
  <c r="L124" i="21" s="1"/>
  <c r="K97" i="21"/>
  <c r="K133" i="21"/>
  <c r="M84" i="41"/>
  <c r="L133" i="40"/>
  <c r="M60" i="21"/>
  <c r="M80" i="21"/>
  <c r="N78" i="21" s="1"/>
  <c r="M52" i="21"/>
  <c r="M53" i="21" s="1"/>
  <c r="M61" i="21" s="1"/>
  <c r="G210" i="4"/>
  <c r="G213" i="4" s="1"/>
  <c r="G215" i="4" s="1"/>
  <c r="H214" i="4" s="1"/>
  <c r="J210" i="4"/>
  <c r="J213" i="4" s="1"/>
  <c r="J206" i="34"/>
  <c r="J209" i="34" s="1"/>
  <c r="I210" i="4"/>
  <c r="I213" i="4" s="1"/>
  <c r="I206" i="34"/>
  <c r="I209" i="34" s="1"/>
  <c r="H210" i="4"/>
  <c r="H213" i="4" s="1"/>
  <c r="H206" i="34"/>
  <c r="H209" i="34" s="1"/>
  <c r="G206" i="34"/>
  <c r="G209" i="34" s="1"/>
  <c r="G211" i="34" s="1"/>
  <c r="H210" i="34" s="1"/>
  <c r="G126" i="39"/>
  <c r="H126" i="39"/>
  <c r="I126" i="39"/>
  <c r="J126" i="39"/>
  <c r="F171" i="34"/>
  <c r="F126" i="39"/>
  <c r="E111" i="40"/>
  <c r="E113" i="40" s="1"/>
  <c r="E129" i="40" s="1"/>
  <c r="N79" i="21" l="1"/>
  <c r="L125" i="21"/>
  <c r="L98" i="21" s="1"/>
  <c r="L133" i="21"/>
  <c r="L97" i="21"/>
  <c r="L106" i="21" s="1"/>
  <c r="L126" i="21"/>
  <c r="M124" i="21" s="1"/>
  <c r="K99" i="21"/>
  <c r="K106" i="21"/>
  <c r="M86" i="41"/>
  <c r="M89" i="41" s="1"/>
  <c r="M90" i="41" s="1"/>
  <c r="N87" i="21"/>
  <c r="N51" i="21"/>
  <c r="H215" i="4"/>
  <c r="I214" i="4" s="1"/>
  <c r="I215" i="4" s="1"/>
  <c r="J214" i="4" s="1"/>
  <c r="J215" i="4" s="1"/>
  <c r="K214" i="4" s="1"/>
  <c r="H211" i="34"/>
  <c r="I210" i="34" s="1"/>
  <c r="I211" i="34" s="1"/>
  <c r="J210" i="34" s="1"/>
  <c r="J211" i="34" s="1"/>
  <c r="K210" i="34" s="1"/>
  <c r="F226" i="29"/>
  <c r="G226" i="29" s="1"/>
  <c r="H226" i="29" s="1"/>
  <c r="J226" i="29" s="1"/>
  <c r="K226" i="29" s="1"/>
  <c r="L226" i="29" s="1"/>
  <c r="M226" i="29" s="1"/>
  <c r="N226" i="29" s="1"/>
  <c r="O226" i="29" s="1"/>
  <c r="D179" i="29"/>
  <c r="D175" i="29"/>
  <c r="E175" i="29" s="1"/>
  <c r="F175" i="29" s="1"/>
  <c r="D176" i="29"/>
  <c r="D177" i="29"/>
  <c r="F177" i="29" s="1"/>
  <c r="G177" i="29" s="1"/>
  <c r="H177" i="29" s="1"/>
  <c r="I177" i="29" s="1"/>
  <c r="J177" i="29" s="1"/>
  <c r="K177" i="29" s="1"/>
  <c r="L177" i="29" s="1"/>
  <c r="M177" i="29" s="1"/>
  <c r="N177" i="29" s="1"/>
  <c r="O177" i="29" s="1"/>
  <c r="P33" i="2"/>
  <c r="E39" i="12"/>
  <c r="F39" i="12" s="1"/>
  <c r="G39" i="12" s="1"/>
  <c r="H39" i="12" s="1"/>
  <c r="I39" i="12" s="1"/>
  <c r="D39" i="12"/>
  <c r="C39" i="12"/>
  <c r="G175" i="29" l="1"/>
  <c r="D153" i="28"/>
  <c r="M125" i="21"/>
  <c r="M98" i="21" s="1"/>
  <c r="M133" i="21"/>
  <c r="M97" i="21"/>
  <c r="M126" i="21"/>
  <c r="L99" i="21"/>
  <c r="P33" i="35"/>
  <c r="P32" i="2"/>
  <c r="P32" i="35" s="1"/>
  <c r="P86" i="2"/>
  <c r="F98" i="25"/>
  <c r="E176" i="29"/>
  <c r="F176" i="29" s="1"/>
  <c r="G176" i="29" s="1"/>
  <c r="H176" i="29" s="1"/>
  <c r="I176" i="29" s="1"/>
  <c r="J176" i="29" s="1"/>
  <c r="K176" i="29" s="1"/>
  <c r="L176" i="29" s="1"/>
  <c r="M176" i="29" s="1"/>
  <c r="N176" i="29" s="1"/>
  <c r="O176" i="29" s="1"/>
  <c r="N84" i="41"/>
  <c r="M133" i="40"/>
  <c r="N60" i="21"/>
  <c r="N80" i="21"/>
  <c r="O78" i="21" s="1"/>
  <c r="N52" i="21"/>
  <c r="N53" i="21" s="1"/>
  <c r="N61" i="21" s="1"/>
  <c r="J39" i="12"/>
  <c r="D180" i="29"/>
  <c r="H175" i="29" l="1"/>
  <c r="E153" i="28"/>
  <c r="O79" i="21"/>
  <c r="M99" i="21"/>
  <c r="M106" i="21"/>
  <c r="N124" i="21"/>
  <c r="P86" i="35"/>
  <c r="P85" i="2"/>
  <c r="P85" i="35" s="1"/>
  <c r="P139" i="2"/>
  <c r="N86" i="41"/>
  <c r="N89" i="41" s="1"/>
  <c r="N90" i="41" s="1"/>
  <c r="O87" i="21"/>
  <c r="O51" i="21"/>
  <c r="K39" i="12"/>
  <c r="I175" i="29" l="1"/>
  <c r="F153" i="28"/>
  <c r="N125" i="21"/>
  <c r="N98" i="21" s="1"/>
  <c r="N126" i="21"/>
  <c r="O124" i="21" s="1"/>
  <c r="N97" i="21"/>
  <c r="N133" i="21"/>
  <c r="P139" i="35"/>
  <c r="P138" i="2"/>
  <c r="P138" i="35" s="1"/>
  <c r="P140" i="35" s="1"/>
  <c r="O84" i="41"/>
  <c r="N133" i="40"/>
  <c r="O60" i="21"/>
  <c r="O80" i="21"/>
  <c r="P78" i="21" s="1"/>
  <c r="O52" i="21"/>
  <c r="O53" i="21" s="1"/>
  <c r="O61" i="21" s="1"/>
  <c r="L39" i="12"/>
  <c r="J175" i="29" l="1"/>
  <c r="K175" i="29" s="1"/>
  <c r="L175" i="29" s="1"/>
  <c r="M175" i="29" s="1"/>
  <c r="N175" i="29" s="1"/>
  <c r="O175" i="29" s="1"/>
  <c r="G153" i="28"/>
  <c r="P79" i="21"/>
  <c r="P52" i="21" s="1"/>
  <c r="O125" i="21"/>
  <c r="O98" i="21" s="1"/>
  <c r="O133" i="21"/>
  <c r="O97" i="21"/>
  <c r="N106" i="21"/>
  <c r="N99" i="21"/>
  <c r="O86" i="41"/>
  <c r="O89" i="41" s="1"/>
  <c r="O90" i="41" s="1"/>
  <c r="P87" i="21"/>
  <c r="P51" i="21"/>
  <c r="M39" i="12"/>
  <c r="O126" i="21" l="1"/>
  <c r="O106" i="21"/>
  <c r="O99" i="21"/>
  <c r="P84" i="41"/>
  <c r="O133" i="40"/>
  <c r="P80" i="21"/>
  <c r="P60" i="21"/>
  <c r="P53" i="21"/>
  <c r="P61" i="21" s="1"/>
  <c r="F34" i="27"/>
  <c r="G34" i="27" s="1"/>
  <c r="H34" i="27" s="1"/>
  <c r="I34" i="27" s="1"/>
  <c r="J34" i="27" s="1"/>
  <c r="K34" i="27" s="1"/>
  <c r="L34" i="27" s="1"/>
  <c r="M34" i="27" s="1"/>
  <c r="N34" i="27" s="1"/>
  <c r="O34" i="27" s="1"/>
  <c r="E36" i="27"/>
  <c r="E22" i="27" s="1"/>
  <c r="D36" i="27"/>
  <c r="D22" i="27" s="1"/>
  <c r="E30" i="27"/>
  <c r="E21" i="27" s="1"/>
  <c r="D30" i="27"/>
  <c r="D21" i="27" s="1"/>
  <c r="O50" i="29"/>
  <c r="O59" i="29"/>
  <c r="O68" i="29"/>
  <c r="O74" i="29"/>
  <c r="O82" i="29"/>
  <c r="O84" i="29" s="1"/>
  <c r="O95" i="29"/>
  <c r="O101" i="29"/>
  <c r="O102" i="29"/>
  <c r="O180" i="29"/>
  <c r="O219" i="29"/>
  <c r="O220" i="29"/>
  <c r="O224" i="29"/>
  <c r="O229" i="29"/>
  <c r="O230" i="29"/>
  <c r="O231" i="29"/>
  <c r="O237" i="29"/>
  <c r="E242" i="29"/>
  <c r="F242" i="29" s="1"/>
  <c r="G242" i="29" s="1"/>
  <c r="H242" i="29" s="1"/>
  <c r="I242" i="29" s="1"/>
  <c r="J242" i="29" s="1"/>
  <c r="K242" i="29" s="1"/>
  <c r="L242" i="29" s="1"/>
  <c r="M242" i="29" s="1"/>
  <c r="N242" i="29" s="1"/>
  <c r="O242" i="29" s="1"/>
  <c r="N237" i="29"/>
  <c r="M237" i="29"/>
  <c r="L237" i="29"/>
  <c r="K237" i="29"/>
  <c r="J237" i="29"/>
  <c r="I237" i="29"/>
  <c r="H237" i="29"/>
  <c r="G237" i="29"/>
  <c r="F237" i="29"/>
  <c r="E237" i="29"/>
  <c r="D237" i="29"/>
  <c r="D236" i="29"/>
  <c r="N231" i="29"/>
  <c r="M231" i="29"/>
  <c r="L231" i="29"/>
  <c r="K231" i="29"/>
  <c r="J231" i="29"/>
  <c r="I231" i="29"/>
  <c r="H231" i="29"/>
  <c r="G231" i="29"/>
  <c r="F231" i="29"/>
  <c r="E231" i="29"/>
  <c r="D231" i="29"/>
  <c r="N230" i="29"/>
  <c r="M230" i="29"/>
  <c r="L230" i="29"/>
  <c r="K230" i="29"/>
  <c r="J230" i="29"/>
  <c r="I230" i="29"/>
  <c r="H230" i="29"/>
  <c r="G230" i="29"/>
  <c r="F230" i="29"/>
  <c r="E230" i="29"/>
  <c r="D230" i="29"/>
  <c r="N229" i="29"/>
  <c r="M229" i="29"/>
  <c r="L229" i="29"/>
  <c r="K229" i="29"/>
  <c r="J229" i="29"/>
  <c r="I229" i="29"/>
  <c r="H229" i="29"/>
  <c r="G229" i="29"/>
  <c r="F229" i="29"/>
  <c r="E229" i="29"/>
  <c r="D229" i="29"/>
  <c r="N224" i="29"/>
  <c r="M224" i="29"/>
  <c r="L224" i="29"/>
  <c r="K224" i="29"/>
  <c r="J224" i="29"/>
  <c r="I224" i="29"/>
  <c r="H224" i="29"/>
  <c r="G224" i="29"/>
  <c r="F224" i="29"/>
  <c r="E224" i="29"/>
  <c r="D224" i="29"/>
  <c r="N220" i="29"/>
  <c r="M220" i="29"/>
  <c r="L220" i="29"/>
  <c r="K220" i="29"/>
  <c r="J220" i="29"/>
  <c r="I220" i="29"/>
  <c r="H220" i="29"/>
  <c r="G220" i="29"/>
  <c r="F220" i="29"/>
  <c r="E220" i="29"/>
  <c r="D220" i="29"/>
  <c r="N219" i="29"/>
  <c r="M219" i="29"/>
  <c r="M217" i="29" s="1"/>
  <c r="L219" i="29"/>
  <c r="K219" i="29"/>
  <c r="J219" i="29"/>
  <c r="I219" i="29"/>
  <c r="H219" i="29"/>
  <c r="G219" i="29"/>
  <c r="F219" i="29"/>
  <c r="E219" i="29"/>
  <c r="E217" i="29" s="1"/>
  <c r="D219" i="29"/>
  <c r="N180" i="29"/>
  <c r="M180" i="29"/>
  <c r="L180" i="29"/>
  <c r="K180" i="29"/>
  <c r="J180" i="29"/>
  <c r="I180" i="29"/>
  <c r="H180" i="29"/>
  <c r="G180" i="29"/>
  <c r="F180" i="29"/>
  <c r="E180" i="29"/>
  <c r="E179" i="29"/>
  <c r="F179" i="29" s="1"/>
  <c r="B118" i="29"/>
  <c r="E111" i="29"/>
  <c r="E115" i="29" s="1"/>
  <c r="D111" i="29"/>
  <c r="D115" i="29" s="1"/>
  <c r="N102" i="29"/>
  <c r="M102" i="29"/>
  <c r="L102" i="29"/>
  <c r="K102" i="29"/>
  <c r="J102" i="29"/>
  <c r="I102" i="29"/>
  <c r="H102" i="29"/>
  <c r="G102" i="29"/>
  <c r="F102" i="29"/>
  <c r="E102" i="29"/>
  <c r="D102" i="29"/>
  <c r="N101" i="29"/>
  <c r="M101" i="29"/>
  <c r="L101" i="29"/>
  <c r="K101" i="29"/>
  <c r="J101" i="29"/>
  <c r="I101" i="29"/>
  <c r="H101" i="29"/>
  <c r="G101" i="29"/>
  <c r="F101" i="29"/>
  <c r="E101" i="29"/>
  <c r="D101" i="29"/>
  <c r="N95" i="29"/>
  <c r="M95" i="29"/>
  <c r="L95" i="29"/>
  <c r="K95" i="29"/>
  <c r="J95" i="29"/>
  <c r="I95" i="29"/>
  <c r="H95" i="29"/>
  <c r="G95" i="29"/>
  <c r="F95" i="29"/>
  <c r="E95" i="29"/>
  <c r="D95" i="29"/>
  <c r="B88" i="29"/>
  <c r="N82" i="29"/>
  <c r="N84" i="29" s="1"/>
  <c r="M82" i="29"/>
  <c r="M84" i="29" s="1"/>
  <c r="L82" i="29"/>
  <c r="L84" i="29" s="1"/>
  <c r="K82" i="29"/>
  <c r="K84" i="29" s="1"/>
  <c r="J82" i="29"/>
  <c r="J84" i="29" s="1"/>
  <c r="I82" i="29"/>
  <c r="I84" i="29" s="1"/>
  <c r="H82" i="29"/>
  <c r="H84" i="29" s="1"/>
  <c r="G82" i="29"/>
  <c r="G84" i="29" s="1"/>
  <c r="F82" i="29"/>
  <c r="F84" i="29" s="1"/>
  <c r="E82" i="29"/>
  <c r="E84" i="29" s="1"/>
  <c r="D82" i="29"/>
  <c r="D84" i="29" s="1"/>
  <c r="N74" i="29"/>
  <c r="M74" i="29"/>
  <c r="L74" i="29"/>
  <c r="K74" i="29"/>
  <c r="J74" i="29"/>
  <c r="I74" i="29"/>
  <c r="H74" i="29"/>
  <c r="G74" i="29"/>
  <c r="F74" i="29"/>
  <c r="E74" i="29"/>
  <c r="D74" i="29"/>
  <c r="N68" i="29"/>
  <c r="M68" i="29"/>
  <c r="L68" i="29"/>
  <c r="K68" i="29"/>
  <c r="J68" i="29"/>
  <c r="I68" i="29"/>
  <c r="H68" i="29"/>
  <c r="G68" i="29"/>
  <c r="F68" i="29"/>
  <c r="E68" i="29"/>
  <c r="D68" i="29"/>
  <c r="N59" i="29"/>
  <c r="M59" i="29"/>
  <c r="L59" i="29"/>
  <c r="K59" i="29"/>
  <c r="J59" i="29"/>
  <c r="I59" i="29"/>
  <c r="H59" i="29"/>
  <c r="G59" i="29"/>
  <c r="F59" i="29"/>
  <c r="E59" i="29"/>
  <c r="D59" i="29"/>
  <c r="N50" i="29"/>
  <c r="M50" i="29"/>
  <c r="L50" i="29"/>
  <c r="K50" i="29"/>
  <c r="J50" i="29"/>
  <c r="I50" i="29"/>
  <c r="H50" i="29"/>
  <c r="G50" i="29"/>
  <c r="F50" i="29"/>
  <c r="E50" i="29"/>
  <c r="D50" i="29"/>
  <c r="D39" i="29"/>
  <c r="Q78" i="21" l="1"/>
  <c r="Q79" i="21" s="1"/>
  <c r="Q52" i="21" s="1"/>
  <c r="P124" i="21"/>
  <c r="E61" i="29"/>
  <c r="M61" i="29"/>
  <c r="N217" i="29"/>
  <c r="D217" i="29"/>
  <c r="L217" i="29"/>
  <c r="P86" i="41"/>
  <c r="P89" i="41" s="1"/>
  <c r="P90" i="41" s="1"/>
  <c r="P133" i="40" s="1"/>
  <c r="Q87" i="21"/>
  <c r="I217" i="29"/>
  <c r="Q80" i="21"/>
  <c r="D234" i="29"/>
  <c r="B113" i="28" s="1"/>
  <c r="J61" i="29"/>
  <c r="J76" i="29" s="1"/>
  <c r="H217" i="29"/>
  <c r="O61" i="29"/>
  <c r="O76" i="29" s="1"/>
  <c r="O86" i="29" s="1"/>
  <c r="D61" i="29"/>
  <c r="D76" i="29" s="1"/>
  <c r="D86" i="29" s="1"/>
  <c r="L61" i="29"/>
  <c r="K217" i="29"/>
  <c r="L76" i="29"/>
  <c r="L86" i="29" s="1"/>
  <c r="E76" i="29"/>
  <c r="E86" i="29" s="1"/>
  <c r="H61" i="29"/>
  <c r="H76" i="29" s="1"/>
  <c r="H86" i="29" s="1"/>
  <c r="J217" i="29"/>
  <c r="M76" i="29"/>
  <c r="M86" i="29" s="1"/>
  <c r="D10" i="29"/>
  <c r="I61" i="29"/>
  <c r="I76" i="29" s="1"/>
  <c r="I86" i="29" s="1"/>
  <c r="F100" i="25"/>
  <c r="F102" i="25" s="1"/>
  <c r="D31" i="29"/>
  <c r="D228" i="29" s="1"/>
  <c r="D232" i="29" s="1"/>
  <c r="F8" i="29"/>
  <c r="F61" i="29"/>
  <c r="F76" i="29" s="1"/>
  <c r="F86" i="29" s="1"/>
  <c r="G61" i="29"/>
  <c r="G76" i="29" s="1"/>
  <c r="G86" i="29" s="1"/>
  <c r="J86" i="29"/>
  <c r="O217" i="29"/>
  <c r="N61" i="29"/>
  <c r="N76" i="29" s="1"/>
  <c r="N86" i="29" s="1"/>
  <c r="E8" i="29"/>
  <c r="E20" i="29"/>
  <c r="E213" i="29" s="1"/>
  <c r="I20" i="29"/>
  <c r="G20" i="29"/>
  <c r="G214" i="29" s="1"/>
  <c r="P34" i="27"/>
  <c r="D24" i="27"/>
  <c r="E24" i="27"/>
  <c r="E5" i="27" s="1"/>
  <c r="F20" i="29"/>
  <c r="G8" i="29"/>
  <c r="E31" i="29"/>
  <c r="E228" i="29" s="1"/>
  <c r="E232" i="29" s="1"/>
  <c r="K61" i="29"/>
  <c r="K76" i="29" s="1"/>
  <c r="K86" i="29" s="1"/>
  <c r="H8" i="29"/>
  <c r="H20" i="29"/>
  <c r="D20" i="29"/>
  <c r="D204" i="29"/>
  <c r="D130" i="29"/>
  <c r="D97" i="29"/>
  <c r="E5" i="29"/>
  <c r="E117" i="29" s="1"/>
  <c r="I8" i="29"/>
  <c r="D235" i="29"/>
  <c r="D250" i="29" s="1"/>
  <c r="B63" i="28" s="1"/>
  <c r="E227" i="29"/>
  <c r="F227" i="29" s="1"/>
  <c r="G227" i="29" s="1"/>
  <c r="H227" i="29" s="1"/>
  <c r="I227" i="29" s="1"/>
  <c r="J227" i="29" s="1"/>
  <c r="K227" i="29" s="1"/>
  <c r="L227" i="29" s="1"/>
  <c r="M227" i="29" s="1"/>
  <c r="N227" i="29" s="1"/>
  <c r="O227" i="29" s="1"/>
  <c r="F217" i="29"/>
  <c r="E236" i="29"/>
  <c r="G217" i="29"/>
  <c r="Q51" i="21" l="1"/>
  <c r="Q53" i="21" s="1"/>
  <c r="Q61" i="21" s="1"/>
  <c r="P125" i="21"/>
  <c r="P98" i="21" s="1"/>
  <c r="P133" i="21"/>
  <c r="P126" i="21"/>
  <c r="Q124" i="21" s="1"/>
  <c r="P97" i="21"/>
  <c r="P106" i="21" s="1"/>
  <c r="H100" i="25"/>
  <c r="H98" i="25" s="1"/>
  <c r="H88" i="25" s="1"/>
  <c r="G100" i="25"/>
  <c r="I218" i="29"/>
  <c r="I215" i="29" s="1"/>
  <c r="G131" i="28" s="1"/>
  <c r="G213" i="29"/>
  <c r="G211" i="29" s="1"/>
  <c r="E107" i="28" s="1"/>
  <c r="G218" i="29"/>
  <c r="G215" i="29" s="1"/>
  <c r="E131" i="28" s="1"/>
  <c r="E218" i="29"/>
  <c r="E215" i="29" s="1"/>
  <c r="C131" i="28" s="1"/>
  <c r="I21" i="29"/>
  <c r="E22" i="29"/>
  <c r="I213" i="29"/>
  <c r="E210" i="29"/>
  <c r="I210" i="29"/>
  <c r="I214" i="29"/>
  <c r="I22" i="29"/>
  <c r="E21" i="29"/>
  <c r="G21" i="29"/>
  <c r="G22" i="29"/>
  <c r="E214" i="29"/>
  <c r="E211" i="29" s="1"/>
  <c r="C107" i="28" s="1"/>
  <c r="G210" i="29"/>
  <c r="D238" i="29"/>
  <c r="F218" i="29"/>
  <c r="F215" i="29" s="1"/>
  <c r="D131" i="28" s="1"/>
  <c r="F213" i="29"/>
  <c r="F214" i="29"/>
  <c r="F210" i="29"/>
  <c r="F22" i="29"/>
  <c r="F21" i="29"/>
  <c r="E204" i="29"/>
  <c r="E10" i="29"/>
  <c r="F5" i="29"/>
  <c r="F117" i="29" s="1"/>
  <c r="E130" i="29"/>
  <c r="E39" i="29"/>
  <c r="E97" i="29"/>
  <c r="E209" i="29"/>
  <c r="D233" i="29"/>
  <c r="E234" i="29"/>
  <c r="C113" i="28" s="1"/>
  <c r="E233" i="29"/>
  <c r="E235" i="29"/>
  <c r="E250" i="29" s="1"/>
  <c r="C63" i="28" s="1"/>
  <c r="E33" i="29"/>
  <c r="D210" i="29"/>
  <c r="D214" i="29"/>
  <c r="D33" i="29"/>
  <c r="D22" i="29"/>
  <c r="D213" i="29"/>
  <c r="D21" i="29"/>
  <c r="D218" i="29"/>
  <c r="D209" i="29"/>
  <c r="D239" i="29"/>
  <c r="H218" i="29"/>
  <c r="H213" i="29"/>
  <c r="H214" i="29"/>
  <c r="H210" i="29"/>
  <c r="H21" i="29"/>
  <c r="H22" i="29"/>
  <c r="Q60" i="21" l="1"/>
  <c r="Q125" i="21"/>
  <c r="Q98" i="21" s="1"/>
  <c r="Q133" i="21"/>
  <c r="Q97" i="21"/>
  <c r="Q106" i="21" s="1"/>
  <c r="Q126" i="21"/>
  <c r="P99" i="21"/>
  <c r="D251" i="29"/>
  <c r="B69" i="28" s="1"/>
  <c r="B119" i="28"/>
  <c r="D252" i="29"/>
  <c r="B75" i="28" s="1"/>
  <c r="B125" i="28"/>
  <c r="E238" i="29"/>
  <c r="I100" i="25"/>
  <c r="I98" i="25" s="1"/>
  <c r="I88" i="25" s="1"/>
  <c r="I216" i="29"/>
  <c r="I253" i="29" s="1"/>
  <c r="G81" i="28" s="1"/>
  <c r="I211" i="29"/>
  <c r="G107" i="28" s="1"/>
  <c r="F238" i="29"/>
  <c r="D125" i="28" s="1"/>
  <c r="G212" i="29"/>
  <c r="G249" i="29" s="1"/>
  <c r="E57" i="28" s="1"/>
  <c r="G216" i="29"/>
  <c r="G253" i="29" s="1"/>
  <c r="E81" i="28" s="1"/>
  <c r="D127" i="29"/>
  <c r="D35" i="29"/>
  <c r="D36" i="29" s="1"/>
  <c r="D34" i="29"/>
  <c r="D255" i="29"/>
  <c r="B87" i="28" s="1"/>
  <c r="D225" i="29"/>
  <c r="D222" i="29"/>
  <c r="H212" i="29"/>
  <c r="H249" i="29" s="1"/>
  <c r="F57" i="28" s="1"/>
  <c r="F211" i="29"/>
  <c r="D107" i="28" s="1"/>
  <c r="D211" i="29"/>
  <c r="B107" i="28" s="1"/>
  <c r="F212" i="29"/>
  <c r="F249" i="29" s="1"/>
  <c r="D57" i="28" s="1"/>
  <c r="D208" i="29"/>
  <c r="D248" i="29" s="1"/>
  <c r="B51" i="28" s="1"/>
  <c r="H211" i="29"/>
  <c r="F107" i="28" s="1"/>
  <c r="D212" i="29"/>
  <c r="D249" i="29" s="1"/>
  <c r="B57" i="28" s="1"/>
  <c r="I212" i="29"/>
  <c r="I249" i="29" s="1"/>
  <c r="G57" i="28" s="1"/>
  <c r="H215" i="29"/>
  <c r="F131" i="28" s="1"/>
  <c r="D207" i="29"/>
  <c r="B101" i="28" s="1"/>
  <c r="E239" i="29"/>
  <c r="E212" i="29"/>
  <c r="E249" i="29" s="1"/>
  <c r="C57" i="28" s="1"/>
  <c r="D215" i="29"/>
  <c r="B131" i="28" s="1"/>
  <c r="E216" i="29"/>
  <c r="E253" i="29" s="1"/>
  <c r="C81" i="28" s="1"/>
  <c r="F216" i="29"/>
  <c r="F253" i="29" s="1"/>
  <c r="D81" i="28" s="1"/>
  <c r="E34" i="29"/>
  <c r="E35" i="29"/>
  <c r="E36" i="29" s="1"/>
  <c r="H216" i="29"/>
  <c r="H253" i="29" s="1"/>
  <c r="F81" i="28" s="1"/>
  <c r="E255" i="29"/>
  <c r="C87" i="28" s="1"/>
  <c r="E225" i="29"/>
  <c r="E222" i="29"/>
  <c r="C137" i="28" s="1"/>
  <c r="F204" i="29"/>
  <c r="F130" i="29"/>
  <c r="F39" i="29"/>
  <c r="F97" i="29"/>
  <c r="F10" i="29"/>
  <c r="G5" i="29"/>
  <c r="G117" i="29" s="1"/>
  <c r="D216" i="29"/>
  <c r="D253" i="29" s="1"/>
  <c r="B81" i="28" s="1"/>
  <c r="E208" i="29"/>
  <c r="E248" i="29" s="1"/>
  <c r="C51" i="28" s="1"/>
  <c r="E207" i="29"/>
  <c r="C101" i="28" s="1"/>
  <c r="Q99" i="21" l="1"/>
  <c r="E251" i="29"/>
  <c r="C69" i="28" s="1"/>
  <c r="C119" i="28"/>
  <c r="D223" i="29"/>
  <c r="B137" i="28"/>
  <c r="E252" i="29"/>
  <c r="C75" i="28" s="1"/>
  <c r="C125" i="28"/>
  <c r="J100" i="25"/>
  <c r="J98" i="25" s="1"/>
  <c r="J88" i="25" s="1"/>
  <c r="F252" i="29"/>
  <c r="D75" i="28" s="1"/>
  <c r="E223" i="29"/>
  <c r="G130" i="29"/>
  <c r="G204" i="29"/>
  <c r="G39" i="29"/>
  <c r="G97" i="29"/>
  <c r="G10" i="29"/>
  <c r="H5" i="29"/>
  <c r="H117" i="29" s="1"/>
  <c r="F239" i="29"/>
  <c r="F251" i="29" l="1"/>
  <c r="D69" i="28" s="1"/>
  <c r="D119" i="28"/>
  <c r="K100" i="25"/>
  <c r="K98" i="25" s="1"/>
  <c r="K88" i="25" s="1"/>
  <c r="H39" i="29"/>
  <c r="H97" i="29"/>
  <c r="I5" i="29"/>
  <c r="I117" i="29" s="1"/>
  <c r="H130" i="29"/>
  <c r="H204" i="29"/>
  <c r="H10" i="29"/>
  <c r="L100" i="25" l="1"/>
  <c r="L98" i="25" s="1"/>
  <c r="L88" i="25" s="1"/>
  <c r="J5" i="29"/>
  <c r="J117" i="29" s="1"/>
  <c r="I97" i="29"/>
  <c r="I10" i="29"/>
  <c r="I204" i="29"/>
  <c r="I39" i="29"/>
  <c r="I130" i="29"/>
  <c r="M100" i="25" l="1"/>
  <c r="M98" i="25" s="1"/>
  <c r="M88" i="25" s="1"/>
  <c r="J97" i="29"/>
  <c r="K5" i="29"/>
  <c r="K117" i="29" s="1"/>
  <c r="J10" i="29"/>
  <c r="J130" i="29"/>
  <c r="J39" i="29"/>
  <c r="J204" i="29"/>
  <c r="N100" i="25" l="1"/>
  <c r="N98" i="25" s="1"/>
  <c r="N88" i="25" s="1"/>
  <c r="K10" i="29"/>
  <c r="K130" i="29"/>
  <c r="K204" i="29"/>
  <c r="K97" i="29"/>
  <c r="L5" i="29"/>
  <c r="L117" i="29" s="1"/>
  <c r="K39" i="29"/>
  <c r="O100" i="25" l="1"/>
  <c r="O98" i="25" s="1"/>
  <c r="O88" i="25" s="1"/>
  <c r="L204" i="29"/>
  <c r="L130" i="29"/>
  <c r="L97" i="29"/>
  <c r="M5" i="29"/>
  <c r="M117" i="29" s="1"/>
  <c r="L39" i="29"/>
  <c r="L10" i="29"/>
  <c r="P100" i="25" l="1"/>
  <c r="P98" i="25" s="1"/>
  <c r="P88" i="25" s="1"/>
  <c r="M204" i="29"/>
  <c r="M130" i="29"/>
  <c r="M10" i="29"/>
  <c r="M39" i="29"/>
  <c r="N5" i="29"/>
  <c r="M97" i="29"/>
  <c r="O5" i="29" l="1"/>
  <c r="O117" i="29" s="1"/>
  <c r="N117" i="29"/>
  <c r="O10" i="29"/>
  <c r="O130" i="29"/>
  <c r="O204" i="29"/>
  <c r="O97" i="29"/>
  <c r="O39" i="29"/>
  <c r="Q100" i="25"/>
  <c r="Q98" i="25" s="1"/>
  <c r="Q88" i="25" s="1"/>
  <c r="N204" i="29"/>
  <c r="N130" i="29"/>
  <c r="N39" i="29"/>
  <c r="N97" i="29"/>
  <c r="N10" i="29"/>
  <c r="P178" i="29" l="1"/>
  <c r="S100" i="25" s="1"/>
  <c r="S98" i="25" s="1"/>
  <c r="S88" i="25" s="1"/>
  <c r="S90" i="25" s="1"/>
  <c r="R100" i="25"/>
  <c r="R98" i="25" s="1"/>
  <c r="R88" i="25" s="1"/>
  <c r="D11" i="21" l="1"/>
  <c r="D15" i="21" s="1"/>
  <c r="C15" i="21"/>
  <c r="E13" i="21"/>
  <c r="D13" i="21"/>
  <c r="C13" i="21"/>
  <c r="B13" i="21"/>
  <c r="B8" i="28" l="1"/>
  <c r="B9" i="28"/>
  <c r="E12" i="27"/>
  <c r="F12" i="27"/>
  <c r="G12" i="27"/>
  <c r="H12" i="27"/>
  <c r="I12" i="27"/>
  <c r="J12" i="27"/>
  <c r="B19" i="28"/>
  <c r="C19" i="28"/>
  <c r="D19" i="28"/>
  <c r="E19" i="28"/>
  <c r="F19" i="28"/>
  <c r="G19" i="28"/>
  <c r="H19" i="28"/>
  <c r="I19" i="28"/>
  <c r="J19" i="28"/>
  <c r="K19" i="28"/>
  <c r="L19" i="28"/>
  <c r="M19" i="28"/>
  <c r="C4" i="22" l="1"/>
  <c r="D4" i="22"/>
  <c r="E4" i="22"/>
  <c r="F4" i="22"/>
  <c r="G4" i="22"/>
  <c r="H4" i="22"/>
  <c r="I4" i="22"/>
  <c r="J4" i="22"/>
  <c r="K4" i="22"/>
  <c r="B4" i="22"/>
  <c r="E15" i="21"/>
  <c r="E8" i="27" s="1"/>
  <c r="B3" i="28" s="1"/>
  <c r="H4" i="4"/>
  <c r="H79" i="4" s="1"/>
  <c r="I4" i="4"/>
  <c r="I79" i="4" s="1"/>
  <c r="J4" i="4"/>
  <c r="J79" i="4" s="1"/>
  <c r="G4" i="4"/>
  <c r="H8" i="22" l="1"/>
  <c r="H32" i="22" s="1"/>
  <c r="M41" i="21" s="1"/>
  <c r="G8" i="22"/>
  <c r="G32" i="22"/>
  <c r="L41" i="21" s="1"/>
  <c r="E8" i="22"/>
  <c r="F8" i="22"/>
  <c r="J8" i="22"/>
  <c r="I8" i="22"/>
  <c r="K8" i="22"/>
  <c r="K5" i="22"/>
  <c r="D5" i="22"/>
  <c r="D8" i="22"/>
  <c r="B8" i="22"/>
  <c r="F9" i="22"/>
  <c r="C5" i="22"/>
  <c r="C8" i="22"/>
  <c r="B9" i="22"/>
  <c r="J9" i="22"/>
  <c r="I9" i="22"/>
  <c r="G9" i="22"/>
  <c r="E5" i="22"/>
  <c r="H9" i="22"/>
  <c r="H5" i="22"/>
  <c r="G5" i="22"/>
  <c r="F5" i="22"/>
  <c r="B5" i="22"/>
  <c r="P8" i="6"/>
  <c r="P22" i="6"/>
  <c r="P27" i="6"/>
  <c r="P28" i="6"/>
  <c r="P29" i="6"/>
  <c r="P33" i="6"/>
  <c r="P34" i="6"/>
  <c r="D22" i="6"/>
  <c r="P26" i="3"/>
  <c r="P26" i="37" s="1"/>
  <c r="P32" i="3"/>
  <c r="P60" i="3"/>
  <c r="P60" i="37" s="1"/>
  <c r="P66" i="3"/>
  <c r="P66" i="37" s="1"/>
  <c r="P88" i="3"/>
  <c r="P94" i="3"/>
  <c r="E139" i="2"/>
  <c r="E139" i="35" s="1"/>
  <c r="E118" i="2"/>
  <c r="E118" i="35" s="1"/>
  <c r="E77" i="2"/>
  <c r="E77" i="35" s="1"/>
  <c r="E79" i="2"/>
  <c r="E80" i="2"/>
  <c r="E80" i="35" s="1"/>
  <c r="E83" i="2"/>
  <c r="E83" i="35" s="1"/>
  <c r="E85" i="2"/>
  <c r="E85" i="35" s="1"/>
  <c r="E60" i="2"/>
  <c r="E60" i="35" s="1"/>
  <c r="E61" i="2"/>
  <c r="E61" i="35" s="1"/>
  <c r="E62" i="2"/>
  <c r="E62" i="35" s="1"/>
  <c r="E63" i="2"/>
  <c r="E63" i="35" s="1"/>
  <c r="E64" i="2"/>
  <c r="E64" i="35" s="1"/>
  <c r="E65" i="2"/>
  <c r="E65" i="35" s="1"/>
  <c r="E68" i="2"/>
  <c r="E68" i="35" s="1"/>
  <c r="E69" i="2"/>
  <c r="E69" i="35" s="1"/>
  <c r="E71" i="2"/>
  <c r="E71" i="35" s="1"/>
  <c r="E72" i="2"/>
  <c r="E72" i="35" s="1"/>
  <c r="E55" i="2"/>
  <c r="E108" i="2" s="1"/>
  <c r="F55" i="2"/>
  <c r="F108" i="2" s="1"/>
  <c r="G55" i="2"/>
  <c r="G108" i="2" s="1"/>
  <c r="H55" i="2"/>
  <c r="H108" i="2" s="1"/>
  <c r="I55" i="2"/>
  <c r="I108" i="2" s="1"/>
  <c r="J55" i="2"/>
  <c r="J108" i="2" s="1"/>
  <c r="K55" i="2"/>
  <c r="K108" i="2" s="1"/>
  <c r="L55" i="2"/>
  <c r="L108" i="2" s="1"/>
  <c r="M55" i="2"/>
  <c r="M108" i="2" s="1"/>
  <c r="N55" i="2"/>
  <c r="N108" i="2" s="1"/>
  <c r="O55" i="2"/>
  <c r="O108" i="2" s="1"/>
  <c r="P55" i="2"/>
  <c r="P108" i="2" s="1"/>
  <c r="D55" i="2"/>
  <c r="D108" i="2" s="1"/>
  <c r="O336" i="29"/>
  <c r="P134" i="34"/>
  <c r="P8" i="2"/>
  <c r="P8" i="35" s="1"/>
  <c r="P10" i="2"/>
  <c r="P10" i="35" s="1"/>
  <c r="P12" i="35"/>
  <c r="P19" i="2"/>
  <c r="P19" i="35" s="1"/>
  <c r="F82" i="34"/>
  <c r="F83" i="34"/>
  <c r="F84" i="34"/>
  <c r="F85" i="34"/>
  <c r="F86" i="34"/>
  <c r="E113" i="2" l="1"/>
  <c r="E113" i="35" s="1"/>
  <c r="P100" i="3"/>
  <c r="P88" i="37"/>
  <c r="P100" i="37" s="1"/>
  <c r="E132" i="2"/>
  <c r="E132" i="35" s="1"/>
  <c r="E79" i="35"/>
  <c r="E133" i="2"/>
  <c r="E133" i="35" s="1"/>
  <c r="F158" i="34"/>
  <c r="E336" i="29"/>
  <c r="P140" i="50"/>
  <c r="P140" i="54"/>
  <c r="O656" i="29"/>
  <c r="G78" i="4"/>
  <c r="G79" i="4" s="1"/>
  <c r="F152" i="34"/>
  <c r="E335" i="29"/>
  <c r="F151" i="34"/>
  <c r="E332" i="29"/>
  <c r="F150" i="34"/>
  <c r="E331" i="29"/>
  <c r="F153" i="34"/>
  <c r="E338" i="29"/>
  <c r="F154" i="34"/>
  <c r="E333" i="29"/>
  <c r="P202" i="34"/>
  <c r="P23" i="6"/>
  <c r="P24" i="6" s="1"/>
  <c r="F140" i="39"/>
  <c r="F150" i="39" s="1"/>
  <c r="F154" i="39" s="1"/>
  <c r="F111" i="40"/>
  <c r="F87" i="39"/>
  <c r="I32" i="22"/>
  <c r="N41" i="21" s="1"/>
  <c r="P118" i="35"/>
  <c r="P114" i="2"/>
  <c r="P114" i="35" s="1"/>
  <c r="P65" i="35"/>
  <c r="P61" i="2"/>
  <c r="P61" i="35" s="1"/>
  <c r="P72" i="2"/>
  <c r="P72" i="35" s="1"/>
  <c r="P125" i="2"/>
  <c r="P125" i="35" s="1"/>
  <c r="E138" i="2"/>
  <c r="E138" i="35" s="1"/>
  <c r="E136" i="2"/>
  <c r="E136" i="35" s="1"/>
  <c r="E130" i="2"/>
  <c r="E130" i="35" s="1"/>
  <c r="E87" i="2"/>
  <c r="E125" i="2"/>
  <c r="E125" i="35" s="1"/>
  <c r="E122" i="2"/>
  <c r="E122" i="35" s="1"/>
  <c r="E121" i="2"/>
  <c r="E121" i="35" s="1"/>
  <c r="E117" i="2"/>
  <c r="E117" i="35" s="1"/>
  <c r="E116" i="2"/>
  <c r="E116" i="35" s="1"/>
  <c r="E115" i="2"/>
  <c r="E115" i="35" s="1"/>
  <c r="E114" i="2"/>
  <c r="E114" i="35" s="1"/>
  <c r="F94" i="4"/>
  <c r="E124" i="2"/>
  <c r="E124" i="35" s="1"/>
  <c r="K32" i="22"/>
  <c r="P41" i="21" s="1"/>
  <c r="J32" i="22"/>
  <c r="O41" i="21" s="1"/>
  <c r="F32" i="22"/>
  <c r="K41" i="21" s="1"/>
  <c r="D32" i="22"/>
  <c r="I41" i="21" s="1"/>
  <c r="E32" i="22"/>
  <c r="J41" i="21" s="1"/>
  <c r="B32" i="22"/>
  <c r="G41" i="21" s="1"/>
  <c r="C32" i="22"/>
  <c r="H41" i="21" s="1"/>
  <c r="P116" i="2"/>
  <c r="P116" i="35" s="1"/>
  <c r="E9" i="22"/>
  <c r="E11" i="22" s="1"/>
  <c r="K9" i="22"/>
  <c r="K25" i="22" s="1"/>
  <c r="G24" i="22"/>
  <c r="D9" i="22"/>
  <c r="H24" i="22"/>
  <c r="H11" i="22"/>
  <c r="M12" i="27" s="1"/>
  <c r="B25" i="22"/>
  <c r="I5" i="22"/>
  <c r="I25" i="22"/>
  <c r="J5" i="22"/>
  <c r="D24" i="22"/>
  <c r="B24" i="22"/>
  <c r="H25" i="22"/>
  <c r="F25" i="22"/>
  <c r="C24" i="22"/>
  <c r="K24" i="22"/>
  <c r="J25" i="22"/>
  <c r="C9" i="22"/>
  <c r="E24" i="22"/>
  <c r="F11" i="22"/>
  <c r="K12" i="27" s="1"/>
  <c r="F24" i="22"/>
  <c r="G25" i="22"/>
  <c r="G11" i="22"/>
  <c r="L12" i="27" s="1"/>
  <c r="B11" i="22"/>
  <c r="P35" i="6"/>
  <c r="P30" i="6"/>
  <c r="P63" i="2"/>
  <c r="P63" i="35" s="1"/>
  <c r="C149" i="28" l="1"/>
  <c r="C154" i="28"/>
  <c r="E656" i="29"/>
  <c r="F73" i="50"/>
  <c r="F97" i="50" s="1"/>
  <c r="F101" i="50" s="1"/>
  <c r="F53" i="51" s="1"/>
  <c r="F73" i="54"/>
  <c r="F97" i="54" s="1"/>
  <c r="F101" i="54" s="1"/>
  <c r="F53" i="62" s="1"/>
  <c r="F99" i="40"/>
  <c r="F104" i="59"/>
  <c r="F113" i="59" s="1"/>
  <c r="F129" i="59" s="1"/>
  <c r="E658" i="29"/>
  <c r="E651" i="29"/>
  <c r="F163" i="4"/>
  <c r="E652" i="29"/>
  <c r="F327" i="29"/>
  <c r="E339" i="29"/>
  <c r="E653" i="29"/>
  <c r="E655" i="29"/>
  <c r="F12" i="40"/>
  <c r="F21" i="40" s="1"/>
  <c r="F37" i="40" s="1"/>
  <c r="E73" i="35"/>
  <c r="E126" i="35"/>
  <c r="F158" i="39"/>
  <c r="G152" i="39"/>
  <c r="F103" i="34"/>
  <c r="F92" i="34"/>
  <c r="F73" i="39"/>
  <c r="F97" i="39" s="1"/>
  <c r="F101" i="39" s="1"/>
  <c r="E87" i="35"/>
  <c r="E103" i="35"/>
  <c r="E140" i="35"/>
  <c r="L32" i="22"/>
  <c r="M32" i="22" s="1"/>
  <c r="H26" i="22"/>
  <c r="K11" i="22"/>
  <c r="E25" i="22"/>
  <c r="E26" i="22" s="1"/>
  <c r="C11" i="22"/>
  <c r="K26" i="22"/>
  <c r="C25" i="22"/>
  <c r="C26" i="22" s="1"/>
  <c r="J24" i="22"/>
  <c r="J26" i="22" s="1"/>
  <c r="J11" i="22"/>
  <c r="O12" i="27" s="1"/>
  <c r="D25" i="22"/>
  <c r="D26" i="22" s="1"/>
  <c r="I24" i="22"/>
  <c r="I26" i="22" s="1"/>
  <c r="I11" i="22"/>
  <c r="N12" i="27" s="1"/>
  <c r="G26" i="22"/>
  <c r="F26" i="22"/>
  <c r="P13" i="21"/>
  <c r="M8" i="28" s="1"/>
  <c r="D11" i="22"/>
  <c r="C150" i="28" l="1"/>
  <c r="C155" i="28"/>
  <c r="F105" i="50"/>
  <c r="G99" i="50"/>
  <c r="G101" i="50" s="1"/>
  <c r="G53" i="51" s="1"/>
  <c r="G99" i="54"/>
  <c r="F105" i="54"/>
  <c r="F126" i="50"/>
  <c r="F150" i="50" s="1"/>
  <c r="F154" i="50" s="1"/>
  <c r="F99" i="51" s="1"/>
  <c r="F126" i="54"/>
  <c r="F150" i="54" s="1"/>
  <c r="F154" i="54" s="1"/>
  <c r="F99" i="62" s="1"/>
  <c r="F53" i="40"/>
  <c r="F58" i="59"/>
  <c r="F67" i="59" s="1"/>
  <c r="F83" i="59" s="1"/>
  <c r="F160" i="34"/>
  <c r="F173" i="34" s="1"/>
  <c r="F178" i="34" s="1"/>
  <c r="F647" i="29"/>
  <c r="E659" i="29"/>
  <c r="E529" i="29"/>
  <c r="E533" i="29"/>
  <c r="E532" i="29"/>
  <c r="E341" i="29"/>
  <c r="E340" i="29"/>
  <c r="E537" i="29"/>
  <c r="E352" i="29"/>
  <c r="E528" i="29"/>
  <c r="E97" i="35"/>
  <c r="E101" i="35" s="1"/>
  <c r="E105" i="35" s="1"/>
  <c r="E150" i="35"/>
  <c r="E154" i="35" s="1"/>
  <c r="F152" i="35" s="1"/>
  <c r="F105" i="34"/>
  <c r="F110" i="34" s="1"/>
  <c r="F112" i="34" s="1"/>
  <c r="P34" i="2"/>
  <c r="P34" i="35"/>
  <c r="G99" i="39"/>
  <c r="F105" i="39"/>
  <c r="P37" i="6"/>
  <c r="P12" i="27"/>
  <c r="O111" i="29"/>
  <c r="O115" i="29" s="1"/>
  <c r="O236" i="29"/>
  <c r="O234" i="29" s="1"/>
  <c r="M113" i="28" s="1"/>
  <c r="E84" i="4"/>
  <c r="E82" i="34" s="1"/>
  <c r="E85" i="4"/>
  <c r="E83" i="34" s="1"/>
  <c r="E86" i="4"/>
  <c r="E84" i="34" s="1"/>
  <c r="E87" i="4"/>
  <c r="E85" i="34" s="1"/>
  <c r="E88" i="4"/>
  <c r="E86" i="34" s="1"/>
  <c r="E89" i="4"/>
  <c r="E87" i="34" s="1"/>
  <c r="E92" i="4"/>
  <c r="E90" i="34" s="1"/>
  <c r="E98" i="4"/>
  <c r="E95" i="34" s="1"/>
  <c r="E100" i="4"/>
  <c r="E97" i="34" s="1"/>
  <c r="E102" i="4"/>
  <c r="E99" i="34" s="1"/>
  <c r="D87" i="14"/>
  <c r="D133" i="14" s="1"/>
  <c r="D86" i="14"/>
  <c r="D132" i="14" s="1"/>
  <c r="D79" i="14"/>
  <c r="D125" i="14" s="1"/>
  <c r="D77" i="14"/>
  <c r="D123" i="14" s="1"/>
  <c r="D73" i="14"/>
  <c r="D119" i="14" s="1"/>
  <c r="D71" i="14"/>
  <c r="D117" i="14" s="1"/>
  <c r="D62" i="14"/>
  <c r="D54" i="14"/>
  <c r="D100" i="14" s="1"/>
  <c r="D55" i="14"/>
  <c r="D101" i="14" s="1"/>
  <c r="D56" i="14"/>
  <c r="D102" i="14" s="1"/>
  <c r="D57" i="14"/>
  <c r="D103" i="14" s="1"/>
  <c r="D53" i="14"/>
  <c r="D99" i="14" s="1"/>
  <c r="D139" i="2"/>
  <c r="D85" i="2"/>
  <c r="D138" i="2" s="1"/>
  <c r="D61" i="2"/>
  <c r="D114" i="2" s="1"/>
  <c r="D62" i="2"/>
  <c r="D115" i="2" s="1"/>
  <c r="D64" i="2"/>
  <c r="D117" i="2" s="1"/>
  <c r="D65" i="2"/>
  <c r="D118" i="2" s="1"/>
  <c r="D60" i="2"/>
  <c r="D113" i="2" s="1"/>
  <c r="D69" i="2"/>
  <c r="D122" i="2" s="1"/>
  <c r="D71" i="2"/>
  <c r="D72" i="2"/>
  <c r="D125" i="2" s="1"/>
  <c r="D68" i="2"/>
  <c r="D121" i="2" s="1"/>
  <c r="D80" i="2"/>
  <c r="D133" i="2" s="1"/>
  <c r="D79" i="2"/>
  <c r="D132" i="2" s="1"/>
  <c r="D83" i="2"/>
  <c r="D136" i="2" s="1"/>
  <c r="E3" i="26"/>
  <c r="F3" i="26"/>
  <c r="G3" i="26"/>
  <c r="H3" i="26"/>
  <c r="I3" i="26"/>
  <c r="J3" i="26"/>
  <c r="K3" i="26"/>
  <c r="L3" i="26"/>
  <c r="M3" i="26"/>
  <c r="N3" i="26"/>
  <c r="O3" i="26"/>
  <c r="P3" i="26"/>
  <c r="D3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P36" i="26"/>
  <c r="P33" i="26" s="1"/>
  <c r="O36" i="26"/>
  <c r="N36" i="26"/>
  <c r="M36" i="26"/>
  <c r="L36" i="26"/>
  <c r="K36" i="26"/>
  <c r="J36" i="26"/>
  <c r="I36" i="26"/>
  <c r="H36" i="26"/>
  <c r="H33" i="26" s="1"/>
  <c r="G36" i="26"/>
  <c r="F36" i="26"/>
  <c r="E36" i="26"/>
  <c r="D36" i="26"/>
  <c r="D33" i="26" s="1"/>
  <c r="P35" i="26"/>
  <c r="O35" i="26"/>
  <c r="N35" i="26"/>
  <c r="P34" i="26" s="1"/>
  <c r="M35" i="26"/>
  <c r="O34" i="26" s="1"/>
  <c r="L35" i="26"/>
  <c r="K35" i="26"/>
  <c r="J35" i="26"/>
  <c r="I35" i="26"/>
  <c r="K34" i="26" s="1"/>
  <c r="H35" i="26"/>
  <c r="G35" i="26"/>
  <c r="F35" i="26"/>
  <c r="H34" i="26" s="1"/>
  <c r="E35" i="26"/>
  <c r="G34" i="26" s="1"/>
  <c r="D35" i="26"/>
  <c r="M34" i="26"/>
  <c r="L34" i="26"/>
  <c r="I34" i="26"/>
  <c r="O33" i="26"/>
  <c r="L33" i="26"/>
  <c r="K33" i="26"/>
  <c r="G33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6" i="26"/>
  <c r="D26" i="26" s="1"/>
  <c r="K25" i="26"/>
  <c r="L25" i="26" s="1"/>
  <c r="M25" i="26" s="1"/>
  <c r="N25" i="26" s="1"/>
  <c r="O25" i="26" s="1"/>
  <c r="P25" i="26" s="1"/>
  <c r="I25" i="26"/>
  <c r="E25" i="26"/>
  <c r="F25" i="26" s="1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E16" i="26" s="1"/>
  <c r="D19" i="26"/>
  <c r="P18" i="26"/>
  <c r="O18" i="26"/>
  <c r="N18" i="26"/>
  <c r="M18" i="26"/>
  <c r="L18" i="26"/>
  <c r="K18" i="26"/>
  <c r="J18" i="26"/>
  <c r="I18" i="26"/>
  <c r="I16" i="26" s="1"/>
  <c r="K15" i="26" s="1"/>
  <c r="H18" i="26"/>
  <c r="G18" i="26"/>
  <c r="F18" i="26"/>
  <c r="E18" i="26"/>
  <c r="D18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M16" i="26"/>
  <c r="L16" i="26"/>
  <c r="D16" i="26"/>
  <c r="F15" i="26" s="1"/>
  <c r="P13" i="26"/>
  <c r="P10" i="26" s="1"/>
  <c r="O13" i="26"/>
  <c r="N13" i="26"/>
  <c r="M13" i="26"/>
  <c r="L13" i="26"/>
  <c r="L10" i="26" s="1"/>
  <c r="K13" i="26"/>
  <c r="J13" i="26"/>
  <c r="I13" i="26"/>
  <c r="H13" i="26"/>
  <c r="H10" i="26" s="1"/>
  <c r="G13" i="26"/>
  <c r="F13" i="26"/>
  <c r="E13" i="26"/>
  <c r="G11" i="26" s="1"/>
  <c r="D13" i="26"/>
  <c r="D10" i="26" s="1"/>
  <c r="P12" i="26"/>
  <c r="O12" i="26"/>
  <c r="N12" i="26"/>
  <c r="P11" i="26" s="1"/>
  <c r="M12" i="26"/>
  <c r="L12" i="26"/>
  <c r="K12" i="26"/>
  <c r="J12" i="26"/>
  <c r="L11" i="26" s="1"/>
  <c r="I12" i="26"/>
  <c r="H12" i="26"/>
  <c r="G12" i="26"/>
  <c r="F12" i="26"/>
  <c r="H11" i="26" s="1"/>
  <c r="E12" i="26"/>
  <c r="D12" i="26"/>
  <c r="M11" i="26"/>
  <c r="I11" i="26"/>
  <c r="D31" i="26" l="1"/>
  <c r="D32" i="26" s="1"/>
  <c r="H31" i="26"/>
  <c r="L31" i="26"/>
  <c r="P31" i="26"/>
  <c r="D108" i="14"/>
  <c r="D111" i="14" s="1"/>
  <c r="D65" i="14"/>
  <c r="J10" i="26"/>
  <c r="N10" i="26"/>
  <c r="J11" i="26"/>
  <c r="N11" i="26"/>
  <c r="G10" i="26"/>
  <c r="K10" i="26"/>
  <c r="O10" i="26"/>
  <c r="E14" i="26"/>
  <c r="I14" i="26"/>
  <c r="M14" i="26"/>
  <c r="H16" i="26"/>
  <c r="P16" i="26"/>
  <c r="P14" i="26" s="1"/>
  <c r="E10" i="26"/>
  <c r="K11" i="26"/>
  <c r="O11" i="26"/>
  <c r="N15" i="26"/>
  <c r="F58" i="40"/>
  <c r="E171" i="4"/>
  <c r="E167" i="34" s="1"/>
  <c r="D347" i="29"/>
  <c r="F64" i="21"/>
  <c r="E161" i="4"/>
  <c r="E158" i="34" s="1"/>
  <c r="D336" i="29"/>
  <c r="E158" i="4"/>
  <c r="E155" i="34" s="1"/>
  <c r="D334" i="29"/>
  <c r="E169" i="4"/>
  <c r="E165" i="34" s="1"/>
  <c r="D349" i="29"/>
  <c r="E167" i="4"/>
  <c r="E163" i="34" s="1"/>
  <c r="D345" i="29"/>
  <c r="G152" i="50"/>
  <c r="F158" i="50"/>
  <c r="F158" i="54"/>
  <c r="G152" i="54"/>
  <c r="G105" i="50"/>
  <c r="H99" i="50"/>
  <c r="F99" i="35"/>
  <c r="E158" i="35"/>
  <c r="E157" i="4"/>
  <c r="E154" i="34" s="1"/>
  <c r="D333" i="29"/>
  <c r="E530" i="29"/>
  <c r="C108" i="28" s="1"/>
  <c r="E155" i="4"/>
  <c r="E152" i="34" s="1"/>
  <c r="D335" i="29"/>
  <c r="E154" i="4"/>
  <c r="E151" i="34" s="1"/>
  <c r="D332" i="29"/>
  <c r="E526" i="29"/>
  <c r="C102" i="28" s="1"/>
  <c r="E857" i="29"/>
  <c r="E853" i="29"/>
  <c r="E661" i="29"/>
  <c r="E660" i="29"/>
  <c r="E852" i="29"/>
  <c r="E849" i="29"/>
  <c r="E848" i="29"/>
  <c r="E672" i="29"/>
  <c r="E153" i="4"/>
  <c r="E150" i="34" s="1"/>
  <c r="D331" i="29"/>
  <c r="E353" i="29"/>
  <c r="E354" i="29"/>
  <c r="E355" i="29" s="1"/>
  <c r="E534" i="29"/>
  <c r="C132" i="28" s="1"/>
  <c r="E156" i="4"/>
  <c r="E153" i="34" s="1"/>
  <c r="D338" i="29"/>
  <c r="F185" i="34"/>
  <c r="F189" i="34" s="1"/>
  <c r="F180" i="34"/>
  <c r="F183" i="34"/>
  <c r="F115" i="34"/>
  <c r="F117" i="34"/>
  <c r="F121" i="34" s="1"/>
  <c r="P87" i="39"/>
  <c r="P140" i="39"/>
  <c r="P87" i="2"/>
  <c r="P87" i="35"/>
  <c r="P140" i="2"/>
  <c r="E94" i="4"/>
  <c r="D124" i="2"/>
  <c r="J15" i="26"/>
  <c r="H14" i="26"/>
  <c r="M10" i="26"/>
  <c r="D14" i="26"/>
  <c r="G15" i="26"/>
  <c r="E31" i="26"/>
  <c r="I31" i="26"/>
  <c r="M31" i="26"/>
  <c r="E33" i="26"/>
  <c r="I33" i="26"/>
  <c r="M33" i="26"/>
  <c r="F10" i="26"/>
  <c r="F16" i="26"/>
  <c r="H15" i="26" s="1"/>
  <c r="J16" i="26"/>
  <c r="N16" i="26"/>
  <c r="F31" i="26"/>
  <c r="J31" i="26"/>
  <c r="N31" i="26"/>
  <c r="F33" i="26"/>
  <c r="J33" i="26"/>
  <c r="N33" i="26"/>
  <c r="I10" i="26"/>
  <c r="F11" i="26"/>
  <c r="L14" i="26"/>
  <c r="O15" i="26"/>
  <c r="G16" i="26"/>
  <c r="I15" i="26" s="1"/>
  <c r="K16" i="26"/>
  <c r="K14" i="26" s="1"/>
  <c r="O16" i="26"/>
  <c r="E26" i="26"/>
  <c r="G31" i="26"/>
  <c r="K31" i="26"/>
  <c r="O31" i="26"/>
  <c r="F34" i="26"/>
  <c r="J34" i="26"/>
  <c r="N34" i="26"/>
  <c r="O14" i="26"/>
  <c r="L15" i="26"/>
  <c r="J14" i="26"/>
  <c r="N14" i="26"/>
  <c r="P15" i="26"/>
  <c r="D24" i="26"/>
  <c r="D21" i="26"/>
  <c r="F22" i="26" s="1"/>
  <c r="M15" i="26"/>
  <c r="F26" i="26"/>
  <c r="G26" i="26" s="1"/>
  <c r="H26" i="26" s="1"/>
  <c r="I26" i="26" s="1"/>
  <c r="J26" i="26" s="1"/>
  <c r="K26" i="26" s="1"/>
  <c r="L26" i="26" s="1"/>
  <c r="M26" i="26" s="1"/>
  <c r="N26" i="26" s="1"/>
  <c r="O26" i="26" s="1"/>
  <c r="P26" i="26" s="1"/>
  <c r="G14" i="26" l="1"/>
  <c r="H62" i="50"/>
  <c r="H73" i="50" s="1"/>
  <c r="H97" i="50" s="1"/>
  <c r="H101" i="50" s="1"/>
  <c r="H86" i="4"/>
  <c r="T86" i="4" s="1"/>
  <c r="H155" i="49"/>
  <c r="H94" i="49"/>
  <c r="H108" i="49" s="1"/>
  <c r="H113" i="49" s="1"/>
  <c r="D350" i="29"/>
  <c r="D547" i="29" s="1"/>
  <c r="D551" i="29" s="1"/>
  <c r="D552" i="29" s="1"/>
  <c r="D544" i="29" s="1"/>
  <c r="D665" i="29"/>
  <c r="E171" i="34"/>
  <c r="D656" i="29"/>
  <c r="D669" i="29"/>
  <c r="D443" i="29"/>
  <c r="D447" i="29" s="1"/>
  <c r="F66" i="21"/>
  <c r="F73" i="21"/>
  <c r="F51" i="21"/>
  <c r="F110" i="21"/>
  <c r="D667" i="29"/>
  <c r="D654" i="29"/>
  <c r="E92" i="34"/>
  <c r="D339" i="29"/>
  <c r="E327" i="29"/>
  <c r="E854" i="29"/>
  <c r="C133" i="28" s="1"/>
  <c r="D651" i="29"/>
  <c r="E163" i="4"/>
  <c r="E673" i="29"/>
  <c r="E674" i="29"/>
  <c r="E675" i="29" s="1"/>
  <c r="E846" i="29"/>
  <c r="C103" i="28" s="1"/>
  <c r="D655" i="29"/>
  <c r="D658" i="29"/>
  <c r="E850" i="29"/>
  <c r="C109" i="28" s="1"/>
  <c r="D652" i="29"/>
  <c r="D653" i="29"/>
  <c r="E103" i="34"/>
  <c r="E65" i="40"/>
  <c r="E67" i="40" s="1"/>
  <c r="E83" i="40" s="1"/>
  <c r="G32" i="26"/>
  <c r="G24" i="26" s="1"/>
  <c r="J32" i="26"/>
  <c r="J24" i="26" s="1"/>
  <c r="F14" i="26"/>
  <c r="E32" i="26"/>
  <c r="J21" i="26"/>
  <c r="L22" i="26" s="1"/>
  <c r="P32" i="26"/>
  <c r="F32" i="26"/>
  <c r="H32" i="26"/>
  <c r="O32" i="26"/>
  <c r="M32" i="26"/>
  <c r="K32" i="26"/>
  <c r="L32" i="26"/>
  <c r="N32" i="26"/>
  <c r="I32" i="26"/>
  <c r="G21" i="26" l="1"/>
  <c r="I22" i="26" s="1"/>
  <c r="H53" i="51"/>
  <c r="H105" i="50"/>
  <c r="I62" i="50" s="1"/>
  <c r="I73" i="50" s="1"/>
  <c r="I97" i="50" s="1"/>
  <c r="I99" i="50"/>
  <c r="H84" i="34"/>
  <c r="F10" i="68" s="1"/>
  <c r="G335" i="29"/>
  <c r="H44" i="52"/>
  <c r="H120" i="49"/>
  <c r="H124" i="49" s="1"/>
  <c r="H115" i="49"/>
  <c r="H118" i="49"/>
  <c r="H115" i="50"/>
  <c r="H126" i="50" s="1"/>
  <c r="H155" i="4"/>
  <c r="H163" i="49"/>
  <c r="H177" i="49" s="1"/>
  <c r="H182" i="49" s="1"/>
  <c r="D574" i="29"/>
  <c r="B88" i="28" s="1"/>
  <c r="D438" i="29"/>
  <c r="D446" i="29" s="1"/>
  <c r="D541" i="29"/>
  <c r="D670" i="29"/>
  <c r="D867" i="29" s="1"/>
  <c r="D871" i="29" s="1"/>
  <c r="D872" i="29" s="1"/>
  <c r="D894" i="29" s="1"/>
  <c r="B89" i="28" s="1"/>
  <c r="E105" i="34"/>
  <c r="E110" i="34" s="1"/>
  <c r="E112" i="34" s="1"/>
  <c r="F97" i="21"/>
  <c r="D763" i="29"/>
  <c r="D767" i="29" s="1"/>
  <c r="F112" i="21"/>
  <c r="F119" i="21"/>
  <c r="D556" i="29"/>
  <c r="E498" i="29"/>
  <c r="F498" i="29" s="1"/>
  <c r="G498" i="29" s="1"/>
  <c r="H498" i="29" s="1"/>
  <c r="I498" i="29" s="1"/>
  <c r="J498" i="29" s="1"/>
  <c r="K498" i="29" s="1"/>
  <c r="L498" i="29" s="1"/>
  <c r="M498" i="29" s="1"/>
  <c r="N498" i="29" s="1"/>
  <c r="O498" i="29" s="1"/>
  <c r="F60" i="21"/>
  <c r="F53" i="21"/>
  <c r="B138" i="28"/>
  <c r="E160" i="34"/>
  <c r="E173" i="34" s="1"/>
  <c r="E178" i="34" s="1"/>
  <c r="D537" i="29"/>
  <c r="D532" i="29"/>
  <c r="D341" i="29"/>
  <c r="D529" i="29"/>
  <c r="D340" i="29"/>
  <c r="D533" i="29"/>
  <c r="D352" i="29"/>
  <c r="D528" i="29"/>
  <c r="D659" i="29"/>
  <c r="E647" i="29"/>
  <c r="F65" i="40"/>
  <c r="F67" i="40" s="1"/>
  <c r="F83" i="40" s="1"/>
  <c r="E24" i="26"/>
  <c r="E21" i="26"/>
  <c r="G22" i="26" s="1"/>
  <c r="M21" i="26"/>
  <c r="O22" i="26" s="1"/>
  <c r="M24" i="26"/>
  <c r="N21" i="26"/>
  <c r="P22" i="26" s="1"/>
  <c r="N24" i="26"/>
  <c r="O21" i="26"/>
  <c r="O24" i="26"/>
  <c r="P24" i="26"/>
  <c r="P21" i="26"/>
  <c r="I21" i="26"/>
  <c r="K22" i="26" s="1"/>
  <c r="I24" i="26"/>
  <c r="L24" i="26"/>
  <c r="L21" i="26"/>
  <c r="N22" i="26" s="1"/>
  <c r="H24" i="26"/>
  <c r="H21" i="26"/>
  <c r="J22" i="26" s="1"/>
  <c r="K21" i="26"/>
  <c r="M22" i="26" s="1"/>
  <c r="K24" i="26"/>
  <c r="F21" i="26"/>
  <c r="H22" i="26" s="1"/>
  <c r="F24" i="26"/>
  <c r="F103" i="68" l="1"/>
  <c r="F15" i="68"/>
  <c r="I94" i="49"/>
  <c r="I108" i="49" s="1"/>
  <c r="I113" i="49" s="1"/>
  <c r="I120" i="49" s="1"/>
  <c r="I124" i="49" s="1"/>
  <c r="E117" i="34"/>
  <c r="E121" i="34" s="1"/>
  <c r="I155" i="49"/>
  <c r="I155" i="4" s="1"/>
  <c r="I101" i="50"/>
  <c r="I53" i="51" s="1"/>
  <c r="I86" i="4"/>
  <c r="U86" i="4" s="1"/>
  <c r="H78" i="52"/>
  <c r="H189" i="49"/>
  <c r="H193" i="49" s="1"/>
  <c r="H187" i="49"/>
  <c r="H184" i="49"/>
  <c r="H152" i="34"/>
  <c r="G655" i="29"/>
  <c r="I44" i="52"/>
  <c r="I118" i="49"/>
  <c r="D861" i="29"/>
  <c r="D864" i="29"/>
  <c r="E115" i="34"/>
  <c r="D758" i="29"/>
  <c r="D766" i="29" s="1"/>
  <c r="B139" i="28"/>
  <c r="D553" i="29"/>
  <c r="B114" i="28" s="1"/>
  <c r="F554" i="29"/>
  <c r="F569" i="29" s="1"/>
  <c r="D64" i="28" s="1"/>
  <c r="E558" i="29"/>
  <c r="F494" i="29"/>
  <c r="D876" i="29"/>
  <c r="E818" i="29"/>
  <c r="F818" i="29" s="1"/>
  <c r="G818" i="29" s="1"/>
  <c r="H818" i="29" s="1"/>
  <c r="I818" i="29" s="1"/>
  <c r="J818" i="29" s="1"/>
  <c r="K818" i="29" s="1"/>
  <c r="L818" i="29" s="1"/>
  <c r="M818" i="29" s="1"/>
  <c r="N818" i="29" s="1"/>
  <c r="O818" i="29" s="1"/>
  <c r="F106" i="21"/>
  <c r="F99" i="21"/>
  <c r="D530" i="29"/>
  <c r="B108" i="28" s="1"/>
  <c r="D354" i="29"/>
  <c r="D355" i="29" s="1"/>
  <c r="D353" i="29"/>
  <c r="D534" i="29"/>
  <c r="B132" i="28" s="1"/>
  <c r="D849" i="29"/>
  <c r="D852" i="29"/>
  <c r="D660" i="29"/>
  <c r="D661" i="29"/>
  <c r="D853" i="29"/>
  <c r="D857" i="29"/>
  <c r="D848" i="29"/>
  <c r="D672" i="29"/>
  <c r="D526" i="29"/>
  <c r="B102" i="28" s="1"/>
  <c r="E180" i="34"/>
  <c r="E183" i="34"/>
  <c r="E185" i="34"/>
  <c r="E189" i="34" s="1"/>
  <c r="I87" i="25"/>
  <c r="I90" i="25" s="1"/>
  <c r="H87" i="25"/>
  <c r="J99" i="50" l="1"/>
  <c r="I115" i="49"/>
  <c r="F41" i="68"/>
  <c r="F46" i="68" s="1"/>
  <c r="F108" i="68"/>
  <c r="I115" i="50"/>
  <c r="I126" i="50" s="1"/>
  <c r="H335" i="29"/>
  <c r="I163" i="49"/>
  <c r="I177" i="49" s="1"/>
  <c r="I182" i="49" s="1"/>
  <c r="I189" i="49" s="1"/>
  <c r="I193" i="49" s="1"/>
  <c r="I84" i="34"/>
  <c r="G10" i="68" s="1"/>
  <c r="I105" i="50"/>
  <c r="J62" i="50" s="1"/>
  <c r="J73" i="50" s="1"/>
  <c r="J97" i="50" s="1"/>
  <c r="J101" i="50" s="1"/>
  <c r="J105" i="50" s="1"/>
  <c r="K86" i="49" s="1"/>
  <c r="K62" i="50" s="1"/>
  <c r="H93" i="25"/>
  <c r="H90" i="25"/>
  <c r="H655" i="29"/>
  <c r="I152" i="34"/>
  <c r="D873" i="29"/>
  <c r="B115" i="28" s="1"/>
  <c r="F874" i="29"/>
  <c r="F889" i="29" s="1"/>
  <c r="D65" i="28" s="1"/>
  <c r="E570" i="29"/>
  <c r="C70" i="28" s="1"/>
  <c r="C120" i="28"/>
  <c r="F558" i="29"/>
  <c r="G494" i="29"/>
  <c r="F814" i="29"/>
  <c r="E878" i="29"/>
  <c r="D674" i="29"/>
  <c r="D675" i="29" s="1"/>
  <c r="D673" i="29"/>
  <c r="D846" i="29"/>
  <c r="B103" i="28" s="1"/>
  <c r="D854" i="29"/>
  <c r="B133" i="28" s="1"/>
  <c r="D850" i="29"/>
  <c r="B109" i="28" s="1"/>
  <c r="G238" i="29"/>
  <c r="E125" i="28" s="1"/>
  <c r="J87" i="25"/>
  <c r="J90" i="25" s="1"/>
  <c r="G103" i="68" l="1"/>
  <c r="G15" i="68"/>
  <c r="I187" i="49"/>
  <c r="I184" i="49"/>
  <c r="I78" i="52"/>
  <c r="J94" i="49"/>
  <c r="J108" i="49" s="1"/>
  <c r="J113" i="49" s="1"/>
  <c r="J120" i="49" s="1"/>
  <c r="J124" i="49" s="1"/>
  <c r="J155" i="49"/>
  <c r="J155" i="4" s="1"/>
  <c r="J152" i="34" s="1"/>
  <c r="J86" i="4"/>
  <c r="V86" i="4" s="1"/>
  <c r="J53" i="51"/>
  <c r="K99" i="50"/>
  <c r="F878" i="29"/>
  <c r="G814" i="29"/>
  <c r="H494" i="29"/>
  <c r="G558" i="29"/>
  <c r="F570" i="29"/>
  <c r="D70" i="28" s="1"/>
  <c r="D120" i="28"/>
  <c r="E890" i="29"/>
  <c r="C71" i="28" s="1"/>
  <c r="C121" i="28"/>
  <c r="G252" i="29"/>
  <c r="E75" i="28" s="1"/>
  <c r="H238" i="29"/>
  <c r="K87" i="25"/>
  <c r="K90" i="25" s="1"/>
  <c r="J44" i="52" l="1"/>
  <c r="G41" i="68"/>
  <c r="G46" i="68" s="1"/>
  <c r="G108" i="68"/>
  <c r="J118" i="49"/>
  <c r="I335" i="29"/>
  <c r="J115" i="49"/>
  <c r="J163" i="49"/>
  <c r="J177" i="49" s="1"/>
  <c r="J182" i="49" s="1"/>
  <c r="J187" i="49" s="1"/>
  <c r="J115" i="50"/>
  <c r="J126" i="50" s="1"/>
  <c r="J84" i="34"/>
  <c r="H10" i="68" s="1"/>
  <c r="I655" i="29"/>
  <c r="I494" i="29"/>
  <c r="H558" i="29"/>
  <c r="E120" i="28"/>
  <c r="G570" i="29"/>
  <c r="E70" i="28" s="1"/>
  <c r="G878" i="29"/>
  <c r="H814" i="29"/>
  <c r="F890" i="29"/>
  <c r="D71" i="28" s="1"/>
  <c r="D121" i="28"/>
  <c r="H252" i="29"/>
  <c r="F75" i="28" s="1"/>
  <c r="F125" i="28"/>
  <c r="I238" i="29"/>
  <c r="L87" i="25"/>
  <c r="L90" i="25" s="1"/>
  <c r="J78" i="52" l="1"/>
  <c r="H103" i="68"/>
  <c r="H15" i="68"/>
  <c r="J184" i="49"/>
  <c r="J189" i="49"/>
  <c r="J193" i="49" s="1"/>
  <c r="I814" i="29"/>
  <c r="H878" i="29"/>
  <c r="H570" i="29"/>
  <c r="F70" i="28" s="1"/>
  <c r="F120" i="28"/>
  <c r="G890" i="29"/>
  <c r="E71" i="28" s="1"/>
  <c r="E121" i="28"/>
  <c r="I558" i="29"/>
  <c r="J494" i="29"/>
  <c r="I252" i="29"/>
  <c r="G75" i="28" s="1"/>
  <c r="G125" i="28"/>
  <c r="M87" i="25"/>
  <c r="M90" i="25" s="1"/>
  <c r="H41" i="68" l="1"/>
  <c r="H46" i="68" s="1"/>
  <c r="H108" i="68"/>
  <c r="I570" i="29"/>
  <c r="G70" i="28" s="1"/>
  <c r="G120" i="28"/>
  <c r="F121" i="28"/>
  <c r="H890" i="29"/>
  <c r="F71" i="28" s="1"/>
  <c r="J558" i="29"/>
  <c r="K494" i="29"/>
  <c r="I878" i="29"/>
  <c r="J814" i="29"/>
  <c r="J238" i="29"/>
  <c r="H125" i="28" s="1"/>
  <c r="N87" i="25"/>
  <c r="N90" i="25" s="1"/>
  <c r="K814" i="29" l="1"/>
  <c r="J878" i="29"/>
  <c r="I890" i="29"/>
  <c r="G71" i="28" s="1"/>
  <c r="G121" i="28"/>
  <c r="J570" i="29"/>
  <c r="H70" i="28" s="1"/>
  <c r="H120" i="28"/>
  <c r="L494" i="29"/>
  <c r="K558" i="29"/>
  <c r="K238" i="29"/>
  <c r="J252" i="29"/>
  <c r="H75" i="28" s="1"/>
  <c r="O87" i="25"/>
  <c r="O90" i="25" s="1"/>
  <c r="M494" i="29" l="1"/>
  <c r="L558" i="29"/>
  <c r="I120" i="28"/>
  <c r="K570" i="29"/>
  <c r="I70" i="28" s="1"/>
  <c r="H121" i="28"/>
  <c r="J890" i="29"/>
  <c r="H71" i="28" s="1"/>
  <c r="L814" i="29"/>
  <c r="K878" i="29"/>
  <c r="K252" i="29"/>
  <c r="I75" i="28" s="1"/>
  <c r="I125" i="28"/>
  <c r="L238" i="29"/>
  <c r="J125" i="28" s="1"/>
  <c r="P87" i="25"/>
  <c r="P90" i="25" s="1"/>
  <c r="M814" i="29" l="1"/>
  <c r="L878" i="29"/>
  <c r="J120" i="28"/>
  <c r="L570" i="29"/>
  <c r="J70" i="28" s="1"/>
  <c r="K890" i="29"/>
  <c r="I71" i="28" s="1"/>
  <c r="I121" i="28"/>
  <c r="M558" i="29"/>
  <c r="N494" i="29"/>
  <c r="Q87" i="25"/>
  <c r="Q90" i="25" s="1"/>
  <c r="R87" i="25"/>
  <c r="M238" i="29"/>
  <c r="K125" i="28" s="1"/>
  <c r="L252" i="29"/>
  <c r="J75" i="28" s="1"/>
  <c r="O10" i="23"/>
  <c r="P38" i="19" s="1"/>
  <c r="N10" i="23"/>
  <c r="O38" i="19" s="1"/>
  <c r="M10" i="23"/>
  <c r="N38" i="19" s="1"/>
  <c r="L10" i="23"/>
  <c r="M38" i="19" s="1"/>
  <c r="K10" i="23"/>
  <c r="L38" i="19" s="1"/>
  <c r="J10" i="23"/>
  <c r="K38" i="19" s="1"/>
  <c r="L39" i="19" s="1"/>
  <c r="I10" i="23"/>
  <c r="J38" i="19" s="1"/>
  <c r="H10" i="23"/>
  <c r="I38" i="19" s="1"/>
  <c r="G10" i="23"/>
  <c r="H38" i="19" s="1"/>
  <c r="H41" i="19" s="1"/>
  <c r="F10" i="23"/>
  <c r="G38" i="19" s="1"/>
  <c r="E10" i="23"/>
  <c r="D10" i="23"/>
  <c r="B26" i="22"/>
  <c r="O494" i="29" l="1"/>
  <c r="O558" i="29" s="1"/>
  <c r="N558" i="29"/>
  <c r="L890" i="29"/>
  <c r="J71" i="28" s="1"/>
  <c r="J121" i="28"/>
  <c r="K120" i="28"/>
  <c r="M570" i="29"/>
  <c r="K70" i="28" s="1"/>
  <c r="N814" i="29"/>
  <c r="M878" i="29"/>
  <c r="R90" i="25"/>
  <c r="N238" i="29"/>
  <c r="O238" i="29"/>
  <c r="M252" i="29"/>
  <c r="K75" i="28" s="1"/>
  <c r="I41" i="19"/>
  <c r="I42" i="19"/>
  <c r="K121" i="28" l="1"/>
  <c r="M890" i="29"/>
  <c r="K71" i="28" s="1"/>
  <c r="L120" i="28"/>
  <c r="N570" i="29"/>
  <c r="L70" i="28" s="1"/>
  <c r="N878" i="29"/>
  <c r="O814" i="29"/>
  <c r="O878" i="29" s="1"/>
  <c r="O570" i="29"/>
  <c r="M70" i="28" s="1"/>
  <c r="M120" i="28"/>
  <c r="O252" i="29"/>
  <c r="M75" i="28" s="1"/>
  <c r="M125" i="28"/>
  <c r="N252" i="29"/>
  <c r="L75" i="28" s="1"/>
  <c r="L125" i="28"/>
  <c r="G111" i="29"/>
  <c r="G115" i="29" s="1"/>
  <c r="G236" i="29"/>
  <c r="K236" i="29"/>
  <c r="K111" i="29"/>
  <c r="K115" i="29" s="1"/>
  <c r="O890" i="29" l="1"/>
  <c r="M71" i="28" s="1"/>
  <c r="M121" i="28"/>
  <c r="N890" i="29"/>
  <c r="L71" i="28" s="1"/>
  <c r="L121" i="28"/>
  <c r="I236" i="29"/>
  <c r="I111" i="29"/>
  <c r="I115" i="29" s="1"/>
  <c r="J111" i="29"/>
  <c r="J115" i="29" s="1"/>
  <c r="J236" i="29"/>
  <c r="G179" i="29"/>
  <c r="H179" i="29" s="1"/>
  <c r="I179" i="29" s="1"/>
  <c r="J179" i="29" s="1"/>
  <c r="K179" i="29" s="1"/>
  <c r="L179" i="29" s="1"/>
  <c r="M179" i="29" s="1"/>
  <c r="N179" i="29" s="1"/>
  <c r="O179" i="29" s="1"/>
  <c r="F236" i="29"/>
  <c r="F111" i="29"/>
  <c r="F115" i="29" s="1"/>
  <c r="G234" i="29"/>
  <c r="E113" i="28" s="1"/>
  <c r="L111" i="29"/>
  <c r="L115" i="29" s="1"/>
  <c r="L236" i="29"/>
  <c r="N236" i="29"/>
  <c r="N234" i="29" s="1"/>
  <c r="L113" i="28" s="1"/>
  <c r="N111" i="29"/>
  <c r="N115" i="29" s="1"/>
  <c r="M111" i="29"/>
  <c r="M115" i="29" s="1"/>
  <c r="M236" i="29"/>
  <c r="K234" i="29"/>
  <c r="I113" i="28" s="1"/>
  <c r="H111" i="29"/>
  <c r="H115" i="29" s="1"/>
  <c r="H236" i="29"/>
  <c r="C8" i="21"/>
  <c r="B8" i="21"/>
  <c r="M234" i="29" l="1"/>
  <c r="K113" i="28" s="1"/>
  <c r="O235" i="29"/>
  <c r="O250" i="29" s="1"/>
  <c r="M63" i="28" s="1"/>
  <c r="F234" i="29"/>
  <c r="D113" i="28" s="1"/>
  <c r="G235" i="29"/>
  <c r="G250" i="29" s="1"/>
  <c r="E63" i="28" s="1"/>
  <c r="F235" i="29"/>
  <c r="F250" i="29" s="1"/>
  <c r="D63" i="28" s="1"/>
  <c r="H235" i="29"/>
  <c r="H250" i="29" s="1"/>
  <c r="F63" i="28" s="1"/>
  <c r="J235" i="29"/>
  <c r="J250" i="29" s="1"/>
  <c r="H63" i="28" s="1"/>
  <c r="H234" i="29"/>
  <c r="F113" i="28" s="1"/>
  <c r="G239" i="29"/>
  <c r="L234" i="29"/>
  <c r="J113" i="28" s="1"/>
  <c r="N235" i="29"/>
  <c r="N250" i="29" s="1"/>
  <c r="L63" i="28" s="1"/>
  <c r="J234" i="29"/>
  <c r="H113" i="28" s="1"/>
  <c r="L235" i="29"/>
  <c r="L250" i="29" s="1"/>
  <c r="J63" i="28" s="1"/>
  <c r="M235" i="29"/>
  <c r="M250" i="29" s="1"/>
  <c r="K63" i="28" s="1"/>
  <c r="I235" i="29"/>
  <c r="I250" i="29" s="1"/>
  <c r="G63" i="28" s="1"/>
  <c r="I234" i="29"/>
  <c r="G113" i="28" s="1"/>
  <c r="K235" i="29"/>
  <c r="K250" i="29" s="1"/>
  <c r="I63" i="28" s="1"/>
  <c r="D8" i="21"/>
  <c r="E8" i="21"/>
  <c r="F105" i="7"/>
  <c r="G105" i="7"/>
  <c r="H105" i="7"/>
  <c r="I105" i="7"/>
  <c r="J105" i="7"/>
  <c r="K105" i="7"/>
  <c r="L105" i="7"/>
  <c r="M105" i="7"/>
  <c r="N105" i="7"/>
  <c r="O105" i="7"/>
  <c r="G45" i="7"/>
  <c r="H45" i="7"/>
  <c r="I45" i="7"/>
  <c r="J45" i="7"/>
  <c r="K45" i="7"/>
  <c r="L45" i="7"/>
  <c r="M45" i="7"/>
  <c r="N45" i="7"/>
  <c r="O45" i="7"/>
  <c r="G46" i="7"/>
  <c r="H46" i="7"/>
  <c r="I46" i="7"/>
  <c r="J46" i="7"/>
  <c r="K46" i="7"/>
  <c r="L46" i="7"/>
  <c r="M46" i="7"/>
  <c r="N46" i="7"/>
  <c r="O46" i="7"/>
  <c r="G47" i="7"/>
  <c r="H47" i="7"/>
  <c r="I47" i="7"/>
  <c r="J47" i="7"/>
  <c r="K47" i="7"/>
  <c r="L47" i="7"/>
  <c r="M47" i="7"/>
  <c r="N47" i="7"/>
  <c r="O47" i="7"/>
  <c r="G48" i="7"/>
  <c r="H48" i="7"/>
  <c r="I48" i="7"/>
  <c r="J48" i="7"/>
  <c r="K48" i="7"/>
  <c r="L48" i="7"/>
  <c r="M48" i="7"/>
  <c r="N48" i="7"/>
  <c r="O48" i="7"/>
  <c r="G49" i="7"/>
  <c r="H49" i="7"/>
  <c r="I49" i="7"/>
  <c r="J49" i="7"/>
  <c r="K49" i="7"/>
  <c r="L49" i="7"/>
  <c r="M49" i="7"/>
  <c r="N49" i="7"/>
  <c r="O49" i="7"/>
  <c r="G50" i="7"/>
  <c r="H50" i="7"/>
  <c r="I50" i="7"/>
  <c r="J50" i="7"/>
  <c r="K50" i="7"/>
  <c r="L50" i="7"/>
  <c r="M50" i="7"/>
  <c r="N50" i="7"/>
  <c r="O50" i="7"/>
  <c r="G51" i="7"/>
  <c r="H51" i="7"/>
  <c r="I51" i="7"/>
  <c r="J51" i="7"/>
  <c r="K51" i="7"/>
  <c r="L51" i="7"/>
  <c r="M51" i="7"/>
  <c r="N51" i="7"/>
  <c r="O51" i="7"/>
  <c r="G52" i="7"/>
  <c r="H52" i="7"/>
  <c r="I52" i="7"/>
  <c r="J52" i="7"/>
  <c r="K52" i="7"/>
  <c r="L52" i="7"/>
  <c r="M52" i="7"/>
  <c r="N52" i="7"/>
  <c r="O52" i="7"/>
  <c r="G53" i="7"/>
  <c r="H53" i="7"/>
  <c r="I53" i="7"/>
  <c r="J53" i="7"/>
  <c r="K53" i="7"/>
  <c r="L53" i="7"/>
  <c r="M53" i="7"/>
  <c r="N53" i="7"/>
  <c r="O53" i="7"/>
  <c r="G54" i="7"/>
  <c r="H54" i="7"/>
  <c r="I54" i="7"/>
  <c r="J54" i="7"/>
  <c r="K54" i="7"/>
  <c r="L54" i="7"/>
  <c r="M54" i="7"/>
  <c r="N54" i="7"/>
  <c r="O54" i="7"/>
  <c r="G55" i="7"/>
  <c r="H55" i="7"/>
  <c r="I55" i="7"/>
  <c r="J55" i="7"/>
  <c r="K55" i="7"/>
  <c r="L55" i="7"/>
  <c r="M55" i="7"/>
  <c r="N55" i="7"/>
  <c r="O55" i="7"/>
  <c r="G56" i="7"/>
  <c r="H56" i="7"/>
  <c r="I56" i="7"/>
  <c r="J56" i="7"/>
  <c r="K56" i="7"/>
  <c r="L56" i="7"/>
  <c r="M56" i="7"/>
  <c r="N56" i="7"/>
  <c r="O56" i="7"/>
  <c r="G57" i="7"/>
  <c r="H57" i="7"/>
  <c r="I57" i="7"/>
  <c r="J57" i="7"/>
  <c r="K57" i="7"/>
  <c r="L57" i="7"/>
  <c r="M57" i="7"/>
  <c r="N57" i="7"/>
  <c r="O57" i="7"/>
  <c r="G58" i="7"/>
  <c r="H58" i="7"/>
  <c r="I58" i="7"/>
  <c r="J58" i="7"/>
  <c r="K58" i="7"/>
  <c r="L58" i="7"/>
  <c r="M58" i="7"/>
  <c r="N58" i="7"/>
  <c r="O58" i="7"/>
  <c r="G59" i="7"/>
  <c r="H59" i="7"/>
  <c r="I59" i="7"/>
  <c r="J59" i="7"/>
  <c r="K59" i="7"/>
  <c r="L59" i="7"/>
  <c r="M59" i="7"/>
  <c r="N59" i="7"/>
  <c r="O59" i="7"/>
  <c r="G60" i="7"/>
  <c r="H60" i="7"/>
  <c r="I60" i="7"/>
  <c r="J60" i="7"/>
  <c r="K60" i="7"/>
  <c r="L60" i="7"/>
  <c r="M60" i="7"/>
  <c r="N60" i="7"/>
  <c r="O60" i="7"/>
  <c r="G61" i="7"/>
  <c r="H61" i="7"/>
  <c r="I61" i="7"/>
  <c r="J61" i="7"/>
  <c r="K61" i="7"/>
  <c r="L61" i="7"/>
  <c r="M61" i="7"/>
  <c r="N61" i="7"/>
  <c r="O61" i="7"/>
  <c r="G62" i="7"/>
  <c r="H62" i="7"/>
  <c r="I62" i="7"/>
  <c r="J62" i="7"/>
  <c r="K62" i="7"/>
  <c r="L62" i="7"/>
  <c r="M62" i="7"/>
  <c r="N62" i="7"/>
  <c r="O62" i="7"/>
  <c r="G63" i="7"/>
  <c r="H63" i="7"/>
  <c r="I63" i="7"/>
  <c r="J63" i="7"/>
  <c r="K63" i="7"/>
  <c r="L63" i="7"/>
  <c r="M63" i="7"/>
  <c r="N63" i="7"/>
  <c r="O63" i="7"/>
  <c r="K68" i="7" l="1"/>
  <c r="H68" i="7"/>
  <c r="G251" i="29"/>
  <c r="E69" i="28" s="1"/>
  <c r="E119" i="28"/>
  <c r="H239" i="29"/>
  <c r="B4" i="28"/>
  <c r="O68" i="7"/>
  <c r="G68" i="7"/>
  <c r="J68" i="7"/>
  <c r="I68" i="7"/>
  <c r="N68" i="7"/>
  <c r="L68" i="7"/>
  <c r="M68" i="7"/>
  <c r="F54" i="7"/>
  <c r="F102" i="7"/>
  <c r="F57" i="7"/>
  <c r="K102" i="7"/>
  <c r="N102" i="7"/>
  <c r="M102" i="7"/>
  <c r="L102" i="7"/>
  <c r="J102" i="7"/>
  <c r="I102" i="7"/>
  <c r="H102" i="7"/>
  <c r="O102" i="7"/>
  <c r="G102" i="7"/>
  <c r="F60" i="7"/>
  <c r="F59" i="7"/>
  <c r="F58" i="7"/>
  <c r="H251" i="29" l="1"/>
  <c r="F69" i="28" s="1"/>
  <c r="F119" i="28"/>
  <c r="J21" i="21"/>
  <c r="J22" i="21" s="1"/>
  <c r="J28" i="21"/>
  <c r="M28" i="21"/>
  <c r="M21" i="21"/>
  <c r="M22" i="21" s="1"/>
  <c r="F21" i="21"/>
  <c r="F28" i="21"/>
  <c r="N21" i="21"/>
  <c r="N22" i="21" s="1"/>
  <c r="N28" i="21"/>
  <c r="O21" i="21"/>
  <c r="O22" i="21" s="1"/>
  <c r="O28" i="21"/>
  <c r="P21" i="21"/>
  <c r="P22" i="21" s="1"/>
  <c r="P28" i="21"/>
  <c r="H21" i="21"/>
  <c r="H22" i="21" s="1"/>
  <c r="F43" i="21"/>
  <c r="F36" i="21"/>
  <c r="L28" i="21"/>
  <c r="L21" i="21"/>
  <c r="L22" i="21" s="1"/>
  <c r="I21" i="21"/>
  <c r="I22" i="21" s="1"/>
  <c r="I28" i="21"/>
  <c r="K21" i="21"/>
  <c r="K22" i="21" s="1"/>
  <c r="K28" i="21"/>
  <c r="G21" i="21"/>
  <c r="G28" i="21"/>
  <c r="F8" i="21"/>
  <c r="I239" i="29"/>
  <c r="D8" i="8"/>
  <c r="F47" i="7"/>
  <c r="F48" i="7"/>
  <c r="F49" i="7"/>
  <c r="F50" i="7"/>
  <c r="F51" i="7"/>
  <c r="F52" i="7"/>
  <c r="F53" i="7"/>
  <c r="F55" i="7"/>
  <c r="F56" i="7"/>
  <c r="F61" i="7"/>
  <c r="F62" i="7"/>
  <c r="F63" i="7"/>
  <c r="F46" i="7"/>
  <c r="F45" i="7"/>
  <c r="F75" i="7"/>
  <c r="G75" i="7" s="1"/>
  <c r="O106" i="7"/>
  <c r="N106" i="7"/>
  <c r="M106" i="7"/>
  <c r="L106" i="7"/>
  <c r="K106" i="7"/>
  <c r="J106" i="7"/>
  <c r="I106" i="7"/>
  <c r="H106" i="7"/>
  <c r="G106" i="7"/>
  <c r="F106" i="7"/>
  <c r="E12" i="7"/>
  <c r="D12" i="7"/>
  <c r="E7" i="7"/>
  <c r="D7" i="7"/>
  <c r="G5" i="7"/>
  <c r="F5" i="7"/>
  <c r="O5" i="7"/>
  <c r="N5" i="7"/>
  <c r="M5" i="7"/>
  <c r="L5" i="7"/>
  <c r="K5" i="7"/>
  <c r="J5" i="7"/>
  <c r="G34" i="21" l="1"/>
  <c r="G6" i="21" s="1"/>
  <c r="G33" i="21"/>
  <c r="I251" i="29"/>
  <c r="G69" i="28" s="1"/>
  <c r="G119" i="28"/>
  <c r="J239" i="29"/>
  <c r="F68" i="7"/>
  <c r="F107" i="7"/>
  <c r="F64" i="7"/>
  <c r="L107" i="7"/>
  <c r="L108" i="7" s="1"/>
  <c r="H107" i="7"/>
  <c r="H108" i="7" s="1"/>
  <c r="M107" i="7"/>
  <c r="M108" i="7" s="1"/>
  <c r="I107" i="7"/>
  <c r="I108" i="7" s="1"/>
  <c r="F10" i="7"/>
  <c r="H75" i="7"/>
  <c r="F69" i="7"/>
  <c r="F11" i="7"/>
  <c r="F6" i="7"/>
  <c r="J107" i="7"/>
  <c r="J108" i="7" s="1"/>
  <c r="N107" i="7"/>
  <c r="N108" i="7" s="1"/>
  <c r="G107" i="7"/>
  <c r="G108" i="7" s="1"/>
  <c r="O107" i="7"/>
  <c r="O108" i="7" s="1"/>
  <c r="F108" i="7"/>
  <c r="K107" i="7"/>
  <c r="K108" i="7" s="1"/>
  <c r="G54" i="19"/>
  <c r="G53" i="19"/>
  <c r="H53" i="19" s="1"/>
  <c r="F53" i="19"/>
  <c r="C87" i="19"/>
  <c r="D87" i="19"/>
  <c r="G35" i="21" l="1"/>
  <c r="G43" i="21"/>
  <c r="D88" i="19"/>
  <c r="B19" i="22"/>
  <c r="B28" i="22" s="1"/>
  <c r="G7" i="21"/>
  <c r="B20" i="22" s="1"/>
  <c r="G36" i="21"/>
  <c r="H34" i="21" s="1"/>
  <c r="H35" i="21" s="1"/>
  <c r="J251" i="29"/>
  <c r="H69" i="28" s="1"/>
  <c r="H119" i="28"/>
  <c r="K239" i="29"/>
  <c r="I53" i="19"/>
  <c r="J54" i="19" s="1"/>
  <c r="I54" i="19"/>
  <c r="H54" i="19"/>
  <c r="C88" i="19"/>
  <c r="F7" i="7"/>
  <c r="G64" i="7"/>
  <c r="F12" i="7"/>
  <c r="G11" i="7"/>
  <c r="F70" i="7"/>
  <c r="F71" i="7" s="1"/>
  <c r="G6" i="7"/>
  <c r="I75" i="7"/>
  <c r="G69" i="7"/>
  <c r="G10" i="7"/>
  <c r="B2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G35" i="19"/>
  <c r="G33" i="19"/>
  <c r="H33" i="19" s="1"/>
  <c r="H34" i="19" s="1"/>
  <c r="E19" i="19"/>
  <c r="L16" i="19"/>
  <c r="M16" i="19" s="1"/>
  <c r="M18" i="19" s="1"/>
  <c r="C7" i="19"/>
  <c r="D7" i="19" s="1"/>
  <c r="E7" i="19" s="1"/>
  <c r="F7" i="19" s="1"/>
  <c r="C6" i="19"/>
  <c r="D6" i="19" s="1"/>
  <c r="E6" i="19" s="1"/>
  <c r="F6" i="19" s="1"/>
  <c r="G6" i="19" s="1"/>
  <c r="H6" i="19" s="1"/>
  <c r="I6" i="19" s="1"/>
  <c r="J6" i="19" s="1"/>
  <c r="K6" i="19" s="1"/>
  <c r="L6" i="19" s="1"/>
  <c r="M6" i="19" s="1"/>
  <c r="N6" i="19" s="1"/>
  <c r="O6" i="19" s="1"/>
  <c r="P6" i="19" s="1"/>
  <c r="Q6" i="19" s="1"/>
  <c r="H7" i="21" l="1"/>
  <c r="C20" i="22" s="1"/>
  <c r="H6" i="21"/>
  <c r="H33" i="21"/>
  <c r="H43" i="21"/>
  <c r="G8" i="21"/>
  <c r="K251" i="29"/>
  <c r="I69" i="28" s="1"/>
  <c r="I119" i="28"/>
  <c r="G21" i="19"/>
  <c r="H21" i="19" s="1"/>
  <c r="I21" i="19" s="1"/>
  <c r="J21" i="19" s="1"/>
  <c r="K21" i="19" s="1"/>
  <c r="L21" i="19" s="1"/>
  <c r="L239" i="29"/>
  <c r="L18" i="19"/>
  <c r="D71" i="19"/>
  <c r="D73" i="19" s="1"/>
  <c r="D74" i="19"/>
  <c r="F15" i="21"/>
  <c r="F8" i="27" s="1"/>
  <c r="C3" i="28" s="1"/>
  <c r="F27" i="27"/>
  <c r="G7" i="7"/>
  <c r="H64" i="7"/>
  <c r="G12" i="7"/>
  <c r="H69" i="7"/>
  <c r="J75" i="7"/>
  <c r="G70" i="7"/>
  <c r="G71" i="7" s="1"/>
  <c r="F13" i="19"/>
  <c r="G7" i="19"/>
  <c r="N16" i="19"/>
  <c r="N18" i="19" s="1"/>
  <c r="H35" i="19"/>
  <c r="I33" i="19"/>
  <c r="I34" i="19" s="1"/>
  <c r="H36" i="21" l="1"/>
  <c r="J52" i="19"/>
  <c r="J53" i="19" s="1"/>
  <c r="H8" i="21"/>
  <c r="C19" i="22"/>
  <c r="C28" i="22" s="1"/>
  <c r="L251" i="29"/>
  <c r="J69" i="28" s="1"/>
  <c r="J119" i="28"/>
  <c r="G27" i="19"/>
  <c r="G30" i="19" s="1"/>
  <c r="H30" i="19" s="1"/>
  <c r="I30" i="19" s="1"/>
  <c r="J30" i="19" s="1"/>
  <c r="K30" i="19" s="1"/>
  <c r="I40" i="19"/>
  <c r="J40" i="19" s="1"/>
  <c r="M239" i="29"/>
  <c r="C4" i="28"/>
  <c r="C8" i="28"/>
  <c r="G15" i="21"/>
  <c r="G8" i="27" s="1"/>
  <c r="D3" i="28" s="1"/>
  <c r="G13" i="21"/>
  <c r="I64" i="7"/>
  <c r="I69" i="7"/>
  <c r="K75" i="7"/>
  <c r="H70" i="7"/>
  <c r="H71" i="7" s="1"/>
  <c r="K54" i="19"/>
  <c r="K52" i="19"/>
  <c r="K53" i="19" s="1"/>
  <c r="J33" i="19"/>
  <c r="J34" i="19" s="1"/>
  <c r="I35" i="19"/>
  <c r="G13" i="19"/>
  <c r="G14" i="19" s="1"/>
  <c r="H7" i="19"/>
  <c r="H27" i="19"/>
  <c r="O16" i="19"/>
  <c r="O18" i="19" s="1"/>
  <c r="I34" i="21" l="1"/>
  <c r="M251" i="29"/>
  <c r="K69" i="28" s="1"/>
  <c r="K119" i="28"/>
  <c r="K40" i="19"/>
  <c r="J42" i="19"/>
  <c r="G27" i="27"/>
  <c r="D8" i="28"/>
  <c r="D4" i="28"/>
  <c r="O239" i="29"/>
  <c r="N239" i="29"/>
  <c r="J64" i="7"/>
  <c r="J69" i="7"/>
  <c r="J6" i="7"/>
  <c r="L75" i="7"/>
  <c r="I70" i="7"/>
  <c r="I71" i="7" s="1"/>
  <c r="L54" i="19"/>
  <c r="L52" i="19"/>
  <c r="L53" i="19" s="1"/>
  <c r="H13" i="19"/>
  <c r="H14" i="19" s="1"/>
  <c r="H23" i="19" s="1"/>
  <c r="I7" i="19"/>
  <c r="G23" i="19"/>
  <c r="P16" i="19"/>
  <c r="P18" i="19" s="1"/>
  <c r="I27" i="19"/>
  <c r="M52" i="19"/>
  <c r="K33" i="19"/>
  <c r="K34" i="19" s="1"/>
  <c r="J35" i="19"/>
  <c r="I35" i="21" l="1"/>
  <c r="I43" i="21"/>
  <c r="I33" i="21"/>
  <c r="I6" i="21"/>
  <c r="N251" i="29"/>
  <c r="L69" i="28" s="1"/>
  <c r="L119" i="28"/>
  <c r="O251" i="29"/>
  <c r="M69" i="28" s="1"/>
  <c r="M119" i="28"/>
  <c r="L40" i="19"/>
  <c r="L42" i="19" s="1"/>
  <c r="K42" i="19"/>
  <c r="J7" i="7"/>
  <c r="K64" i="7"/>
  <c r="K69" i="7"/>
  <c r="M75" i="7"/>
  <c r="K6" i="7"/>
  <c r="J70" i="7"/>
  <c r="J71" i="7" s="1"/>
  <c r="J16" i="7" s="1"/>
  <c r="M53" i="19"/>
  <c r="M54" i="19"/>
  <c r="Q16" i="19"/>
  <c r="Q18" i="19" s="1"/>
  <c r="G24" i="19"/>
  <c r="K35" i="19"/>
  <c r="L33" i="19"/>
  <c r="J27" i="19"/>
  <c r="N52" i="19"/>
  <c r="I13" i="19"/>
  <c r="I14" i="19" s="1"/>
  <c r="I23" i="19" s="1"/>
  <c r="J7" i="19"/>
  <c r="D19" i="22" l="1"/>
  <c r="D28" i="22" s="1"/>
  <c r="I7" i="21"/>
  <c r="D20" i="22" s="1"/>
  <c r="I36" i="21"/>
  <c r="M40" i="19"/>
  <c r="N40" i="19" s="1"/>
  <c r="M42" i="19"/>
  <c r="K7" i="7"/>
  <c r="L64" i="7"/>
  <c r="L6" i="7"/>
  <c r="K70" i="7"/>
  <c r="K71" i="7" s="1"/>
  <c r="K16" i="7" s="1"/>
  <c r="N75" i="7"/>
  <c r="L69" i="7"/>
  <c r="N53" i="19"/>
  <c r="N54" i="19"/>
  <c r="J13" i="19"/>
  <c r="J14" i="19" s="1"/>
  <c r="J23" i="19" s="1"/>
  <c r="K7" i="19"/>
  <c r="M33" i="19"/>
  <c r="L34" i="19"/>
  <c r="L35" i="19" s="1"/>
  <c r="O52" i="19"/>
  <c r="K27" i="19"/>
  <c r="H24" i="19"/>
  <c r="I8" i="21" l="1"/>
  <c r="J34" i="21"/>
  <c r="J33" i="21" s="1"/>
  <c r="O40" i="19"/>
  <c r="N42" i="19"/>
  <c r="L7" i="7"/>
  <c r="M64" i="7"/>
  <c r="M69" i="7"/>
  <c r="M6" i="7"/>
  <c r="L70" i="7"/>
  <c r="L71" i="7" s="1"/>
  <c r="L16" i="7" s="1"/>
  <c r="O75" i="7"/>
  <c r="O53" i="19"/>
  <c r="O54" i="19"/>
  <c r="N33" i="19"/>
  <c r="M34" i="19"/>
  <c r="M35" i="19" s="1"/>
  <c r="I24" i="19"/>
  <c r="M21" i="19"/>
  <c r="P52" i="19" s="1"/>
  <c r="L27" i="19"/>
  <c r="L28" i="19" s="1"/>
  <c r="L29" i="19" s="1"/>
  <c r="L30" i="19" s="1"/>
  <c r="K13" i="19"/>
  <c r="K14" i="19" s="1"/>
  <c r="K23" i="19" s="1"/>
  <c r="L7" i="19"/>
  <c r="J35" i="21" l="1"/>
  <c r="J7" i="21" s="1"/>
  <c r="E20" i="22" s="1"/>
  <c r="J6" i="21"/>
  <c r="J43" i="21"/>
  <c r="P40" i="19"/>
  <c r="P42" i="19" s="1"/>
  <c r="O42" i="19"/>
  <c r="M7" i="7"/>
  <c r="N64" i="7"/>
  <c r="N6" i="7"/>
  <c r="M70" i="7"/>
  <c r="M71" i="7" s="1"/>
  <c r="M16" i="7" s="1"/>
  <c r="N69" i="7"/>
  <c r="P53" i="19"/>
  <c r="P54" i="19"/>
  <c r="N21" i="19"/>
  <c r="M27" i="19"/>
  <c r="M28" i="19" s="1"/>
  <c r="M29" i="19" s="1"/>
  <c r="M30" i="19" s="1"/>
  <c r="O33" i="19"/>
  <c r="N34" i="19"/>
  <c r="N35" i="19" s="1"/>
  <c r="L13" i="19"/>
  <c r="L14" i="19" s="1"/>
  <c r="L23" i="19" s="1"/>
  <c r="M7" i="19"/>
  <c r="J24" i="19"/>
  <c r="J36" i="21" l="1"/>
  <c r="K34" i="21" s="1"/>
  <c r="E19" i="22"/>
  <c r="E28" i="22" s="1"/>
  <c r="J15" i="21"/>
  <c r="J8" i="27" s="1"/>
  <c r="G3" i="28" s="1"/>
  <c r="J8" i="21"/>
  <c r="K4" i="4"/>
  <c r="N7" i="7"/>
  <c r="O64" i="7"/>
  <c r="O69" i="7"/>
  <c r="O6" i="7"/>
  <c r="N70" i="7"/>
  <c r="N71" i="7" s="1"/>
  <c r="N16" i="7" s="1"/>
  <c r="P33" i="19"/>
  <c r="O34" i="19"/>
  <c r="O35" i="19" s="1"/>
  <c r="M13" i="19"/>
  <c r="M14" i="19" s="1"/>
  <c r="M23" i="19" s="1"/>
  <c r="N7" i="19"/>
  <c r="N27" i="19"/>
  <c r="N28" i="19" s="1"/>
  <c r="N29" i="19" s="1"/>
  <c r="N30" i="19" s="1"/>
  <c r="O21" i="19"/>
  <c r="O23" i="19" s="1"/>
  <c r="K24" i="19"/>
  <c r="L19" i="19"/>
  <c r="K35" i="21" l="1"/>
  <c r="K7" i="21" s="1"/>
  <c r="F20" i="22" s="1"/>
  <c r="K43" i="21"/>
  <c r="K6" i="21"/>
  <c r="K36" i="21"/>
  <c r="L34" i="21" s="1"/>
  <c r="K33" i="21"/>
  <c r="J8" i="29"/>
  <c r="K8" i="29"/>
  <c r="L4" i="4"/>
  <c r="O7" i="7"/>
  <c r="O70" i="7"/>
  <c r="O71" i="7" s="1"/>
  <c r="O16" i="7" s="1"/>
  <c r="O27" i="19"/>
  <c r="O28" i="19" s="1"/>
  <c r="O29" i="19" s="1"/>
  <c r="O30" i="19" s="1"/>
  <c r="P21" i="19"/>
  <c r="P23" i="19" s="1"/>
  <c r="M19" i="19"/>
  <c r="L24" i="19"/>
  <c r="N13" i="19"/>
  <c r="N14" i="19" s="1"/>
  <c r="N23" i="19" s="1"/>
  <c r="O7" i="19"/>
  <c r="Q33" i="19"/>
  <c r="Q34" i="19" s="1"/>
  <c r="P34" i="19"/>
  <c r="P35" i="19" s="1"/>
  <c r="L35" i="21" l="1"/>
  <c r="L7" i="21" s="1"/>
  <c r="G20" i="22" s="1"/>
  <c r="L43" i="21"/>
  <c r="L6" i="21"/>
  <c r="L36" i="21"/>
  <c r="K15" i="21"/>
  <c r="K8" i="27" s="1"/>
  <c r="H3" i="28" s="1"/>
  <c r="F19" i="22"/>
  <c r="F28" i="22" s="1"/>
  <c r="K8" i="21"/>
  <c r="L8" i="29"/>
  <c r="M4" i="4"/>
  <c r="N19" i="19"/>
  <c r="M24" i="19"/>
  <c r="Q35" i="19"/>
  <c r="O13" i="19"/>
  <c r="O14" i="19" s="1"/>
  <c r="P7" i="19"/>
  <c r="Q21" i="19"/>
  <c r="P27" i="19"/>
  <c r="P28" i="19" s="1"/>
  <c r="P29" i="19" s="1"/>
  <c r="P30" i="19" s="1"/>
  <c r="L15" i="21" l="1"/>
  <c r="L8" i="27" s="1"/>
  <c r="I3" i="28" s="1"/>
  <c r="G19" i="22"/>
  <c r="G28" i="22" s="1"/>
  <c r="L8" i="21"/>
  <c r="M34" i="21"/>
  <c r="N4" i="4"/>
  <c r="Q27" i="19"/>
  <c r="Q28" i="19" s="1"/>
  <c r="Q29" i="19" s="1"/>
  <c r="Q30" i="19" s="1"/>
  <c r="Q23" i="19"/>
  <c r="P13" i="19"/>
  <c r="P14" i="19" s="1"/>
  <c r="Q7" i="19"/>
  <c r="N24" i="19"/>
  <c r="O19" i="19"/>
  <c r="O24" i="19" s="1"/>
  <c r="N8" i="8"/>
  <c r="O8" i="8"/>
  <c r="N23" i="8"/>
  <c r="O23" i="8"/>
  <c r="N33" i="8"/>
  <c r="O33" i="8"/>
  <c r="N34" i="8"/>
  <c r="O34" i="8"/>
  <c r="N38" i="8"/>
  <c r="O38" i="8"/>
  <c r="N39" i="8"/>
  <c r="O39" i="8"/>
  <c r="N43" i="8"/>
  <c r="O43" i="8"/>
  <c r="N44" i="8"/>
  <c r="O44" i="8"/>
  <c r="N48" i="8"/>
  <c r="O48" i="8"/>
  <c r="N49" i="8"/>
  <c r="O49" i="8"/>
  <c r="N40" i="7"/>
  <c r="O40" i="7"/>
  <c r="N30" i="7"/>
  <c r="O30" i="7"/>
  <c r="N25" i="7"/>
  <c r="O25" i="7"/>
  <c r="N8" i="17"/>
  <c r="O8" i="17"/>
  <c r="N22" i="17"/>
  <c r="O22" i="17"/>
  <c r="N27" i="17"/>
  <c r="O27" i="17"/>
  <c r="N28" i="17"/>
  <c r="O28" i="17"/>
  <c r="N29" i="17"/>
  <c r="O29" i="17"/>
  <c r="N8" i="6"/>
  <c r="O8" i="6"/>
  <c r="N22" i="6"/>
  <c r="O22" i="6"/>
  <c r="N27" i="6"/>
  <c r="O27" i="6"/>
  <c r="N28" i="6"/>
  <c r="O28" i="6"/>
  <c r="N29" i="6"/>
  <c r="O29" i="6"/>
  <c r="N33" i="6"/>
  <c r="O33" i="6"/>
  <c r="N34" i="6"/>
  <c r="O34" i="6"/>
  <c r="N37" i="6"/>
  <c r="O37" i="6"/>
  <c r="N25" i="16"/>
  <c r="O25" i="16"/>
  <c r="N31" i="16"/>
  <c r="O31" i="16"/>
  <c r="N59" i="16"/>
  <c r="O59" i="16"/>
  <c r="N65" i="16"/>
  <c r="O65" i="16"/>
  <c r="N93" i="16"/>
  <c r="O93" i="16"/>
  <c r="N99" i="16"/>
  <c r="O99" i="16"/>
  <c r="N26" i="3"/>
  <c r="N26" i="37" s="1"/>
  <c r="O26" i="3"/>
  <c r="O26" i="37" s="1"/>
  <c r="N32" i="3"/>
  <c r="O32" i="3"/>
  <c r="N60" i="3"/>
  <c r="N60" i="37" s="1"/>
  <c r="O60" i="3"/>
  <c r="O60" i="37" s="1"/>
  <c r="N66" i="3"/>
  <c r="N66" i="37" s="1"/>
  <c r="O66" i="3"/>
  <c r="O66" i="37" s="1"/>
  <c r="N88" i="3"/>
  <c r="O88" i="3"/>
  <c r="N94" i="3"/>
  <c r="O94" i="3"/>
  <c r="M35" i="21" l="1"/>
  <c r="M7" i="21" s="1"/>
  <c r="H20" i="22" s="1"/>
  <c r="M43" i="21"/>
  <c r="M6" i="21"/>
  <c r="M36" i="21"/>
  <c r="N34" i="21" s="1"/>
  <c r="O100" i="3"/>
  <c r="O88" i="37"/>
  <c r="O100" i="37" s="1"/>
  <c r="O30" i="17"/>
  <c r="N100" i="3"/>
  <c r="N88" i="37"/>
  <c r="N100" i="37" s="1"/>
  <c r="N30" i="17"/>
  <c r="O4" i="4"/>
  <c r="O30" i="6"/>
  <c r="N30" i="6"/>
  <c r="O32" i="7"/>
  <c r="O27" i="8" s="1"/>
  <c r="N32" i="7"/>
  <c r="N27" i="8" s="1"/>
  <c r="O35" i="6"/>
  <c r="N35" i="6"/>
  <c r="P19" i="19"/>
  <c r="P24" i="19" s="1"/>
  <c r="Q13" i="19"/>
  <c r="Q14" i="19" s="1"/>
  <c r="R7" i="19"/>
  <c r="S7" i="19" s="1"/>
  <c r="T7" i="19" s="1"/>
  <c r="U7" i="19" s="1"/>
  <c r="V7" i="19" s="1"/>
  <c r="N6" i="15"/>
  <c r="O6" i="15"/>
  <c r="N7" i="15"/>
  <c r="O7" i="15"/>
  <c r="N8" i="15"/>
  <c r="O8" i="15"/>
  <c r="N9" i="15"/>
  <c r="O9" i="15"/>
  <c r="N11" i="15"/>
  <c r="O11" i="15"/>
  <c r="N14" i="15"/>
  <c r="O14" i="15"/>
  <c r="N15" i="15"/>
  <c r="O15" i="15"/>
  <c r="N17" i="15"/>
  <c r="O17" i="15"/>
  <c r="N24" i="15"/>
  <c r="O24" i="15"/>
  <c r="N7" i="2"/>
  <c r="N7" i="35" s="1"/>
  <c r="O7" i="2"/>
  <c r="O7" i="35" s="1"/>
  <c r="N8" i="2"/>
  <c r="N8" i="35" s="1"/>
  <c r="O8" i="2"/>
  <c r="O8" i="35" s="1"/>
  <c r="N10" i="2"/>
  <c r="N10" i="35" s="1"/>
  <c r="O10" i="2"/>
  <c r="O10" i="35" s="1"/>
  <c r="N12" i="35"/>
  <c r="O12" i="35"/>
  <c r="N19" i="2"/>
  <c r="N19" i="35" s="1"/>
  <c r="O19" i="2"/>
  <c r="O19" i="35" s="1"/>
  <c r="N14" i="13"/>
  <c r="O14" i="13"/>
  <c r="N21" i="13"/>
  <c r="O21" i="13"/>
  <c r="N23" i="13"/>
  <c r="N28" i="13" s="1"/>
  <c r="O23" i="13"/>
  <c r="O28" i="13" s="1"/>
  <c r="O35" i="13"/>
  <c r="O37" i="17" s="1"/>
  <c r="N37" i="13"/>
  <c r="N23" i="17" s="1"/>
  <c r="N24" i="17" s="1"/>
  <c r="O37" i="13"/>
  <c r="O23" i="17" s="1"/>
  <c r="O24" i="17" s="1"/>
  <c r="N39" i="13"/>
  <c r="N33" i="17" s="1"/>
  <c r="O39" i="13"/>
  <c r="O33" i="17" s="1"/>
  <c r="N40" i="13"/>
  <c r="N34" i="17" s="1"/>
  <c r="O40" i="13"/>
  <c r="O34" i="17" s="1"/>
  <c r="N53" i="13"/>
  <c r="N48" i="15" s="1"/>
  <c r="O53" i="13"/>
  <c r="N54" i="13"/>
  <c r="N49" i="15" s="1"/>
  <c r="O54" i="13"/>
  <c r="O49" i="15" s="1"/>
  <c r="N55" i="13"/>
  <c r="N50" i="15" s="1"/>
  <c r="O55" i="13"/>
  <c r="O50" i="15" s="1"/>
  <c r="N56" i="13"/>
  <c r="N53" i="15" s="1"/>
  <c r="O56" i="13"/>
  <c r="O53" i="15" s="1"/>
  <c r="N57" i="13"/>
  <c r="O57" i="13"/>
  <c r="N58" i="13"/>
  <c r="O58" i="13"/>
  <c r="N60" i="13"/>
  <c r="N66" i="15" s="1"/>
  <c r="O60" i="13"/>
  <c r="O66" i="15" s="1"/>
  <c r="N64" i="13"/>
  <c r="N56" i="15" s="1"/>
  <c r="O64" i="13"/>
  <c r="O56" i="15" s="1"/>
  <c r="N65" i="13"/>
  <c r="O65" i="13"/>
  <c r="O57" i="15" s="1"/>
  <c r="N66" i="13"/>
  <c r="O66" i="13"/>
  <c r="N67" i="13"/>
  <c r="N59" i="15" s="1"/>
  <c r="O67" i="13"/>
  <c r="O59" i="15" s="1"/>
  <c r="N84" i="13"/>
  <c r="O84" i="13"/>
  <c r="N100" i="13"/>
  <c r="N90" i="15" s="1"/>
  <c r="O100" i="13"/>
  <c r="N101" i="13"/>
  <c r="O101" i="13"/>
  <c r="O91" i="15" s="1"/>
  <c r="N102" i="13"/>
  <c r="N92" i="15" s="1"/>
  <c r="O102" i="13"/>
  <c r="O92" i="15" s="1"/>
  <c r="N103" i="13"/>
  <c r="N95" i="15" s="1"/>
  <c r="O103" i="13"/>
  <c r="O95" i="15" s="1"/>
  <c r="N104" i="13"/>
  <c r="O104" i="13"/>
  <c r="N105" i="13"/>
  <c r="O105" i="13"/>
  <c r="N107" i="13"/>
  <c r="N108" i="15" s="1"/>
  <c r="O107" i="13"/>
  <c r="O108" i="15" s="1"/>
  <c r="N111" i="13"/>
  <c r="N98" i="15" s="1"/>
  <c r="O111" i="13"/>
  <c r="O98" i="15" s="1"/>
  <c r="N112" i="13"/>
  <c r="O112" i="13"/>
  <c r="N113" i="13"/>
  <c r="O113" i="13"/>
  <c r="N114" i="13"/>
  <c r="N101" i="15" s="1"/>
  <c r="O114" i="13"/>
  <c r="O101" i="15" s="1"/>
  <c r="N131" i="13"/>
  <c r="O131" i="13"/>
  <c r="M336" i="29"/>
  <c r="N336" i="29"/>
  <c r="N134" i="34"/>
  <c r="O134" i="34"/>
  <c r="N35" i="21" l="1"/>
  <c r="N7" i="21" s="1"/>
  <c r="I20" i="22" s="1"/>
  <c r="N6" i="21"/>
  <c r="N43" i="21"/>
  <c r="N36" i="21"/>
  <c r="O34" i="21" s="1"/>
  <c r="M15" i="21"/>
  <c r="M8" i="27" s="1"/>
  <c r="J3" i="28" s="1"/>
  <c r="M8" i="21"/>
  <c r="H19" i="22"/>
  <c r="H28" i="22" s="1"/>
  <c r="N140" i="54"/>
  <c r="N140" i="50"/>
  <c r="M656" i="29"/>
  <c r="O140" i="50"/>
  <c r="O140" i="54"/>
  <c r="N656" i="29"/>
  <c r="N34" i="35"/>
  <c r="O202" i="34"/>
  <c r="N202" i="34"/>
  <c r="O23" i="6"/>
  <c r="O24" i="6" s="1"/>
  <c r="N23" i="6"/>
  <c r="N24" i="6" s="1"/>
  <c r="O122" i="35"/>
  <c r="O118" i="35"/>
  <c r="N118" i="35"/>
  <c r="O114" i="2"/>
  <c r="O114" i="35" s="1"/>
  <c r="N125" i="2"/>
  <c r="N125" i="35" s="1"/>
  <c r="N114" i="2"/>
  <c r="N114" i="35" s="1"/>
  <c r="N65" i="35"/>
  <c r="N69" i="35"/>
  <c r="O65" i="35"/>
  <c r="O72" i="2"/>
  <c r="O72" i="35" s="1"/>
  <c r="O61" i="2"/>
  <c r="O61" i="35" s="1"/>
  <c r="O69" i="35"/>
  <c r="O125" i="2"/>
  <c r="O125" i="35" s="1"/>
  <c r="O87" i="2"/>
  <c r="N72" i="2"/>
  <c r="N72" i="35" s="1"/>
  <c r="N61" i="2"/>
  <c r="N61" i="35" s="1"/>
  <c r="O34" i="35"/>
  <c r="N60" i="2"/>
  <c r="N60" i="35" s="1"/>
  <c r="P4" i="4"/>
  <c r="P122" i="35"/>
  <c r="P7" i="2"/>
  <c r="P7" i="35" s="1"/>
  <c r="N30" i="13"/>
  <c r="N4" i="17"/>
  <c r="N10" i="17" s="1"/>
  <c r="N12" i="17" s="1"/>
  <c r="N19" i="17"/>
  <c r="N9" i="16"/>
  <c r="O30" i="13"/>
  <c r="O4" i="17"/>
  <c r="O10" i="17" s="1"/>
  <c r="O12" i="17" s="1"/>
  <c r="O19" i="17"/>
  <c r="O9" i="16"/>
  <c r="N87" i="13"/>
  <c r="O18" i="15"/>
  <c r="O25" i="8"/>
  <c r="O22" i="8"/>
  <c r="O24" i="8"/>
  <c r="N18" i="15"/>
  <c r="N22" i="8"/>
  <c r="N24" i="8"/>
  <c r="N25" i="8"/>
  <c r="O87" i="13"/>
  <c r="N133" i="13"/>
  <c r="N86" i="13"/>
  <c r="O134" i="13"/>
  <c r="N134" i="13"/>
  <c r="O133" i="13"/>
  <c r="N54" i="8"/>
  <c r="N35" i="13"/>
  <c r="N129" i="13" s="1"/>
  <c r="O54" i="8"/>
  <c r="O86" i="13"/>
  <c r="O35" i="17"/>
  <c r="N35" i="17"/>
  <c r="N34" i="2"/>
  <c r="O34" i="2"/>
  <c r="N115" i="13"/>
  <c r="N93" i="15"/>
  <c r="N51" i="15"/>
  <c r="O93" i="15"/>
  <c r="O108" i="13"/>
  <c r="O51" i="15"/>
  <c r="O61" i="13"/>
  <c r="O115" i="13"/>
  <c r="N68" i="13"/>
  <c r="N99" i="15"/>
  <c r="O48" i="15"/>
  <c r="N57" i="15"/>
  <c r="O68" i="13"/>
  <c r="O99" i="15"/>
  <c r="O90" i="15"/>
  <c r="O116" i="2"/>
  <c r="O116" i="35" s="1"/>
  <c r="N63" i="2"/>
  <c r="N63" i="35" s="1"/>
  <c r="N108" i="13"/>
  <c r="N61" i="13"/>
  <c r="N91" i="15"/>
  <c r="Q19" i="19"/>
  <c r="Q24" i="19" s="1"/>
  <c r="O63" i="2"/>
  <c r="O63" i="35" s="1"/>
  <c r="N122" i="35"/>
  <c r="N116" i="2"/>
  <c r="N116" i="35" s="1"/>
  <c r="O60" i="2"/>
  <c r="O60" i="35" s="1"/>
  <c r="O113" i="2"/>
  <c r="O113" i="35" s="1"/>
  <c r="N113" i="2"/>
  <c r="N113" i="35" s="1"/>
  <c r="O28" i="15"/>
  <c r="O30" i="15" s="1"/>
  <c r="O32" i="15" s="1"/>
  <c r="O82" i="13"/>
  <c r="O70" i="15" s="1"/>
  <c r="O72" i="15" s="1"/>
  <c r="O129" i="13"/>
  <c r="O112" i="15" s="1"/>
  <c r="O114" i="15" s="1"/>
  <c r="O45" i="13"/>
  <c r="O33" i="13"/>
  <c r="N33" i="13"/>
  <c r="I5" i="7"/>
  <c r="G23" i="7"/>
  <c r="H23" i="7"/>
  <c r="I23" i="7"/>
  <c r="J23" i="7"/>
  <c r="K23" i="7"/>
  <c r="L23" i="7"/>
  <c r="M23" i="7"/>
  <c r="I6" i="7"/>
  <c r="I10" i="7"/>
  <c r="J10" i="7"/>
  <c r="K10" i="7"/>
  <c r="L10" i="7"/>
  <c r="M10" i="7"/>
  <c r="N10" i="7"/>
  <c r="O10" i="7"/>
  <c r="L28" i="7"/>
  <c r="M28" i="7"/>
  <c r="I11" i="7"/>
  <c r="J11" i="7"/>
  <c r="J13" i="21" s="1"/>
  <c r="K11" i="7"/>
  <c r="L11" i="7"/>
  <c r="M11" i="7"/>
  <c r="N11" i="7"/>
  <c r="O11" i="7"/>
  <c r="L29" i="7"/>
  <c r="M29" i="7"/>
  <c r="H11" i="7"/>
  <c r="H10" i="7"/>
  <c r="H6" i="7"/>
  <c r="H5" i="7"/>
  <c r="O35" i="21" l="1"/>
  <c r="O7" i="21" s="1"/>
  <c r="J20" i="22" s="1"/>
  <c r="O6" i="21"/>
  <c r="O43" i="21"/>
  <c r="O36" i="21"/>
  <c r="P34" i="21" s="1"/>
  <c r="N15" i="21"/>
  <c r="N8" i="27" s="1"/>
  <c r="K3" i="28" s="1"/>
  <c r="N8" i="21"/>
  <c r="I19" i="22"/>
  <c r="I28" i="22" s="1"/>
  <c r="O39" i="17"/>
  <c r="N140" i="39"/>
  <c r="O87" i="39"/>
  <c r="O140" i="39"/>
  <c r="O140" i="2"/>
  <c r="N87" i="39"/>
  <c r="N87" i="2"/>
  <c r="P69" i="35"/>
  <c r="N140" i="2"/>
  <c r="P60" i="2"/>
  <c r="P60" i="35" s="1"/>
  <c r="P113" i="2"/>
  <c r="P113" i="35" s="1"/>
  <c r="G8" i="28"/>
  <c r="G4" i="28"/>
  <c r="O28" i="16"/>
  <c r="O30" i="16" s="1"/>
  <c r="O11" i="16"/>
  <c r="N28" i="16"/>
  <c r="N30" i="16" s="1"/>
  <c r="N11" i="16"/>
  <c r="I15" i="21"/>
  <c r="I8" i="27" s="1"/>
  <c r="F3" i="28" s="1"/>
  <c r="K29" i="7"/>
  <c r="O13" i="21"/>
  <c r="H29" i="7"/>
  <c r="L13" i="21"/>
  <c r="G29" i="7"/>
  <c r="K13" i="21"/>
  <c r="D29" i="7"/>
  <c r="E29" i="7"/>
  <c r="I13" i="21"/>
  <c r="J29" i="7"/>
  <c r="N13" i="21"/>
  <c r="I29" i="7"/>
  <c r="M13" i="21"/>
  <c r="D24" i="7"/>
  <c r="I12" i="7"/>
  <c r="H28" i="7"/>
  <c r="L12" i="7"/>
  <c r="O12" i="7"/>
  <c r="O14" i="7" s="1"/>
  <c r="G28" i="7"/>
  <c r="K12" i="7"/>
  <c r="I28" i="7"/>
  <c r="M12" i="7"/>
  <c r="D28" i="7"/>
  <c r="H12" i="7"/>
  <c r="N12" i="7"/>
  <c r="N14" i="7" s="1"/>
  <c r="N15" i="7" s="1"/>
  <c r="F28" i="7"/>
  <c r="J12" i="7"/>
  <c r="E23" i="7"/>
  <c r="I7" i="7"/>
  <c r="D23" i="7"/>
  <c r="H7" i="7"/>
  <c r="N37" i="17"/>
  <c r="N39" i="17" s="1"/>
  <c r="N28" i="15"/>
  <c r="N30" i="15" s="1"/>
  <c r="N32" i="15" s="1"/>
  <c r="N82" i="13"/>
  <c r="N70" i="15" s="1"/>
  <c r="N72" i="15" s="1"/>
  <c r="N45" i="13"/>
  <c r="O102" i="15"/>
  <c r="O116" i="15" s="1"/>
  <c r="N117" i="13"/>
  <c r="N122" i="13" s="1"/>
  <c r="N77" i="16" s="1"/>
  <c r="N96" i="16" s="1"/>
  <c r="N98" i="16" s="1"/>
  <c r="N102" i="15"/>
  <c r="O70" i="13"/>
  <c r="O75" i="13" s="1"/>
  <c r="O80" i="13" s="1"/>
  <c r="N60" i="15"/>
  <c r="N70" i="13"/>
  <c r="N75" i="13" s="1"/>
  <c r="N77" i="13" s="1"/>
  <c r="O60" i="15"/>
  <c r="O74" i="15" s="1"/>
  <c r="O117" i="13"/>
  <c r="O122" i="13" s="1"/>
  <c r="O77" i="16" s="1"/>
  <c r="O96" i="16" s="1"/>
  <c r="O98" i="16" s="1"/>
  <c r="N112" i="15"/>
  <c r="N114" i="15" s="1"/>
  <c r="L30" i="7"/>
  <c r="F29" i="7"/>
  <c r="K28" i="7"/>
  <c r="J28" i="7"/>
  <c r="M30" i="7"/>
  <c r="E28" i="7"/>
  <c r="F23" i="7"/>
  <c r="P35" i="21" l="1"/>
  <c r="P7" i="21" s="1"/>
  <c r="K20" i="22" s="1"/>
  <c r="P43" i="21"/>
  <c r="P6" i="21"/>
  <c r="P36" i="21"/>
  <c r="Q34" i="21" s="1"/>
  <c r="O8" i="21"/>
  <c r="L4" i="28" s="1"/>
  <c r="J19" i="22"/>
  <c r="J28" i="22" s="1"/>
  <c r="O15" i="21"/>
  <c r="O8" i="27" s="1"/>
  <c r="L3" i="28" s="1"/>
  <c r="N87" i="35"/>
  <c r="O87" i="35"/>
  <c r="H8" i="28"/>
  <c r="H4" i="28"/>
  <c r="I8" i="28"/>
  <c r="I4" i="28"/>
  <c r="F8" i="28"/>
  <c r="F4" i="28"/>
  <c r="J8" i="28"/>
  <c r="J4" i="28"/>
  <c r="K8" i="28"/>
  <c r="K4" i="28"/>
  <c r="L8" i="28"/>
  <c r="K30" i="7"/>
  <c r="E30" i="7"/>
  <c r="G30" i="7"/>
  <c r="H15" i="21"/>
  <c r="H8" i="27" s="1"/>
  <c r="E3" i="28" s="1"/>
  <c r="H13" i="21"/>
  <c r="I30" i="7"/>
  <c r="H30" i="7"/>
  <c r="J30" i="7"/>
  <c r="F30" i="7"/>
  <c r="O17" i="7"/>
  <c r="O53" i="8"/>
  <c r="O56" i="8" s="1"/>
  <c r="O12" i="8"/>
  <c r="N17" i="7"/>
  <c r="N12" i="8"/>
  <c r="N53" i="8"/>
  <c r="N56" i="8" s="1"/>
  <c r="N116" i="15"/>
  <c r="O77" i="13"/>
  <c r="N79" i="16"/>
  <c r="N127" i="13"/>
  <c r="N124" i="13"/>
  <c r="N139" i="13"/>
  <c r="O127" i="13"/>
  <c r="N74" i="15"/>
  <c r="O92" i="13"/>
  <c r="O124" i="13"/>
  <c r="N80" i="13"/>
  <c r="O43" i="16"/>
  <c r="N43" i="16"/>
  <c r="N92" i="13"/>
  <c r="O79" i="16"/>
  <c r="O139" i="13"/>
  <c r="F100" i="13"/>
  <c r="G100" i="13"/>
  <c r="H100" i="13"/>
  <c r="I100" i="13"/>
  <c r="J100" i="13"/>
  <c r="K100" i="13"/>
  <c r="L100" i="13"/>
  <c r="M100" i="13"/>
  <c r="F101" i="13"/>
  <c r="G101" i="13"/>
  <c r="H101" i="13"/>
  <c r="I101" i="13"/>
  <c r="J101" i="13"/>
  <c r="K101" i="13"/>
  <c r="L101" i="13"/>
  <c r="M101" i="13"/>
  <c r="F102" i="13"/>
  <c r="G102" i="13"/>
  <c r="H102" i="13"/>
  <c r="I102" i="13"/>
  <c r="J102" i="13"/>
  <c r="K102" i="13"/>
  <c r="L102" i="13"/>
  <c r="M102" i="13"/>
  <c r="F103" i="13"/>
  <c r="G103" i="13"/>
  <c r="H103" i="13"/>
  <c r="I103" i="13"/>
  <c r="J103" i="13"/>
  <c r="K103" i="13"/>
  <c r="L103" i="13"/>
  <c r="M103" i="13"/>
  <c r="F104" i="13"/>
  <c r="G104" i="13"/>
  <c r="H104" i="13"/>
  <c r="I104" i="13"/>
  <c r="J104" i="13"/>
  <c r="K104" i="13"/>
  <c r="L104" i="13"/>
  <c r="M104" i="13"/>
  <c r="F105" i="13"/>
  <c r="G105" i="13"/>
  <c r="H105" i="13"/>
  <c r="I105" i="13"/>
  <c r="J105" i="13"/>
  <c r="K105" i="13"/>
  <c r="L105" i="13"/>
  <c r="M105" i="13"/>
  <c r="F107" i="13"/>
  <c r="G107" i="13"/>
  <c r="H107" i="13"/>
  <c r="I107" i="13"/>
  <c r="J107" i="13"/>
  <c r="K107" i="13"/>
  <c r="L107" i="13"/>
  <c r="M107" i="13"/>
  <c r="F108" i="13"/>
  <c r="F111" i="13"/>
  <c r="G111" i="13"/>
  <c r="H111" i="13"/>
  <c r="I111" i="13"/>
  <c r="J111" i="13"/>
  <c r="K111" i="13"/>
  <c r="L111" i="13"/>
  <c r="M111" i="13"/>
  <c r="F112" i="13"/>
  <c r="G112" i="13"/>
  <c r="H112" i="13"/>
  <c r="I112" i="13"/>
  <c r="J112" i="13"/>
  <c r="K112" i="13"/>
  <c r="L112" i="13"/>
  <c r="M112" i="13"/>
  <c r="F113" i="13"/>
  <c r="G113" i="13"/>
  <c r="H113" i="13"/>
  <c r="I113" i="13"/>
  <c r="J113" i="13"/>
  <c r="K113" i="13"/>
  <c r="L113" i="13"/>
  <c r="M113" i="13"/>
  <c r="F114" i="13"/>
  <c r="G114" i="13"/>
  <c r="H114" i="13"/>
  <c r="I114" i="13"/>
  <c r="J114" i="13"/>
  <c r="K114" i="13"/>
  <c r="L114" i="13"/>
  <c r="M114" i="13"/>
  <c r="E114" i="13"/>
  <c r="E113" i="13"/>
  <c r="E112" i="13"/>
  <c r="E111" i="13"/>
  <c r="E107" i="13"/>
  <c r="E105" i="13"/>
  <c r="E104" i="13"/>
  <c r="E103" i="13"/>
  <c r="E102" i="13"/>
  <c r="E101" i="13"/>
  <c r="E100" i="13"/>
  <c r="F53" i="13"/>
  <c r="G53" i="13"/>
  <c r="H53" i="13"/>
  <c r="I53" i="13"/>
  <c r="J53" i="13"/>
  <c r="K53" i="13"/>
  <c r="L53" i="13"/>
  <c r="M53" i="13"/>
  <c r="F54" i="13"/>
  <c r="G54" i="13"/>
  <c r="H54" i="13"/>
  <c r="I54" i="13"/>
  <c r="J54" i="13"/>
  <c r="K54" i="13"/>
  <c r="L54" i="13"/>
  <c r="M54" i="13"/>
  <c r="F55" i="13"/>
  <c r="G55" i="13"/>
  <c r="H55" i="13"/>
  <c r="I55" i="13"/>
  <c r="J55" i="13"/>
  <c r="K55" i="13"/>
  <c r="L55" i="13"/>
  <c r="M55" i="13"/>
  <c r="F56" i="13"/>
  <c r="G56" i="13"/>
  <c r="H56" i="13"/>
  <c r="I56" i="13"/>
  <c r="J56" i="13"/>
  <c r="K56" i="13"/>
  <c r="L56" i="13"/>
  <c r="M56" i="13"/>
  <c r="F57" i="13"/>
  <c r="G57" i="13"/>
  <c r="H57" i="13"/>
  <c r="I57" i="13"/>
  <c r="J57" i="13"/>
  <c r="K57" i="13"/>
  <c r="L57" i="13"/>
  <c r="M57" i="13"/>
  <c r="F58" i="13"/>
  <c r="G58" i="13"/>
  <c r="H58" i="13"/>
  <c r="I58" i="13"/>
  <c r="J58" i="13"/>
  <c r="K58" i="13"/>
  <c r="L58" i="13"/>
  <c r="M58" i="13"/>
  <c r="F60" i="13"/>
  <c r="G60" i="13"/>
  <c r="H60" i="13"/>
  <c r="I60" i="13"/>
  <c r="J60" i="13"/>
  <c r="K60" i="13"/>
  <c r="L60" i="13"/>
  <c r="M60" i="13"/>
  <c r="F64" i="13"/>
  <c r="G64" i="13"/>
  <c r="H64" i="13"/>
  <c r="I64" i="13"/>
  <c r="J64" i="13"/>
  <c r="K64" i="13"/>
  <c r="L64" i="13"/>
  <c r="M64" i="13"/>
  <c r="F65" i="13"/>
  <c r="G65" i="13"/>
  <c r="H65" i="13"/>
  <c r="I65" i="13"/>
  <c r="J65" i="13"/>
  <c r="K65" i="13"/>
  <c r="L65" i="13"/>
  <c r="M65" i="13"/>
  <c r="F66" i="13"/>
  <c r="G66" i="13"/>
  <c r="H66" i="13"/>
  <c r="I66" i="13"/>
  <c r="J66" i="13"/>
  <c r="K66" i="13"/>
  <c r="L66" i="13"/>
  <c r="M66" i="13"/>
  <c r="F67" i="13"/>
  <c r="G67" i="13"/>
  <c r="H67" i="13"/>
  <c r="H68" i="13" s="1"/>
  <c r="I67" i="13"/>
  <c r="J67" i="13"/>
  <c r="K67" i="13"/>
  <c r="L67" i="13"/>
  <c r="M67" i="13"/>
  <c r="E67" i="13"/>
  <c r="E66" i="13"/>
  <c r="E65" i="13"/>
  <c r="E64" i="13"/>
  <c r="E60" i="13"/>
  <c r="E58" i="13"/>
  <c r="E57" i="13"/>
  <c r="E56" i="13"/>
  <c r="E55" i="13"/>
  <c r="E54" i="13"/>
  <c r="E53" i="13"/>
  <c r="J336" i="29"/>
  <c r="K336" i="29"/>
  <c r="L336" i="29"/>
  <c r="F40" i="7"/>
  <c r="F24" i="7" s="1"/>
  <c r="F25" i="7" s="1"/>
  <c r="G40" i="7"/>
  <c r="G24" i="7" s="1"/>
  <c r="G25" i="7" s="1"/>
  <c r="H40" i="7"/>
  <c r="H24" i="7" s="1"/>
  <c r="H25" i="7" s="1"/>
  <c r="I40" i="7"/>
  <c r="I24" i="7" s="1"/>
  <c r="I25" i="7" s="1"/>
  <c r="J40" i="7"/>
  <c r="J24" i="7" s="1"/>
  <c r="J25" i="7" s="1"/>
  <c r="K40" i="7"/>
  <c r="K24" i="7" s="1"/>
  <c r="K25" i="7" s="1"/>
  <c r="L40" i="7"/>
  <c r="L24" i="7" s="1"/>
  <c r="L25" i="7" s="1"/>
  <c r="M40" i="7"/>
  <c r="M24" i="7" s="1"/>
  <c r="M25" i="7" s="1"/>
  <c r="E40" i="7"/>
  <c r="E24" i="7" s="1"/>
  <c r="E25" i="7" s="1"/>
  <c r="Q35" i="21" l="1"/>
  <c r="Q7" i="21" s="1"/>
  <c r="Q43" i="21"/>
  <c r="Q6" i="21"/>
  <c r="Q8" i="21" s="1"/>
  <c r="P15" i="21"/>
  <c r="P8" i="27" s="1"/>
  <c r="M3" i="28" s="1"/>
  <c r="K19" i="22"/>
  <c r="K28" i="22" s="1"/>
  <c r="P8" i="21"/>
  <c r="M4" i="28" s="1"/>
  <c r="J158" i="34"/>
  <c r="I336" i="29"/>
  <c r="I339" i="29" s="1"/>
  <c r="H158" i="34"/>
  <c r="G336" i="29"/>
  <c r="G339" i="29" s="1"/>
  <c r="L140" i="54"/>
  <c r="L140" i="50"/>
  <c r="K656" i="29"/>
  <c r="I158" i="34"/>
  <c r="H336" i="29"/>
  <c r="H339" i="29" s="1"/>
  <c r="M140" i="50"/>
  <c r="M140" i="54"/>
  <c r="L656" i="29"/>
  <c r="K140" i="50"/>
  <c r="K140" i="54"/>
  <c r="J656" i="29"/>
  <c r="G158" i="34"/>
  <c r="F336" i="29"/>
  <c r="F339" i="29" s="1"/>
  <c r="Q36" i="21"/>
  <c r="F61" i="13"/>
  <c r="F68" i="13"/>
  <c r="G108" i="13"/>
  <c r="F115" i="13"/>
  <c r="G68" i="13"/>
  <c r="M202" i="34"/>
  <c r="L202" i="34"/>
  <c r="K202" i="34"/>
  <c r="M134" i="34"/>
  <c r="L134" i="34"/>
  <c r="K134" i="34"/>
  <c r="I94" i="4"/>
  <c r="H94" i="4"/>
  <c r="J94" i="4"/>
  <c r="G94" i="4"/>
  <c r="G61" i="13"/>
  <c r="H61" i="13"/>
  <c r="E8" i="28"/>
  <c r="E4" i="28"/>
  <c r="H27" i="27"/>
  <c r="I27" i="27" s="1"/>
  <c r="J27" i="27" s="1"/>
  <c r="K27" i="27" s="1"/>
  <c r="L27" i="27" s="1"/>
  <c r="M27" i="27" s="1"/>
  <c r="N27" i="27" s="1"/>
  <c r="O27" i="27" s="1"/>
  <c r="P27" i="27" s="1"/>
  <c r="J68" i="13"/>
  <c r="J61" i="13"/>
  <c r="I61" i="13"/>
  <c r="K108" i="13"/>
  <c r="J108" i="13"/>
  <c r="K68" i="13"/>
  <c r="J115" i="13"/>
  <c r="M61" i="13"/>
  <c r="L61" i="13"/>
  <c r="I115" i="13"/>
  <c r="O62" i="16"/>
  <c r="O64" i="16" s="1"/>
  <c r="O45" i="16"/>
  <c r="K61" i="13"/>
  <c r="I108" i="13"/>
  <c r="M68" i="13"/>
  <c r="L115" i="13"/>
  <c r="L68" i="13"/>
  <c r="K115" i="13"/>
  <c r="I68" i="13"/>
  <c r="H115" i="13"/>
  <c r="N45" i="16"/>
  <c r="N62" i="16"/>
  <c r="N64" i="16" s="1"/>
  <c r="G115" i="13"/>
  <c r="H108" i="13"/>
  <c r="B33" i="28"/>
  <c r="E61" i="13"/>
  <c r="E108" i="13"/>
  <c r="E115" i="13"/>
  <c r="L108" i="13"/>
  <c r="E68" i="13"/>
  <c r="M115" i="13"/>
  <c r="M108" i="13"/>
  <c r="D149" i="28" l="1"/>
  <c r="D154" i="28"/>
  <c r="U94" i="4"/>
  <c r="G149" i="28"/>
  <c r="G154" i="28"/>
  <c r="S94" i="4"/>
  <c r="E149" i="28"/>
  <c r="E154" i="28"/>
  <c r="T94" i="4"/>
  <c r="F149" i="28"/>
  <c r="F154" i="28"/>
  <c r="Q15" i="21"/>
  <c r="G140" i="54"/>
  <c r="G140" i="50"/>
  <c r="G150" i="50" s="1"/>
  <c r="G154" i="50" s="1"/>
  <c r="G99" i="51" s="1"/>
  <c r="F656" i="29"/>
  <c r="F659" i="29" s="1"/>
  <c r="G160" i="34"/>
  <c r="G163" i="4"/>
  <c r="I140" i="50"/>
  <c r="I150" i="50" s="1"/>
  <c r="I140" i="54"/>
  <c r="H656" i="29"/>
  <c r="H659" i="29" s="1"/>
  <c r="I163" i="4"/>
  <c r="I160" i="34"/>
  <c r="G537" i="29"/>
  <c r="G532" i="29"/>
  <c r="G340" i="29"/>
  <c r="G341" i="29"/>
  <c r="G533" i="29"/>
  <c r="G529" i="29"/>
  <c r="H140" i="50"/>
  <c r="H150" i="50" s="1"/>
  <c r="H140" i="54"/>
  <c r="G656" i="29"/>
  <c r="G659" i="29" s="1"/>
  <c r="H160" i="34"/>
  <c r="H163" i="4"/>
  <c r="I529" i="29"/>
  <c r="I340" i="29"/>
  <c r="I537" i="29"/>
  <c r="I534" i="29" s="1"/>
  <c r="G132" i="28" s="1"/>
  <c r="I532" i="29"/>
  <c r="I341" i="29"/>
  <c r="I533" i="29"/>
  <c r="F529" i="29"/>
  <c r="F341" i="29"/>
  <c r="F533" i="29"/>
  <c r="F532" i="29"/>
  <c r="F537" i="29"/>
  <c r="F340" i="29"/>
  <c r="H529" i="29"/>
  <c r="H340" i="29"/>
  <c r="H533" i="29"/>
  <c r="H532" i="29"/>
  <c r="H341" i="29"/>
  <c r="H537" i="29"/>
  <c r="H534" i="29" s="1"/>
  <c r="F132" i="28" s="1"/>
  <c r="J140" i="50"/>
  <c r="J150" i="50" s="1"/>
  <c r="J140" i="54"/>
  <c r="I656" i="29"/>
  <c r="I659" i="29" s="1"/>
  <c r="J160" i="34"/>
  <c r="J163" i="4"/>
  <c r="I73" i="39"/>
  <c r="I92" i="34"/>
  <c r="G73" i="39"/>
  <c r="H73" i="39"/>
  <c r="G92" i="34"/>
  <c r="J92" i="34"/>
  <c r="H92" i="34"/>
  <c r="J73" i="39"/>
  <c r="E24" i="9"/>
  <c r="F28" i="9"/>
  <c r="H28" i="9" s="1"/>
  <c r="J28" i="9" s="1"/>
  <c r="L28" i="9" s="1"/>
  <c r="N28" i="9" s="1"/>
  <c r="P28" i="9" s="1"/>
  <c r="R28" i="9" s="1"/>
  <c r="T28" i="9" s="1"/>
  <c r="V28" i="9" s="1"/>
  <c r="X28" i="9" s="1"/>
  <c r="Z28" i="9" s="1"/>
  <c r="E9" i="9"/>
  <c r="E10" i="9"/>
  <c r="E12" i="9"/>
  <c r="F11" i="9"/>
  <c r="H11" i="9" s="1"/>
  <c r="J11" i="9" s="1"/>
  <c r="L11" i="9" s="1"/>
  <c r="N11" i="9" s="1"/>
  <c r="P11" i="9" s="1"/>
  <c r="R11" i="9" s="1"/>
  <c r="T11" i="9" s="1"/>
  <c r="V11" i="9" s="1"/>
  <c r="X11" i="9" s="1"/>
  <c r="Z11" i="9" s="1"/>
  <c r="C41" i="17"/>
  <c r="C140" i="13"/>
  <c r="C113" i="13"/>
  <c r="C131" i="13" s="1"/>
  <c r="C112" i="13"/>
  <c r="C111" i="13"/>
  <c r="C107" i="13"/>
  <c r="C105" i="13"/>
  <c r="C104" i="13"/>
  <c r="C103" i="13"/>
  <c r="C102" i="13"/>
  <c r="C101" i="13"/>
  <c r="C100" i="13"/>
  <c r="C93" i="13"/>
  <c r="C66" i="13"/>
  <c r="C84" i="13" s="1"/>
  <c r="C65" i="13"/>
  <c r="C64" i="13"/>
  <c r="C60" i="13"/>
  <c r="C58" i="13"/>
  <c r="C57" i="13"/>
  <c r="C56" i="13"/>
  <c r="C55" i="13"/>
  <c r="C54" i="13"/>
  <c r="C53" i="13"/>
  <c r="C46" i="13"/>
  <c r="C37" i="13"/>
  <c r="C20" i="13"/>
  <c r="C21" i="13" s="1"/>
  <c r="C14" i="13"/>
  <c r="C70" i="4"/>
  <c r="C62" i="4"/>
  <c r="C23" i="6" s="1"/>
  <c r="C24" i="6" s="1"/>
  <c r="C110" i="1"/>
  <c r="C105" i="1"/>
  <c r="C97" i="1"/>
  <c r="C93" i="1"/>
  <c r="C69" i="1"/>
  <c r="C64" i="1"/>
  <c r="C56" i="1"/>
  <c r="C52" i="1"/>
  <c r="C28" i="1"/>
  <c r="C30" i="1" s="1"/>
  <c r="C23" i="1"/>
  <c r="C15" i="1"/>
  <c r="C11" i="1"/>
  <c r="C93" i="16"/>
  <c r="C59" i="16"/>
  <c r="C31" i="16"/>
  <c r="C53" i="16" s="1"/>
  <c r="C25" i="16"/>
  <c r="C71" i="15"/>
  <c r="C113" i="15" s="1"/>
  <c r="C70" i="15"/>
  <c r="C112" i="15" s="1"/>
  <c r="C69" i="15"/>
  <c r="C111" i="15" s="1"/>
  <c r="C66" i="15"/>
  <c r="C108" i="15" s="1"/>
  <c r="C65" i="15"/>
  <c r="C107" i="15" s="1"/>
  <c r="C64" i="15"/>
  <c r="C106" i="15" s="1"/>
  <c r="C59" i="15"/>
  <c r="C101" i="15" s="1"/>
  <c r="C58" i="15"/>
  <c r="C100" i="15" s="1"/>
  <c r="C57" i="15"/>
  <c r="C99" i="15" s="1"/>
  <c r="C56" i="15"/>
  <c r="C98" i="15" s="1"/>
  <c r="C53" i="15"/>
  <c r="C95" i="15" s="1"/>
  <c r="C52" i="15"/>
  <c r="C94" i="15" s="1"/>
  <c r="C50" i="15"/>
  <c r="C92" i="15" s="1"/>
  <c r="C49" i="15"/>
  <c r="C91" i="15" s="1"/>
  <c r="C48" i="15"/>
  <c r="C90" i="15" s="1"/>
  <c r="C38" i="15"/>
  <c r="D38" i="15" s="1"/>
  <c r="E38" i="15" s="1"/>
  <c r="F38" i="15" s="1"/>
  <c r="G38" i="15" s="1"/>
  <c r="H38" i="15" s="1"/>
  <c r="I38" i="15" s="1"/>
  <c r="J38" i="15" s="1"/>
  <c r="K38" i="15" s="1"/>
  <c r="L38" i="15" s="1"/>
  <c r="M38" i="15" s="1"/>
  <c r="N38" i="15" s="1"/>
  <c r="C30" i="15"/>
  <c r="C9" i="15"/>
  <c r="C51" i="15" s="1"/>
  <c r="C93" i="15" s="1"/>
  <c r="B114" i="15"/>
  <c r="B72" i="15"/>
  <c r="C126" i="14"/>
  <c r="C120" i="14"/>
  <c r="C111" i="14"/>
  <c r="C104" i="14"/>
  <c r="B87" i="2"/>
  <c r="B140" i="2"/>
  <c r="C80" i="14"/>
  <c r="C74" i="14"/>
  <c r="C65" i="14"/>
  <c r="C58" i="14"/>
  <c r="C67" i="14" s="1"/>
  <c r="B120" i="14"/>
  <c r="B74" i="14"/>
  <c r="D77" i="2"/>
  <c r="D130" i="2" s="1"/>
  <c r="C86" i="2"/>
  <c r="C139" i="2" s="1"/>
  <c r="C85" i="2"/>
  <c r="C138" i="2" s="1"/>
  <c r="C83" i="2"/>
  <c r="C136" i="2" s="1"/>
  <c r="C79" i="2"/>
  <c r="C132" i="2" s="1"/>
  <c r="C80" i="2"/>
  <c r="C133" i="2" s="1"/>
  <c r="C77" i="2"/>
  <c r="C130" i="2" s="1"/>
  <c r="C69" i="2"/>
  <c r="C122" i="2" s="1"/>
  <c r="C71" i="2"/>
  <c r="C124" i="2" s="1"/>
  <c r="C72" i="2"/>
  <c r="C125" i="2" s="1"/>
  <c r="C68" i="2"/>
  <c r="C121" i="2" s="1"/>
  <c r="C61" i="2"/>
  <c r="C114" i="2" s="1"/>
  <c r="C62" i="2"/>
  <c r="C115" i="2" s="1"/>
  <c r="C64" i="2"/>
  <c r="C117" i="2" s="1"/>
  <c r="C65" i="2"/>
  <c r="C118" i="2" s="1"/>
  <c r="C60" i="2"/>
  <c r="C113" i="2" s="1"/>
  <c r="C50" i="2"/>
  <c r="E88" i="3"/>
  <c r="E88" i="37" s="1"/>
  <c r="F88" i="3"/>
  <c r="F88" i="37" s="1"/>
  <c r="F100" i="37" s="1"/>
  <c r="G88" i="3"/>
  <c r="G88" i="37" s="1"/>
  <c r="G100" i="37" s="1"/>
  <c r="H88" i="3"/>
  <c r="H88" i="37" s="1"/>
  <c r="H100" i="37" s="1"/>
  <c r="I88" i="3"/>
  <c r="I88" i="37" s="1"/>
  <c r="I100" i="37" s="1"/>
  <c r="J88" i="3"/>
  <c r="J88" i="37" s="1"/>
  <c r="J100" i="37" s="1"/>
  <c r="K88" i="3"/>
  <c r="K88" i="37" s="1"/>
  <c r="K100" i="37" s="1"/>
  <c r="L88" i="3"/>
  <c r="L88" i="37" s="1"/>
  <c r="L100" i="37" s="1"/>
  <c r="M88" i="3"/>
  <c r="M88" i="37" s="1"/>
  <c r="M100" i="37" s="1"/>
  <c r="E23" i="8"/>
  <c r="C79" i="11" s="1"/>
  <c r="L23" i="8"/>
  <c r="J79" i="11" s="1"/>
  <c r="M23" i="8"/>
  <c r="K79" i="11" s="1"/>
  <c r="K84" i="11"/>
  <c r="J80" i="11"/>
  <c r="H80" i="11"/>
  <c r="G84" i="11"/>
  <c r="F80" i="11"/>
  <c r="E84" i="11"/>
  <c r="D84" i="11"/>
  <c r="C84" i="11"/>
  <c r="C29" i="7"/>
  <c r="C30" i="7" s="1"/>
  <c r="B29" i="7"/>
  <c r="B30" i="7" s="1"/>
  <c r="B25" i="7"/>
  <c r="D23" i="8"/>
  <c r="B79" i="11" s="1"/>
  <c r="C24" i="7"/>
  <c r="C25" i="7" s="1"/>
  <c r="J140" i="39"/>
  <c r="J150" i="39" s="1"/>
  <c r="K140" i="39"/>
  <c r="L140" i="39"/>
  <c r="M140" i="39"/>
  <c r="J87" i="39"/>
  <c r="K87" i="39"/>
  <c r="L87" i="39"/>
  <c r="M87" i="39"/>
  <c r="F39" i="13"/>
  <c r="F133" i="13" s="1"/>
  <c r="G39" i="13"/>
  <c r="G133" i="13" s="1"/>
  <c r="H39" i="13"/>
  <c r="H133" i="13" s="1"/>
  <c r="I39" i="13"/>
  <c r="I133" i="13" s="1"/>
  <c r="J39" i="13"/>
  <c r="J133" i="13" s="1"/>
  <c r="K39" i="13"/>
  <c r="K133" i="13" s="1"/>
  <c r="L39" i="13"/>
  <c r="L133" i="13" s="1"/>
  <c r="M39" i="13"/>
  <c r="M133" i="13" s="1"/>
  <c r="F40" i="13"/>
  <c r="F134" i="13" s="1"/>
  <c r="G40" i="13"/>
  <c r="G134" i="13" s="1"/>
  <c r="H40" i="13"/>
  <c r="H134" i="13" s="1"/>
  <c r="I40" i="13"/>
  <c r="I134" i="13" s="1"/>
  <c r="J40" i="13"/>
  <c r="J134" i="13" s="1"/>
  <c r="K40" i="13"/>
  <c r="K134" i="13" s="1"/>
  <c r="L40" i="13"/>
  <c r="L134" i="13" s="1"/>
  <c r="M40" i="13"/>
  <c r="M134" i="13" s="1"/>
  <c r="E40" i="13"/>
  <c r="E134" i="13" s="1"/>
  <c r="E39" i="13"/>
  <c r="E133" i="13" s="1"/>
  <c r="D150" i="28" l="1"/>
  <c r="D155" i="28"/>
  <c r="E150" i="28"/>
  <c r="E155" i="28"/>
  <c r="G155" i="28"/>
  <c r="G150" i="28"/>
  <c r="F150" i="28"/>
  <c r="F155" i="28"/>
  <c r="C17" i="1"/>
  <c r="E100" i="37"/>
  <c r="E89" i="37"/>
  <c r="H530" i="29"/>
  <c r="F108" i="28" s="1"/>
  <c r="H849" i="29"/>
  <c r="H857" i="29"/>
  <c r="H854" i="29" s="1"/>
  <c r="F133" i="28" s="1"/>
  <c r="H853" i="29"/>
  <c r="H661" i="29"/>
  <c r="H660" i="29"/>
  <c r="H852" i="29"/>
  <c r="H535" i="29"/>
  <c r="H572" i="29" s="1"/>
  <c r="F82" i="28" s="1"/>
  <c r="F534" i="29"/>
  <c r="D132" i="28" s="1"/>
  <c r="G535" i="29"/>
  <c r="G572" i="29" s="1"/>
  <c r="E82" i="28" s="1"/>
  <c r="F535" i="29"/>
  <c r="F572" i="29" s="1"/>
  <c r="D82" i="28" s="1"/>
  <c r="G849" i="29"/>
  <c r="G661" i="29"/>
  <c r="G853" i="29"/>
  <c r="G857" i="29"/>
  <c r="G852" i="29"/>
  <c r="G660" i="29"/>
  <c r="I530" i="29"/>
  <c r="G108" i="28" s="1"/>
  <c r="G534" i="29"/>
  <c r="E132" i="28" s="1"/>
  <c r="I535" i="29"/>
  <c r="I572" i="29" s="1"/>
  <c r="G82" i="28" s="1"/>
  <c r="F853" i="29"/>
  <c r="F660" i="29"/>
  <c r="F857" i="29"/>
  <c r="F849" i="29"/>
  <c r="F852" i="29"/>
  <c r="F661" i="29"/>
  <c r="H531" i="29"/>
  <c r="H568" i="29" s="1"/>
  <c r="F58" i="28" s="1"/>
  <c r="F530" i="29"/>
  <c r="D108" i="28" s="1"/>
  <c r="G531" i="29"/>
  <c r="G568" i="29" s="1"/>
  <c r="E58" i="28" s="1"/>
  <c r="F531" i="29"/>
  <c r="F568" i="29" s="1"/>
  <c r="D58" i="28" s="1"/>
  <c r="I852" i="29"/>
  <c r="I849" i="29"/>
  <c r="I857" i="29"/>
  <c r="I854" i="29" s="1"/>
  <c r="G133" i="28" s="1"/>
  <c r="I853" i="29"/>
  <c r="I661" i="29"/>
  <c r="I660" i="29"/>
  <c r="G158" i="50"/>
  <c r="H152" i="50"/>
  <c r="H154" i="50" s="1"/>
  <c r="H99" i="51" s="1"/>
  <c r="G530" i="29"/>
  <c r="E108" i="28" s="1"/>
  <c r="I531" i="29"/>
  <c r="I568" i="29" s="1"/>
  <c r="G58" i="28" s="1"/>
  <c r="F103" i="35"/>
  <c r="F156" i="35"/>
  <c r="J97" i="39"/>
  <c r="F50" i="2"/>
  <c r="D103" i="2"/>
  <c r="D156" i="2" s="1"/>
  <c r="N7" i="1"/>
  <c r="O38" i="15"/>
  <c r="O7" i="1" s="1"/>
  <c r="C103" i="2"/>
  <c r="F103" i="2" s="1"/>
  <c r="C82" i="14"/>
  <c r="C71" i="1"/>
  <c r="C67" i="13"/>
  <c r="C128" i="14"/>
  <c r="C140" i="2"/>
  <c r="C156" i="2"/>
  <c r="K86" i="13"/>
  <c r="C87" i="2"/>
  <c r="C58" i="1"/>
  <c r="C112" i="1"/>
  <c r="C108" i="13"/>
  <c r="I86" i="13"/>
  <c r="C113" i="14"/>
  <c r="C99" i="1"/>
  <c r="C61" i="13"/>
  <c r="G86" i="13"/>
  <c r="C83" i="14"/>
  <c r="M86" i="13"/>
  <c r="C23" i="13"/>
  <c r="C28" i="13" s="1"/>
  <c r="C22" i="8"/>
  <c r="L87" i="13"/>
  <c r="J87" i="13"/>
  <c r="H87" i="13"/>
  <c r="F87" i="13"/>
  <c r="E86" i="13"/>
  <c r="C60" i="15"/>
  <c r="C102" i="15"/>
  <c r="M87" i="13"/>
  <c r="K87" i="13"/>
  <c r="I87" i="13"/>
  <c r="G87" i="13"/>
  <c r="E87" i="13"/>
  <c r="L86" i="13"/>
  <c r="J86" i="13"/>
  <c r="H86" i="13"/>
  <c r="F86" i="13"/>
  <c r="J84" i="11"/>
  <c r="G85" i="11"/>
  <c r="H85" i="11"/>
  <c r="M32" i="7"/>
  <c r="K32" i="7"/>
  <c r="D30" i="7"/>
  <c r="D25" i="7"/>
  <c r="B32" i="7"/>
  <c r="J85" i="11"/>
  <c r="K85" i="11"/>
  <c r="E85" i="11"/>
  <c r="G80" i="11"/>
  <c r="C85" i="11"/>
  <c r="D85" i="11"/>
  <c r="F85" i="11"/>
  <c r="E80" i="11"/>
  <c r="G32" i="7"/>
  <c r="B84" i="11"/>
  <c r="H32" i="7"/>
  <c r="B85" i="11"/>
  <c r="I85" i="11"/>
  <c r="C32" i="7"/>
  <c r="K80" i="11"/>
  <c r="K23" i="8"/>
  <c r="I79" i="11" s="1"/>
  <c r="I84" i="11"/>
  <c r="F32" i="7"/>
  <c r="J23" i="8"/>
  <c r="H79" i="11" s="1"/>
  <c r="D80" i="11"/>
  <c r="H84" i="11"/>
  <c r="I23" i="8"/>
  <c r="G79" i="11" s="1"/>
  <c r="C80" i="11"/>
  <c r="H23" i="8"/>
  <c r="F79" i="11" s="1"/>
  <c r="F84" i="11"/>
  <c r="G23" i="8"/>
  <c r="E79" i="11" s="1"/>
  <c r="I80" i="11"/>
  <c r="F23" i="8"/>
  <c r="D79" i="11" s="1"/>
  <c r="C45" i="13"/>
  <c r="C47" i="13" s="1"/>
  <c r="C33" i="13"/>
  <c r="C30" i="13"/>
  <c r="C114" i="13"/>
  <c r="C115" i="13" s="1"/>
  <c r="C117" i="13" s="1"/>
  <c r="C122" i="13" s="1"/>
  <c r="C68" i="13"/>
  <c r="C70" i="13" s="1"/>
  <c r="C75" i="13" s="1"/>
  <c r="C31" i="1"/>
  <c r="C87" i="16"/>
  <c r="C99" i="16" s="1"/>
  <c r="C65" i="16"/>
  <c r="C122" i="15"/>
  <c r="D122" i="15" s="1"/>
  <c r="E122" i="15" s="1"/>
  <c r="F122" i="15" s="1"/>
  <c r="G122" i="15" s="1"/>
  <c r="H122" i="15" s="1"/>
  <c r="I122" i="15" s="1"/>
  <c r="J122" i="15" s="1"/>
  <c r="K122" i="15" s="1"/>
  <c r="L122" i="15" s="1"/>
  <c r="M122" i="15" s="1"/>
  <c r="N122" i="15" s="1"/>
  <c r="C114" i="15"/>
  <c r="C18" i="15"/>
  <c r="C32" i="15" s="1"/>
  <c r="C72" i="15"/>
  <c r="C80" i="15"/>
  <c r="D80" i="15" s="1"/>
  <c r="E80" i="15" s="1"/>
  <c r="F80" i="15" s="1"/>
  <c r="G80" i="15" s="1"/>
  <c r="H80" i="15" s="1"/>
  <c r="I80" i="15" s="1"/>
  <c r="J80" i="15" s="1"/>
  <c r="K80" i="15" s="1"/>
  <c r="L80" i="15" s="1"/>
  <c r="M80" i="15" s="1"/>
  <c r="N80" i="15" s="1"/>
  <c r="D20" i="13"/>
  <c r="D19" i="13"/>
  <c r="B80" i="11" s="1"/>
  <c r="D18" i="13"/>
  <c r="D17" i="13"/>
  <c r="D13" i="13"/>
  <c r="D12" i="13"/>
  <c r="D11" i="13"/>
  <c r="D10" i="13"/>
  <c r="D9" i="13"/>
  <c r="D8" i="13"/>
  <c r="D7" i="13"/>
  <c r="D6" i="13"/>
  <c r="D40" i="13"/>
  <c r="D39" i="13"/>
  <c r="B23" i="8"/>
  <c r="B114" i="13"/>
  <c r="B113" i="13"/>
  <c r="B131" i="13" s="1"/>
  <c r="B112" i="13"/>
  <c r="B111" i="13"/>
  <c r="B107" i="13"/>
  <c r="B105" i="13"/>
  <c r="B104" i="13"/>
  <c r="B103" i="13"/>
  <c r="B102" i="13"/>
  <c r="B101" i="13"/>
  <c r="B100" i="13"/>
  <c r="B67" i="13"/>
  <c r="B66" i="13"/>
  <c r="B84" i="13" s="1"/>
  <c r="B65" i="13"/>
  <c r="B64" i="13"/>
  <c r="B60" i="13"/>
  <c r="B58" i="13"/>
  <c r="B57" i="13"/>
  <c r="B56" i="13"/>
  <c r="B55" i="13"/>
  <c r="B54" i="13"/>
  <c r="B53" i="13"/>
  <c r="C72" i="1" l="1"/>
  <c r="I152" i="50"/>
  <c r="I154" i="50" s="1"/>
  <c r="I99" i="51" s="1"/>
  <c r="H158" i="50"/>
  <c r="F850" i="29"/>
  <c r="D109" i="28" s="1"/>
  <c r="H851" i="29"/>
  <c r="H888" i="29" s="1"/>
  <c r="F59" i="28" s="1"/>
  <c r="G851" i="29"/>
  <c r="G888" i="29" s="1"/>
  <c r="E59" i="28" s="1"/>
  <c r="F851" i="29"/>
  <c r="F888" i="29" s="1"/>
  <c r="D59" i="28" s="1"/>
  <c r="I850" i="29"/>
  <c r="G109" i="28" s="1"/>
  <c r="F854" i="29"/>
  <c r="D133" i="28" s="1"/>
  <c r="H855" i="29"/>
  <c r="H892" i="29" s="1"/>
  <c r="F83" i="28" s="1"/>
  <c r="G855" i="29"/>
  <c r="G892" i="29" s="1"/>
  <c r="E83" i="28" s="1"/>
  <c r="F855" i="29"/>
  <c r="F892" i="29" s="1"/>
  <c r="D83" i="28" s="1"/>
  <c r="G854" i="29"/>
  <c r="E133" i="28" s="1"/>
  <c r="I855" i="29"/>
  <c r="I892" i="29" s="1"/>
  <c r="G83" i="28" s="1"/>
  <c r="G850" i="29"/>
  <c r="E109" i="28" s="1"/>
  <c r="I851" i="29"/>
  <c r="I888" i="29" s="1"/>
  <c r="G59" i="28" s="1"/>
  <c r="H850" i="29"/>
  <c r="F109" i="28" s="1"/>
  <c r="G103" i="2"/>
  <c r="F54" i="14"/>
  <c r="F54" i="36" s="1"/>
  <c r="F156" i="2"/>
  <c r="G156" i="35"/>
  <c r="H156" i="35" s="1"/>
  <c r="I156" i="35" s="1"/>
  <c r="J156" i="35" s="1"/>
  <c r="K156" i="35" s="1"/>
  <c r="L156" i="35" s="1"/>
  <c r="M156" i="35" s="1"/>
  <c r="N156" i="35" s="1"/>
  <c r="O156" i="35" s="1"/>
  <c r="P156" i="35" s="1"/>
  <c r="G103" i="35"/>
  <c r="H103" i="35" s="1"/>
  <c r="I103" i="35" s="1"/>
  <c r="J103" i="35" s="1"/>
  <c r="K103" i="35" s="1"/>
  <c r="L103" i="35" s="1"/>
  <c r="M103" i="35" s="1"/>
  <c r="N103" i="35" s="1"/>
  <c r="O103" i="35" s="1"/>
  <c r="P103" i="35" s="1"/>
  <c r="G50" i="2"/>
  <c r="F8" i="14"/>
  <c r="F8" i="36" s="1"/>
  <c r="C74" i="15"/>
  <c r="O80" i="15"/>
  <c r="O48" i="1" s="1"/>
  <c r="N48" i="1"/>
  <c r="N89" i="1"/>
  <c r="O122" i="15"/>
  <c r="O89" i="1" s="1"/>
  <c r="C129" i="14"/>
  <c r="B61" i="13"/>
  <c r="C116" i="15"/>
  <c r="C113" i="1"/>
  <c r="D133" i="13"/>
  <c r="D86" i="13"/>
  <c r="D134" i="13"/>
  <c r="D87" i="13"/>
  <c r="D32" i="7"/>
  <c r="D54" i="8" s="1"/>
  <c r="E32" i="7"/>
  <c r="E27" i="8" s="1"/>
  <c r="K35" i="13"/>
  <c r="K82" i="13" s="1"/>
  <c r="K54" i="8"/>
  <c r="M54" i="8"/>
  <c r="M27" i="8"/>
  <c r="M35" i="13"/>
  <c r="M129" i="13" s="1"/>
  <c r="L32" i="7"/>
  <c r="L35" i="13" s="1"/>
  <c r="L82" i="13" s="1"/>
  <c r="J32" i="7"/>
  <c r="J35" i="13" s="1"/>
  <c r="J129" i="13" s="1"/>
  <c r="K27" i="8"/>
  <c r="F35" i="13"/>
  <c r="F82" i="13" s="1"/>
  <c r="F54" i="8"/>
  <c r="F27" i="8"/>
  <c r="I32" i="7"/>
  <c r="I54" i="8" s="1"/>
  <c r="G35" i="13"/>
  <c r="G54" i="8"/>
  <c r="G27" i="8"/>
  <c r="H35" i="13"/>
  <c r="H129" i="13" s="1"/>
  <c r="H27" i="8"/>
  <c r="H54" i="8"/>
  <c r="C92" i="13"/>
  <c r="C94" i="13" s="1"/>
  <c r="D93" i="13" s="1"/>
  <c r="C80" i="13"/>
  <c r="C77" i="13"/>
  <c r="C127" i="13"/>
  <c r="C124" i="13"/>
  <c r="C139" i="13"/>
  <c r="C141" i="13" s="1"/>
  <c r="D140" i="13" s="1"/>
  <c r="B108" i="13"/>
  <c r="B68" i="13"/>
  <c r="B70" i="13" s="1"/>
  <c r="B75" i="13" s="1"/>
  <c r="B115" i="13"/>
  <c r="J152" i="50" l="1"/>
  <c r="J154" i="50" s="1"/>
  <c r="J99" i="51" s="1"/>
  <c r="I158" i="50"/>
  <c r="F100" i="14"/>
  <c r="F100" i="36" s="1"/>
  <c r="G54" i="14"/>
  <c r="G54" i="36" s="1"/>
  <c r="G156" i="2"/>
  <c r="H156" i="2" s="1"/>
  <c r="H103" i="2"/>
  <c r="I103" i="2" s="1"/>
  <c r="H50" i="2"/>
  <c r="G8" i="14"/>
  <c r="G8" i="36" s="1"/>
  <c r="E35" i="13"/>
  <c r="E82" i="13" s="1"/>
  <c r="D35" i="13"/>
  <c r="D82" i="13" s="1"/>
  <c r="D27" i="8"/>
  <c r="B80" i="13"/>
  <c r="B92" i="13"/>
  <c r="E54" i="8"/>
  <c r="F129" i="13"/>
  <c r="J27" i="8"/>
  <c r="K129" i="13"/>
  <c r="J54" i="8"/>
  <c r="M82" i="13"/>
  <c r="L27" i="8"/>
  <c r="L54" i="8"/>
  <c r="L129" i="13"/>
  <c r="I27" i="8"/>
  <c r="H82" i="13"/>
  <c r="I35" i="13"/>
  <c r="J82" i="13"/>
  <c r="G82" i="13"/>
  <c r="G129" i="13"/>
  <c r="B77" i="13"/>
  <c r="B117" i="13"/>
  <c r="B122" i="13" s="1"/>
  <c r="B139" i="13" s="1"/>
  <c r="K152" i="50" l="1"/>
  <c r="J158" i="50"/>
  <c r="K155" i="49" s="1"/>
  <c r="K115" i="50" s="1"/>
  <c r="I54" i="14"/>
  <c r="I54" i="36" s="1"/>
  <c r="H100" i="14"/>
  <c r="H100" i="36" s="1"/>
  <c r="H54" i="14"/>
  <c r="H54" i="36" s="1"/>
  <c r="G100" i="14"/>
  <c r="G100" i="36" s="1"/>
  <c r="I50" i="2"/>
  <c r="H8" i="14"/>
  <c r="H8" i="36" s="1"/>
  <c r="J103" i="2"/>
  <c r="I156" i="2"/>
  <c r="D129" i="13"/>
  <c r="E129" i="13"/>
  <c r="I82" i="13"/>
  <c r="I129" i="13"/>
  <c r="B127" i="13"/>
  <c r="B124" i="13"/>
  <c r="I100" i="14" l="1"/>
  <c r="I100" i="36" s="1"/>
  <c r="J54" i="14"/>
  <c r="J54" i="36" s="1"/>
  <c r="J50" i="2"/>
  <c r="I8" i="14"/>
  <c r="I8" i="36" s="1"/>
  <c r="J156" i="2"/>
  <c r="K103" i="2"/>
  <c r="C37" i="17"/>
  <c r="B37" i="17"/>
  <c r="C34" i="17"/>
  <c r="B34" i="17"/>
  <c r="C33" i="17"/>
  <c r="B33" i="17"/>
  <c r="M29" i="17"/>
  <c r="L29" i="17"/>
  <c r="K29" i="17"/>
  <c r="J29" i="17"/>
  <c r="I29" i="17"/>
  <c r="H29" i="17"/>
  <c r="G29" i="17"/>
  <c r="F29" i="17"/>
  <c r="E29" i="17"/>
  <c r="D29" i="17"/>
  <c r="C29" i="17"/>
  <c r="B29" i="17"/>
  <c r="M28" i="17"/>
  <c r="L28" i="17"/>
  <c r="K28" i="17"/>
  <c r="J28" i="17"/>
  <c r="I28" i="17"/>
  <c r="H28" i="17"/>
  <c r="G28" i="17"/>
  <c r="F28" i="17"/>
  <c r="E28" i="17"/>
  <c r="D28" i="17"/>
  <c r="C28" i="17"/>
  <c r="B28" i="17"/>
  <c r="M27" i="17"/>
  <c r="L27" i="17"/>
  <c r="K27" i="17"/>
  <c r="J27" i="17"/>
  <c r="I27" i="17"/>
  <c r="H27" i="17"/>
  <c r="G27" i="17"/>
  <c r="F27" i="17"/>
  <c r="E27" i="17"/>
  <c r="D27" i="17"/>
  <c r="C27" i="17"/>
  <c r="B27" i="17"/>
  <c r="C23" i="17"/>
  <c r="M22" i="17"/>
  <c r="L22" i="17"/>
  <c r="K22" i="17"/>
  <c r="J22" i="17"/>
  <c r="I22" i="17"/>
  <c r="H22" i="17"/>
  <c r="G22" i="17"/>
  <c r="F22" i="17"/>
  <c r="E22" i="17"/>
  <c r="D22" i="17"/>
  <c r="C22" i="17"/>
  <c r="B22" i="17"/>
  <c r="B77" i="16"/>
  <c r="K54" i="14" l="1"/>
  <c r="K54" i="36" s="1"/>
  <c r="J100" i="14"/>
  <c r="J100" i="36" s="1"/>
  <c r="K50" i="2"/>
  <c r="J8" i="14"/>
  <c r="J8" i="36" s="1"/>
  <c r="L103" i="2"/>
  <c r="K156" i="2"/>
  <c r="C35" i="17"/>
  <c r="B35" i="17"/>
  <c r="M30" i="17"/>
  <c r="L30" i="17"/>
  <c r="K30" i="17"/>
  <c r="J30" i="17"/>
  <c r="I30" i="17"/>
  <c r="H30" i="17"/>
  <c r="G30" i="17"/>
  <c r="F30" i="17"/>
  <c r="E30" i="17"/>
  <c r="D30" i="17"/>
  <c r="C30" i="17"/>
  <c r="B30" i="17"/>
  <c r="C24" i="17"/>
  <c r="M8" i="17"/>
  <c r="L8" i="17"/>
  <c r="K8" i="17"/>
  <c r="J8" i="17"/>
  <c r="I8" i="17"/>
  <c r="H8" i="17"/>
  <c r="G8" i="17"/>
  <c r="F8" i="17"/>
  <c r="E8" i="17"/>
  <c r="D8" i="17"/>
  <c r="C8" i="17"/>
  <c r="B8" i="17"/>
  <c r="M99" i="16"/>
  <c r="L99" i="16"/>
  <c r="K99" i="16"/>
  <c r="J99" i="16"/>
  <c r="I99" i="16"/>
  <c r="H99" i="16"/>
  <c r="G99" i="16"/>
  <c r="F99" i="16"/>
  <c r="E99" i="16"/>
  <c r="D99" i="16"/>
  <c r="B99" i="16"/>
  <c r="M93" i="16"/>
  <c r="L93" i="16"/>
  <c r="K93" i="16"/>
  <c r="J93" i="16"/>
  <c r="I93" i="16"/>
  <c r="H93" i="16"/>
  <c r="G93" i="16"/>
  <c r="F93" i="16"/>
  <c r="E93" i="16"/>
  <c r="D93" i="16"/>
  <c r="B93" i="16"/>
  <c r="B92" i="16"/>
  <c r="B85" i="16"/>
  <c r="B88" i="16" s="1"/>
  <c r="B96" i="16"/>
  <c r="B75" i="16"/>
  <c r="M65" i="16"/>
  <c r="L65" i="16"/>
  <c r="K65" i="16"/>
  <c r="J65" i="16"/>
  <c r="I65" i="16"/>
  <c r="H65" i="16"/>
  <c r="G65" i="16"/>
  <c r="F65" i="16"/>
  <c r="E65" i="16"/>
  <c r="D65" i="16"/>
  <c r="B65" i="16"/>
  <c r="M59" i="16"/>
  <c r="L59" i="16"/>
  <c r="K59" i="16"/>
  <c r="J59" i="16"/>
  <c r="I59" i="16"/>
  <c r="H59" i="16"/>
  <c r="G59" i="16"/>
  <c r="F59" i="16"/>
  <c r="E59" i="16"/>
  <c r="D59" i="16"/>
  <c r="B59" i="16"/>
  <c r="B58" i="16"/>
  <c r="B51" i="16"/>
  <c r="B54" i="16" s="1"/>
  <c r="B41" i="16"/>
  <c r="M31" i="16"/>
  <c r="L31" i="16"/>
  <c r="K31" i="16"/>
  <c r="J31" i="16"/>
  <c r="I31" i="16"/>
  <c r="H31" i="16"/>
  <c r="G31" i="16"/>
  <c r="F31" i="16"/>
  <c r="E31" i="16"/>
  <c r="D31" i="16"/>
  <c r="B31" i="16"/>
  <c r="M25" i="16"/>
  <c r="L25" i="16"/>
  <c r="K25" i="16"/>
  <c r="J25" i="16"/>
  <c r="I25" i="16"/>
  <c r="H25" i="16"/>
  <c r="G25" i="16"/>
  <c r="F25" i="16"/>
  <c r="E25" i="16"/>
  <c r="D25" i="16"/>
  <c r="B25" i="16"/>
  <c r="B24" i="16"/>
  <c r="B17" i="16"/>
  <c r="B20" i="16" s="1"/>
  <c r="B7" i="16"/>
  <c r="K89" i="1"/>
  <c r="M89" i="1"/>
  <c r="B102" i="15"/>
  <c r="B116" i="15" s="1"/>
  <c r="B120" i="15" s="1"/>
  <c r="C118" i="15" s="1"/>
  <c r="C120" i="15" s="1"/>
  <c r="C124" i="15" s="1"/>
  <c r="M48" i="1"/>
  <c r="B60" i="15"/>
  <c r="M7" i="1"/>
  <c r="B30" i="15"/>
  <c r="B18" i="15"/>
  <c r="B34" i="2"/>
  <c r="B134" i="14"/>
  <c r="B126" i="14"/>
  <c r="F125" i="14"/>
  <c r="F125" i="36" s="1"/>
  <c r="F119" i="14"/>
  <c r="F119" i="36" s="1"/>
  <c r="B111" i="14"/>
  <c r="B104" i="14"/>
  <c r="F103" i="14"/>
  <c r="F103" i="36" s="1"/>
  <c r="F102" i="14"/>
  <c r="F102" i="36" s="1"/>
  <c r="F101" i="14"/>
  <c r="F101" i="36" s="1"/>
  <c r="B88" i="14"/>
  <c r="B80" i="14"/>
  <c r="B82" i="14" s="1"/>
  <c r="F79" i="14"/>
  <c r="F79" i="36" s="1"/>
  <c r="F73" i="14"/>
  <c r="F73" i="36" s="1"/>
  <c r="B65" i="14"/>
  <c r="B58" i="14"/>
  <c r="B67" i="14" s="1"/>
  <c r="F57" i="14"/>
  <c r="F57" i="36" s="1"/>
  <c r="F56" i="14"/>
  <c r="F56" i="36" s="1"/>
  <c r="F55" i="14"/>
  <c r="F55" i="36" s="1"/>
  <c r="B42" i="14"/>
  <c r="B34" i="14"/>
  <c r="F33" i="14"/>
  <c r="F33" i="36" s="1"/>
  <c r="C34" i="14"/>
  <c r="B28" i="14"/>
  <c r="F27" i="14"/>
  <c r="F27" i="36" s="1"/>
  <c r="C28" i="14"/>
  <c r="B19" i="14"/>
  <c r="B12" i="14"/>
  <c r="F11" i="14"/>
  <c r="F11" i="36" s="1"/>
  <c r="F10" i="14"/>
  <c r="F10" i="36" s="1"/>
  <c r="F9" i="14"/>
  <c r="F9" i="36" s="1"/>
  <c r="E8" i="8"/>
  <c r="F8" i="8"/>
  <c r="G8" i="8"/>
  <c r="H8" i="8"/>
  <c r="I8" i="8"/>
  <c r="J8" i="8"/>
  <c r="K8" i="8"/>
  <c r="L8" i="8"/>
  <c r="M8" i="8"/>
  <c r="B94" i="16" l="1"/>
  <c r="L54" i="14"/>
  <c r="L54" i="36" s="1"/>
  <c r="K100" i="14"/>
  <c r="K100" i="36" s="1"/>
  <c r="L50" i="2"/>
  <c r="K8" i="14"/>
  <c r="K8" i="36" s="1"/>
  <c r="G125" i="14"/>
  <c r="G125" i="36" s="1"/>
  <c r="G119" i="14"/>
  <c r="G119" i="36" s="1"/>
  <c r="G101" i="14"/>
  <c r="G101" i="36" s="1"/>
  <c r="G102" i="14"/>
  <c r="G102" i="36" s="1"/>
  <c r="G103" i="14"/>
  <c r="G103" i="36" s="1"/>
  <c r="G73" i="14"/>
  <c r="G73" i="36" s="1"/>
  <c r="G79" i="14"/>
  <c r="G79" i="36" s="1"/>
  <c r="G55" i="14"/>
  <c r="G55" i="36" s="1"/>
  <c r="G56" i="14"/>
  <c r="G56" i="36" s="1"/>
  <c r="G57" i="14"/>
  <c r="G57" i="36" s="1"/>
  <c r="L156" i="2"/>
  <c r="M103" i="2"/>
  <c r="G33" i="14"/>
  <c r="G33" i="36" s="1"/>
  <c r="G27" i="14"/>
  <c r="G27" i="36" s="1"/>
  <c r="G11" i="14"/>
  <c r="G11" i="36" s="1"/>
  <c r="G10" i="14"/>
  <c r="G10" i="36" s="1"/>
  <c r="G9" i="14"/>
  <c r="G9" i="36" s="1"/>
  <c r="C36" i="14"/>
  <c r="B26" i="16"/>
  <c r="B113" i="14"/>
  <c r="B32" i="15"/>
  <c r="B36" i="15" s="1"/>
  <c r="C34" i="15" s="1"/>
  <c r="C36" i="15" s="1"/>
  <c r="C40" i="15" s="1"/>
  <c r="K48" i="1"/>
  <c r="I89" i="1"/>
  <c r="H89" i="1"/>
  <c r="J89" i="1"/>
  <c r="F25" i="14"/>
  <c r="F25" i="36" s="1"/>
  <c r="F28" i="36" s="1"/>
  <c r="B128" i="14"/>
  <c r="J48" i="1"/>
  <c r="G89" i="1"/>
  <c r="E48" i="1"/>
  <c r="F48" i="1"/>
  <c r="D48" i="1"/>
  <c r="B36" i="14"/>
  <c r="D80" i="14"/>
  <c r="G48" i="1"/>
  <c r="D89" i="1"/>
  <c r="L89" i="1"/>
  <c r="H48" i="1"/>
  <c r="E89" i="1"/>
  <c r="L48" i="1"/>
  <c r="B21" i="14"/>
  <c r="D34" i="14"/>
  <c r="B74" i="15"/>
  <c r="B78" i="15" s="1"/>
  <c r="I48" i="1"/>
  <c r="F89" i="1"/>
  <c r="B60" i="16"/>
  <c r="G7" i="1"/>
  <c r="F7" i="1"/>
  <c r="E7" i="1"/>
  <c r="I7" i="1"/>
  <c r="D7" i="1"/>
  <c r="H7" i="1"/>
  <c r="K7" i="1"/>
  <c r="J7" i="1"/>
  <c r="L7" i="1"/>
  <c r="B55" i="16"/>
  <c r="C49" i="16" s="1"/>
  <c r="C51" i="16" s="1"/>
  <c r="C54" i="16" s="1"/>
  <c r="C55" i="16" s="1"/>
  <c r="B89" i="16"/>
  <c r="C83" i="16" s="1"/>
  <c r="C85" i="16" s="1"/>
  <c r="C88" i="16" s="1"/>
  <c r="C89" i="16" s="1"/>
  <c r="B21" i="16"/>
  <c r="C15" i="16" s="1"/>
  <c r="C17" i="16" s="1"/>
  <c r="C20" i="16" s="1"/>
  <c r="C21" i="16" s="1"/>
  <c r="B79" i="16"/>
  <c r="B98" i="16" s="1"/>
  <c r="B100" i="16" s="1"/>
  <c r="B124" i="15"/>
  <c r="B40" i="15"/>
  <c r="E28" i="14"/>
  <c r="F71" i="14"/>
  <c r="F71" i="36" s="1"/>
  <c r="F74" i="36" s="1"/>
  <c r="E74" i="14"/>
  <c r="B83" i="14"/>
  <c r="B90" i="14" s="1"/>
  <c r="D126" i="14"/>
  <c r="C19" i="14"/>
  <c r="D28" i="14"/>
  <c r="D74" i="14"/>
  <c r="L100" i="14" l="1"/>
  <c r="L100" i="36" s="1"/>
  <c r="M54" i="14"/>
  <c r="M54" i="36" s="1"/>
  <c r="M50" i="2"/>
  <c r="L8" i="14"/>
  <c r="L8" i="36" s="1"/>
  <c r="H119" i="14"/>
  <c r="H119" i="36" s="1"/>
  <c r="H125" i="14"/>
  <c r="H125" i="36" s="1"/>
  <c r="H101" i="14"/>
  <c r="H101" i="36" s="1"/>
  <c r="H103" i="14"/>
  <c r="H103" i="36" s="1"/>
  <c r="H102" i="14"/>
  <c r="H102" i="36" s="1"/>
  <c r="H73" i="14"/>
  <c r="H73" i="36" s="1"/>
  <c r="H79" i="14"/>
  <c r="H79" i="36" s="1"/>
  <c r="H57" i="14"/>
  <c r="H57" i="36" s="1"/>
  <c r="H56" i="14"/>
  <c r="H56" i="36" s="1"/>
  <c r="H55" i="14"/>
  <c r="H55" i="36" s="1"/>
  <c r="N103" i="2"/>
  <c r="M156" i="2"/>
  <c r="H33" i="14"/>
  <c r="H33" i="36" s="1"/>
  <c r="H27" i="14"/>
  <c r="H27" i="36" s="1"/>
  <c r="H11" i="14"/>
  <c r="H11" i="36" s="1"/>
  <c r="H10" i="14"/>
  <c r="H10" i="36" s="1"/>
  <c r="H9" i="14"/>
  <c r="H9" i="36" s="1"/>
  <c r="B129" i="14"/>
  <c r="B136" i="14" s="1"/>
  <c r="B82" i="15"/>
  <c r="C76" i="15"/>
  <c r="C78" i="15" s="1"/>
  <c r="C82" i="15" s="1"/>
  <c r="D82" i="14"/>
  <c r="D128" i="14" s="1"/>
  <c r="D36" i="14"/>
  <c r="B37" i="14"/>
  <c r="B44" i="14" s="1"/>
  <c r="B80" i="16"/>
  <c r="C73" i="16" s="1"/>
  <c r="D88" i="16"/>
  <c r="D54" i="16"/>
  <c r="D20" i="16"/>
  <c r="D34" i="15"/>
  <c r="E80" i="14"/>
  <c r="E82" i="14" s="1"/>
  <c r="F77" i="14"/>
  <c r="F77" i="36" s="1"/>
  <c r="F80" i="36" s="1"/>
  <c r="F82" i="36" s="1"/>
  <c r="F74" i="14"/>
  <c r="G71" i="14"/>
  <c r="G71" i="36" s="1"/>
  <c r="G74" i="36" s="1"/>
  <c r="F28" i="14"/>
  <c r="F33" i="27" s="1"/>
  <c r="F36" i="27" s="1"/>
  <c r="F22" i="27" s="1"/>
  <c r="G25" i="14"/>
  <c r="G25" i="36" s="1"/>
  <c r="G28" i="36" s="1"/>
  <c r="E34" i="14"/>
  <c r="E36" i="14" s="1"/>
  <c r="F31" i="14"/>
  <c r="F31" i="36" s="1"/>
  <c r="F34" i="36" s="1"/>
  <c r="F36" i="36" s="1"/>
  <c r="D120" i="14"/>
  <c r="E126" i="14"/>
  <c r="F123" i="14"/>
  <c r="F123" i="36" s="1"/>
  <c r="F126" i="36" s="1"/>
  <c r="M100" i="14" l="1"/>
  <c r="M100" i="36" s="1"/>
  <c r="N54" i="14"/>
  <c r="N54" i="36" s="1"/>
  <c r="N50" i="2"/>
  <c r="M8" i="14"/>
  <c r="M8" i="36" s="1"/>
  <c r="I119" i="14"/>
  <c r="I119" i="36" s="1"/>
  <c r="I125" i="14"/>
  <c r="I125" i="36" s="1"/>
  <c r="I103" i="14"/>
  <c r="I103" i="36" s="1"/>
  <c r="I102" i="14"/>
  <c r="I102" i="36" s="1"/>
  <c r="I101" i="14"/>
  <c r="I101" i="36" s="1"/>
  <c r="I73" i="14"/>
  <c r="I73" i="36" s="1"/>
  <c r="I79" i="14"/>
  <c r="I79" i="36" s="1"/>
  <c r="I55" i="14"/>
  <c r="I55" i="36" s="1"/>
  <c r="I56" i="14"/>
  <c r="I56" i="36" s="1"/>
  <c r="I57" i="14"/>
  <c r="I57" i="36" s="1"/>
  <c r="N156" i="2"/>
  <c r="O103" i="2"/>
  <c r="I33" i="14"/>
  <c r="I33" i="36" s="1"/>
  <c r="I27" i="14"/>
  <c r="I27" i="36" s="1"/>
  <c r="I11" i="14"/>
  <c r="I11" i="36" s="1"/>
  <c r="I10" i="14"/>
  <c r="I10" i="36" s="1"/>
  <c r="I9" i="14"/>
  <c r="I9" i="36" s="1"/>
  <c r="C92" i="16"/>
  <c r="C94" i="16" s="1"/>
  <c r="C75" i="16"/>
  <c r="D49" i="16"/>
  <c r="D51" i="16" s="1"/>
  <c r="D83" i="16"/>
  <c r="D85" i="16" s="1"/>
  <c r="D15" i="16"/>
  <c r="D17" i="16" s="1"/>
  <c r="D21" i="16"/>
  <c r="E20" i="16"/>
  <c r="D89" i="16"/>
  <c r="E88" i="16"/>
  <c r="D55" i="16"/>
  <c r="E54" i="16"/>
  <c r="F117" i="14"/>
  <c r="F117" i="36" s="1"/>
  <c r="F120" i="36" s="1"/>
  <c r="F128" i="36" s="1"/>
  <c r="E120" i="14"/>
  <c r="E128" i="14" s="1"/>
  <c r="G31" i="14"/>
  <c r="G31" i="36" s="1"/>
  <c r="G34" i="36" s="1"/>
  <c r="G36" i="36" s="1"/>
  <c r="F34" i="14"/>
  <c r="F36" i="14" s="1"/>
  <c r="G28" i="14"/>
  <c r="G33" i="27" s="1"/>
  <c r="G36" i="27" s="1"/>
  <c r="G22" i="27" s="1"/>
  <c r="H25" i="14"/>
  <c r="H25" i="36" s="1"/>
  <c r="H28" i="36" s="1"/>
  <c r="G77" i="14"/>
  <c r="G77" i="36" s="1"/>
  <c r="G80" i="36" s="1"/>
  <c r="G82" i="36" s="1"/>
  <c r="F80" i="14"/>
  <c r="F82" i="14" s="1"/>
  <c r="G123" i="14"/>
  <c r="G123" i="36" s="1"/>
  <c r="G126" i="36" s="1"/>
  <c r="F126" i="14"/>
  <c r="G74" i="14"/>
  <c r="H71" i="14"/>
  <c r="H71" i="36" s="1"/>
  <c r="H74" i="36" s="1"/>
  <c r="O54" i="14" l="1"/>
  <c r="O54" i="36" s="1"/>
  <c r="N100" i="14"/>
  <c r="N100" i="36" s="1"/>
  <c r="N8" i="14"/>
  <c r="N8" i="36" s="1"/>
  <c r="O50" i="2"/>
  <c r="J125" i="14"/>
  <c r="J125" i="36" s="1"/>
  <c r="J119" i="14"/>
  <c r="J119" i="36" s="1"/>
  <c r="J102" i="14"/>
  <c r="J102" i="36" s="1"/>
  <c r="J101" i="14"/>
  <c r="J101" i="36" s="1"/>
  <c r="J103" i="14"/>
  <c r="J103" i="36" s="1"/>
  <c r="J73" i="14"/>
  <c r="J73" i="36" s="1"/>
  <c r="J79" i="14"/>
  <c r="J79" i="36" s="1"/>
  <c r="J57" i="14"/>
  <c r="J57" i="36" s="1"/>
  <c r="J56" i="14"/>
  <c r="J56" i="36" s="1"/>
  <c r="J55" i="14"/>
  <c r="J55" i="36" s="1"/>
  <c r="P103" i="2"/>
  <c r="O156" i="2"/>
  <c r="J33" i="14"/>
  <c r="J33" i="36" s="1"/>
  <c r="J27" i="14"/>
  <c r="J27" i="36" s="1"/>
  <c r="J11" i="14"/>
  <c r="J11" i="36" s="1"/>
  <c r="J10" i="14"/>
  <c r="J10" i="36" s="1"/>
  <c r="J9" i="14"/>
  <c r="J9" i="36" s="1"/>
  <c r="E49" i="16"/>
  <c r="E51" i="16" s="1"/>
  <c r="D76" i="1"/>
  <c r="E15" i="16"/>
  <c r="E17" i="16" s="1"/>
  <c r="D35" i="1"/>
  <c r="E83" i="16"/>
  <c r="E85" i="16" s="1"/>
  <c r="D117" i="1"/>
  <c r="E55" i="16"/>
  <c r="F54" i="16"/>
  <c r="F88" i="16"/>
  <c r="E89" i="16"/>
  <c r="F20" i="16"/>
  <c r="E21" i="16"/>
  <c r="H31" i="14"/>
  <c r="H31" i="36" s="1"/>
  <c r="H34" i="36" s="1"/>
  <c r="H36" i="36" s="1"/>
  <c r="G34" i="14"/>
  <c r="G36" i="14" s="1"/>
  <c r="I71" i="14"/>
  <c r="I71" i="36" s="1"/>
  <c r="I74" i="36" s="1"/>
  <c r="H74" i="14"/>
  <c r="H123" i="14"/>
  <c r="H123" i="36" s="1"/>
  <c r="H126" i="36" s="1"/>
  <c r="G126" i="14"/>
  <c r="F120" i="14"/>
  <c r="F128" i="14" s="1"/>
  <c r="G117" i="14"/>
  <c r="G117" i="36" s="1"/>
  <c r="G120" i="36" s="1"/>
  <c r="G128" i="36" s="1"/>
  <c r="I25" i="14"/>
  <c r="I25" i="36" s="1"/>
  <c r="I28" i="36" s="1"/>
  <c r="H28" i="14"/>
  <c r="H33" i="27" s="1"/>
  <c r="H36" i="27" s="1"/>
  <c r="H22" i="27" s="1"/>
  <c r="H77" i="14"/>
  <c r="H77" i="36" s="1"/>
  <c r="H80" i="36" s="1"/>
  <c r="H82" i="36" s="1"/>
  <c r="G80" i="14"/>
  <c r="G82" i="14" s="1"/>
  <c r="O100" i="14" l="1"/>
  <c r="O100" i="36" s="1"/>
  <c r="P54" i="14"/>
  <c r="P54" i="36" s="1"/>
  <c r="O8" i="14"/>
  <c r="O8" i="36" s="1"/>
  <c r="P50" i="2"/>
  <c r="K119" i="14"/>
  <c r="K119" i="36" s="1"/>
  <c r="K125" i="14"/>
  <c r="K125" i="36" s="1"/>
  <c r="K102" i="14"/>
  <c r="K102" i="36" s="1"/>
  <c r="K103" i="14"/>
  <c r="K103" i="36" s="1"/>
  <c r="K101" i="14"/>
  <c r="K101" i="36" s="1"/>
  <c r="K73" i="14"/>
  <c r="K73" i="36" s="1"/>
  <c r="K79" i="14"/>
  <c r="K79" i="36" s="1"/>
  <c r="K55" i="14"/>
  <c r="K55" i="36" s="1"/>
  <c r="K56" i="14"/>
  <c r="K56" i="36" s="1"/>
  <c r="K57" i="14"/>
  <c r="K57" i="36" s="1"/>
  <c r="P156" i="2"/>
  <c r="K33" i="14"/>
  <c r="K33" i="36" s="1"/>
  <c r="K27" i="14"/>
  <c r="K27" i="36" s="1"/>
  <c r="K11" i="14"/>
  <c r="K11" i="36" s="1"/>
  <c r="K10" i="14"/>
  <c r="K10" i="36" s="1"/>
  <c r="K9" i="14"/>
  <c r="K9" i="36" s="1"/>
  <c r="F49" i="16"/>
  <c r="F51" i="16" s="1"/>
  <c r="E76" i="1"/>
  <c r="F15" i="16"/>
  <c r="F17" i="16" s="1"/>
  <c r="E35" i="1"/>
  <c r="F83" i="16"/>
  <c r="F85" i="16" s="1"/>
  <c r="E117" i="1"/>
  <c r="F89" i="16"/>
  <c r="G88" i="16"/>
  <c r="F21" i="16"/>
  <c r="G20" i="16"/>
  <c r="F55" i="16"/>
  <c r="G54" i="16"/>
  <c r="H126" i="14"/>
  <c r="I123" i="14"/>
  <c r="I123" i="36" s="1"/>
  <c r="I126" i="36" s="1"/>
  <c r="H80" i="14"/>
  <c r="H82" i="14" s="1"/>
  <c r="I77" i="14"/>
  <c r="I77" i="36" s="1"/>
  <c r="I80" i="36" s="1"/>
  <c r="I82" i="36" s="1"/>
  <c r="J25" i="14"/>
  <c r="J25" i="36" s="1"/>
  <c r="J28" i="36" s="1"/>
  <c r="I28" i="14"/>
  <c r="I33" i="27" s="1"/>
  <c r="I36" i="27" s="1"/>
  <c r="I22" i="27" s="1"/>
  <c r="J71" i="14"/>
  <c r="J71" i="36" s="1"/>
  <c r="J74" i="36" s="1"/>
  <c r="I74" i="14"/>
  <c r="H34" i="14"/>
  <c r="H36" i="14" s="1"/>
  <c r="I31" i="14"/>
  <c r="I31" i="36" s="1"/>
  <c r="I34" i="36" s="1"/>
  <c r="I36" i="36" s="1"/>
  <c r="G120" i="14"/>
  <c r="G128" i="14" s="1"/>
  <c r="H117" i="14"/>
  <c r="H117" i="36" s="1"/>
  <c r="H120" i="36" s="1"/>
  <c r="H128" i="36" s="1"/>
  <c r="P100" i="14" l="1"/>
  <c r="P100" i="36" s="1"/>
  <c r="P8" i="14"/>
  <c r="P8" i="36" s="1"/>
  <c r="L125" i="14"/>
  <c r="L125" i="36" s="1"/>
  <c r="L119" i="14"/>
  <c r="L119" i="36" s="1"/>
  <c r="L103" i="14"/>
  <c r="L103" i="36" s="1"/>
  <c r="L101" i="14"/>
  <c r="L101" i="36" s="1"/>
  <c r="L102" i="14"/>
  <c r="L102" i="36" s="1"/>
  <c r="L73" i="14"/>
  <c r="L73" i="36" s="1"/>
  <c r="L79" i="14"/>
  <c r="L79" i="36" s="1"/>
  <c r="L57" i="14"/>
  <c r="L57" i="36" s="1"/>
  <c r="L56" i="14"/>
  <c r="L56" i="36" s="1"/>
  <c r="L55" i="14"/>
  <c r="L55" i="36" s="1"/>
  <c r="L33" i="14"/>
  <c r="L33" i="36" s="1"/>
  <c r="L27" i="14"/>
  <c r="L27" i="36" s="1"/>
  <c r="L11" i="14"/>
  <c r="L11" i="36" s="1"/>
  <c r="L10" i="14"/>
  <c r="L10" i="36" s="1"/>
  <c r="L9" i="14"/>
  <c r="L9" i="36" s="1"/>
  <c r="G83" i="16"/>
  <c r="G85" i="16" s="1"/>
  <c r="F117" i="1"/>
  <c r="G49" i="16"/>
  <c r="G51" i="16" s="1"/>
  <c r="F76" i="1"/>
  <c r="G15" i="16"/>
  <c r="G17" i="16" s="1"/>
  <c r="F35" i="1"/>
  <c r="H54" i="16"/>
  <c r="G55" i="16"/>
  <c r="G21" i="16"/>
  <c r="H20" i="16"/>
  <c r="G89" i="16"/>
  <c r="H88" i="16"/>
  <c r="J28" i="14"/>
  <c r="J33" i="27" s="1"/>
  <c r="J36" i="27" s="1"/>
  <c r="J22" i="27" s="1"/>
  <c r="K25" i="14"/>
  <c r="K25" i="36" s="1"/>
  <c r="K28" i="36" s="1"/>
  <c r="I34" i="14"/>
  <c r="I36" i="14" s="1"/>
  <c r="J31" i="14"/>
  <c r="J31" i="36" s="1"/>
  <c r="J34" i="36" s="1"/>
  <c r="J36" i="36" s="1"/>
  <c r="J74" i="14"/>
  <c r="K71" i="14"/>
  <c r="K71" i="36" s="1"/>
  <c r="K74" i="36" s="1"/>
  <c r="I80" i="14"/>
  <c r="I82" i="14" s="1"/>
  <c r="J77" i="14"/>
  <c r="J77" i="36" s="1"/>
  <c r="J80" i="36" s="1"/>
  <c r="J82" i="36" s="1"/>
  <c r="I117" i="14"/>
  <c r="I117" i="36" s="1"/>
  <c r="I120" i="36" s="1"/>
  <c r="I128" i="36" s="1"/>
  <c r="H120" i="14"/>
  <c r="H128" i="14" s="1"/>
  <c r="I126" i="14"/>
  <c r="J123" i="14"/>
  <c r="J123" i="36" s="1"/>
  <c r="M119" i="14" l="1"/>
  <c r="M119" i="36" s="1"/>
  <c r="M125" i="14"/>
  <c r="M125" i="36" s="1"/>
  <c r="M102" i="14"/>
  <c r="M102" i="36" s="1"/>
  <c r="M101" i="14"/>
  <c r="M101" i="36" s="1"/>
  <c r="M103" i="14"/>
  <c r="M103" i="36" s="1"/>
  <c r="M73" i="14"/>
  <c r="M73" i="36" s="1"/>
  <c r="M79" i="14"/>
  <c r="M79" i="36" s="1"/>
  <c r="M55" i="14"/>
  <c r="M55" i="36" s="1"/>
  <c r="M56" i="14"/>
  <c r="M56" i="36" s="1"/>
  <c r="M57" i="14"/>
  <c r="M57" i="36" s="1"/>
  <c r="M33" i="14"/>
  <c r="M33" i="36" s="1"/>
  <c r="M27" i="14"/>
  <c r="M27" i="36" s="1"/>
  <c r="M11" i="14"/>
  <c r="M11" i="36" s="1"/>
  <c r="M10" i="14"/>
  <c r="M10" i="36" s="1"/>
  <c r="M9" i="14"/>
  <c r="M9" i="36" s="1"/>
  <c r="H49" i="16"/>
  <c r="H51" i="16" s="1"/>
  <c r="G76" i="1"/>
  <c r="H83" i="16"/>
  <c r="H85" i="16" s="1"/>
  <c r="G117" i="1"/>
  <c r="H15" i="16"/>
  <c r="H17" i="16" s="1"/>
  <c r="G35" i="1"/>
  <c r="H89" i="16"/>
  <c r="I88" i="16"/>
  <c r="H55" i="16"/>
  <c r="I54" i="16"/>
  <c r="H21" i="16"/>
  <c r="I20" i="16"/>
  <c r="K123" i="14"/>
  <c r="K123" i="36" s="1"/>
  <c r="J126" i="14"/>
  <c r="J117" i="14"/>
  <c r="J117" i="36" s="1"/>
  <c r="I120" i="14"/>
  <c r="I128" i="14" s="1"/>
  <c r="K28" i="14"/>
  <c r="K33" i="27" s="1"/>
  <c r="K36" i="27" s="1"/>
  <c r="K22" i="27" s="1"/>
  <c r="L25" i="14"/>
  <c r="L25" i="36" s="1"/>
  <c r="L28" i="36" s="1"/>
  <c r="K77" i="14"/>
  <c r="K77" i="36" s="1"/>
  <c r="K80" i="36" s="1"/>
  <c r="K82" i="36" s="1"/>
  <c r="J80" i="14"/>
  <c r="J82" i="14" s="1"/>
  <c r="K74" i="14"/>
  <c r="L71" i="14"/>
  <c r="L71" i="36" s="1"/>
  <c r="L74" i="36" s="1"/>
  <c r="K31" i="14"/>
  <c r="K31" i="36" s="1"/>
  <c r="K34" i="36" s="1"/>
  <c r="K36" i="36" s="1"/>
  <c r="J34" i="14"/>
  <c r="J36" i="14" s="1"/>
  <c r="N125" i="14" l="1"/>
  <c r="N125" i="36" s="1"/>
  <c r="N119" i="14"/>
  <c r="N119" i="36" s="1"/>
  <c r="N103" i="14"/>
  <c r="N103" i="36" s="1"/>
  <c r="N101" i="14"/>
  <c r="N101" i="36" s="1"/>
  <c r="N102" i="14"/>
  <c r="N102" i="36" s="1"/>
  <c r="N73" i="14"/>
  <c r="N73" i="36" s="1"/>
  <c r="N79" i="14"/>
  <c r="N79" i="36" s="1"/>
  <c r="N57" i="14"/>
  <c r="N57" i="36" s="1"/>
  <c r="N56" i="14"/>
  <c r="N56" i="36" s="1"/>
  <c r="N55" i="14"/>
  <c r="N55" i="36" s="1"/>
  <c r="N33" i="14"/>
  <c r="N33" i="36" s="1"/>
  <c r="N27" i="14"/>
  <c r="N27" i="36" s="1"/>
  <c r="N11" i="14"/>
  <c r="N11" i="36" s="1"/>
  <c r="N10" i="14"/>
  <c r="N10" i="36" s="1"/>
  <c r="N9" i="14"/>
  <c r="N9" i="36" s="1"/>
  <c r="I83" i="16"/>
  <c r="I85" i="16" s="1"/>
  <c r="H117" i="1"/>
  <c r="I15" i="16"/>
  <c r="I17" i="16" s="1"/>
  <c r="H35" i="1"/>
  <c r="I49" i="16"/>
  <c r="I51" i="16" s="1"/>
  <c r="H76" i="1"/>
  <c r="J88" i="16"/>
  <c r="I89" i="16"/>
  <c r="J20" i="16"/>
  <c r="I21" i="16"/>
  <c r="I55" i="16"/>
  <c r="J54" i="16"/>
  <c r="M71" i="14"/>
  <c r="M71" i="36" s="1"/>
  <c r="M74" i="36" s="1"/>
  <c r="L74" i="14"/>
  <c r="M25" i="14"/>
  <c r="M25" i="36" s="1"/>
  <c r="M28" i="36" s="1"/>
  <c r="L28" i="14"/>
  <c r="L33" i="27" s="1"/>
  <c r="L36" i="27" s="1"/>
  <c r="L22" i="27" s="1"/>
  <c r="L31" i="14"/>
  <c r="L31" i="36" s="1"/>
  <c r="L34" i="36" s="1"/>
  <c r="L36" i="36" s="1"/>
  <c r="K34" i="14"/>
  <c r="K36" i="14" s="1"/>
  <c r="L77" i="14"/>
  <c r="L77" i="36" s="1"/>
  <c r="L80" i="36" s="1"/>
  <c r="L82" i="36" s="1"/>
  <c r="K80" i="14"/>
  <c r="K82" i="14" s="1"/>
  <c r="J120" i="14"/>
  <c r="J128" i="14" s="1"/>
  <c r="K117" i="14"/>
  <c r="K117" i="36" s="1"/>
  <c r="K120" i="36" s="1"/>
  <c r="L123" i="14"/>
  <c r="L123" i="36" s="1"/>
  <c r="K126" i="14"/>
  <c r="O119" i="14" l="1"/>
  <c r="O119" i="36" s="1"/>
  <c r="O125" i="14"/>
  <c r="O125" i="36" s="1"/>
  <c r="O102" i="14"/>
  <c r="O102" i="36" s="1"/>
  <c r="O101" i="14"/>
  <c r="O101" i="36" s="1"/>
  <c r="O103" i="14"/>
  <c r="O103" i="36" s="1"/>
  <c r="O73" i="14"/>
  <c r="O73" i="36" s="1"/>
  <c r="O79" i="14"/>
  <c r="O79" i="36" s="1"/>
  <c r="O55" i="14"/>
  <c r="O55" i="36" s="1"/>
  <c r="O56" i="14"/>
  <c r="O56" i="36" s="1"/>
  <c r="O57" i="14"/>
  <c r="O57" i="36" s="1"/>
  <c r="O33" i="14"/>
  <c r="O33" i="36" s="1"/>
  <c r="O27" i="14"/>
  <c r="O27" i="36" s="1"/>
  <c r="O11" i="14"/>
  <c r="O11" i="36" s="1"/>
  <c r="O10" i="14"/>
  <c r="O10" i="36" s="1"/>
  <c r="O9" i="14"/>
  <c r="O9" i="36" s="1"/>
  <c r="M74" i="14"/>
  <c r="N71" i="14"/>
  <c r="N71" i="36" s="1"/>
  <c r="N74" i="36" s="1"/>
  <c r="M28" i="14"/>
  <c r="M33" i="27" s="1"/>
  <c r="M36" i="27" s="1"/>
  <c r="M22" i="27" s="1"/>
  <c r="N25" i="14"/>
  <c r="N25" i="36" s="1"/>
  <c r="N28" i="36" s="1"/>
  <c r="J15" i="16"/>
  <c r="J17" i="16" s="1"/>
  <c r="I35" i="1"/>
  <c r="J83" i="16"/>
  <c r="J85" i="16" s="1"/>
  <c r="I117" i="1"/>
  <c r="J49" i="16"/>
  <c r="J51" i="16" s="1"/>
  <c r="I76" i="1"/>
  <c r="J55" i="16"/>
  <c r="K54" i="16"/>
  <c r="J21" i="16"/>
  <c r="K20" i="16"/>
  <c r="J89" i="16"/>
  <c r="K88" i="16"/>
  <c r="L34" i="14"/>
  <c r="L36" i="14" s="1"/>
  <c r="M31" i="14"/>
  <c r="M31" i="36" s="1"/>
  <c r="M34" i="36" s="1"/>
  <c r="M36" i="36" s="1"/>
  <c r="K120" i="14"/>
  <c r="K128" i="14" s="1"/>
  <c r="L117" i="14"/>
  <c r="L117" i="36" s="1"/>
  <c r="L120" i="36" s="1"/>
  <c r="L126" i="14"/>
  <c r="M123" i="14"/>
  <c r="M123" i="36" s="1"/>
  <c r="L80" i="14"/>
  <c r="L82" i="14" s="1"/>
  <c r="M77" i="14"/>
  <c r="M77" i="36" s="1"/>
  <c r="M80" i="36" s="1"/>
  <c r="M82" i="36" s="1"/>
  <c r="P125" i="14" l="1"/>
  <c r="P125" i="36" s="1"/>
  <c r="P119" i="14"/>
  <c r="P119" i="36" s="1"/>
  <c r="P103" i="14"/>
  <c r="P103" i="36" s="1"/>
  <c r="P101" i="14"/>
  <c r="P101" i="36" s="1"/>
  <c r="P102" i="14"/>
  <c r="P102" i="36" s="1"/>
  <c r="P73" i="14"/>
  <c r="P73" i="36" s="1"/>
  <c r="P79" i="14"/>
  <c r="P79" i="36" s="1"/>
  <c r="P57" i="14"/>
  <c r="P57" i="36" s="1"/>
  <c r="P56" i="14"/>
  <c r="P56" i="36" s="1"/>
  <c r="P55" i="14"/>
  <c r="P55" i="36" s="1"/>
  <c r="P33" i="14"/>
  <c r="P33" i="36" s="1"/>
  <c r="P27" i="14"/>
  <c r="P27" i="36" s="1"/>
  <c r="P11" i="14"/>
  <c r="P11" i="36" s="1"/>
  <c r="P10" i="14"/>
  <c r="P10" i="36" s="1"/>
  <c r="P9" i="14"/>
  <c r="P9" i="36" s="1"/>
  <c r="M80" i="14"/>
  <c r="M82" i="14" s="1"/>
  <c r="N77" i="14"/>
  <c r="N77" i="36" s="1"/>
  <c r="N80" i="36" s="1"/>
  <c r="N82" i="36" s="1"/>
  <c r="M126" i="14"/>
  <c r="N123" i="14"/>
  <c r="N123" i="36" s="1"/>
  <c r="M34" i="14"/>
  <c r="M36" i="14" s="1"/>
  <c r="N31" i="14"/>
  <c r="N31" i="36" s="1"/>
  <c r="N34" i="36" s="1"/>
  <c r="N36" i="36" s="1"/>
  <c r="N74" i="14"/>
  <c r="O71" i="14"/>
  <c r="O71" i="36" s="1"/>
  <c r="O74" i="36" s="1"/>
  <c r="N28" i="14"/>
  <c r="N33" i="27" s="1"/>
  <c r="N36" i="27" s="1"/>
  <c r="N22" i="27" s="1"/>
  <c r="O25" i="14"/>
  <c r="O25" i="36" s="1"/>
  <c r="O28" i="36" s="1"/>
  <c r="K49" i="16"/>
  <c r="K51" i="16" s="1"/>
  <c r="J76" i="1"/>
  <c r="K83" i="16"/>
  <c r="K85" i="16" s="1"/>
  <c r="J117" i="1"/>
  <c r="K15" i="16"/>
  <c r="K17" i="16" s="1"/>
  <c r="J35" i="1"/>
  <c r="K89" i="16"/>
  <c r="L88" i="16"/>
  <c r="L54" i="16"/>
  <c r="K55" i="16"/>
  <c r="K21" i="16"/>
  <c r="L20" i="16"/>
  <c r="M117" i="14"/>
  <c r="M117" i="36" s="1"/>
  <c r="M120" i="36" s="1"/>
  <c r="L120" i="14"/>
  <c r="L128" i="14" s="1"/>
  <c r="O74" i="14" l="1"/>
  <c r="P71" i="14"/>
  <c r="P71" i="36" s="1"/>
  <c r="P74" i="36" s="1"/>
  <c r="O28" i="14"/>
  <c r="O33" i="27" s="1"/>
  <c r="O36" i="27" s="1"/>
  <c r="O22" i="27" s="1"/>
  <c r="P25" i="14"/>
  <c r="P25" i="36" s="1"/>
  <c r="P28" i="36" s="1"/>
  <c r="O31" i="14"/>
  <c r="O31" i="36" s="1"/>
  <c r="O34" i="36" s="1"/>
  <c r="O36" i="36" s="1"/>
  <c r="N34" i="14"/>
  <c r="N36" i="14" s="1"/>
  <c r="O77" i="14"/>
  <c r="O77" i="36" s="1"/>
  <c r="O80" i="36" s="1"/>
  <c r="O82" i="36" s="1"/>
  <c r="N80" i="14"/>
  <c r="N82" i="14" s="1"/>
  <c r="O123" i="14"/>
  <c r="O123" i="36" s="1"/>
  <c r="N126" i="14"/>
  <c r="M120" i="14"/>
  <c r="M128" i="14" s="1"/>
  <c r="N117" i="14"/>
  <c r="N117" i="36" s="1"/>
  <c r="N120" i="36" s="1"/>
  <c r="L83" i="16"/>
  <c r="L85" i="16" s="1"/>
  <c r="K117" i="1"/>
  <c r="L15" i="16"/>
  <c r="L17" i="16" s="1"/>
  <c r="K35" i="1"/>
  <c r="L49" i="16"/>
  <c r="L51" i="16" s="1"/>
  <c r="K76" i="1"/>
  <c r="L55" i="16"/>
  <c r="M54" i="16"/>
  <c r="L21" i="16"/>
  <c r="M20" i="16"/>
  <c r="L89" i="16"/>
  <c r="M88" i="16"/>
  <c r="P74" i="14" l="1"/>
  <c r="P28" i="14"/>
  <c r="P33" i="27" s="1"/>
  <c r="P36" i="27" s="1"/>
  <c r="P22" i="27" s="1"/>
  <c r="O80" i="14"/>
  <c r="O82" i="14" s="1"/>
  <c r="P77" i="14"/>
  <c r="P77" i="36" s="1"/>
  <c r="P80" i="36" s="1"/>
  <c r="P82" i="36" s="1"/>
  <c r="O34" i="14"/>
  <c r="O36" i="14" s="1"/>
  <c r="P31" i="14"/>
  <c r="P31" i="36" s="1"/>
  <c r="P34" i="36" s="1"/>
  <c r="P36" i="36" s="1"/>
  <c r="O126" i="14"/>
  <c r="P123" i="14"/>
  <c r="P123" i="36" s="1"/>
  <c r="M89" i="16"/>
  <c r="N88" i="16"/>
  <c r="M55" i="16"/>
  <c r="N54" i="16"/>
  <c r="M21" i="16"/>
  <c r="N20" i="16"/>
  <c r="N120" i="14"/>
  <c r="N128" i="14" s="1"/>
  <c r="O117" i="14"/>
  <c r="O117" i="36" s="1"/>
  <c r="O120" i="36" s="1"/>
  <c r="M49" i="16"/>
  <c r="M51" i="16" s="1"/>
  <c r="L76" i="1"/>
  <c r="M83" i="16"/>
  <c r="M85" i="16" s="1"/>
  <c r="L117" i="1"/>
  <c r="M15" i="16"/>
  <c r="M17" i="16" s="1"/>
  <c r="L35" i="1"/>
  <c r="E6" i="15"/>
  <c r="M112" i="15"/>
  <c r="L112" i="15"/>
  <c r="K112" i="15"/>
  <c r="J112" i="15"/>
  <c r="I112" i="15"/>
  <c r="H112" i="15"/>
  <c r="G112" i="15"/>
  <c r="F112" i="15"/>
  <c r="E112" i="15"/>
  <c r="D112" i="15"/>
  <c r="M70" i="15"/>
  <c r="L70" i="15"/>
  <c r="K70" i="15"/>
  <c r="J70" i="15"/>
  <c r="I70" i="15"/>
  <c r="H70" i="15"/>
  <c r="G70" i="15"/>
  <c r="F70" i="15"/>
  <c r="E70" i="15"/>
  <c r="D70" i="15"/>
  <c r="M34" i="17"/>
  <c r="L34" i="17"/>
  <c r="K34" i="17"/>
  <c r="J34" i="17"/>
  <c r="I34" i="17"/>
  <c r="H34" i="17"/>
  <c r="G34" i="17"/>
  <c r="F34" i="17"/>
  <c r="E34" i="17"/>
  <c r="D34" i="17"/>
  <c r="M33" i="17"/>
  <c r="L33" i="17"/>
  <c r="K33" i="17"/>
  <c r="J33" i="17"/>
  <c r="I33" i="17"/>
  <c r="H33" i="17"/>
  <c r="G33" i="17"/>
  <c r="F33" i="17"/>
  <c r="E33" i="17"/>
  <c r="B37" i="13"/>
  <c r="B23" i="17" s="1"/>
  <c r="B24" i="17" s="1"/>
  <c r="C28" i="8"/>
  <c r="B21" i="13"/>
  <c r="B28" i="8" s="1"/>
  <c r="M17" i="15"/>
  <c r="L17" i="15"/>
  <c r="K17" i="15"/>
  <c r="J17" i="15"/>
  <c r="I17" i="15"/>
  <c r="H17" i="15"/>
  <c r="G17" i="15"/>
  <c r="F17" i="15"/>
  <c r="E17" i="15"/>
  <c r="M15" i="15"/>
  <c r="L15" i="15"/>
  <c r="K15" i="15"/>
  <c r="J15" i="15"/>
  <c r="I15" i="15"/>
  <c r="H15" i="15"/>
  <c r="G15" i="15"/>
  <c r="F15" i="15"/>
  <c r="E15" i="15"/>
  <c r="M14" i="15"/>
  <c r="L14" i="15"/>
  <c r="K14" i="15"/>
  <c r="J14" i="15"/>
  <c r="I14" i="15"/>
  <c r="H14" i="15"/>
  <c r="G14" i="15"/>
  <c r="F14" i="15"/>
  <c r="E14" i="15"/>
  <c r="B14" i="13"/>
  <c r="B22" i="8" s="1"/>
  <c r="M9" i="15"/>
  <c r="L9" i="15"/>
  <c r="E9" i="15"/>
  <c r="M11" i="15"/>
  <c r="L11" i="15"/>
  <c r="K11" i="15"/>
  <c r="J11" i="15"/>
  <c r="I11" i="15"/>
  <c r="H11" i="15"/>
  <c r="G11" i="15"/>
  <c r="F11" i="15"/>
  <c r="E11" i="15"/>
  <c r="M7" i="15"/>
  <c r="L7" i="15"/>
  <c r="K7" i="15"/>
  <c r="J7" i="15"/>
  <c r="I7" i="15"/>
  <c r="H7" i="15"/>
  <c r="F6" i="15"/>
  <c r="P126" i="14" l="1"/>
  <c r="P80" i="14"/>
  <c r="P82" i="14" s="1"/>
  <c r="P34" i="14"/>
  <c r="P36" i="14" s="1"/>
  <c r="O120" i="14"/>
  <c r="O128" i="14" s="1"/>
  <c r="P117" i="14"/>
  <c r="P117" i="36" s="1"/>
  <c r="P120" i="36" s="1"/>
  <c r="N55" i="16"/>
  <c r="O54" i="16"/>
  <c r="O55" i="16" s="1"/>
  <c r="O76" i="1" s="1"/>
  <c r="N21" i="16"/>
  <c r="O20" i="16"/>
  <c r="O21" i="16" s="1"/>
  <c r="O35" i="1" s="1"/>
  <c r="M76" i="1"/>
  <c r="N49" i="16"/>
  <c r="N51" i="16" s="1"/>
  <c r="M35" i="1"/>
  <c r="N15" i="16"/>
  <c r="N17" i="16" s="1"/>
  <c r="N89" i="16"/>
  <c r="O88" i="16"/>
  <c r="O89" i="16" s="1"/>
  <c r="O117" i="1" s="1"/>
  <c r="M117" i="1"/>
  <c r="N83" i="16"/>
  <c r="N85" i="16" s="1"/>
  <c r="G35" i="17"/>
  <c r="K35" i="17"/>
  <c r="F35" i="17"/>
  <c r="J35" i="17"/>
  <c r="G8" i="15"/>
  <c r="G7" i="15"/>
  <c r="E8" i="15"/>
  <c r="M8" i="15"/>
  <c r="M50" i="15"/>
  <c r="M92" i="15"/>
  <c r="I9" i="15"/>
  <c r="E108" i="15"/>
  <c r="E114" i="15" s="1"/>
  <c r="E66" i="15"/>
  <c r="E72" i="15" s="1"/>
  <c r="M108" i="15"/>
  <c r="M114" i="15" s="1"/>
  <c r="M66" i="15"/>
  <c r="M72" i="15" s="1"/>
  <c r="D113" i="13"/>
  <c r="D131" i="13" s="1"/>
  <c r="D66" i="13"/>
  <c r="D84" i="13" s="1"/>
  <c r="L131" i="13"/>
  <c r="L84" i="13"/>
  <c r="F8" i="15"/>
  <c r="D103" i="13"/>
  <c r="D56" i="13"/>
  <c r="AE13" i="13"/>
  <c r="E84" i="13"/>
  <c r="E131" i="13"/>
  <c r="M84" i="13"/>
  <c r="M131" i="13"/>
  <c r="H84" i="13"/>
  <c r="H131" i="13"/>
  <c r="F84" i="13"/>
  <c r="F131" i="13"/>
  <c r="H8" i="15"/>
  <c r="H92" i="15"/>
  <c r="H50" i="15"/>
  <c r="H66" i="15"/>
  <c r="H72" i="15" s="1"/>
  <c r="D64" i="13"/>
  <c r="D56" i="15" s="1"/>
  <c r="D111" i="13"/>
  <c r="D98" i="15" s="1"/>
  <c r="J108" i="15"/>
  <c r="J114" i="15" s="1"/>
  <c r="J66" i="15"/>
  <c r="J72" i="15" s="1"/>
  <c r="I84" i="13"/>
  <c r="I131" i="13"/>
  <c r="D53" i="13"/>
  <c r="D48" i="15" s="1"/>
  <c r="D100" i="13"/>
  <c r="C25" i="8"/>
  <c r="C24" i="8"/>
  <c r="G131" i="13"/>
  <c r="G84" i="13"/>
  <c r="I108" i="15"/>
  <c r="I114" i="15" s="1"/>
  <c r="I66" i="15"/>
  <c r="I72" i="15" s="1"/>
  <c r="J8" i="15"/>
  <c r="J92" i="15"/>
  <c r="J50" i="15"/>
  <c r="D105" i="13"/>
  <c r="D58" i="13"/>
  <c r="E7" i="15"/>
  <c r="K66" i="15"/>
  <c r="K72" i="15" s="1"/>
  <c r="D65" i="13"/>
  <c r="D112" i="13"/>
  <c r="J131" i="13"/>
  <c r="J84" i="13"/>
  <c r="B23" i="13"/>
  <c r="B28" i="13" s="1"/>
  <c r="B45" i="13" s="1"/>
  <c r="B25" i="8"/>
  <c r="B24" i="8"/>
  <c r="D67" i="13"/>
  <c r="D114" i="13"/>
  <c r="D57" i="13"/>
  <c r="D104" i="13"/>
  <c r="I8" i="15"/>
  <c r="I92" i="15"/>
  <c r="I50" i="15"/>
  <c r="D101" i="13"/>
  <c r="D54" i="13"/>
  <c r="K8" i="15"/>
  <c r="K50" i="15"/>
  <c r="K92" i="15"/>
  <c r="F7" i="15"/>
  <c r="D55" i="13"/>
  <c r="D50" i="15" s="1"/>
  <c r="D102" i="13"/>
  <c r="D92" i="15" s="1"/>
  <c r="L8" i="15"/>
  <c r="L50" i="15"/>
  <c r="L92" i="15"/>
  <c r="H9" i="15"/>
  <c r="D107" i="13"/>
  <c r="D60" i="13"/>
  <c r="D66" i="15" s="1"/>
  <c r="D72" i="15" s="1"/>
  <c r="L108" i="15"/>
  <c r="L114" i="15" s="1"/>
  <c r="K131" i="13"/>
  <c r="K84" i="13"/>
  <c r="H35" i="17"/>
  <c r="L35" i="17"/>
  <c r="K9" i="15"/>
  <c r="G9" i="15"/>
  <c r="E35" i="17"/>
  <c r="I35" i="17"/>
  <c r="M35" i="17"/>
  <c r="E24" i="15"/>
  <c r="I24" i="15"/>
  <c r="M24" i="15"/>
  <c r="D14" i="15"/>
  <c r="D14" i="1"/>
  <c r="E14" i="1" s="1"/>
  <c r="F14" i="1" s="1"/>
  <c r="G14" i="1" s="1"/>
  <c r="H14" i="1" s="1"/>
  <c r="I14" i="1" s="1"/>
  <c r="J14" i="1" s="1"/>
  <c r="K14" i="1" s="1"/>
  <c r="L14" i="1" s="1"/>
  <c r="M14" i="1" s="1"/>
  <c r="N14" i="1" s="1"/>
  <c r="F37" i="17"/>
  <c r="F28" i="15"/>
  <c r="J37" i="17"/>
  <c r="J28" i="15"/>
  <c r="G6" i="15"/>
  <c r="D9" i="15"/>
  <c r="D24" i="15"/>
  <c r="H24" i="15"/>
  <c r="L66" i="15"/>
  <c r="L72" i="15" s="1"/>
  <c r="L24" i="15"/>
  <c r="E37" i="17"/>
  <c r="E28" i="15"/>
  <c r="I37" i="17"/>
  <c r="I28" i="15"/>
  <c r="M37" i="17"/>
  <c r="M28" i="15"/>
  <c r="G108" i="15"/>
  <c r="G114" i="15" s="1"/>
  <c r="G24" i="15"/>
  <c r="K108" i="15"/>
  <c r="K114" i="15" s="1"/>
  <c r="K24" i="15"/>
  <c r="D15" i="15"/>
  <c r="D17" i="15"/>
  <c r="AE19" i="13"/>
  <c r="D37" i="17"/>
  <c r="D28" i="15"/>
  <c r="H37" i="17"/>
  <c r="H28" i="15"/>
  <c r="L37" i="17"/>
  <c r="L28" i="15"/>
  <c r="D6" i="15"/>
  <c r="D8" i="15"/>
  <c r="D7" i="15"/>
  <c r="D11" i="15"/>
  <c r="F66" i="15"/>
  <c r="F72" i="15" s="1"/>
  <c r="F24" i="15"/>
  <c r="J24" i="15"/>
  <c r="G37" i="17"/>
  <c r="G28" i="15"/>
  <c r="K37" i="17"/>
  <c r="K28" i="15"/>
  <c r="AE20" i="13"/>
  <c r="D33" i="17"/>
  <c r="D35" i="17" s="1"/>
  <c r="F9" i="15"/>
  <c r="J9" i="15"/>
  <c r="H9" i="11"/>
  <c r="D9" i="11"/>
  <c r="I8" i="11"/>
  <c r="E8" i="11"/>
  <c r="I9" i="11"/>
  <c r="E9" i="11"/>
  <c r="J8" i="11"/>
  <c r="F8" i="11"/>
  <c r="J9" i="11"/>
  <c r="F9" i="11"/>
  <c r="K8" i="11"/>
  <c r="G8" i="11"/>
  <c r="C8" i="11"/>
  <c r="K9" i="11"/>
  <c r="G9" i="11"/>
  <c r="C9" i="11"/>
  <c r="H8" i="11"/>
  <c r="D8" i="11"/>
  <c r="AE18" i="13"/>
  <c r="I21" i="13"/>
  <c r="G66" i="11" s="1"/>
  <c r="M21" i="13"/>
  <c r="K66" i="11" s="1"/>
  <c r="G14" i="13"/>
  <c r="E14" i="13"/>
  <c r="H21" i="13"/>
  <c r="F66" i="11" s="1"/>
  <c r="L21" i="13"/>
  <c r="J66" i="11" s="1"/>
  <c r="G21" i="13"/>
  <c r="E66" i="11" s="1"/>
  <c r="K21" i="13"/>
  <c r="I66" i="11" s="1"/>
  <c r="F14" i="13"/>
  <c r="F22" i="8" s="1"/>
  <c r="AE9" i="13"/>
  <c r="J21" i="13"/>
  <c r="H66" i="11" s="1"/>
  <c r="E21" i="13"/>
  <c r="C66" i="11" s="1"/>
  <c r="AE4" i="13"/>
  <c r="AE8" i="13"/>
  <c r="F21" i="13"/>
  <c r="D66" i="11" s="1"/>
  <c r="E48" i="15"/>
  <c r="B33" i="13"/>
  <c r="B30" i="13"/>
  <c r="AE7" i="13"/>
  <c r="AE11" i="13"/>
  <c r="G37" i="13"/>
  <c r="G23" i="17" s="1"/>
  <c r="G24" i="17" s="1"/>
  <c r="K37" i="13"/>
  <c r="K23" i="17" s="1"/>
  <c r="K24" i="17" s="1"/>
  <c r="G66" i="15"/>
  <c r="G72" i="15" s="1"/>
  <c r="F108" i="15"/>
  <c r="F114" i="15" s="1"/>
  <c r="AE17" i="13"/>
  <c r="D21" i="13"/>
  <c r="B66" i="11" s="1"/>
  <c r="F37" i="13"/>
  <c r="F23" i="17" s="1"/>
  <c r="F24" i="17" s="1"/>
  <c r="J37" i="13"/>
  <c r="J23" i="17" s="1"/>
  <c r="J24" i="17" s="1"/>
  <c r="D14" i="13"/>
  <c r="E37" i="13"/>
  <c r="E23" i="17" s="1"/>
  <c r="E24" i="17" s="1"/>
  <c r="I37" i="13"/>
  <c r="I23" i="17" s="1"/>
  <c r="I24" i="17" s="1"/>
  <c r="M37" i="13"/>
  <c r="M23" i="17" s="1"/>
  <c r="M24" i="17" s="1"/>
  <c r="D108" i="15"/>
  <c r="D114" i="15" s="1"/>
  <c r="H108" i="15"/>
  <c r="H114" i="15" s="1"/>
  <c r="AE6" i="13"/>
  <c r="AE10" i="13"/>
  <c r="D37" i="13"/>
  <c r="D23" i="17" s="1"/>
  <c r="D24" i="17" s="1"/>
  <c r="H37" i="13"/>
  <c r="H23" i="17" s="1"/>
  <c r="H24" i="17" s="1"/>
  <c r="L37" i="13"/>
  <c r="L23" i="17" s="1"/>
  <c r="L24" i="17" s="1"/>
  <c r="P120" i="14" l="1"/>
  <c r="P128" i="14" s="1"/>
  <c r="D55" i="1"/>
  <c r="E55" i="1" s="1"/>
  <c r="F55" i="1" s="1"/>
  <c r="G55" i="1" s="1"/>
  <c r="H55" i="1" s="1"/>
  <c r="I55" i="1" s="1"/>
  <c r="J55" i="1" s="1"/>
  <c r="K55" i="1" s="1"/>
  <c r="L55" i="1" s="1"/>
  <c r="M55" i="1" s="1"/>
  <c r="N55" i="1" s="1"/>
  <c r="O15" i="16"/>
  <c r="O17" i="16" s="1"/>
  <c r="N35" i="1"/>
  <c r="N117" i="1"/>
  <c r="O83" i="16"/>
  <c r="O85" i="16" s="1"/>
  <c r="N76" i="1"/>
  <c r="O49" i="16"/>
  <c r="O51" i="16" s="1"/>
  <c r="N15" i="1"/>
  <c r="O14" i="1"/>
  <c r="O15" i="1" s="1"/>
  <c r="G25" i="8"/>
  <c r="G22" i="8"/>
  <c r="E25" i="8"/>
  <c r="E22" i="8"/>
  <c r="D25" i="8"/>
  <c r="D22" i="8"/>
  <c r="E18" i="15"/>
  <c r="G18" i="15"/>
  <c r="D76" i="15"/>
  <c r="G92" i="15"/>
  <c r="E92" i="15"/>
  <c r="F50" i="15"/>
  <c r="E50" i="15"/>
  <c r="F92" i="15"/>
  <c r="G50" i="15"/>
  <c r="F18" i="15"/>
  <c r="D108" i="13"/>
  <c r="B69" i="11" s="1"/>
  <c r="D90" i="15"/>
  <c r="D61" i="13"/>
  <c r="B67" i="11" s="1"/>
  <c r="E65" i="11"/>
  <c r="G24" i="8"/>
  <c r="C19" i="17"/>
  <c r="C39" i="17" s="1"/>
  <c r="C43" i="17" s="1"/>
  <c r="C4" i="17"/>
  <c r="C10" i="17" s="1"/>
  <c r="C12" i="17" s="1"/>
  <c r="B9" i="16"/>
  <c r="B19" i="17"/>
  <c r="B39" i="17" s="1"/>
  <c r="B4" i="17"/>
  <c r="B10" i="17" s="1"/>
  <c r="B12" i="17" s="1"/>
  <c r="D65" i="11"/>
  <c r="F24" i="8"/>
  <c r="D115" i="13"/>
  <c r="B70" i="11" s="1"/>
  <c r="C65" i="11"/>
  <c r="E24" i="8"/>
  <c r="D68" i="13"/>
  <c r="F25" i="8"/>
  <c r="B65" i="11"/>
  <c r="D24" i="8"/>
  <c r="F30" i="15"/>
  <c r="H6" i="15"/>
  <c r="H18" i="15" s="1"/>
  <c r="H14" i="13"/>
  <c r="J30" i="15"/>
  <c r="G30" i="15"/>
  <c r="D95" i="15"/>
  <c r="D18" i="15"/>
  <c r="K30" i="15"/>
  <c r="L30" i="15"/>
  <c r="D30" i="15"/>
  <c r="D53" i="15"/>
  <c r="D118" i="15"/>
  <c r="D57" i="15"/>
  <c r="D51" i="15"/>
  <c r="M30" i="15"/>
  <c r="E30" i="15"/>
  <c r="B43" i="16"/>
  <c r="D96" i="1"/>
  <c r="E96" i="1" s="1"/>
  <c r="F96" i="1" s="1"/>
  <c r="G96" i="1" s="1"/>
  <c r="H96" i="1" s="1"/>
  <c r="I96" i="1" s="1"/>
  <c r="J96" i="1" s="1"/>
  <c r="K96" i="1" s="1"/>
  <c r="L96" i="1" s="1"/>
  <c r="M96" i="1" s="1"/>
  <c r="N96" i="1" s="1"/>
  <c r="H30" i="15"/>
  <c r="D93" i="15"/>
  <c r="D91" i="15"/>
  <c r="D101" i="15"/>
  <c r="D99" i="15"/>
  <c r="D49" i="15"/>
  <c r="D59" i="15"/>
  <c r="AE21" i="13"/>
  <c r="I30" i="15"/>
  <c r="G23" i="13"/>
  <c r="G28" i="13" s="1"/>
  <c r="E23" i="13"/>
  <c r="E28" i="13" s="1"/>
  <c r="E45" i="13" s="1"/>
  <c r="D23" i="13"/>
  <c r="D28" i="13" s="1"/>
  <c r="D45" i="13" s="1"/>
  <c r="D47" i="13" s="1"/>
  <c r="E46" i="13" s="1"/>
  <c r="F23" i="13"/>
  <c r="F28" i="13" s="1"/>
  <c r="F45" i="13" s="1"/>
  <c r="AE14" i="13"/>
  <c r="E90" i="15"/>
  <c r="F48" i="15"/>
  <c r="E98" i="15"/>
  <c r="D117" i="13" l="1"/>
  <c r="D122" i="13" s="1"/>
  <c r="D139" i="13" s="1"/>
  <c r="D141" i="13" s="1"/>
  <c r="E140" i="13" s="1"/>
  <c r="N97" i="1"/>
  <c r="O96" i="1"/>
  <c r="O97" i="1" s="1"/>
  <c r="N56" i="1"/>
  <c r="O55" i="1"/>
  <c r="O56" i="1" s="1"/>
  <c r="G32" i="15"/>
  <c r="D70" i="13"/>
  <c r="D75" i="13" s="1"/>
  <c r="D92" i="13" s="1"/>
  <c r="D94" i="13" s="1"/>
  <c r="E93" i="13" s="1"/>
  <c r="H25" i="8"/>
  <c r="H22" i="8"/>
  <c r="E32" i="15"/>
  <c r="E47" i="13"/>
  <c r="F46" i="13" s="1"/>
  <c r="F47" i="13" s="1"/>
  <c r="G46" i="13" s="1"/>
  <c r="E48" i="11"/>
  <c r="G34" i="8" s="1"/>
  <c r="G45" i="13"/>
  <c r="E52" i="11" s="1"/>
  <c r="G44" i="8" s="1"/>
  <c r="F32" i="15"/>
  <c r="B68" i="11"/>
  <c r="E117" i="13"/>
  <c r="E122" i="13" s="1"/>
  <c r="E139" i="13" s="1"/>
  <c r="B28" i="16"/>
  <c r="B11" i="16"/>
  <c r="F65" i="11"/>
  <c r="H24" i="8"/>
  <c r="E70" i="13"/>
  <c r="E75" i="13" s="1"/>
  <c r="E92" i="13" s="1"/>
  <c r="E56" i="15"/>
  <c r="H23" i="13"/>
  <c r="H28" i="13" s="1"/>
  <c r="H32" i="15"/>
  <c r="J14" i="13"/>
  <c r="J22" i="8" s="1"/>
  <c r="I6" i="15"/>
  <c r="I18" i="15" s="1"/>
  <c r="I32" i="15" s="1"/>
  <c r="I14" i="13"/>
  <c r="I22" i="8" s="1"/>
  <c r="D60" i="15"/>
  <c r="D74" i="15" s="1"/>
  <c r="D78" i="15" s="1"/>
  <c r="D47" i="1" s="1"/>
  <c r="G33" i="13"/>
  <c r="E49" i="11" s="1"/>
  <c r="G39" i="8" s="1"/>
  <c r="G30" i="13"/>
  <c r="D102" i="15"/>
  <c r="D116" i="15" s="1"/>
  <c r="D120" i="15" s="1"/>
  <c r="E101" i="15"/>
  <c r="E30" i="13"/>
  <c r="C59" i="11"/>
  <c r="E19" i="17"/>
  <c r="E39" i="17" s="1"/>
  <c r="E4" i="17"/>
  <c r="E10" i="17" s="1"/>
  <c r="E12" i="17" s="1"/>
  <c r="E9" i="16"/>
  <c r="E59" i="15"/>
  <c r="E99" i="15"/>
  <c r="E91" i="15"/>
  <c r="E53" i="15"/>
  <c r="J6" i="15"/>
  <c r="J18" i="15" s="1"/>
  <c r="J32" i="15" s="1"/>
  <c r="E95" i="15"/>
  <c r="D48" i="11"/>
  <c r="F34" i="8" s="1"/>
  <c r="F4" i="17"/>
  <c r="F10" i="17" s="1"/>
  <c r="F12" i="17" s="1"/>
  <c r="F9" i="16"/>
  <c r="D59" i="11"/>
  <c r="F19" i="17"/>
  <c r="F39" i="17" s="1"/>
  <c r="G19" i="17"/>
  <c r="G39" i="17" s="1"/>
  <c r="G4" i="17"/>
  <c r="G10" i="17" s="1"/>
  <c r="G12" i="17" s="1"/>
  <c r="G9" i="16"/>
  <c r="E59" i="11"/>
  <c r="B62" i="16"/>
  <c r="B45" i="16"/>
  <c r="E57" i="15"/>
  <c r="E49" i="15"/>
  <c r="E93" i="15"/>
  <c r="B48" i="11"/>
  <c r="D34" i="8" s="1"/>
  <c r="D4" i="17"/>
  <c r="D10" i="17" s="1"/>
  <c r="D12" i="17" s="1"/>
  <c r="D19" i="17"/>
  <c r="D39" i="17" s="1"/>
  <c r="D43" i="17" s="1"/>
  <c r="E41" i="17" s="1"/>
  <c r="D9" i="16"/>
  <c r="B59" i="11"/>
  <c r="E51" i="15"/>
  <c r="C67" i="11"/>
  <c r="D32" i="15"/>
  <c r="D36" i="15" s="1"/>
  <c r="C48" i="11"/>
  <c r="E34" i="8" s="1"/>
  <c r="C52" i="11"/>
  <c r="E44" i="8" s="1"/>
  <c r="D33" i="13"/>
  <c r="B49" i="11" s="1"/>
  <c r="D39" i="8" s="1"/>
  <c r="E33" i="13"/>
  <c r="C49" i="11" s="1"/>
  <c r="E39" i="8" s="1"/>
  <c r="D30" i="13"/>
  <c r="B52" i="11"/>
  <c r="D44" i="8" s="1"/>
  <c r="F30" i="13"/>
  <c r="F33" i="13"/>
  <c r="D49" i="11" s="1"/>
  <c r="F39" i="8" s="1"/>
  <c r="D52" i="11"/>
  <c r="F44" i="8" s="1"/>
  <c r="G48" i="15"/>
  <c r="C69" i="11"/>
  <c r="F90" i="15"/>
  <c r="D124" i="13" l="1"/>
  <c r="D80" i="13"/>
  <c r="E141" i="13"/>
  <c r="F140" i="13" s="1"/>
  <c r="D127" i="13"/>
  <c r="B60" i="11"/>
  <c r="D77" i="13"/>
  <c r="E94" i="13"/>
  <c r="F93" i="13" s="1"/>
  <c r="D43" i="16"/>
  <c r="D45" i="16" s="1"/>
  <c r="E43" i="17"/>
  <c r="F41" i="17" s="1"/>
  <c r="F43" i="17" s="1"/>
  <c r="G41" i="17" s="1"/>
  <c r="G43" i="17" s="1"/>
  <c r="H41" i="17" s="1"/>
  <c r="H33" i="13"/>
  <c r="F49" i="11" s="1"/>
  <c r="H39" i="8" s="1"/>
  <c r="H45" i="13"/>
  <c r="F52" i="11" s="1"/>
  <c r="H44" i="8" s="1"/>
  <c r="G47" i="13"/>
  <c r="H46" i="13" s="1"/>
  <c r="H4" i="17"/>
  <c r="H10" i="17" s="1"/>
  <c r="H12" i="17" s="1"/>
  <c r="F48" i="11"/>
  <c r="H34" i="8" s="1"/>
  <c r="F59" i="11"/>
  <c r="H9" i="16"/>
  <c r="H28" i="16" s="1"/>
  <c r="H30" i="16" s="1"/>
  <c r="H19" i="17"/>
  <c r="H39" i="17" s="1"/>
  <c r="C68" i="11"/>
  <c r="C70" i="11"/>
  <c r="E80" i="13"/>
  <c r="E77" i="13"/>
  <c r="F117" i="13"/>
  <c r="F122" i="13" s="1"/>
  <c r="F139" i="13" s="1"/>
  <c r="F98" i="15"/>
  <c r="F70" i="13"/>
  <c r="F75" i="13" s="1"/>
  <c r="F92" i="13" s="1"/>
  <c r="F56" i="15"/>
  <c r="E127" i="13"/>
  <c r="E124" i="13"/>
  <c r="J23" i="13"/>
  <c r="J28" i="13" s="1"/>
  <c r="J24" i="8"/>
  <c r="G65" i="11"/>
  <c r="I24" i="8"/>
  <c r="B30" i="16"/>
  <c r="B32" i="16" s="1"/>
  <c r="B12" i="16"/>
  <c r="C5" i="16" s="1"/>
  <c r="I25" i="8"/>
  <c r="H65" i="11"/>
  <c r="H30" i="13"/>
  <c r="J25" i="8"/>
  <c r="I23" i="13"/>
  <c r="I28" i="13" s="1"/>
  <c r="E76" i="15"/>
  <c r="D82" i="15"/>
  <c r="B75" i="11" s="1"/>
  <c r="E102" i="15"/>
  <c r="E116" i="15" s="1"/>
  <c r="D77" i="16"/>
  <c r="B61" i="11"/>
  <c r="D6" i="1"/>
  <c r="E34" i="15"/>
  <c r="E36" i="15" s="1"/>
  <c r="D40" i="15"/>
  <c r="B74" i="11" s="1"/>
  <c r="F51" i="15"/>
  <c r="F91" i="15"/>
  <c r="F59" i="15"/>
  <c r="F49" i="15"/>
  <c r="B64" i="16"/>
  <c r="B66" i="16" s="1"/>
  <c r="B46" i="16"/>
  <c r="C39" i="16" s="1"/>
  <c r="F28" i="16"/>
  <c r="F30" i="16" s="1"/>
  <c r="F11" i="16"/>
  <c r="E11" i="16"/>
  <c r="E28" i="16"/>
  <c r="E30" i="16" s="1"/>
  <c r="E43" i="16"/>
  <c r="C60" i="11"/>
  <c r="G28" i="16"/>
  <c r="G30" i="16" s="1"/>
  <c r="G11" i="16"/>
  <c r="F95" i="15"/>
  <c r="F53" i="15"/>
  <c r="F99" i="15"/>
  <c r="E60" i="15"/>
  <c r="E74" i="15" s="1"/>
  <c r="D28" i="16"/>
  <c r="D30" i="16" s="1"/>
  <c r="D11" i="16"/>
  <c r="F57" i="15"/>
  <c r="D88" i="1"/>
  <c r="E118" i="15"/>
  <c r="D124" i="15"/>
  <c r="B76" i="11" s="1"/>
  <c r="F93" i="15"/>
  <c r="D62" i="16"/>
  <c r="D64" i="16" s="1"/>
  <c r="F101" i="15"/>
  <c r="D67" i="11"/>
  <c r="G90" i="15"/>
  <c r="D69" i="11"/>
  <c r="H48" i="15"/>
  <c r="F141" i="13" l="1"/>
  <c r="G140" i="13" s="1"/>
  <c r="F94" i="13"/>
  <c r="G93" i="13" s="1"/>
  <c r="C7" i="16"/>
  <c r="C24" i="16"/>
  <c r="C26" i="16" s="1"/>
  <c r="C41" i="16"/>
  <c r="C58" i="16"/>
  <c r="C60" i="16" s="1"/>
  <c r="H47" i="13"/>
  <c r="I46" i="13" s="1"/>
  <c r="H43" i="17"/>
  <c r="I41" i="17" s="1"/>
  <c r="I30" i="13"/>
  <c r="I45" i="13"/>
  <c r="G52" i="11" s="1"/>
  <c r="I44" i="8" s="1"/>
  <c r="I9" i="16"/>
  <c r="I11" i="16" s="1"/>
  <c r="I19" i="17"/>
  <c r="I39" i="17" s="1"/>
  <c r="G59" i="11"/>
  <c r="J33" i="13"/>
  <c r="H49" i="11" s="1"/>
  <c r="J39" i="8" s="1"/>
  <c r="J45" i="13"/>
  <c r="H52" i="11" s="1"/>
  <c r="J44" i="8" s="1"/>
  <c r="D70" i="11"/>
  <c r="H11" i="16"/>
  <c r="H59" i="11"/>
  <c r="E78" i="15"/>
  <c r="F76" i="15" s="1"/>
  <c r="I4" i="17"/>
  <c r="I10" i="17" s="1"/>
  <c r="I12" i="17" s="1"/>
  <c r="G70" i="13"/>
  <c r="G75" i="13" s="1"/>
  <c r="G92" i="13" s="1"/>
  <c r="G56" i="15"/>
  <c r="F127" i="13"/>
  <c r="F124" i="13"/>
  <c r="G117" i="13"/>
  <c r="G122" i="13" s="1"/>
  <c r="G139" i="13" s="1"/>
  <c r="G98" i="15"/>
  <c r="J9" i="16"/>
  <c r="J28" i="16" s="1"/>
  <c r="J30" i="16" s="1"/>
  <c r="J19" i="17"/>
  <c r="J39" i="17" s="1"/>
  <c r="G48" i="11"/>
  <c r="I34" i="8" s="1"/>
  <c r="J4" i="17"/>
  <c r="J10" i="17" s="1"/>
  <c r="J12" i="17" s="1"/>
  <c r="K14" i="13"/>
  <c r="F80" i="13"/>
  <c r="F77" i="13"/>
  <c r="B55" i="11"/>
  <c r="D49" i="8" s="1"/>
  <c r="D28" i="8"/>
  <c r="D68" i="11"/>
  <c r="H48" i="11"/>
  <c r="J34" i="8" s="1"/>
  <c r="K6" i="15"/>
  <c r="K18" i="15" s="1"/>
  <c r="K32" i="15" s="1"/>
  <c r="J30" i="13"/>
  <c r="I33" i="13"/>
  <c r="G49" i="11" s="1"/>
  <c r="I39" i="8" s="1"/>
  <c r="E120" i="15"/>
  <c r="E124" i="15" s="1"/>
  <c r="C76" i="11" s="1"/>
  <c r="E68" i="11"/>
  <c r="E67" i="11"/>
  <c r="F102" i="15"/>
  <c r="F116" i="15" s="1"/>
  <c r="C61" i="11"/>
  <c r="E77" i="16"/>
  <c r="G101" i="15"/>
  <c r="G59" i="15"/>
  <c r="D96" i="16"/>
  <c r="D98" i="16" s="1"/>
  <c r="D79" i="16"/>
  <c r="G53" i="15"/>
  <c r="E62" i="16"/>
  <c r="E64" i="16" s="1"/>
  <c r="E45" i="16"/>
  <c r="G49" i="15"/>
  <c r="G51" i="15"/>
  <c r="G93" i="15"/>
  <c r="G91" i="15"/>
  <c r="F60" i="15"/>
  <c r="F74" i="15" s="1"/>
  <c r="G57" i="15"/>
  <c r="G99" i="15"/>
  <c r="G95" i="15"/>
  <c r="E6" i="1"/>
  <c r="E40" i="15"/>
  <c r="C74" i="11" s="1"/>
  <c r="F34" i="15"/>
  <c r="F36" i="15" s="1"/>
  <c r="H98" i="15"/>
  <c r="I48" i="15"/>
  <c r="H90" i="15"/>
  <c r="G141" i="13" l="1"/>
  <c r="H140" i="13" s="1"/>
  <c r="G94" i="13"/>
  <c r="H93" i="13" s="1"/>
  <c r="K24" i="8"/>
  <c r="K22" i="8"/>
  <c r="I47" i="13"/>
  <c r="J46" i="13" s="1"/>
  <c r="J47" i="13" s="1"/>
  <c r="K46" i="13" s="1"/>
  <c r="I43" i="17"/>
  <c r="J41" i="17" s="1"/>
  <c r="J43" i="17" s="1"/>
  <c r="K41" i="17" s="1"/>
  <c r="I28" i="16"/>
  <c r="I30" i="16" s="1"/>
  <c r="E47" i="1"/>
  <c r="E82" i="15"/>
  <c r="C75" i="11" s="1"/>
  <c r="I65" i="11"/>
  <c r="K25" i="8"/>
  <c r="K23" i="13"/>
  <c r="K28" i="13" s="1"/>
  <c r="E70" i="11"/>
  <c r="J11" i="16"/>
  <c r="H117" i="13"/>
  <c r="H122" i="13" s="1"/>
  <c r="H139" i="13" s="1"/>
  <c r="G77" i="13"/>
  <c r="G80" i="13"/>
  <c r="L14" i="13"/>
  <c r="E88" i="1"/>
  <c r="G124" i="13"/>
  <c r="G127" i="13"/>
  <c r="H70" i="13"/>
  <c r="H75" i="13" s="1"/>
  <c r="H92" i="13" s="1"/>
  <c r="H56" i="15"/>
  <c r="C55" i="11"/>
  <c r="E49" i="8" s="1"/>
  <c r="E28" i="8"/>
  <c r="L6" i="15"/>
  <c r="L18" i="15" s="1"/>
  <c r="L32" i="15" s="1"/>
  <c r="F118" i="15"/>
  <c r="F120" i="15" s="1"/>
  <c r="G118" i="15" s="1"/>
  <c r="D60" i="11"/>
  <c r="E60" i="11"/>
  <c r="F43" i="16"/>
  <c r="F62" i="16" s="1"/>
  <c r="F64" i="16" s="1"/>
  <c r="G102" i="15"/>
  <c r="G116" i="15" s="1"/>
  <c r="F67" i="11"/>
  <c r="F6" i="1"/>
  <c r="G34" i="15"/>
  <c r="G36" i="15" s="1"/>
  <c r="F40" i="15"/>
  <c r="D74" i="11" s="1"/>
  <c r="H95" i="15"/>
  <c r="E69" i="11"/>
  <c r="M6" i="15"/>
  <c r="M18" i="15" s="1"/>
  <c r="M32" i="15" s="1"/>
  <c r="M14" i="13"/>
  <c r="H99" i="15"/>
  <c r="E79" i="16"/>
  <c r="E96" i="16"/>
  <c r="E98" i="16" s="1"/>
  <c r="G60" i="15"/>
  <c r="G74" i="15" s="1"/>
  <c r="H93" i="15"/>
  <c r="H101" i="15"/>
  <c r="D61" i="11"/>
  <c r="F77" i="16"/>
  <c r="H59" i="15"/>
  <c r="F78" i="15"/>
  <c r="H57" i="15"/>
  <c r="H91" i="15"/>
  <c r="H51" i="15"/>
  <c r="H49" i="15"/>
  <c r="H53" i="15"/>
  <c r="F69" i="11"/>
  <c r="I90" i="15"/>
  <c r="I98" i="15"/>
  <c r="J48" i="15"/>
  <c r="H94" i="13" l="1"/>
  <c r="I93" i="13" s="1"/>
  <c r="H141" i="13"/>
  <c r="I140" i="13" s="1"/>
  <c r="M24" i="8"/>
  <c r="M22" i="8"/>
  <c r="L24" i="8"/>
  <c r="L22" i="8"/>
  <c r="K4" i="17"/>
  <c r="K10" i="17" s="1"/>
  <c r="K12" i="17" s="1"/>
  <c r="K45" i="13"/>
  <c r="K47" i="13" s="1"/>
  <c r="L46" i="13" s="1"/>
  <c r="K30" i="13"/>
  <c r="K33" i="13"/>
  <c r="I49" i="11" s="1"/>
  <c r="K39" i="8" s="1"/>
  <c r="K19" i="17"/>
  <c r="K39" i="17" s="1"/>
  <c r="K43" i="17" s="1"/>
  <c r="L41" i="17" s="1"/>
  <c r="I48" i="11"/>
  <c r="K34" i="8" s="1"/>
  <c r="F70" i="11"/>
  <c r="I59" i="11"/>
  <c r="J65" i="11"/>
  <c r="L23" i="13"/>
  <c r="L28" i="13" s="1"/>
  <c r="L30" i="13" s="1"/>
  <c r="K9" i="16"/>
  <c r="K28" i="16" s="1"/>
  <c r="K30" i="16" s="1"/>
  <c r="H124" i="13"/>
  <c r="H127" i="13"/>
  <c r="H77" i="13"/>
  <c r="H80" i="13"/>
  <c r="I117" i="13"/>
  <c r="I122" i="13" s="1"/>
  <c r="I139" i="13" s="1"/>
  <c r="J98" i="15"/>
  <c r="D55" i="11"/>
  <c r="F49" i="8" s="1"/>
  <c r="F28" i="8"/>
  <c r="I70" i="13"/>
  <c r="I75" i="13" s="1"/>
  <c r="I92" i="13" s="1"/>
  <c r="I56" i="15"/>
  <c r="L25" i="8"/>
  <c r="F68" i="11"/>
  <c r="M25" i="8"/>
  <c r="F88" i="1"/>
  <c r="G43" i="16"/>
  <c r="G45" i="16" s="1"/>
  <c r="F124" i="15"/>
  <c r="D76" i="11" s="1"/>
  <c r="F45" i="16"/>
  <c r="G120" i="15"/>
  <c r="G88" i="1" s="1"/>
  <c r="H102" i="15"/>
  <c r="H116" i="15" s="1"/>
  <c r="I91" i="15"/>
  <c r="I93" i="15"/>
  <c r="I53" i="15"/>
  <c r="I51" i="15"/>
  <c r="I57" i="15"/>
  <c r="F96" i="16"/>
  <c r="F98" i="16" s="1"/>
  <c r="F79" i="16"/>
  <c r="M23" i="13"/>
  <c r="M28" i="13" s="1"/>
  <c r="M45" i="13" s="1"/>
  <c r="K65" i="11"/>
  <c r="I101" i="15"/>
  <c r="I99" i="15"/>
  <c r="G77" i="16"/>
  <c r="E61" i="11"/>
  <c r="I95" i="15"/>
  <c r="I49" i="15"/>
  <c r="F47" i="1"/>
  <c r="G76" i="15"/>
  <c r="G78" i="15" s="1"/>
  <c r="F82" i="15"/>
  <c r="D75" i="11" s="1"/>
  <c r="I59" i="15"/>
  <c r="G6" i="1"/>
  <c r="H34" i="15"/>
  <c r="H36" i="15" s="1"/>
  <c r="G40" i="15"/>
  <c r="E74" i="11" s="1"/>
  <c r="G67" i="11"/>
  <c r="H60" i="15"/>
  <c r="H74" i="15" s="1"/>
  <c r="K48" i="15"/>
  <c r="G69" i="11"/>
  <c r="J90" i="15"/>
  <c r="I94" i="13" l="1"/>
  <c r="J93" i="13" s="1"/>
  <c r="I141" i="13"/>
  <c r="J140" i="13" s="1"/>
  <c r="J48" i="11"/>
  <c r="L34" i="8" s="1"/>
  <c r="L9" i="16"/>
  <c r="L28" i="16" s="1"/>
  <c r="L30" i="16" s="1"/>
  <c r="L45" i="13"/>
  <c r="J52" i="11" s="1"/>
  <c r="L44" i="8" s="1"/>
  <c r="I52" i="11"/>
  <c r="K44" i="8" s="1"/>
  <c r="L19" i="17"/>
  <c r="L39" i="17" s="1"/>
  <c r="L43" i="17" s="1"/>
  <c r="M41" i="17" s="1"/>
  <c r="J59" i="11"/>
  <c r="L33" i="13"/>
  <c r="J49" i="11" s="1"/>
  <c r="L39" i="8" s="1"/>
  <c r="K11" i="16"/>
  <c r="L4" i="17"/>
  <c r="L10" i="17" s="1"/>
  <c r="L12" i="17" s="1"/>
  <c r="G62" i="16"/>
  <c r="G64" i="16" s="1"/>
  <c r="G70" i="11"/>
  <c r="J117" i="13"/>
  <c r="J122" i="13" s="1"/>
  <c r="J139" i="13" s="1"/>
  <c r="J70" i="13"/>
  <c r="J75" i="13" s="1"/>
  <c r="J92" i="13" s="1"/>
  <c r="J56" i="15"/>
  <c r="E55" i="11"/>
  <c r="G49" i="8" s="1"/>
  <c r="G28" i="8"/>
  <c r="I77" i="13"/>
  <c r="I80" i="13"/>
  <c r="G68" i="11"/>
  <c r="I127" i="13"/>
  <c r="I124" i="13"/>
  <c r="F60" i="11"/>
  <c r="H43" i="16"/>
  <c r="H45" i="16" s="1"/>
  <c r="G124" i="15"/>
  <c r="E76" i="11" s="1"/>
  <c r="H118" i="15"/>
  <c r="H120" i="15" s="1"/>
  <c r="H124" i="15" s="1"/>
  <c r="F76" i="11" s="1"/>
  <c r="H67" i="11"/>
  <c r="I102" i="15"/>
  <c r="I116" i="15" s="1"/>
  <c r="G96" i="16"/>
  <c r="G98" i="16" s="1"/>
  <c r="G79" i="16"/>
  <c r="J101" i="15"/>
  <c r="L11" i="16"/>
  <c r="J57" i="15"/>
  <c r="J53" i="15"/>
  <c r="J91" i="15"/>
  <c r="H77" i="16"/>
  <c r="F61" i="11"/>
  <c r="G47" i="1"/>
  <c r="G82" i="15"/>
  <c r="E75" i="11" s="1"/>
  <c r="H76" i="15"/>
  <c r="H78" i="15" s="1"/>
  <c r="J49" i="15"/>
  <c r="J95" i="15"/>
  <c r="J99" i="15"/>
  <c r="K48" i="11"/>
  <c r="M34" i="8" s="1"/>
  <c r="K59" i="11"/>
  <c r="M4" i="17"/>
  <c r="M10" i="17" s="1"/>
  <c r="M12" i="17" s="1"/>
  <c r="M19" i="17"/>
  <c r="M39" i="17" s="1"/>
  <c r="M9" i="16"/>
  <c r="M30" i="13"/>
  <c r="M33" i="13"/>
  <c r="K49" i="11" s="1"/>
  <c r="M39" i="8" s="1"/>
  <c r="K52" i="11"/>
  <c r="M44" i="8" s="1"/>
  <c r="J51" i="15"/>
  <c r="J93" i="15"/>
  <c r="G60" i="11"/>
  <c r="H6" i="1"/>
  <c r="H40" i="15"/>
  <c r="F74" i="11" s="1"/>
  <c r="I34" i="15"/>
  <c r="I36" i="15" s="1"/>
  <c r="J59" i="15"/>
  <c r="I60" i="15"/>
  <c r="I74" i="15" s="1"/>
  <c r="L48" i="15"/>
  <c r="K90" i="15"/>
  <c r="H69" i="11"/>
  <c r="J94" i="13" l="1"/>
  <c r="K93" i="13" s="1"/>
  <c r="J141" i="13"/>
  <c r="K140" i="13" s="1"/>
  <c r="L47" i="13"/>
  <c r="M46" i="13" s="1"/>
  <c r="M47" i="13" s="1"/>
  <c r="N46" i="13" s="1"/>
  <c r="N47" i="13" s="1"/>
  <c r="O46" i="13" s="1"/>
  <c r="O47" i="13" s="1"/>
  <c r="H68" i="11"/>
  <c r="M43" i="17"/>
  <c r="N41" i="17" s="1"/>
  <c r="N43" i="17" s="1"/>
  <c r="O41" i="17" s="1"/>
  <c r="O43" i="17" s="1"/>
  <c r="K56" i="15"/>
  <c r="J77" i="13"/>
  <c r="J80" i="13"/>
  <c r="H70" i="11"/>
  <c r="J124" i="13"/>
  <c r="J127" i="13"/>
  <c r="K117" i="13"/>
  <c r="K122" i="13" s="1"/>
  <c r="K139" i="13" s="1"/>
  <c r="K98" i="15"/>
  <c r="F55" i="11"/>
  <c r="H49" i="8" s="1"/>
  <c r="H28" i="8"/>
  <c r="H88" i="1"/>
  <c r="H62" i="16"/>
  <c r="H64" i="16" s="1"/>
  <c r="I118" i="15"/>
  <c r="I120" i="15" s="1"/>
  <c r="I43" i="16"/>
  <c r="I62" i="16" s="1"/>
  <c r="I64" i="16" s="1"/>
  <c r="J102" i="15"/>
  <c r="J116" i="15" s="1"/>
  <c r="J60" i="15"/>
  <c r="J74" i="15" s="1"/>
  <c r="I67" i="11"/>
  <c r="K59" i="15"/>
  <c r="M11" i="16"/>
  <c r="M28" i="16"/>
  <c r="M30" i="16" s="1"/>
  <c r="K93" i="15"/>
  <c r="K99" i="15"/>
  <c r="K49" i="15"/>
  <c r="K91" i="15"/>
  <c r="K57" i="15"/>
  <c r="G61" i="11"/>
  <c r="I77" i="16"/>
  <c r="K51" i="15"/>
  <c r="K95" i="15"/>
  <c r="H47" i="1"/>
  <c r="I76" i="15"/>
  <c r="I78" i="15" s="1"/>
  <c r="H82" i="15"/>
  <c r="F75" i="11" s="1"/>
  <c r="K53" i="15"/>
  <c r="K101" i="15"/>
  <c r="I6" i="1"/>
  <c r="J34" i="15"/>
  <c r="J36" i="15" s="1"/>
  <c r="I40" i="15"/>
  <c r="G74" i="11" s="1"/>
  <c r="H96" i="16"/>
  <c r="H98" i="16" s="1"/>
  <c r="H79" i="16"/>
  <c r="I69" i="11"/>
  <c r="L90" i="15"/>
  <c r="I70" i="11"/>
  <c r="K141" i="13" l="1"/>
  <c r="L140" i="13" s="1"/>
  <c r="G55" i="11"/>
  <c r="I49" i="8" s="1"/>
  <c r="I28" i="8"/>
  <c r="L117" i="13"/>
  <c r="L122" i="13" s="1"/>
  <c r="L139" i="13" s="1"/>
  <c r="L141" i="13" s="1"/>
  <c r="M140" i="13" s="1"/>
  <c r="M117" i="13"/>
  <c r="M122" i="13" s="1"/>
  <c r="M139" i="13" s="1"/>
  <c r="K127" i="13"/>
  <c r="K124" i="13"/>
  <c r="M70" i="13"/>
  <c r="M75" i="13" s="1"/>
  <c r="M92" i="13" s="1"/>
  <c r="L56" i="15"/>
  <c r="L98" i="15"/>
  <c r="K70" i="13"/>
  <c r="K75" i="13" s="1"/>
  <c r="K92" i="13" s="1"/>
  <c r="K94" i="13" s="1"/>
  <c r="L93" i="13" s="1"/>
  <c r="I68" i="11"/>
  <c r="I88" i="1"/>
  <c r="I124" i="15"/>
  <c r="G76" i="11" s="1"/>
  <c r="I45" i="16"/>
  <c r="J118" i="15"/>
  <c r="J120" i="15" s="1"/>
  <c r="K118" i="15" s="1"/>
  <c r="J43" i="16"/>
  <c r="J62" i="16" s="1"/>
  <c r="J64" i="16" s="1"/>
  <c r="H60" i="11"/>
  <c r="K102" i="15"/>
  <c r="K116" i="15" s="1"/>
  <c r="J77" i="16"/>
  <c r="H61" i="11"/>
  <c r="M51" i="15"/>
  <c r="L51" i="15"/>
  <c r="M93" i="15"/>
  <c r="L93" i="15"/>
  <c r="M48" i="15"/>
  <c r="M95" i="15"/>
  <c r="L95" i="15"/>
  <c r="M91" i="15"/>
  <c r="L91" i="15"/>
  <c r="M99" i="15"/>
  <c r="L99" i="15"/>
  <c r="M53" i="15"/>
  <c r="L53" i="15"/>
  <c r="I47" i="1"/>
  <c r="I82" i="15"/>
  <c r="G75" i="11" s="1"/>
  <c r="J76" i="15"/>
  <c r="J78" i="15" s="1"/>
  <c r="I79" i="16"/>
  <c r="I96" i="16"/>
  <c r="I98" i="16" s="1"/>
  <c r="M59" i="15"/>
  <c r="L59" i="15"/>
  <c r="M57" i="15"/>
  <c r="L57" i="15"/>
  <c r="M49" i="15"/>
  <c r="L49" i="15"/>
  <c r="M56" i="15"/>
  <c r="J6" i="1"/>
  <c r="J40" i="15"/>
  <c r="H74" i="11" s="1"/>
  <c r="K34" i="15"/>
  <c r="K36" i="15" s="1"/>
  <c r="M101" i="15"/>
  <c r="L101" i="15"/>
  <c r="J67" i="11"/>
  <c r="K60" i="15"/>
  <c r="K74" i="15" s="1"/>
  <c r="J69" i="11"/>
  <c r="M141" i="13" l="1"/>
  <c r="N140" i="13" s="1"/>
  <c r="N141" i="13" s="1"/>
  <c r="O140" i="13" s="1"/>
  <c r="O141" i="13" s="1"/>
  <c r="M127" i="13"/>
  <c r="M124" i="13"/>
  <c r="H55" i="11"/>
  <c r="J49" i="8" s="1"/>
  <c r="J28" i="8"/>
  <c r="L70" i="13"/>
  <c r="L75" i="13" s="1"/>
  <c r="L92" i="13" s="1"/>
  <c r="L94" i="13" s="1"/>
  <c r="M93" i="13" s="1"/>
  <c r="M94" i="13" s="1"/>
  <c r="N93" i="13" s="1"/>
  <c r="N94" i="13" s="1"/>
  <c r="O93" i="13" s="1"/>
  <c r="O94" i="13" s="1"/>
  <c r="J68" i="11"/>
  <c r="K77" i="13"/>
  <c r="K80" i="13"/>
  <c r="K43" i="16"/>
  <c r="K62" i="16" s="1"/>
  <c r="K64" i="16" s="1"/>
  <c r="M77" i="13"/>
  <c r="M80" i="13"/>
  <c r="L127" i="13"/>
  <c r="L124" i="13"/>
  <c r="J70" i="11"/>
  <c r="I60" i="11"/>
  <c r="J45" i="16"/>
  <c r="K120" i="15"/>
  <c r="K124" i="15" s="1"/>
  <c r="I76" i="11" s="1"/>
  <c r="L60" i="15"/>
  <c r="L74" i="15" s="1"/>
  <c r="J124" i="15"/>
  <c r="H76" i="11" s="1"/>
  <c r="J88" i="1"/>
  <c r="L102" i="15"/>
  <c r="L116" i="15" s="1"/>
  <c r="K6" i="1"/>
  <c r="L34" i="15"/>
  <c r="L36" i="15" s="1"/>
  <c r="K40" i="15"/>
  <c r="I74" i="11" s="1"/>
  <c r="J96" i="16"/>
  <c r="J98" i="16" s="1"/>
  <c r="J79" i="16"/>
  <c r="K68" i="11"/>
  <c r="K70" i="11"/>
  <c r="M98" i="15"/>
  <c r="K77" i="16"/>
  <c r="I61" i="11"/>
  <c r="M60" i="15"/>
  <c r="M74" i="15" s="1"/>
  <c r="K69" i="11"/>
  <c r="M90" i="15"/>
  <c r="J47" i="1"/>
  <c r="K76" i="15"/>
  <c r="K78" i="15" s="1"/>
  <c r="J82" i="15"/>
  <c r="H75" i="11" s="1"/>
  <c r="K45" i="16" l="1"/>
  <c r="L77" i="13"/>
  <c r="L80" i="13"/>
  <c r="I55" i="11"/>
  <c r="K49" i="8" s="1"/>
  <c r="K28" i="8"/>
  <c r="K88" i="1"/>
  <c r="L118" i="15"/>
  <c r="L120" i="15" s="1"/>
  <c r="M118" i="15" s="1"/>
  <c r="K47" i="1"/>
  <c r="L76" i="15"/>
  <c r="L78" i="15" s="1"/>
  <c r="K82" i="15"/>
  <c r="I75" i="11" s="1"/>
  <c r="K96" i="16"/>
  <c r="K98" i="16" s="1"/>
  <c r="K79" i="16"/>
  <c r="M102" i="15"/>
  <c r="M116" i="15" s="1"/>
  <c r="L6" i="1"/>
  <c r="L40" i="15"/>
  <c r="J74" i="11" s="1"/>
  <c r="M34" i="15"/>
  <c r="M36" i="15" s="1"/>
  <c r="N34" i="15" s="1"/>
  <c r="N36" i="15" s="1"/>
  <c r="J61" i="11"/>
  <c r="L77" i="16"/>
  <c r="K67" i="11"/>
  <c r="L43" i="16"/>
  <c r="J60" i="11"/>
  <c r="N6" i="1" l="1"/>
  <c r="N40" i="15"/>
  <c r="O34" i="15"/>
  <c r="O36" i="15" s="1"/>
  <c r="L88" i="1"/>
  <c r="J55" i="11"/>
  <c r="L49" i="8" s="1"/>
  <c r="L28" i="8"/>
  <c r="M120" i="15"/>
  <c r="L124" i="15"/>
  <c r="J76" i="11" s="1"/>
  <c r="M40" i="15"/>
  <c r="K74" i="11" s="1"/>
  <c r="M6" i="1"/>
  <c r="M43" i="16"/>
  <c r="K60" i="11"/>
  <c r="L47" i="1"/>
  <c r="L82" i="15"/>
  <c r="J75" i="11" s="1"/>
  <c r="M76" i="15"/>
  <c r="M78" i="15" s="1"/>
  <c r="N76" i="15" s="1"/>
  <c r="N78" i="15" s="1"/>
  <c r="L96" i="16"/>
  <c r="L98" i="16" s="1"/>
  <c r="L79" i="16"/>
  <c r="K61" i="11"/>
  <c r="M77" i="16"/>
  <c r="L62" i="16"/>
  <c r="L64" i="16" s="1"/>
  <c r="L45" i="16"/>
  <c r="E33" i="6"/>
  <c r="F33" i="6"/>
  <c r="G33" i="6"/>
  <c r="H33" i="6"/>
  <c r="I33" i="6"/>
  <c r="J33" i="6"/>
  <c r="K33" i="6"/>
  <c r="L33" i="6"/>
  <c r="M33" i="6"/>
  <c r="E34" i="6"/>
  <c r="F34" i="6"/>
  <c r="G34" i="6"/>
  <c r="H34" i="6"/>
  <c r="I34" i="6"/>
  <c r="J34" i="6"/>
  <c r="K34" i="6"/>
  <c r="L34" i="6"/>
  <c r="M34" i="6"/>
  <c r="E37" i="6"/>
  <c r="L37" i="6"/>
  <c r="M37" i="6"/>
  <c r="F15" i="2"/>
  <c r="F15" i="35" s="1"/>
  <c r="G19" i="2"/>
  <c r="G19" i="35" s="1"/>
  <c r="H19" i="2"/>
  <c r="H19" i="35" s="1"/>
  <c r="I19" i="2"/>
  <c r="I19" i="35" s="1"/>
  <c r="J19" i="2"/>
  <c r="J19" i="35" s="1"/>
  <c r="K19" i="2"/>
  <c r="K19" i="35" s="1"/>
  <c r="L19" i="2"/>
  <c r="L19" i="35" s="1"/>
  <c r="M19" i="2"/>
  <c r="M19" i="35" s="1"/>
  <c r="F8" i="2"/>
  <c r="F8" i="35" s="1"/>
  <c r="G8" i="2"/>
  <c r="G8" i="35" s="1"/>
  <c r="H8" i="2"/>
  <c r="H8" i="35" s="1"/>
  <c r="I8" i="2"/>
  <c r="I8" i="35" s="1"/>
  <c r="J8" i="2"/>
  <c r="J8" i="35" s="1"/>
  <c r="K8" i="2"/>
  <c r="K8" i="35" s="1"/>
  <c r="L8" i="2"/>
  <c r="L8" i="35" s="1"/>
  <c r="M8" i="2"/>
  <c r="M8" i="35" s="1"/>
  <c r="F12" i="35"/>
  <c r="G12" i="35"/>
  <c r="H12" i="35"/>
  <c r="I12" i="35"/>
  <c r="J12" i="35"/>
  <c r="K12" i="35"/>
  <c r="L12" i="35"/>
  <c r="M12" i="35"/>
  <c r="J34" i="35"/>
  <c r="K34" i="35"/>
  <c r="N11" i="1" l="1"/>
  <c r="N28" i="8"/>
  <c r="N82" i="15"/>
  <c r="O76" i="15"/>
  <c r="O78" i="15" s="1"/>
  <c r="N47" i="1"/>
  <c r="N52" i="1" s="1"/>
  <c r="N58" i="1" s="1"/>
  <c r="O40" i="15"/>
  <c r="O6" i="1"/>
  <c r="M124" i="15"/>
  <c r="K76" i="11" s="1"/>
  <c r="N118" i="15"/>
  <c r="N120" i="15" s="1"/>
  <c r="J34" i="2"/>
  <c r="K34" i="2"/>
  <c r="K7" i="2"/>
  <c r="K7" i="35" s="1"/>
  <c r="K55" i="11"/>
  <c r="M49" i="8" s="1"/>
  <c r="M28" i="8"/>
  <c r="J7" i="2"/>
  <c r="J7" i="35" s="1"/>
  <c r="G7" i="2"/>
  <c r="G7" i="35" s="1"/>
  <c r="I7" i="2"/>
  <c r="I7" i="35" s="1"/>
  <c r="F7" i="2"/>
  <c r="F7" i="35" s="1"/>
  <c r="M7" i="2"/>
  <c r="M7" i="35" s="1"/>
  <c r="H7" i="2"/>
  <c r="H7" i="35" s="1"/>
  <c r="L7" i="2"/>
  <c r="L7" i="35" s="1"/>
  <c r="M88" i="1"/>
  <c r="M79" i="16"/>
  <c r="M96" i="16"/>
  <c r="M98" i="16" s="1"/>
  <c r="M82" i="15"/>
  <c r="K75" i="11" s="1"/>
  <c r="M47" i="1"/>
  <c r="M62" i="16"/>
  <c r="M64" i="16" s="1"/>
  <c r="M45" i="16"/>
  <c r="M10" i="2"/>
  <c r="M10" i="35" s="1"/>
  <c r="I10" i="2"/>
  <c r="I10" i="35" s="1"/>
  <c r="J10" i="2"/>
  <c r="J10" i="35" s="1"/>
  <c r="F10" i="2"/>
  <c r="F10" i="35" s="1"/>
  <c r="K10" i="2"/>
  <c r="K10" i="35" s="1"/>
  <c r="G10" i="2"/>
  <c r="G10" i="35" s="1"/>
  <c r="L10" i="2"/>
  <c r="L10" i="35" s="1"/>
  <c r="H10" i="2"/>
  <c r="H10" i="35" s="1"/>
  <c r="J37" i="6"/>
  <c r="E34" i="2"/>
  <c r="K37" i="6"/>
  <c r="B118" i="1"/>
  <c r="B121" i="1" s="1"/>
  <c r="B110" i="1"/>
  <c r="D109" i="1"/>
  <c r="E109" i="1" s="1"/>
  <c r="F109" i="1" s="1"/>
  <c r="G109" i="1" s="1"/>
  <c r="H109" i="1" s="1"/>
  <c r="I109" i="1" s="1"/>
  <c r="J109" i="1" s="1"/>
  <c r="K109" i="1" s="1"/>
  <c r="L109" i="1" s="1"/>
  <c r="M109" i="1" s="1"/>
  <c r="N109" i="1" s="1"/>
  <c r="O109" i="1" s="1"/>
  <c r="D108" i="1"/>
  <c r="B105" i="1"/>
  <c r="B112" i="1" s="1"/>
  <c r="D104" i="1"/>
  <c r="E104" i="1" s="1"/>
  <c r="F104" i="1" s="1"/>
  <c r="G104" i="1" s="1"/>
  <c r="H104" i="1" s="1"/>
  <c r="I104" i="1" s="1"/>
  <c r="J104" i="1" s="1"/>
  <c r="K104" i="1" s="1"/>
  <c r="L104" i="1" s="1"/>
  <c r="M104" i="1" s="1"/>
  <c r="N104" i="1" s="1"/>
  <c r="O104" i="1" s="1"/>
  <c r="B97" i="1"/>
  <c r="B93" i="1"/>
  <c r="D92" i="1"/>
  <c r="E92" i="1" s="1"/>
  <c r="F92" i="1" s="1"/>
  <c r="G92" i="1" s="1"/>
  <c r="H92" i="1" s="1"/>
  <c r="I92" i="1" s="1"/>
  <c r="J92" i="1" s="1"/>
  <c r="K92" i="1" s="1"/>
  <c r="L92" i="1" s="1"/>
  <c r="M92" i="1" s="1"/>
  <c r="N92" i="1" s="1"/>
  <c r="O92" i="1" s="1"/>
  <c r="D91" i="1"/>
  <c r="E91" i="1" s="1"/>
  <c r="F91" i="1" s="1"/>
  <c r="G91" i="1" s="1"/>
  <c r="H91" i="1" s="1"/>
  <c r="I91" i="1" s="1"/>
  <c r="J91" i="1" s="1"/>
  <c r="K91" i="1" s="1"/>
  <c r="L91" i="1" s="1"/>
  <c r="M91" i="1" s="1"/>
  <c r="N91" i="1" s="1"/>
  <c r="O91" i="1" s="1"/>
  <c r="D90" i="1"/>
  <c r="E90" i="1" s="1"/>
  <c r="F90" i="1" s="1"/>
  <c r="G90" i="1" s="1"/>
  <c r="H90" i="1" s="1"/>
  <c r="I90" i="1" s="1"/>
  <c r="J90" i="1" s="1"/>
  <c r="K90" i="1" s="1"/>
  <c r="L90" i="1" s="1"/>
  <c r="M90" i="1" s="1"/>
  <c r="N90" i="1" s="1"/>
  <c r="O90" i="1" s="1"/>
  <c r="M100" i="3"/>
  <c r="L100" i="3"/>
  <c r="K100" i="3"/>
  <c r="J100" i="3"/>
  <c r="I100" i="3"/>
  <c r="H100" i="3"/>
  <c r="G100" i="3"/>
  <c r="F100" i="3"/>
  <c r="E100" i="3"/>
  <c r="M94" i="3"/>
  <c r="L94" i="3"/>
  <c r="K94" i="3"/>
  <c r="J94" i="3"/>
  <c r="I94" i="3"/>
  <c r="H94" i="3"/>
  <c r="G94" i="3"/>
  <c r="F94" i="3"/>
  <c r="E94" i="3"/>
  <c r="M66" i="3"/>
  <c r="M66" i="37" s="1"/>
  <c r="L66" i="3"/>
  <c r="L66" i="37" s="1"/>
  <c r="K66" i="3"/>
  <c r="K66" i="37" s="1"/>
  <c r="J66" i="3"/>
  <c r="J66" i="37" s="1"/>
  <c r="I66" i="3"/>
  <c r="I66" i="37" s="1"/>
  <c r="H66" i="3"/>
  <c r="H66" i="37" s="1"/>
  <c r="G66" i="3"/>
  <c r="G66" i="37" s="1"/>
  <c r="F66" i="3"/>
  <c r="F66" i="37" s="1"/>
  <c r="E66" i="3"/>
  <c r="E66" i="37" s="1"/>
  <c r="M60" i="3"/>
  <c r="M60" i="37" s="1"/>
  <c r="L60" i="3"/>
  <c r="L60" i="37" s="1"/>
  <c r="K60" i="3"/>
  <c r="K60" i="37" s="1"/>
  <c r="J60" i="3"/>
  <c r="J60" i="37" s="1"/>
  <c r="I60" i="3"/>
  <c r="I60" i="37" s="1"/>
  <c r="H60" i="3"/>
  <c r="H60" i="37" s="1"/>
  <c r="G60" i="3"/>
  <c r="G60" i="37" s="1"/>
  <c r="F60" i="3"/>
  <c r="F60" i="37" s="1"/>
  <c r="E60" i="3"/>
  <c r="E60" i="37" s="1"/>
  <c r="B77" i="1"/>
  <c r="B80" i="1" s="1"/>
  <c r="B69" i="1"/>
  <c r="D68" i="1"/>
  <c r="E68" i="1" s="1"/>
  <c r="F68" i="1" s="1"/>
  <c r="G68" i="1" s="1"/>
  <c r="H68" i="1" s="1"/>
  <c r="I68" i="1" s="1"/>
  <c r="J68" i="1" s="1"/>
  <c r="K68" i="1" s="1"/>
  <c r="L68" i="1" s="1"/>
  <c r="M68" i="1" s="1"/>
  <c r="N68" i="1" s="1"/>
  <c r="O68" i="1" s="1"/>
  <c r="D67" i="1"/>
  <c r="B64" i="1"/>
  <c r="D63" i="1"/>
  <c r="E63" i="1" s="1"/>
  <c r="F63" i="1" s="1"/>
  <c r="G63" i="1" s="1"/>
  <c r="H63" i="1" s="1"/>
  <c r="I63" i="1" s="1"/>
  <c r="J63" i="1" s="1"/>
  <c r="K63" i="1" s="1"/>
  <c r="L63" i="1" s="1"/>
  <c r="M63" i="1" s="1"/>
  <c r="N63" i="1" s="1"/>
  <c r="O63" i="1" s="1"/>
  <c r="B56" i="1"/>
  <c r="B52" i="1"/>
  <c r="D51" i="1"/>
  <c r="E51" i="1" s="1"/>
  <c r="F51" i="1" s="1"/>
  <c r="G51" i="1" s="1"/>
  <c r="H51" i="1" s="1"/>
  <c r="I51" i="1" s="1"/>
  <c r="J51" i="1" s="1"/>
  <c r="K51" i="1" s="1"/>
  <c r="L51" i="1" s="1"/>
  <c r="M51" i="1" s="1"/>
  <c r="N51" i="1" s="1"/>
  <c r="O51" i="1" s="1"/>
  <c r="D50" i="1"/>
  <c r="E50" i="1" s="1"/>
  <c r="F50" i="1" s="1"/>
  <c r="G50" i="1" s="1"/>
  <c r="H50" i="1" s="1"/>
  <c r="I50" i="1" s="1"/>
  <c r="J50" i="1" s="1"/>
  <c r="K50" i="1" s="1"/>
  <c r="L50" i="1" s="1"/>
  <c r="M50" i="1" s="1"/>
  <c r="N50" i="1" s="1"/>
  <c r="O50" i="1" s="1"/>
  <c r="D49" i="1"/>
  <c r="E49" i="1" s="1"/>
  <c r="F49" i="1" s="1"/>
  <c r="G49" i="1" s="1"/>
  <c r="H49" i="1" s="1"/>
  <c r="I49" i="1" s="1"/>
  <c r="J49" i="1" s="1"/>
  <c r="K49" i="1" s="1"/>
  <c r="L49" i="1" s="1"/>
  <c r="M49" i="1" s="1"/>
  <c r="N49" i="1" s="1"/>
  <c r="O49" i="1" s="1"/>
  <c r="B126" i="2"/>
  <c r="B150" i="2" s="1"/>
  <c r="B154" i="2" s="1"/>
  <c r="B73" i="2"/>
  <c r="B97" i="2" s="1"/>
  <c r="B101" i="2" s="1"/>
  <c r="M34" i="2" l="1"/>
  <c r="M34" i="35"/>
  <c r="L34" i="2"/>
  <c r="L34" i="35"/>
  <c r="O11" i="1"/>
  <c r="O28" i="8"/>
  <c r="N17" i="1"/>
  <c r="O118" i="15"/>
  <c r="O120" i="15" s="1"/>
  <c r="N124" i="15"/>
  <c r="N88" i="1"/>
  <c r="N93" i="1" s="1"/>
  <c r="N99" i="1" s="1"/>
  <c r="O82" i="15"/>
  <c r="O47" i="1"/>
  <c r="O52" i="1" s="1"/>
  <c r="O58" i="1" s="1"/>
  <c r="B58" i="1"/>
  <c r="B99" i="1"/>
  <c r="B113" i="1" s="1"/>
  <c r="B120" i="1" s="1"/>
  <c r="D110" i="1"/>
  <c r="B71" i="1"/>
  <c r="B72" i="1"/>
  <c r="B79" i="1" s="1"/>
  <c r="D103" i="1"/>
  <c r="E108" i="1"/>
  <c r="D69" i="1"/>
  <c r="E67" i="1"/>
  <c r="D62" i="1"/>
  <c r="B158" i="2"/>
  <c r="C152" i="2"/>
  <c r="B105" i="2"/>
  <c r="C99" i="2"/>
  <c r="O17" i="1" l="1"/>
  <c r="O124" i="15"/>
  <c r="O88" i="1"/>
  <c r="O93" i="1" s="1"/>
  <c r="O99" i="1" s="1"/>
  <c r="E110" i="1"/>
  <c r="F108" i="1"/>
  <c r="E103" i="1"/>
  <c r="D105" i="1"/>
  <c r="D112" i="1" s="1"/>
  <c r="E62" i="1"/>
  <c r="D64" i="1"/>
  <c r="D71" i="1" s="1"/>
  <c r="E69" i="1"/>
  <c r="F67" i="1"/>
  <c r="F103" i="1" l="1"/>
  <c r="E105" i="1"/>
  <c r="E112" i="1" s="1"/>
  <c r="G108" i="1"/>
  <c r="F110" i="1"/>
  <c r="G67" i="1"/>
  <c r="F69" i="1"/>
  <c r="F62" i="1"/>
  <c r="E64" i="1"/>
  <c r="E71" i="1" s="1"/>
  <c r="F105" i="1" l="1"/>
  <c r="F112" i="1" s="1"/>
  <c r="G103" i="1"/>
  <c r="H108" i="1"/>
  <c r="G110" i="1"/>
  <c r="F64" i="1"/>
  <c r="F71" i="1" s="1"/>
  <c r="G62" i="1"/>
  <c r="H67" i="1"/>
  <c r="G69" i="1"/>
  <c r="H110" i="1" l="1"/>
  <c r="I108" i="1"/>
  <c r="G105" i="1"/>
  <c r="G112" i="1" s="1"/>
  <c r="H103" i="1"/>
  <c r="H69" i="1"/>
  <c r="I67" i="1"/>
  <c r="G64" i="1"/>
  <c r="G71" i="1" s="1"/>
  <c r="H62" i="1"/>
  <c r="I103" i="1" l="1"/>
  <c r="H105" i="1"/>
  <c r="H112" i="1" s="1"/>
  <c r="I110" i="1"/>
  <c r="J108" i="1"/>
  <c r="I69" i="1"/>
  <c r="J67" i="1"/>
  <c r="I62" i="1"/>
  <c r="H64" i="1"/>
  <c r="H71" i="1" s="1"/>
  <c r="J103" i="1" l="1"/>
  <c r="I105" i="1"/>
  <c r="I112" i="1" s="1"/>
  <c r="K108" i="1"/>
  <c r="J110" i="1"/>
  <c r="K67" i="1"/>
  <c r="J69" i="1"/>
  <c r="J62" i="1"/>
  <c r="I64" i="1"/>
  <c r="I71" i="1" s="1"/>
  <c r="L108" i="1" l="1"/>
  <c r="K110" i="1"/>
  <c r="J105" i="1"/>
  <c r="J112" i="1" s="1"/>
  <c r="K103" i="1"/>
  <c r="L67" i="1"/>
  <c r="K69" i="1"/>
  <c r="J64" i="1"/>
  <c r="J71" i="1" s="1"/>
  <c r="K62" i="1"/>
  <c r="L110" i="1" l="1"/>
  <c r="M108" i="1"/>
  <c r="K105" i="1"/>
  <c r="K112" i="1" s="1"/>
  <c r="L103" i="1"/>
  <c r="K64" i="1"/>
  <c r="K71" i="1" s="1"/>
  <c r="L62" i="1"/>
  <c r="L69" i="1"/>
  <c r="M67" i="1"/>
  <c r="M69" i="1" l="1"/>
  <c r="N67" i="1"/>
  <c r="M110" i="1"/>
  <c r="N108" i="1"/>
  <c r="M103" i="1"/>
  <c r="L105" i="1"/>
  <c r="L112" i="1" s="1"/>
  <c r="M62" i="1"/>
  <c r="L64" i="1"/>
  <c r="L71" i="1" s="1"/>
  <c r="N110" i="1" l="1"/>
  <c r="O108" i="1"/>
  <c r="O110" i="1" s="1"/>
  <c r="M64" i="1"/>
  <c r="M71" i="1" s="1"/>
  <c r="N62" i="1"/>
  <c r="N69" i="1"/>
  <c r="O67" i="1"/>
  <c r="O69" i="1" s="1"/>
  <c r="M105" i="1"/>
  <c r="M112" i="1" s="1"/>
  <c r="N103" i="1"/>
  <c r="C174" i="4"/>
  <c r="B174" i="4"/>
  <c r="C171" i="4"/>
  <c r="C206" i="4" s="1"/>
  <c r="B171" i="4"/>
  <c r="B206" i="4" s="1"/>
  <c r="C169" i="4"/>
  <c r="B169" i="4"/>
  <c r="C167" i="4"/>
  <c r="B167" i="4"/>
  <c r="C161" i="4"/>
  <c r="B161" i="4"/>
  <c r="C158" i="4"/>
  <c r="B158" i="4"/>
  <c r="C157" i="4"/>
  <c r="B157" i="4"/>
  <c r="C156" i="4"/>
  <c r="B156" i="4"/>
  <c r="C155" i="4"/>
  <c r="B155" i="4"/>
  <c r="C154" i="4"/>
  <c r="B154" i="4"/>
  <c r="C153" i="4"/>
  <c r="B153" i="4"/>
  <c r="C105" i="4"/>
  <c r="B105" i="4"/>
  <c r="C102" i="4"/>
  <c r="C137" i="4" s="1"/>
  <c r="B102" i="4"/>
  <c r="B137" i="4" s="1"/>
  <c r="C100" i="4"/>
  <c r="B100" i="4"/>
  <c r="C98" i="4"/>
  <c r="B98" i="4"/>
  <c r="B85" i="4"/>
  <c r="C85" i="4"/>
  <c r="B86" i="4"/>
  <c r="C86" i="4"/>
  <c r="B87" i="4"/>
  <c r="C87" i="4"/>
  <c r="B88" i="4"/>
  <c r="C88" i="4"/>
  <c r="B89" i="4"/>
  <c r="C89" i="4"/>
  <c r="B92" i="4"/>
  <c r="C92" i="4"/>
  <c r="C84" i="4"/>
  <c r="B84" i="4"/>
  <c r="B94" i="4" l="1"/>
  <c r="N105" i="1"/>
  <c r="N112" i="1" s="1"/>
  <c r="N113" i="1" s="1"/>
  <c r="O103" i="1"/>
  <c r="O105" i="1" s="1"/>
  <c r="O112" i="1" s="1"/>
  <c r="O113" i="1" s="1"/>
  <c r="N64" i="1"/>
  <c r="N71" i="1" s="1"/>
  <c r="N72" i="1" s="1"/>
  <c r="O62" i="1"/>
  <c r="O64" i="1" s="1"/>
  <c r="O71" i="1" s="1"/>
  <c r="O72" i="1" s="1"/>
  <c r="B163" i="4"/>
  <c r="B175" i="4"/>
  <c r="B106" i="4"/>
  <c r="C175" i="4"/>
  <c r="C163" i="4"/>
  <c r="C106" i="4"/>
  <c r="C94" i="4"/>
  <c r="B108" i="4" l="1"/>
  <c r="B113" i="4" s="1"/>
  <c r="B177" i="4"/>
  <c r="B182" i="4" s="1"/>
  <c r="D8" i="26"/>
  <c r="D9" i="26"/>
  <c r="C177" i="4"/>
  <c r="C182" i="4" s="1"/>
  <c r="C108" i="4"/>
  <c r="C113" i="4" s="1"/>
  <c r="C144" i="4" l="1"/>
  <c r="C146" i="4" s="1"/>
  <c r="D145" i="4" s="1"/>
  <c r="C44" i="63"/>
  <c r="C44" i="60"/>
  <c r="C44" i="52"/>
  <c r="B213" i="4"/>
  <c r="B78" i="60"/>
  <c r="B78" i="63"/>
  <c r="B78" i="52"/>
  <c r="C213" i="4"/>
  <c r="C215" i="4" s="1"/>
  <c r="D214" i="4" s="1"/>
  <c r="C78" i="60"/>
  <c r="C78" i="63"/>
  <c r="C78" i="52"/>
  <c r="B144" i="4"/>
  <c r="B44" i="63"/>
  <c r="B44" i="60"/>
  <c r="B44" i="52"/>
  <c r="B78" i="37"/>
  <c r="B78" i="41"/>
  <c r="C78" i="37"/>
  <c r="C78" i="41"/>
  <c r="C44" i="37"/>
  <c r="C44" i="41"/>
  <c r="B44" i="37"/>
  <c r="B44" i="41"/>
  <c r="B189" i="4"/>
  <c r="B193" i="4" s="1"/>
  <c r="B184" i="4"/>
  <c r="B187" i="4"/>
  <c r="C78" i="3"/>
  <c r="C97" i="3" s="1"/>
  <c r="C99" i="3" s="1"/>
  <c r="C189" i="4"/>
  <c r="C193" i="4" s="1"/>
  <c r="C184" i="4"/>
  <c r="C187" i="4"/>
  <c r="C44" i="3"/>
  <c r="C46" i="3" s="1"/>
  <c r="C118" i="4"/>
  <c r="C115" i="4"/>
  <c r="C120" i="4"/>
  <c r="C124" i="4" s="1"/>
  <c r="B44" i="3"/>
  <c r="B63" i="3" s="1"/>
  <c r="B115" i="4"/>
  <c r="B118" i="4"/>
  <c r="B120" i="4"/>
  <c r="B124" i="4" s="1"/>
  <c r="B78" i="3"/>
  <c r="D6" i="26"/>
  <c r="C77" i="16"/>
  <c r="C43" i="16"/>
  <c r="B46" i="60" l="1"/>
  <c r="B63" i="60"/>
  <c r="B80" i="63"/>
  <c r="B97" i="63"/>
  <c r="B46" i="52"/>
  <c r="B63" i="52"/>
  <c r="B97" i="60"/>
  <c r="B80" i="60"/>
  <c r="C46" i="52"/>
  <c r="C47" i="52" s="1"/>
  <c r="C63" i="52"/>
  <c r="C65" i="52" s="1"/>
  <c r="C67" i="52" s="1"/>
  <c r="B63" i="63"/>
  <c r="B46" i="63"/>
  <c r="C97" i="63"/>
  <c r="C99" i="63" s="1"/>
  <c r="C80" i="63"/>
  <c r="C63" i="60"/>
  <c r="C65" i="60" s="1"/>
  <c r="C67" i="60" s="1"/>
  <c r="C46" i="60"/>
  <c r="C47" i="60" s="1"/>
  <c r="C97" i="52"/>
  <c r="C99" i="52" s="1"/>
  <c r="C80" i="52"/>
  <c r="C97" i="60"/>
  <c r="C99" i="60" s="1"/>
  <c r="C80" i="60"/>
  <c r="C63" i="63"/>
  <c r="C65" i="63" s="1"/>
  <c r="C67" i="63" s="1"/>
  <c r="C46" i="63"/>
  <c r="C47" i="63" s="1"/>
  <c r="B97" i="52"/>
  <c r="B80" i="52"/>
  <c r="C97" i="37"/>
  <c r="C99" i="37" s="1"/>
  <c r="C80" i="37"/>
  <c r="C97" i="41"/>
  <c r="C99" i="41" s="1"/>
  <c r="C80" i="41"/>
  <c r="B97" i="41"/>
  <c r="B80" i="41"/>
  <c r="B97" i="37"/>
  <c r="B80" i="37"/>
  <c r="B46" i="41"/>
  <c r="B63" i="41"/>
  <c r="C46" i="41"/>
  <c r="C47" i="41" s="1"/>
  <c r="C63" i="41"/>
  <c r="C65" i="41" s="1"/>
  <c r="C67" i="41" s="1"/>
  <c r="B46" i="37"/>
  <c r="B63" i="37"/>
  <c r="C63" i="37"/>
  <c r="C65" i="37" s="1"/>
  <c r="C67" i="37" s="1"/>
  <c r="C46" i="37"/>
  <c r="C47" i="37" s="1"/>
  <c r="C80" i="3"/>
  <c r="C63" i="3"/>
  <c r="C65" i="3" s="1"/>
  <c r="B46" i="3"/>
  <c r="B65" i="3" s="1"/>
  <c r="B67" i="3" s="1"/>
  <c r="B97" i="3"/>
  <c r="B80" i="3"/>
  <c r="C96" i="16"/>
  <c r="C98" i="16" s="1"/>
  <c r="C100" i="16" s="1"/>
  <c r="C79" i="16"/>
  <c r="C80" i="16" s="1"/>
  <c r="D73" i="16" s="1"/>
  <c r="C45" i="16"/>
  <c r="C46" i="16" s="1"/>
  <c r="D39" i="16" s="1"/>
  <c r="C62" i="16"/>
  <c r="C64" i="16" s="1"/>
  <c r="C66" i="16" s="1"/>
  <c r="F36" i="9"/>
  <c r="F34" i="9"/>
  <c r="F31" i="9"/>
  <c r="E30" i="9"/>
  <c r="D30" i="9"/>
  <c r="F29" i="9"/>
  <c r="F27" i="9"/>
  <c r="F26" i="9"/>
  <c r="F25" i="9"/>
  <c r="F24" i="9"/>
  <c r="F23" i="9"/>
  <c r="H23" i="9" s="1"/>
  <c r="F22" i="9"/>
  <c r="F21" i="9"/>
  <c r="F20" i="9"/>
  <c r="H19" i="9"/>
  <c r="F19" i="9"/>
  <c r="F18" i="9"/>
  <c r="F17" i="9"/>
  <c r="F16" i="9"/>
  <c r="F15" i="9"/>
  <c r="F14" i="9"/>
  <c r="E13" i="9"/>
  <c r="D13" i="9"/>
  <c r="B5" i="8" s="1"/>
  <c r="F12" i="9"/>
  <c r="F10" i="9"/>
  <c r="F9" i="9"/>
  <c r="Z8" i="9"/>
  <c r="X8" i="9"/>
  <c r="V8" i="9"/>
  <c r="T8" i="9"/>
  <c r="R8" i="9"/>
  <c r="P8" i="9"/>
  <c r="N8" i="9"/>
  <c r="L8" i="9"/>
  <c r="J8" i="9"/>
  <c r="H8" i="9"/>
  <c r="B11" i="7"/>
  <c r="B12" i="7" s="1"/>
  <c r="C6" i="7"/>
  <c r="C11" i="7"/>
  <c r="C12" i="7" s="1"/>
  <c r="B7" i="7"/>
  <c r="B9" i="11"/>
  <c r="B47" i="3" l="1"/>
  <c r="B99" i="52"/>
  <c r="B101" i="52" s="1"/>
  <c r="B81" i="52"/>
  <c r="C74" i="52" s="1"/>
  <c r="B65" i="52"/>
  <c r="B67" i="52" s="1"/>
  <c r="B47" i="52"/>
  <c r="B65" i="63"/>
  <c r="B67" i="63" s="1"/>
  <c r="B47" i="63"/>
  <c r="B99" i="60"/>
  <c r="B101" i="60" s="1"/>
  <c r="B81" i="60"/>
  <c r="C74" i="60" s="1"/>
  <c r="B99" i="63"/>
  <c r="B101" i="63" s="1"/>
  <c r="B81" i="63"/>
  <c r="C74" i="63" s="1"/>
  <c r="B65" i="60"/>
  <c r="B67" i="60" s="1"/>
  <c r="B47" i="60"/>
  <c r="B91" i="62"/>
  <c r="B91" i="51"/>
  <c r="B99" i="41"/>
  <c r="B101" i="41" s="1"/>
  <c r="B81" i="41"/>
  <c r="C74" i="41" s="1"/>
  <c r="B99" i="37"/>
  <c r="B101" i="37" s="1"/>
  <c r="B81" i="37"/>
  <c r="C74" i="37" s="1"/>
  <c r="B65" i="37"/>
  <c r="B67" i="37" s="1"/>
  <c r="B47" i="37"/>
  <c r="B65" i="41"/>
  <c r="B67" i="41" s="1"/>
  <c r="B47" i="41"/>
  <c r="B91" i="14"/>
  <c r="B91" i="36"/>
  <c r="B99" i="3"/>
  <c r="B101" i="3" s="1"/>
  <c r="B81" i="3"/>
  <c r="C74" i="3" s="1"/>
  <c r="C42" i="3"/>
  <c r="C47" i="3" s="1"/>
  <c r="C59" i="3"/>
  <c r="C61" i="3" s="1"/>
  <c r="C67" i="3" s="1"/>
  <c r="D75" i="16"/>
  <c r="D80" i="16" s="1"/>
  <c r="D92" i="16"/>
  <c r="D94" i="16" s="1"/>
  <c r="D100" i="16" s="1"/>
  <c r="D58" i="16"/>
  <c r="D60" i="16" s="1"/>
  <c r="D66" i="16" s="1"/>
  <c r="D41" i="16"/>
  <c r="D46" i="16" s="1"/>
  <c r="C7" i="7"/>
  <c r="C14" i="7" s="1"/>
  <c r="C8" i="8"/>
  <c r="C23" i="8" s="1"/>
  <c r="E37" i="9"/>
  <c r="D37" i="9"/>
  <c r="F30" i="9"/>
  <c r="K3" i="11"/>
  <c r="G3" i="11"/>
  <c r="C3" i="11"/>
  <c r="H3" i="11"/>
  <c r="D3" i="11"/>
  <c r="I3" i="11"/>
  <c r="E3" i="11"/>
  <c r="J3" i="11"/>
  <c r="F3" i="11"/>
  <c r="B8" i="11"/>
  <c r="G14" i="7"/>
  <c r="K14" i="7"/>
  <c r="K15" i="7" s="1"/>
  <c r="F14" i="7"/>
  <c r="E14" i="7"/>
  <c r="I14" i="7"/>
  <c r="M14" i="7"/>
  <c r="M15" i="7" s="1"/>
  <c r="H14" i="7"/>
  <c r="L14" i="7"/>
  <c r="L15" i="7" s="1"/>
  <c r="J14" i="7"/>
  <c r="J15" i="7" s="1"/>
  <c r="J19" i="9"/>
  <c r="L19" i="9" s="1"/>
  <c r="N19" i="9" s="1"/>
  <c r="P19" i="9" s="1"/>
  <c r="R19" i="9" s="1"/>
  <c r="T19" i="9" s="1"/>
  <c r="V19" i="9" s="1"/>
  <c r="X19" i="9" s="1"/>
  <c r="Z19" i="9" s="1"/>
  <c r="J23" i="9"/>
  <c r="L23" i="9" s="1"/>
  <c r="N23" i="9" s="1"/>
  <c r="P23" i="9" s="1"/>
  <c r="R23" i="9" s="1"/>
  <c r="T23" i="9" s="1"/>
  <c r="V23" i="9" s="1"/>
  <c r="X23" i="9" s="1"/>
  <c r="Z23" i="9" s="1"/>
  <c r="H25" i="9"/>
  <c r="J25" i="9" s="1"/>
  <c r="L25" i="9" s="1"/>
  <c r="N25" i="9" s="1"/>
  <c r="P25" i="9" s="1"/>
  <c r="R25" i="9" s="1"/>
  <c r="T25" i="9" s="1"/>
  <c r="V25" i="9" s="1"/>
  <c r="X25" i="9" s="1"/>
  <c r="Z25" i="9" s="1"/>
  <c r="H22" i="9"/>
  <c r="J22" i="9" s="1"/>
  <c r="L22" i="9" s="1"/>
  <c r="N22" i="9" s="1"/>
  <c r="P22" i="9" s="1"/>
  <c r="R22" i="9" s="1"/>
  <c r="T22" i="9" s="1"/>
  <c r="V22" i="9" s="1"/>
  <c r="X22" i="9" s="1"/>
  <c r="Z22" i="9" s="1"/>
  <c r="H20" i="9"/>
  <c r="J20" i="9" s="1"/>
  <c r="L20" i="9" s="1"/>
  <c r="N20" i="9" s="1"/>
  <c r="P20" i="9" s="1"/>
  <c r="R20" i="9" s="1"/>
  <c r="T20" i="9" s="1"/>
  <c r="V20" i="9" s="1"/>
  <c r="X20" i="9" s="1"/>
  <c r="Z20" i="9" s="1"/>
  <c r="H18" i="9"/>
  <c r="J18" i="9" s="1"/>
  <c r="L18" i="9" s="1"/>
  <c r="N18" i="9" s="1"/>
  <c r="P18" i="9" s="1"/>
  <c r="R18" i="9" s="1"/>
  <c r="T18" i="9" s="1"/>
  <c r="V18" i="9" s="1"/>
  <c r="X18" i="9" s="1"/>
  <c r="Z18" i="9" s="1"/>
  <c r="H29" i="9"/>
  <c r="H21" i="9"/>
  <c r="J21" i="9" s="1"/>
  <c r="L21" i="9" s="1"/>
  <c r="N21" i="9" s="1"/>
  <c r="P21" i="9" s="1"/>
  <c r="R21" i="9" s="1"/>
  <c r="T21" i="9" s="1"/>
  <c r="V21" i="9" s="1"/>
  <c r="X21" i="9" s="1"/>
  <c r="Z21" i="9" s="1"/>
  <c r="H26" i="9"/>
  <c r="J26" i="9" s="1"/>
  <c r="L26" i="9" s="1"/>
  <c r="N26" i="9" s="1"/>
  <c r="P26" i="9" s="1"/>
  <c r="R26" i="9" s="1"/>
  <c r="T26" i="9" s="1"/>
  <c r="V26" i="9" s="1"/>
  <c r="X26" i="9" s="1"/>
  <c r="Z26" i="9" s="1"/>
  <c r="H12" i="9"/>
  <c r="J12" i="9" s="1"/>
  <c r="L12" i="9" s="1"/>
  <c r="N12" i="9" s="1"/>
  <c r="P12" i="9" s="1"/>
  <c r="R12" i="9" s="1"/>
  <c r="T12" i="9" s="1"/>
  <c r="V12" i="9" s="1"/>
  <c r="X12" i="9" s="1"/>
  <c r="Z12" i="9" s="1"/>
  <c r="H27" i="9"/>
  <c r="J27" i="9" s="1"/>
  <c r="L27" i="9" s="1"/>
  <c r="N27" i="9" s="1"/>
  <c r="P27" i="9" s="1"/>
  <c r="R27" i="9" s="1"/>
  <c r="T27" i="9" s="1"/>
  <c r="V27" i="9" s="1"/>
  <c r="X27" i="9" s="1"/>
  <c r="Z27" i="9" s="1"/>
  <c r="H24" i="9"/>
  <c r="J24" i="9" s="1"/>
  <c r="L24" i="9" s="1"/>
  <c r="N24" i="9" s="1"/>
  <c r="P24" i="9" s="1"/>
  <c r="R24" i="9" s="1"/>
  <c r="T24" i="9" s="1"/>
  <c r="V24" i="9" s="1"/>
  <c r="X24" i="9" s="1"/>
  <c r="Z24" i="9" s="1"/>
  <c r="F13" i="9"/>
  <c r="H9" i="9"/>
  <c r="J9" i="9" s="1"/>
  <c r="L9" i="9" s="1"/>
  <c r="N9" i="9" s="1"/>
  <c r="P9" i="9" s="1"/>
  <c r="R9" i="9" s="1"/>
  <c r="T9" i="9" s="1"/>
  <c r="V9" i="9" s="1"/>
  <c r="X9" i="9" s="1"/>
  <c r="Z9" i="9" s="1"/>
  <c r="H17" i="9"/>
  <c r="B14" i="7"/>
  <c r="C93" i="60" l="1"/>
  <c r="C95" i="60" s="1"/>
  <c r="C101" i="60" s="1"/>
  <c r="C76" i="60"/>
  <c r="C81" i="60" s="1"/>
  <c r="C76" i="63"/>
  <c r="C81" i="63" s="1"/>
  <c r="C93" i="63"/>
  <c r="C95" i="63" s="1"/>
  <c r="C101" i="63" s="1"/>
  <c r="C93" i="52"/>
  <c r="C95" i="52" s="1"/>
  <c r="C101" i="52" s="1"/>
  <c r="C76" i="52"/>
  <c r="C81" i="52" s="1"/>
  <c r="C91" i="62"/>
  <c r="C91" i="51"/>
  <c r="B137" i="62"/>
  <c r="B137" i="51"/>
  <c r="C76" i="37"/>
  <c r="C81" i="37" s="1"/>
  <c r="C93" i="37"/>
  <c r="C95" i="37" s="1"/>
  <c r="C101" i="37" s="1"/>
  <c r="C76" i="41"/>
  <c r="C81" i="41" s="1"/>
  <c r="C93" i="41"/>
  <c r="C95" i="41" s="1"/>
  <c r="C101" i="41" s="1"/>
  <c r="B137" i="14"/>
  <c r="B137" i="36"/>
  <c r="C91" i="36"/>
  <c r="D59" i="3"/>
  <c r="D61" i="3" s="1"/>
  <c r="D42" i="3"/>
  <c r="C76" i="3"/>
  <c r="C81" i="3" s="1"/>
  <c r="C93" i="3"/>
  <c r="C95" i="3" s="1"/>
  <c r="C101" i="3" s="1"/>
  <c r="G15" i="7"/>
  <c r="H15" i="7"/>
  <c r="I15" i="7"/>
  <c r="F16" i="7"/>
  <c r="F17" i="7" s="1"/>
  <c r="F15" i="7"/>
  <c r="D116" i="1"/>
  <c r="E73" i="16"/>
  <c r="C75" i="1"/>
  <c r="E39" i="16"/>
  <c r="D75" i="1"/>
  <c r="D14" i="7"/>
  <c r="D53" i="8" s="1"/>
  <c r="D56" i="8" s="1"/>
  <c r="E53" i="8"/>
  <c r="E56" i="8" s="1"/>
  <c r="E17" i="7"/>
  <c r="K53" i="8"/>
  <c r="K56" i="8" s="1"/>
  <c r="K17" i="7"/>
  <c r="G53" i="8"/>
  <c r="G56" i="8" s="1"/>
  <c r="L53" i="8"/>
  <c r="L56" i="8" s="1"/>
  <c r="L17" i="7"/>
  <c r="H53" i="8"/>
  <c r="H56" i="8" s="1"/>
  <c r="F53" i="8"/>
  <c r="F56" i="8" s="1"/>
  <c r="J53" i="8"/>
  <c r="J56" i="8" s="1"/>
  <c r="J17" i="7"/>
  <c r="M53" i="8"/>
  <c r="M56" i="8" s="1"/>
  <c r="M17" i="7"/>
  <c r="I53" i="8"/>
  <c r="I56" i="8" s="1"/>
  <c r="E12" i="8"/>
  <c r="C12" i="8"/>
  <c r="C27" i="8"/>
  <c r="F12" i="8"/>
  <c r="G12" i="8"/>
  <c r="H12" i="8"/>
  <c r="M12" i="8"/>
  <c r="B27" i="8"/>
  <c r="B12" i="8"/>
  <c r="K12" i="8"/>
  <c r="J12" i="8"/>
  <c r="L12" i="8"/>
  <c r="I12" i="8"/>
  <c r="B3" i="11"/>
  <c r="F37" i="9"/>
  <c r="H30" i="9"/>
  <c r="J17" i="9"/>
  <c r="C137" i="62" l="1"/>
  <c r="C137" i="51"/>
  <c r="C137" i="36"/>
  <c r="C116" i="1"/>
  <c r="F37" i="6"/>
  <c r="I16" i="7"/>
  <c r="I17" i="7" s="1"/>
  <c r="I37" i="6"/>
  <c r="H16" i="7"/>
  <c r="H17" i="7" s="1"/>
  <c r="H37" i="6"/>
  <c r="G16" i="7"/>
  <c r="G17" i="7" s="1"/>
  <c r="G37" i="6"/>
  <c r="D17" i="7"/>
  <c r="D12" i="8"/>
  <c r="E75" i="16"/>
  <c r="E80" i="16" s="1"/>
  <c r="E92" i="16"/>
  <c r="E94" i="16" s="1"/>
  <c r="E100" i="16" s="1"/>
  <c r="E41" i="16"/>
  <c r="E46" i="16" s="1"/>
  <c r="E58" i="16"/>
  <c r="E60" i="16" s="1"/>
  <c r="E66" i="16" s="1"/>
  <c r="L17" i="9"/>
  <c r="H140" i="39" l="1"/>
  <c r="H150" i="39" s="1"/>
  <c r="H87" i="39"/>
  <c r="H97" i="39" s="1"/>
  <c r="G140" i="39"/>
  <c r="G150" i="39" s="1"/>
  <c r="G154" i="39" s="1"/>
  <c r="G104" i="59" s="1"/>
  <c r="G113" i="59" s="1"/>
  <c r="G129" i="59" s="1"/>
  <c r="G87" i="39"/>
  <c r="G97" i="39" s="1"/>
  <c r="G101" i="39" s="1"/>
  <c r="I140" i="39"/>
  <c r="I150" i="39" s="1"/>
  <c r="I87" i="39"/>
  <c r="I97" i="39" s="1"/>
  <c r="F34" i="2"/>
  <c r="F34" i="35"/>
  <c r="G34" i="2"/>
  <c r="G34" i="35"/>
  <c r="I34" i="2"/>
  <c r="I34" i="35"/>
  <c r="H34" i="2"/>
  <c r="H34" i="35"/>
  <c r="F19" i="14"/>
  <c r="F19" i="36"/>
  <c r="D76" i="3"/>
  <c r="D93" i="3"/>
  <c r="D95" i="3" s="1"/>
  <c r="G19" i="36"/>
  <c r="E116" i="1"/>
  <c r="F73" i="16"/>
  <c r="E75" i="1"/>
  <c r="F39" i="16"/>
  <c r="N17" i="9"/>
  <c r="G53" i="40" l="1"/>
  <c r="G58" i="59"/>
  <c r="G67" i="59" s="1"/>
  <c r="G83" i="59" s="1"/>
  <c r="G12" i="40"/>
  <c r="G21" i="40" s="1"/>
  <c r="G37" i="40" s="1"/>
  <c r="G99" i="40"/>
  <c r="G111" i="40"/>
  <c r="G65" i="40"/>
  <c r="G158" i="39"/>
  <c r="H152" i="39"/>
  <c r="H154" i="39" s="1"/>
  <c r="H104" i="59" s="1"/>
  <c r="H113" i="59" s="1"/>
  <c r="H129" i="59" s="1"/>
  <c r="H99" i="39"/>
  <c r="H101" i="39" s="1"/>
  <c r="G105" i="39"/>
  <c r="G19" i="14"/>
  <c r="F75" i="16"/>
  <c r="F80" i="16" s="1"/>
  <c r="F92" i="16"/>
  <c r="F94" i="16" s="1"/>
  <c r="F100" i="16" s="1"/>
  <c r="F41" i="16"/>
  <c r="F46" i="16" s="1"/>
  <c r="F58" i="16"/>
  <c r="F60" i="16" s="1"/>
  <c r="F66" i="16" s="1"/>
  <c r="P17" i="9"/>
  <c r="G58" i="40" l="1"/>
  <c r="G67" i="40" s="1"/>
  <c r="G83" i="40" s="1"/>
  <c r="H53" i="40"/>
  <c r="H58" i="59"/>
  <c r="H67" i="59" s="1"/>
  <c r="H83" i="59" s="1"/>
  <c r="H12" i="40"/>
  <c r="H21" i="40" s="1"/>
  <c r="H37" i="40" s="1"/>
  <c r="H99" i="40"/>
  <c r="H65" i="40"/>
  <c r="H111" i="40"/>
  <c r="I99" i="39"/>
  <c r="I101" i="39" s="1"/>
  <c r="H105" i="39"/>
  <c r="H158" i="39"/>
  <c r="I152" i="39"/>
  <c r="I154" i="39" s="1"/>
  <c r="I104" i="59" s="1"/>
  <c r="I113" i="59" s="1"/>
  <c r="I129" i="59" s="1"/>
  <c r="I19" i="14"/>
  <c r="I19" i="36"/>
  <c r="H19" i="14"/>
  <c r="H19" i="36"/>
  <c r="F116" i="1"/>
  <c r="G73" i="16"/>
  <c r="F75" i="1"/>
  <c r="G39" i="16"/>
  <c r="R17" i="9"/>
  <c r="H58" i="40" l="1"/>
  <c r="H67" i="40" s="1"/>
  <c r="H83" i="40" s="1"/>
  <c r="I53" i="40"/>
  <c r="I58" i="59"/>
  <c r="I67" i="59" s="1"/>
  <c r="I83" i="59" s="1"/>
  <c r="I12" i="40"/>
  <c r="I21" i="40" s="1"/>
  <c r="I37" i="40" s="1"/>
  <c r="I99" i="40"/>
  <c r="I111" i="40"/>
  <c r="I105" i="39"/>
  <c r="J99" i="39"/>
  <c r="J101" i="39" s="1"/>
  <c r="I65" i="40"/>
  <c r="I158" i="39"/>
  <c r="J152" i="39"/>
  <c r="J154" i="39" s="1"/>
  <c r="J104" i="59" s="1"/>
  <c r="J113" i="59" s="1"/>
  <c r="J129" i="59" s="1"/>
  <c r="J19" i="14"/>
  <c r="J19" i="36"/>
  <c r="G75" i="16"/>
  <c r="G80" i="16" s="1"/>
  <c r="G92" i="16"/>
  <c r="G94" i="16" s="1"/>
  <c r="G100" i="16" s="1"/>
  <c r="G58" i="16"/>
  <c r="G60" i="16" s="1"/>
  <c r="G66" i="16" s="1"/>
  <c r="G41" i="16"/>
  <c r="G46" i="16" s="1"/>
  <c r="T17" i="9"/>
  <c r="I58" i="40" l="1"/>
  <c r="I67" i="40" s="1"/>
  <c r="I83" i="40" s="1"/>
  <c r="J53" i="40"/>
  <c r="J58" i="59"/>
  <c r="J67" i="59" s="1"/>
  <c r="J83" i="59" s="1"/>
  <c r="J12" i="40"/>
  <c r="J21" i="40" s="1"/>
  <c r="J37" i="40" s="1"/>
  <c r="J99" i="40"/>
  <c r="K152" i="39"/>
  <c r="J158" i="39"/>
  <c r="K13" i="38" s="1"/>
  <c r="J65" i="40"/>
  <c r="J105" i="39"/>
  <c r="K82" i="38" s="1"/>
  <c r="K99" i="39"/>
  <c r="J111" i="40"/>
  <c r="K19" i="14"/>
  <c r="K19" i="36"/>
  <c r="H73" i="16"/>
  <c r="G116" i="1"/>
  <c r="G75" i="1"/>
  <c r="H39" i="16"/>
  <c r="V17" i="9"/>
  <c r="J58" i="40" l="1"/>
  <c r="J67" i="40" s="1"/>
  <c r="J83" i="40" s="1"/>
  <c r="K62" i="58"/>
  <c r="K111" i="40"/>
  <c r="K65" i="40"/>
  <c r="L19" i="14"/>
  <c r="L19" i="36"/>
  <c r="H92" i="16"/>
  <c r="H94" i="16" s="1"/>
  <c r="H100" i="16" s="1"/>
  <c r="H75" i="16"/>
  <c r="H80" i="16" s="1"/>
  <c r="H58" i="16"/>
  <c r="H60" i="16" s="1"/>
  <c r="H66" i="16" s="1"/>
  <c r="H41" i="16"/>
  <c r="H46" i="16" s="1"/>
  <c r="X17" i="9"/>
  <c r="K150" i="57" l="1"/>
  <c r="K90" i="57"/>
  <c r="K103" i="57" s="1"/>
  <c r="K150" i="38"/>
  <c r="K73" i="58"/>
  <c r="K97" i="58" s="1"/>
  <c r="K101" i="58" s="1"/>
  <c r="K53" i="59" s="1"/>
  <c r="L111" i="40"/>
  <c r="L65" i="40"/>
  <c r="M19" i="14"/>
  <c r="M19" i="36"/>
  <c r="H116" i="1"/>
  <c r="I73" i="16"/>
  <c r="H75" i="1"/>
  <c r="I39" i="16"/>
  <c r="Z17" i="9"/>
  <c r="E27" i="6"/>
  <c r="F27" i="6"/>
  <c r="G27" i="6"/>
  <c r="H27" i="6"/>
  <c r="I27" i="6"/>
  <c r="J27" i="6"/>
  <c r="K27" i="6"/>
  <c r="L27" i="6"/>
  <c r="M27" i="6"/>
  <c r="E28" i="6"/>
  <c r="F28" i="6"/>
  <c r="G28" i="6"/>
  <c r="H28" i="6"/>
  <c r="I28" i="6"/>
  <c r="J28" i="6"/>
  <c r="K28" i="6"/>
  <c r="L28" i="6"/>
  <c r="M28" i="6"/>
  <c r="E29" i="6"/>
  <c r="F29" i="6"/>
  <c r="G29" i="6"/>
  <c r="H29" i="6"/>
  <c r="I29" i="6"/>
  <c r="J29" i="6"/>
  <c r="K29" i="6"/>
  <c r="L29" i="6"/>
  <c r="M29" i="6"/>
  <c r="E22" i="6"/>
  <c r="F22" i="6"/>
  <c r="G22" i="6"/>
  <c r="H22" i="6"/>
  <c r="I22" i="6"/>
  <c r="J22" i="6"/>
  <c r="K22" i="6"/>
  <c r="L22" i="6"/>
  <c r="M22" i="6"/>
  <c r="E8" i="6"/>
  <c r="F8" i="6"/>
  <c r="G8" i="6"/>
  <c r="H8" i="6"/>
  <c r="I8" i="6"/>
  <c r="J8" i="6"/>
  <c r="K8" i="6"/>
  <c r="L8" i="6"/>
  <c r="M8" i="6"/>
  <c r="K108" i="57" l="1"/>
  <c r="K115" i="57" s="1"/>
  <c r="K119" i="57" s="1"/>
  <c r="K44" i="60"/>
  <c r="K63" i="60"/>
  <c r="K158" i="57"/>
  <c r="K171" i="57" s="1"/>
  <c r="K176" i="57" s="1"/>
  <c r="K78" i="60" s="1"/>
  <c r="K115" i="58"/>
  <c r="K126" i="58" s="1"/>
  <c r="K150" i="58" s="1"/>
  <c r="K154" i="58" s="1"/>
  <c r="K105" i="58"/>
  <c r="L82" i="57" s="1"/>
  <c r="L99" i="58"/>
  <c r="M65" i="40"/>
  <c r="M111" i="40"/>
  <c r="N19" i="14"/>
  <c r="N19" i="36"/>
  <c r="I75" i="16"/>
  <c r="I80" i="16" s="1"/>
  <c r="I92" i="16"/>
  <c r="I94" i="16" s="1"/>
  <c r="I100" i="16" s="1"/>
  <c r="I41" i="16"/>
  <c r="I46" i="16" s="1"/>
  <c r="I58" i="16"/>
  <c r="I60" i="16" s="1"/>
  <c r="I66" i="16" s="1"/>
  <c r="J30" i="6"/>
  <c r="F30" i="6"/>
  <c r="K30" i="6"/>
  <c r="G30" i="6"/>
  <c r="L30" i="6"/>
  <c r="H30" i="6"/>
  <c r="M30" i="6"/>
  <c r="I30" i="6"/>
  <c r="E30" i="6"/>
  <c r="K113" i="57" l="1"/>
  <c r="K110" i="57"/>
  <c r="K128" i="57"/>
  <c r="K136" i="57" s="1"/>
  <c r="K139" i="57" s="1"/>
  <c r="K141" i="57" s="1"/>
  <c r="L140" i="57" s="1"/>
  <c r="K178" i="57"/>
  <c r="K181" i="57"/>
  <c r="K99" i="59"/>
  <c r="L152" i="58"/>
  <c r="K158" i="58"/>
  <c r="L13" i="57" s="1"/>
  <c r="K183" i="57"/>
  <c r="N111" i="40"/>
  <c r="N65" i="40"/>
  <c r="O19" i="14"/>
  <c r="O19" i="36"/>
  <c r="J73" i="16"/>
  <c r="I116" i="1"/>
  <c r="I75" i="1"/>
  <c r="J39" i="16"/>
  <c r="J29" i="9"/>
  <c r="K196" i="57" l="1"/>
  <c r="K204" i="57" s="1"/>
  <c r="K207" i="57" s="1"/>
  <c r="K209" i="57" s="1"/>
  <c r="L208" i="57" s="1"/>
  <c r="K187" i="57"/>
  <c r="K97" i="60"/>
  <c r="O65" i="40"/>
  <c r="P65" i="40"/>
  <c r="O111" i="40"/>
  <c r="P111" i="40"/>
  <c r="P19" i="14"/>
  <c r="P19" i="36"/>
  <c r="J75" i="16"/>
  <c r="J80" i="16" s="1"/>
  <c r="J92" i="16"/>
  <c r="J94" i="16" s="1"/>
  <c r="J100" i="16" s="1"/>
  <c r="J58" i="16"/>
  <c r="J60" i="16" s="1"/>
  <c r="J66" i="16" s="1"/>
  <c r="J41" i="16"/>
  <c r="J46" i="16" s="1"/>
  <c r="L29" i="9"/>
  <c r="J30" i="9"/>
  <c r="H10" i="9"/>
  <c r="J116" i="1" l="1"/>
  <c r="K73" i="16"/>
  <c r="K39" i="16"/>
  <c r="J75" i="1"/>
  <c r="N29" i="9"/>
  <c r="L30" i="9"/>
  <c r="J10" i="9"/>
  <c r="H13" i="9"/>
  <c r="K75" i="16" l="1"/>
  <c r="K80" i="16" s="1"/>
  <c r="K92" i="16"/>
  <c r="K94" i="16" s="1"/>
  <c r="K100" i="16" s="1"/>
  <c r="K58" i="16"/>
  <c r="K60" i="16" s="1"/>
  <c r="K66" i="16" s="1"/>
  <c r="K41" i="16"/>
  <c r="K46" i="16" s="1"/>
  <c r="L10" i="9"/>
  <c r="J13" i="9"/>
  <c r="P29" i="9"/>
  <c r="N30" i="9"/>
  <c r="L73" i="16" l="1"/>
  <c r="K116" i="1"/>
  <c r="K75" i="1"/>
  <c r="L39" i="16"/>
  <c r="R29" i="9"/>
  <c r="P30" i="9"/>
  <c r="N10" i="9"/>
  <c r="L13" i="9"/>
  <c r="L75" i="16" l="1"/>
  <c r="L80" i="16" s="1"/>
  <c r="L92" i="16"/>
  <c r="L94" i="16" s="1"/>
  <c r="L100" i="16" s="1"/>
  <c r="L41" i="16"/>
  <c r="L46" i="16" s="1"/>
  <c r="L58" i="16"/>
  <c r="L60" i="16" s="1"/>
  <c r="L66" i="16" s="1"/>
  <c r="T29" i="9"/>
  <c r="R30" i="9"/>
  <c r="P10" i="9"/>
  <c r="N13" i="9"/>
  <c r="M73" i="16" l="1"/>
  <c r="L116" i="1"/>
  <c r="L75" i="1"/>
  <c r="M39" i="16"/>
  <c r="V29" i="9"/>
  <c r="T30" i="9"/>
  <c r="R10" i="9"/>
  <c r="P13" i="9"/>
  <c r="M92" i="16" l="1"/>
  <c r="M94" i="16" s="1"/>
  <c r="M100" i="16" s="1"/>
  <c r="M75" i="16"/>
  <c r="M80" i="16" s="1"/>
  <c r="M58" i="16"/>
  <c r="M60" i="16" s="1"/>
  <c r="M66" i="16" s="1"/>
  <c r="M41" i="16"/>
  <c r="M46" i="16" s="1"/>
  <c r="T10" i="9"/>
  <c r="R13" i="9"/>
  <c r="X29" i="9"/>
  <c r="V30" i="9"/>
  <c r="M116" i="1" l="1"/>
  <c r="N73" i="16"/>
  <c r="M75" i="1"/>
  <c r="N39" i="16"/>
  <c r="Z29" i="9"/>
  <c r="Z30" i="9" s="1"/>
  <c r="X30" i="9"/>
  <c r="V10" i="9"/>
  <c r="T13" i="9"/>
  <c r="N58" i="16" l="1"/>
  <c r="N60" i="16" s="1"/>
  <c r="N66" i="16" s="1"/>
  <c r="N41" i="16"/>
  <c r="N46" i="16" s="1"/>
  <c r="N92" i="16"/>
  <c r="N94" i="16" s="1"/>
  <c r="N100" i="16" s="1"/>
  <c r="N75" i="16"/>
  <c r="N80" i="16" s="1"/>
  <c r="X10" i="9"/>
  <c r="V13" i="9"/>
  <c r="N75" i="1" l="1"/>
  <c r="N77" i="1" s="1"/>
  <c r="O39" i="16"/>
  <c r="N116" i="1"/>
  <c r="N118" i="1" s="1"/>
  <c r="O73" i="16"/>
  <c r="Z10" i="9"/>
  <c r="Z13" i="9" s="1"/>
  <c r="X13" i="9"/>
  <c r="B62" i="4"/>
  <c r="B23" i="6" s="1"/>
  <c r="B24" i="6" s="1"/>
  <c r="E26" i="3"/>
  <c r="E26" i="37" s="1"/>
  <c r="F26" i="3"/>
  <c r="F26" i="37" s="1"/>
  <c r="G26" i="3"/>
  <c r="G26" i="37" s="1"/>
  <c r="H26" i="3"/>
  <c r="H26" i="37" s="1"/>
  <c r="I26" i="3"/>
  <c r="I26" i="37" s="1"/>
  <c r="J26" i="3"/>
  <c r="J26" i="37" s="1"/>
  <c r="K26" i="3"/>
  <c r="K26" i="37" s="1"/>
  <c r="L26" i="3"/>
  <c r="L26" i="37" s="1"/>
  <c r="M26" i="3"/>
  <c r="M26" i="37" s="1"/>
  <c r="E32" i="3"/>
  <c r="F32" i="3"/>
  <c r="G32" i="3"/>
  <c r="H32" i="3"/>
  <c r="I32" i="3"/>
  <c r="J32" i="3"/>
  <c r="K32" i="3"/>
  <c r="L32" i="3"/>
  <c r="M32" i="3"/>
  <c r="B31" i="4"/>
  <c r="B13" i="8" s="1"/>
  <c r="B21" i="4"/>
  <c r="B7" i="8" s="1"/>
  <c r="D27" i="1"/>
  <c r="E27" i="1" s="1"/>
  <c r="D26" i="1"/>
  <c r="D21" i="1"/>
  <c r="D22" i="1"/>
  <c r="E22" i="1" s="1"/>
  <c r="D9" i="1"/>
  <c r="E9" i="1" s="1"/>
  <c r="D10" i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D8" i="1"/>
  <c r="E8" i="1" s="1"/>
  <c r="F8" i="1" s="1"/>
  <c r="C34" i="2"/>
  <c r="C63" i="2"/>
  <c r="C31" i="4"/>
  <c r="C21" i="4"/>
  <c r="C7" i="8" s="1"/>
  <c r="B20" i="2"/>
  <c r="B44" i="2" s="1"/>
  <c r="B48" i="2" s="1"/>
  <c r="B36" i="1"/>
  <c r="B39" i="1" s="1"/>
  <c r="B28" i="1"/>
  <c r="B30" i="1" s="1"/>
  <c r="B23" i="1"/>
  <c r="B15" i="1"/>
  <c r="B17" i="1" s="1"/>
  <c r="B11" i="1"/>
  <c r="M35" i="6"/>
  <c r="L35" i="6"/>
  <c r="I35" i="6"/>
  <c r="H35" i="6"/>
  <c r="E35" i="6"/>
  <c r="AE19" i="4"/>
  <c r="AE16" i="4"/>
  <c r="O75" i="16" l="1"/>
  <c r="O80" i="16" s="1"/>
  <c r="O116" i="1" s="1"/>
  <c r="O118" i="1" s="1"/>
  <c r="O92" i="16"/>
  <c r="O94" i="16" s="1"/>
  <c r="O100" i="16" s="1"/>
  <c r="N121" i="1"/>
  <c r="N120" i="1"/>
  <c r="O41" i="16"/>
  <c r="O46" i="16" s="1"/>
  <c r="O75" i="1" s="1"/>
  <c r="O77" i="1" s="1"/>
  <c r="O58" i="16"/>
  <c r="O60" i="16" s="1"/>
  <c r="O66" i="16" s="1"/>
  <c r="N80" i="1"/>
  <c r="N79" i="1"/>
  <c r="B31" i="1"/>
  <c r="B38" i="1" s="1"/>
  <c r="C73" i="2"/>
  <c r="C97" i="2" s="1"/>
  <c r="C101" i="2" s="1"/>
  <c r="C105" i="2" s="1"/>
  <c r="C116" i="2"/>
  <c r="C126" i="2" s="1"/>
  <c r="C150" i="2" s="1"/>
  <c r="C154" i="2" s="1"/>
  <c r="D23" i="1"/>
  <c r="E26" i="1"/>
  <c r="F26" i="1" s="1"/>
  <c r="G26" i="1" s="1"/>
  <c r="D28" i="1"/>
  <c r="D30" i="1" s="1"/>
  <c r="B20" i="8"/>
  <c r="E21" i="1"/>
  <c r="F21" i="1" s="1"/>
  <c r="G21" i="1" s="1"/>
  <c r="B10" i="8"/>
  <c r="B9" i="8"/>
  <c r="C10" i="8"/>
  <c r="C9" i="8"/>
  <c r="C46" i="2"/>
  <c r="B52" i="2"/>
  <c r="D84" i="4"/>
  <c r="AE11" i="4"/>
  <c r="D85" i="4"/>
  <c r="AE13" i="4"/>
  <c r="D87" i="4"/>
  <c r="AE15" i="4"/>
  <c r="D89" i="4"/>
  <c r="AE23" i="4"/>
  <c r="D98" i="4"/>
  <c r="D102" i="4"/>
  <c r="E140" i="2"/>
  <c r="AE12" i="4"/>
  <c r="D86" i="4"/>
  <c r="AE14" i="4"/>
  <c r="D88" i="4"/>
  <c r="D100" i="4"/>
  <c r="D105" i="4"/>
  <c r="D174" i="4" s="1"/>
  <c r="D34" i="2"/>
  <c r="D140" i="2"/>
  <c r="D92" i="4"/>
  <c r="E62" i="4"/>
  <c r="E64" i="34" s="1"/>
  <c r="C4" i="11"/>
  <c r="I69" i="4"/>
  <c r="G4" i="11"/>
  <c r="K4" i="11"/>
  <c r="G35" i="6"/>
  <c r="K35" i="6"/>
  <c r="D62" i="4"/>
  <c r="D64" i="34" s="1"/>
  <c r="D68" i="34" s="1"/>
  <c r="D71" i="34" s="1"/>
  <c r="D73" i="34" s="1"/>
  <c r="E72" i="34" s="1"/>
  <c r="B4" i="11"/>
  <c r="H69" i="4"/>
  <c r="F4" i="11"/>
  <c r="J4" i="11"/>
  <c r="F35" i="6"/>
  <c r="J35" i="6"/>
  <c r="G69" i="4"/>
  <c r="E4" i="11"/>
  <c r="I4" i="11"/>
  <c r="F66" i="4"/>
  <c r="D4" i="11"/>
  <c r="J69" i="4"/>
  <c r="H4" i="11"/>
  <c r="AE27" i="4"/>
  <c r="AE9" i="4"/>
  <c r="AE30" i="4"/>
  <c r="C20" i="2"/>
  <c r="C44" i="2" s="1"/>
  <c r="B33" i="4"/>
  <c r="B38" i="4" s="1"/>
  <c r="C33" i="4"/>
  <c r="C38" i="4" s="1"/>
  <c r="AE25" i="4"/>
  <c r="D63" i="2"/>
  <c r="D116" i="2" s="1"/>
  <c r="F27" i="1"/>
  <c r="G27" i="1" s="1"/>
  <c r="H27" i="1" s="1"/>
  <c r="I27" i="1" s="1"/>
  <c r="J27" i="1" s="1"/>
  <c r="K27" i="1" s="1"/>
  <c r="L27" i="1" s="1"/>
  <c r="M27" i="1" s="1"/>
  <c r="N27" i="1" s="1"/>
  <c r="O27" i="1" s="1"/>
  <c r="F22" i="1"/>
  <c r="G22" i="1" s="1"/>
  <c r="H22" i="1" s="1"/>
  <c r="I22" i="1" s="1"/>
  <c r="J22" i="1" s="1"/>
  <c r="K22" i="1" s="1"/>
  <c r="L22" i="1" s="1"/>
  <c r="M22" i="1" s="1"/>
  <c r="N22" i="1" s="1"/>
  <c r="O22" i="1" s="1"/>
  <c r="G8" i="1"/>
  <c r="F9" i="1"/>
  <c r="G9" i="1" s="1"/>
  <c r="H9" i="1" s="1"/>
  <c r="I9" i="1" s="1"/>
  <c r="J9" i="1" s="1"/>
  <c r="K9" i="1" s="1"/>
  <c r="L9" i="1" s="1"/>
  <c r="M9" i="1" s="1"/>
  <c r="N9" i="1" s="1"/>
  <c r="O9" i="1" s="1"/>
  <c r="E31" i="4"/>
  <c r="B30" i="28" s="1"/>
  <c r="D31" i="4"/>
  <c r="D161" i="4" l="1"/>
  <c r="C656" i="29" s="1"/>
  <c r="C336" i="29"/>
  <c r="D158" i="4"/>
  <c r="C654" i="29" s="1"/>
  <c r="C334" i="29"/>
  <c r="B10" i="63"/>
  <c r="B10" i="60"/>
  <c r="B10" i="52"/>
  <c r="E66" i="4"/>
  <c r="E69" i="4" s="1"/>
  <c r="E206" i="4"/>
  <c r="E202" i="34" s="1"/>
  <c r="E137" i="4"/>
  <c r="E134" i="34" s="1"/>
  <c r="E68" i="34"/>
  <c r="E71" i="34" s="1"/>
  <c r="E73" i="34" s="1"/>
  <c r="C10" i="63"/>
  <c r="C10" i="60"/>
  <c r="C10" i="52"/>
  <c r="D167" i="4"/>
  <c r="C665" i="29" s="1"/>
  <c r="C345" i="29"/>
  <c r="D156" i="4"/>
  <c r="C658" i="29" s="1"/>
  <c r="C338" i="29"/>
  <c r="D169" i="4"/>
  <c r="C669" i="29" s="1"/>
  <c r="C349" i="29"/>
  <c r="D157" i="4"/>
  <c r="C653" i="29" s="1"/>
  <c r="C333" i="29"/>
  <c r="D154" i="4"/>
  <c r="C652" i="29" s="1"/>
  <c r="C332" i="29"/>
  <c r="D137" i="4"/>
  <c r="D134" i="34" s="1"/>
  <c r="D171" i="4"/>
  <c r="C347" i="29"/>
  <c r="D155" i="4"/>
  <c r="C655" i="29" s="1"/>
  <c r="C335" i="29"/>
  <c r="D153" i="4"/>
  <c r="C651" i="29" s="1"/>
  <c r="C331" i="29"/>
  <c r="D23" i="6"/>
  <c r="D24" i="6" s="1"/>
  <c r="D66" i="4"/>
  <c r="D69" i="4" s="1"/>
  <c r="B10" i="37"/>
  <c r="B10" i="41"/>
  <c r="C10" i="41"/>
  <c r="C10" i="37"/>
  <c r="I140" i="2"/>
  <c r="L87" i="2"/>
  <c r="L87" i="35"/>
  <c r="I87" i="2"/>
  <c r="I87" i="35"/>
  <c r="F140" i="2"/>
  <c r="G87" i="2"/>
  <c r="G87" i="35"/>
  <c r="J140" i="2"/>
  <c r="J87" i="2"/>
  <c r="J87" i="35"/>
  <c r="F87" i="2"/>
  <c r="F87" i="35"/>
  <c r="G140" i="2"/>
  <c r="K87" i="2"/>
  <c r="K87" i="35"/>
  <c r="K140" i="2"/>
  <c r="L140" i="2"/>
  <c r="M87" i="2"/>
  <c r="M87" i="35"/>
  <c r="H87" i="2"/>
  <c r="H87" i="35"/>
  <c r="H140" i="2"/>
  <c r="M140" i="2"/>
  <c r="D87" i="2"/>
  <c r="D94" i="4"/>
  <c r="C48" i="2"/>
  <c r="C43" i="4"/>
  <c r="C4" i="6"/>
  <c r="C10" i="6" s="1"/>
  <c r="C12" i="6" s="1"/>
  <c r="C10" i="3"/>
  <c r="C19" i="6"/>
  <c r="C39" i="6" s="1"/>
  <c r="C43" i="6" s="1"/>
  <c r="D41" i="6" s="1"/>
  <c r="B43" i="4"/>
  <c r="B4" i="6"/>
  <c r="B10" i="6" s="1"/>
  <c r="B12" i="6" s="1"/>
  <c r="B10" i="3"/>
  <c r="B19" i="6"/>
  <c r="B39" i="6" s="1"/>
  <c r="D7" i="8"/>
  <c r="E7" i="8"/>
  <c r="B29" i="28"/>
  <c r="E9" i="27"/>
  <c r="E7" i="27"/>
  <c r="E10" i="27"/>
  <c r="C45" i="4"/>
  <c r="C49" i="4" s="1"/>
  <c r="B45" i="4"/>
  <c r="B49" i="4" s="1"/>
  <c r="B30" i="11"/>
  <c r="G13" i="27"/>
  <c r="D30" i="11"/>
  <c r="C30" i="28"/>
  <c r="O80" i="1"/>
  <c r="O79" i="1"/>
  <c r="O121" i="1"/>
  <c r="O120" i="1"/>
  <c r="D152" i="2"/>
  <c r="C69" i="4"/>
  <c r="C71" i="4" s="1"/>
  <c r="D70" i="4" s="1"/>
  <c r="C9" i="16"/>
  <c r="C76" i="1"/>
  <c r="C77" i="1" s="1"/>
  <c r="C88" i="14"/>
  <c r="B40" i="4"/>
  <c r="C158" i="2"/>
  <c r="E28" i="1"/>
  <c r="E23" i="1"/>
  <c r="B29" i="11"/>
  <c r="D10" i="8"/>
  <c r="C35" i="1"/>
  <c r="C40" i="4"/>
  <c r="C29" i="11"/>
  <c r="E33" i="4"/>
  <c r="E10" i="8"/>
  <c r="B69" i="4"/>
  <c r="C12" i="14"/>
  <c r="C5" i="8" s="1"/>
  <c r="AE31" i="4"/>
  <c r="AE21" i="4"/>
  <c r="K23" i="6"/>
  <c r="K24" i="6" s="1"/>
  <c r="L23" i="6"/>
  <c r="L24" i="6" s="1"/>
  <c r="G23" i="6"/>
  <c r="G24" i="6" s="1"/>
  <c r="H23" i="6"/>
  <c r="H24" i="6" s="1"/>
  <c r="M23" i="6"/>
  <c r="M24" i="6" s="1"/>
  <c r="J23" i="6"/>
  <c r="J24" i="6" s="1"/>
  <c r="I23" i="6"/>
  <c r="I24" i="6" s="1"/>
  <c r="F23" i="6"/>
  <c r="F24" i="6" s="1"/>
  <c r="E23" i="6"/>
  <c r="E24" i="6" s="1"/>
  <c r="C30" i="11"/>
  <c r="D106" i="4"/>
  <c r="B32" i="11" s="1"/>
  <c r="E20" i="2"/>
  <c r="E44" i="2" s="1"/>
  <c r="C52" i="2"/>
  <c r="F39" i="9" s="1"/>
  <c r="D9" i="8"/>
  <c r="E9" i="8"/>
  <c r="D15" i="1"/>
  <c r="D20" i="2"/>
  <c r="D44" i="2" s="1"/>
  <c r="H26" i="1"/>
  <c r="G28" i="1"/>
  <c r="F28" i="1"/>
  <c r="G23" i="1"/>
  <c r="H21" i="1"/>
  <c r="F23" i="1"/>
  <c r="H8" i="1"/>
  <c r="D33" i="4"/>
  <c r="D175" i="4" l="1"/>
  <c r="B34" i="11" s="1"/>
  <c r="B12" i="52"/>
  <c r="B29" i="52"/>
  <c r="D163" i="4"/>
  <c r="C29" i="52"/>
  <c r="C31" i="52" s="1"/>
  <c r="C33" i="52" s="1"/>
  <c r="C12" i="52"/>
  <c r="C13" i="52" s="1"/>
  <c r="B12" i="60"/>
  <c r="B29" i="60"/>
  <c r="C29" i="63"/>
  <c r="C31" i="63" s="1"/>
  <c r="C33" i="63" s="1"/>
  <c r="C12" i="63"/>
  <c r="C13" i="63" s="1"/>
  <c r="C29" i="60"/>
  <c r="C31" i="60" s="1"/>
  <c r="C33" i="60" s="1"/>
  <c r="C12" i="60"/>
  <c r="C13" i="60" s="1"/>
  <c r="E138" i="34"/>
  <c r="E141" i="34" s="1"/>
  <c r="E141" i="4"/>
  <c r="E144" i="4" s="1"/>
  <c r="B29" i="63"/>
  <c r="B12" i="63"/>
  <c r="E206" i="34"/>
  <c r="E209" i="34" s="1"/>
  <c r="E210" i="4"/>
  <c r="E213" i="4" s="1"/>
  <c r="C339" i="29"/>
  <c r="C533" i="29" s="1"/>
  <c r="C350" i="29"/>
  <c r="C547" i="29" s="1"/>
  <c r="C551" i="29" s="1"/>
  <c r="C552" i="29" s="1"/>
  <c r="C541" i="29" s="1"/>
  <c r="C659" i="29"/>
  <c r="C341" i="29"/>
  <c r="C667" i="29"/>
  <c r="C670" i="29" s="1"/>
  <c r="C867" i="29" s="1"/>
  <c r="C871" i="29" s="1"/>
  <c r="C872" i="29" s="1"/>
  <c r="D206" i="4"/>
  <c r="D141" i="4"/>
  <c r="D144" i="4" s="1"/>
  <c r="D146" i="4" s="1"/>
  <c r="E145" i="4" s="1"/>
  <c r="D138" i="34"/>
  <c r="D141" i="34" s="1"/>
  <c r="D143" i="34" s="1"/>
  <c r="E142" i="34" s="1"/>
  <c r="C29" i="37"/>
  <c r="C31" i="37" s="1"/>
  <c r="C33" i="37" s="1"/>
  <c r="C12" i="37"/>
  <c r="C13" i="37" s="1"/>
  <c r="C29" i="41"/>
  <c r="C31" i="41" s="1"/>
  <c r="C33" i="41" s="1"/>
  <c r="C12" i="41"/>
  <c r="C13" i="41" s="1"/>
  <c r="B12" i="41"/>
  <c r="B29" i="41"/>
  <c r="B29" i="37"/>
  <c r="B12" i="37"/>
  <c r="E111" i="14"/>
  <c r="E111" i="36"/>
  <c r="E65" i="14"/>
  <c r="E65" i="36"/>
  <c r="B12" i="3"/>
  <c r="B29" i="3"/>
  <c r="C12" i="3"/>
  <c r="C29" i="3"/>
  <c r="C31" i="3" s="1"/>
  <c r="E38" i="4"/>
  <c r="B12" i="28"/>
  <c r="E8" i="26"/>
  <c r="E9" i="26"/>
  <c r="E30" i="1"/>
  <c r="C11" i="16"/>
  <c r="C12" i="16" s="1"/>
  <c r="D5" i="16" s="1"/>
  <c r="C28" i="16"/>
  <c r="C30" i="16" s="1"/>
  <c r="C32" i="16" s="1"/>
  <c r="C91" i="14"/>
  <c r="C90" i="14"/>
  <c r="F30" i="1"/>
  <c r="C117" i="1"/>
  <c r="C118" i="1" s="1"/>
  <c r="C134" i="14"/>
  <c r="C79" i="1"/>
  <c r="C80" i="1"/>
  <c r="C21" i="14"/>
  <c r="C37" i="14" s="1"/>
  <c r="D48" i="2"/>
  <c r="D126" i="2"/>
  <c r="D97" i="1"/>
  <c r="D73" i="2"/>
  <c r="D56" i="1"/>
  <c r="D108" i="4"/>
  <c r="D113" i="4" s="1"/>
  <c r="B31" i="11"/>
  <c r="D177" i="4"/>
  <c r="D182" i="4" s="1"/>
  <c r="B33" i="11"/>
  <c r="F69" i="35"/>
  <c r="F68" i="2"/>
  <c r="F68" i="35" s="1"/>
  <c r="E106" i="4"/>
  <c r="B32" i="28" s="1"/>
  <c r="F121" i="2"/>
  <c r="F121" i="35" s="1"/>
  <c r="E175" i="4"/>
  <c r="F60" i="2"/>
  <c r="F60" i="35" s="1"/>
  <c r="F113" i="2"/>
  <c r="F113" i="35" s="1"/>
  <c r="C33" i="11"/>
  <c r="C20" i="8"/>
  <c r="C13" i="8"/>
  <c r="E15" i="1"/>
  <c r="I26" i="1"/>
  <c r="H28" i="1"/>
  <c r="G30" i="1"/>
  <c r="H23" i="1"/>
  <c r="I21" i="1"/>
  <c r="I8" i="1"/>
  <c r="D38" i="4"/>
  <c r="C529" i="29" l="1"/>
  <c r="C544" i="29"/>
  <c r="E146" i="4"/>
  <c r="C340" i="29"/>
  <c r="C537" i="29"/>
  <c r="C534" i="29" s="1"/>
  <c r="C532" i="29"/>
  <c r="C530" i="29" s="1"/>
  <c r="C574" i="29"/>
  <c r="B31" i="63"/>
  <c r="B33" i="63" s="1"/>
  <c r="B13" i="63"/>
  <c r="B31" i="60"/>
  <c r="B33" i="60" s="1"/>
  <c r="B13" i="60"/>
  <c r="D10" i="63"/>
  <c r="D10" i="60"/>
  <c r="E143" i="34"/>
  <c r="B31" i="52"/>
  <c r="B33" i="52" s="1"/>
  <c r="B13" i="52"/>
  <c r="D44" i="60"/>
  <c r="D78" i="60"/>
  <c r="C352" i="29"/>
  <c r="C354" i="29" s="1"/>
  <c r="C355" i="29" s="1"/>
  <c r="C528" i="29"/>
  <c r="C864" i="29"/>
  <c r="C861" i="29"/>
  <c r="C894" i="29"/>
  <c r="D202" i="34"/>
  <c r="D206" i="34" s="1"/>
  <c r="D209" i="34" s="1"/>
  <c r="D211" i="34" s="1"/>
  <c r="E210" i="34" s="1"/>
  <c r="E211" i="34" s="1"/>
  <c r="D210" i="4"/>
  <c r="D213" i="4" s="1"/>
  <c r="D215" i="4" s="1"/>
  <c r="E214" i="4" s="1"/>
  <c r="E215" i="4" s="1"/>
  <c r="C853" i="29"/>
  <c r="C672" i="29"/>
  <c r="C852" i="29"/>
  <c r="C857" i="29"/>
  <c r="C854" i="29" s="1"/>
  <c r="C660" i="29"/>
  <c r="C849" i="29"/>
  <c r="C848" i="29"/>
  <c r="C661" i="29"/>
  <c r="B31" i="37"/>
  <c r="B33" i="37" s="1"/>
  <c r="B13" i="37"/>
  <c r="B31" i="41"/>
  <c r="B33" i="41" s="1"/>
  <c r="B13" i="41"/>
  <c r="D78" i="41"/>
  <c r="D187" i="4"/>
  <c r="D118" i="4"/>
  <c r="D44" i="41"/>
  <c r="D10" i="41"/>
  <c r="F65" i="14"/>
  <c r="F111" i="14"/>
  <c r="E43" i="4"/>
  <c r="B45" i="28" s="1"/>
  <c r="D184" i="4"/>
  <c r="D189" i="4"/>
  <c r="D193" i="4" s="1"/>
  <c r="D120" i="4"/>
  <c r="D124" i="4" s="1"/>
  <c r="D115" i="4"/>
  <c r="D150" i="2"/>
  <c r="D154" i="2" s="1"/>
  <c r="D97" i="2"/>
  <c r="D101" i="2" s="1"/>
  <c r="E4" i="6"/>
  <c r="E10" i="6" s="1"/>
  <c r="E12" i="6" s="1"/>
  <c r="E19" i="6"/>
  <c r="E39" i="6" s="1"/>
  <c r="E40" i="4"/>
  <c r="D78" i="3"/>
  <c r="D44" i="3"/>
  <c r="D43" i="4"/>
  <c r="E44" i="19" s="1"/>
  <c r="E45" i="19" s="1"/>
  <c r="D4" i="6"/>
  <c r="D10" i="6" s="1"/>
  <c r="D12" i="6" s="1"/>
  <c r="D10" i="3"/>
  <c r="D19" i="6"/>
  <c r="D39" i="6" s="1"/>
  <c r="D43" i="6" s="1"/>
  <c r="E41" i="6" s="1"/>
  <c r="C16" i="11"/>
  <c r="E43" i="8" s="1"/>
  <c r="C12" i="11"/>
  <c r="E33" i="8" s="1"/>
  <c r="B13" i="3"/>
  <c r="B31" i="3"/>
  <c r="B33" i="3" s="1"/>
  <c r="C24" i="11"/>
  <c r="D45" i="4"/>
  <c r="D49" i="4" s="1"/>
  <c r="C34" i="11"/>
  <c r="B34" i="28"/>
  <c r="C13" i="11"/>
  <c r="E38" i="8" s="1"/>
  <c r="E45" i="4"/>
  <c r="E49" i="4" s="1"/>
  <c r="B24" i="28"/>
  <c r="E10" i="3"/>
  <c r="E10" i="37" s="1"/>
  <c r="E6" i="26"/>
  <c r="C32" i="11"/>
  <c r="C136" i="14"/>
  <c r="C137" i="14"/>
  <c r="E52" i="3"/>
  <c r="E55" i="3" s="1"/>
  <c r="E56" i="3" s="1"/>
  <c r="E87" i="62" s="1"/>
  <c r="C121" i="1"/>
  <c r="C120" i="1"/>
  <c r="D7" i="16"/>
  <c r="D12" i="16" s="1"/>
  <c r="D24" i="16"/>
  <c r="D26" i="16" s="1"/>
  <c r="D32" i="16" s="1"/>
  <c r="D12" i="14"/>
  <c r="D5" i="8" s="1"/>
  <c r="B20" i="11"/>
  <c r="D48" i="8" s="1"/>
  <c r="E18" i="3"/>
  <c r="E21" i="3" s="1"/>
  <c r="E22" i="3" s="1"/>
  <c r="D52" i="2"/>
  <c r="B12" i="11"/>
  <c r="D33" i="8" s="1"/>
  <c r="E46" i="2"/>
  <c r="E48" i="2" s="1"/>
  <c r="F46" i="2" s="1"/>
  <c r="D104" i="14"/>
  <c r="D113" i="14" s="1"/>
  <c r="D129" i="14" s="1"/>
  <c r="D93" i="1"/>
  <c r="D99" i="1" s="1"/>
  <c r="D113" i="1" s="1"/>
  <c r="E126" i="2"/>
  <c r="E150" i="2" s="1"/>
  <c r="E73" i="2"/>
  <c r="E97" i="2" s="1"/>
  <c r="F118" i="35"/>
  <c r="F114" i="2"/>
  <c r="F114" i="35" s="1"/>
  <c r="F72" i="2"/>
  <c r="F72" i="35" s="1"/>
  <c r="E56" i="1"/>
  <c r="D52" i="1"/>
  <c r="D58" i="1" s="1"/>
  <c r="D72" i="1" s="1"/>
  <c r="F116" i="2"/>
  <c r="F116" i="35" s="1"/>
  <c r="F122" i="35"/>
  <c r="F61" i="2"/>
  <c r="F61" i="35" s="1"/>
  <c r="F125" i="2"/>
  <c r="F125" i="35" s="1"/>
  <c r="F65" i="35"/>
  <c r="E97" i="1"/>
  <c r="B26" i="11"/>
  <c r="B25" i="11"/>
  <c r="E177" i="4"/>
  <c r="E182" i="4" s="1"/>
  <c r="G113" i="2"/>
  <c r="G113" i="35" s="1"/>
  <c r="F106" i="4"/>
  <c r="B24" i="11"/>
  <c r="G60" i="2"/>
  <c r="G60" i="35" s="1"/>
  <c r="F175" i="4"/>
  <c r="E11" i="1"/>
  <c r="E20" i="8" s="1"/>
  <c r="E13" i="8"/>
  <c r="D11" i="1"/>
  <c r="D20" i="8" s="1"/>
  <c r="D13" i="8"/>
  <c r="F15" i="1"/>
  <c r="J26" i="1"/>
  <c r="I28" i="1"/>
  <c r="H30" i="1"/>
  <c r="I23" i="1"/>
  <c r="J21" i="1"/>
  <c r="J8" i="1"/>
  <c r="D40" i="4"/>
  <c r="C526" i="29" l="1"/>
  <c r="D29" i="52"/>
  <c r="D31" i="52" s="1"/>
  <c r="D33" i="52" s="1"/>
  <c r="D45" i="51" s="1"/>
  <c r="D12" i="52"/>
  <c r="D13" i="52" s="1"/>
  <c r="D29" i="60"/>
  <c r="D31" i="60" s="1"/>
  <c r="D33" i="60" s="1"/>
  <c r="D12" i="60"/>
  <c r="D13" i="60" s="1"/>
  <c r="D29" i="63"/>
  <c r="D31" i="63" s="1"/>
  <c r="D33" i="63" s="1"/>
  <c r="D12" i="63"/>
  <c r="D13" i="63" s="1"/>
  <c r="E12" i="52"/>
  <c r="E29" i="52"/>
  <c r="E31" i="52" s="1"/>
  <c r="E12" i="63"/>
  <c r="E29" i="63"/>
  <c r="E31" i="63" s="1"/>
  <c r="C353" i="29"/>
  <c r="D63" i="52"/>
  <c r="D65" i="52" s="1"/>
  <c r="D67" i="52" s="1"/>
  <c r="D91" i="51" s="1"/>
  <c r="D46" i="52"/>
  <c r="D47" i="52" s="1"/>
  <c r="D63" i="60"/>
  <c r="D65" i="60" s="1"/>
  <c r="D67" i="60" s="1"/>
  <c r="D46" i="60"/>
  <c r="D47" i="60" s="1"/>
  <c r="D63" i="63"/>
  <c r="D65" i="63" s="1"/>
  <c r="D67" i="63" s="1"/>
  <c r="D91" i="62" s="1"/>
  <c r="D46" i="63"/>
  <c r="D47" i="63" s="1"/>
  <c r="D97" i="52"/>
  <c r="D99" i="52" s="1"/>
  <c r="D101" i="52" s="1"/>
  <c r="D137" i="51" s="1"/>
  <c r="D80" i="52"/>
  <c r="D81" i="52" s="1"/>
  <c r="D97" i="60"/>
  <c r="D99" i="60" s="1"/>
  <c r="D101" i="60" s="1"/>
  <c r="D80" i="60"/>
  <c r="D81" i="60" s="1"/>
  <c r="C850" i="29"/>
  <c r="D97" i="63"/>
  <c r="D99" i="63" s="1"/>
  <c r="D101" i="63" s="1"/>
  <c r="D137" i="62" s="1"/>
  <c r="D80" i="63"/>
  <c r="D81" i="63" s="1"/>
  <c r="C846" i="29"/>
  <c r="B45" i="62"/>
  <c r="B45" i="51"/>
  <c r="C674" i="29"/>
  <c r="C675" i="29" s="1"/>
  <c r="C673" i="29"/>
  <c r="B45" i="14"/>
  <c r="B45" i="36"/>
  <c r="E29" i="3"/>
  <c r="E31" i="3" s="1"/>
  <c r="E6" i="3"/>
  <c r="E6" i="37" s="1"/>
  <c r="D29" i="41"/>
  <c r="D31" i="41" s="1"/>
  <c r="D33" i="41" s="1"/>
  <c r="D12" i="41"/>
  <c r="D13" i="41" s="1"/>
  <c r="D29" i="37"/>
  <c r="D31" i="37" s="1"/>
  <c r="D33" i="37" s="1"/>
  <c r="D45" i="36" s="1"/>
  <c r="D12" i="37"/>
  <c r="D13" i="37" s="1"/>
  <c r="D63" i="37"/>
  <c r="D65" i="37" s="1"/>
  <c r="D67" i="37" s="1"/>
  <c r="D91" i="36" s="1"/>
  <c r="D46" i="37"/>
  <c r="D47" i="37" s="1"/>
  <c r="D46" i="41"/>
  <c r="D47" i="41" s="1"/>
  <c r="D63" i="41"/>
  <c r="D65" i="41" s="1"/>
  <c r="D67" i="41" s="1"/>
  <c r="D80" i="37"/>
  <c r="D81" i="37" s="1"/>
  <c r="D97" i="37"/>
  <c r="D99" i="37" s="1"/>
  <c r="D101" i="37" s="1"/>
  <c r="D137" i="36" s="1"/>
  <c r="D97" i="41"/>
  <c r="D99" i="41" s="1"/>
  <c r="D101" i="41" s="1"/>
  <c r="D80" i="41"/>
  <c r="D81" i="41" s="1"/>
  <c r="G65" i="14"/>
  <c r="G111" i="14"/>
  <c r="B13" i="28"/>
  <c r="F44" i="19"/>
  <c r="F45" i="19" s="1"/>
  <c r="E187" i="4"/>
  <c r="B47" i="28" s="1"/>
  <c r="E12" i="41"/>
  <c r="E13" i="41" s="1"/>
  <c r="F6" i="41" s="1"/>
  <c r="E29" i="41"/>
  <c r="E184" i="4"/>
  <c r="E189" i="4"/>
  <c r="E193" i="4" s="1"/>
  <c r="E43" i="6"/>
  <c r="F41" i="6" s="1"/>
  <c r="E152" i="2"/>
  <c r="E154" i="2" s="1"/>
  <c r="D158" i="2"/>
  <c r="B40" i="11" s="1"/>
  <c r="D58" i="14"/>
  <c r="D67" i="14" s="1"/>
  <c r="D83" i="14" s="1"/>
  <c r="E99" i="2"/>
  <c r="D105" i="2"/>
  <c r="B39" i="11" s="1"/>
  <c r="D21" i="14"/>
  <c r="D37" i="14" s="1"/>
  <c r="E12" i="3"/>
  <c r="B13" i="11"/>
  <c r="D38" i="8" s="1"/>
  <c r="D46" i="3"/>
  <c r="D47" i="3" s="1"/>
  <c r="D63" i="3"/>
  <c r="D65" i="3" s="1"/>
  <c r="D67" i="3" s="1"/>
  <c r="C25" i="3"/>
  <c r="C27" i="3" s="1"/>
  <c r="C33" i="3" s="1"/>
  <c r="C8" i="3"/>
  <c r="C13" i="3" s="1"/>
  <c r="D97" i="3"/>
  <c r="D99" i="3" s="1"/>
  <c r="D101" i="3" s="1"/>
  <c r="D80" i="3"/>
  <c r="D81" i="3" s="1"/>
  <c r="D29" i="3"/>
  <c r="D31" i="3" s="1"/>
  <c r="D12" i="3"/>
  <c r="D34" i="11"/>
  <c r="C34" i="28"/>
  <c r="D32" i="11"/>
  <c r="C32" i="28"/>
  <c r="B26" i="28"/>
  <c r="D88" i="14"/>
  <c r="B16" i="11"/>
  <c r="D43" i="8" s="1"/>
  <c r="D71" i="4"/>
  <c r="D34" i="1"/>
  <c r="E5" i="16"/>
  <c r="F50" i="3"/>
  <c r="F52" i="3" s="1"/>
  <c r="F55" i="3" s="1"/>
  <c r="F56" i="3" s="1"/>
  <c r="E87" i="14"/>
  <c r="E87" i="36" s="1"/>
  <c r="E86" i="3"/>
  <c r="E89" i="3" s="1"/>
  <c r="D134" i="14"/>
  <c r="D136" i="14" s="1"/>
  <c r="B38" i="11"/>
  <c r="H39" i="9"/>
  <c r="H35" i="9" s="1"/>
  <c r="E52" i="2"/>
  <c r="B38" i="28" s="1"/>
  <c r="F16" i="3"/>
  <c r="F11" i="1"/>
  <c r="F20" i="8" s="1"/>
  <c r="G69" i="35"/>
  <c r="E101" i="2"/>
  <c r="E17" i="1"/>
  <c r="E31" i="1" s="1"/>
  <c r="G125" i="2"/>
  <c r="G125" i="35" s="1"/>
  <c r="H69" i="35"/>
  <c r="G116" i="2"/>
  <c r="G116" i="35" s="1"/>
  <c r="G118" i="35"/>
  <c r="E78" i="3"/>
  <c r="E78" i="37" s="1"/>
  <c r="E97" i="37" s="1"/>
  <c r="F97" i="1"/>
  <c r="D118" i="1"/>
  <c r="D121" i="1" s="1"/>
  <c r="G72" i="2"/>
  <c r="G72" i="35" s="1"/>
  <c r="D77" i="1"/>
  <c r="D80" i="1" s="1"/>
  <c r="G65" i="35"/>
  <c r="G61" i="2"/>
  <c r="G61" i="35" s="1"/>
  <c r="G122" i="35"/>
  <c r="G114" i="2"/>
  <c r="G114" i="35" s="1"/>
  <c r="E93" i="1"/>
  <c r="E99" i="1" s="1"/>
  <c r="E113" i="1" s="1"/>
  <c r="E52" i="1"/>
  <c r="E58" i="1" s="1"/>
  <c r="E72" i="1" s="1"/>
  <c r="F56" i="1"/>
  <c r="C26" i="11"/>
  <c r="D17" i="1"/>
  <c r="D31" i="1" s="1"/>
  <c r="F13" i="8"/>
  <c r="H113" i="2"/>
  <c r="H113" i="35" s="1"/>
  <c r="H60" i="2"/>
  <c r="H60" i="35" s="1"/>
  <c r="G15" i="1"/>
  <c r="K26" i="1"/>
  <c r="J28" i="1"/>
  <c r="I30" i="1"/>
  <c r="K21" i="1"/>
  <c r="J23" i="1"/>
  <c r="K8" i="1"/>
  <c r="E31" i="41" l="1"/>
  <c r="E33" i="41" s="1"/>
  <c r="E29" i="37"/>
  <c r="E74" i="52"/>
  <c r="E8" i="52"/>
  <c r="E13" i="52" s="1"/>
  <c r="F6" i="52" s="1"/>
  <c r="E25" i="52"/>
  <c r="E27" i="52" s="1"/>
  <c r="E33" i="52" s="1"/>
  <c r="E45" i="51" s="1"/>
  <c r="E40" i="63"/>
  <c r="E74" i="63"/>
  <c r="E8" i="63"/>
  <c r="E13" i="63" s="1"/>
  <c r="F6" i="63" s="1"/>
  <c r="E25" i="63"/>
  <c r="E27" i="63" s="1"/>
  <c r="E33" i="63" s="1"/>
  <c r="E97" i="52"/>
  <c r="E99" i="52" s="1"/>
  <c r="E80" i="52"/>
  <c r="E97" i="63"/>
  <c r="E99" i="63" s="1"/>
  <c r="E80" i="63"/>
  <c r="C45" i="62"/>
  <c r="C45" i="51"/>
  <c r="C45" i="36"/>
  <c r="E8" i="37"/>
  <c r="E74" i="3"/>
  <c r="E74" i="37" s="1"/>
  <c r="E40" i="3"/>
  <c r="E40" i="37" s="1"/>
  <c r="F18" i="3"/>
  <c r="F21" i="3" s="1"/>
  <c r="F22" i="3" s="1"/>
  <c r="F16" i="37"/>
  <c r="F18" i="37" s="1"/>
  <c r="E90" i="3"/>
  <c r="E90" i="37"/>
  <c r="F152" i="2"/>
  <c r="E158" i="2"/>
  <c r="B40" i="28" s="1"/>
  <c r="E104" i="14"/>
  <c r="E113" i="14" s="1"/>
  <c r="E129" i="14" s="1"/>
  <c r="E104" i="36"/>
  <c r="E113" i="36" s="1"/>
  <c r="E129" i="36" s="1"/>
  <c r="H111" i="14"/>
  <c r="H65" i="14"/>
  <c r="E31" i="37"/>
  <c r="E12" i="37"/>
  <c r="F25" i="41"/>
  <c r="F8" i="41"/>
  <c r="E99" i="41"/>
  <c r="E101" i="41" s="1"/>
  <c r="E80" i="41"/>
  <c r="E81" i="41" s="1"/>
  <c r="F74" i="41" s="1"/>
  <c r="D90" i="14"/>
  <c r="D91" i="14"/>
  <c r="C42" i="14"/>
  <c r="C34" i="1"/>
  <c r="C36" i="1" s="1"/>
  <c r="B20" i="28"/>
  <c r="C20" i="11"/>
  <c r="E48" i="8" s="1"/>
  <c r="H13" i="27"/>
  <c r="E70" i="4"/>
  <c r="E71" i="4" s="1"/>
  <c r="B16" i="28" s="1"/>
  <c r="J30" i="1"/>
  <c r="D137" i="14"/>
  <c r="E12" i="14"/>
  <c r="E5" i="8" s="1"/>
  <c r="F62" i="2"/>
  <c r="F62" i="35" s="1"/>
  <c r="F9" i="2"/>
  <c r="F9" i="35" s="1"/>
  <c r="F84" i="3"/>
  <c r="F84" i="37" s="1"/>
  <c r="E133" i="14"/>
  <c r="E133" i="36" s="1"/>
  <c r="E24" i="16"/>
  <c r="E26" i="16" s="1"/>
  <c r="E32" i="16" s="1"/>
  <c r="E7" i="16"/>
  <c r="E12" i="16" s="1"/>
  <c r="G50" i="3"/>
  <c r="G52" i="3" s="1"/>
  <c r="G55" i="3" s="1"/>
  <c r="G56" i="3" s="1"/>
  <c r="F87" i="14"/>
  <c r="F87" i="36" s="1"/>
  <c r="C38" i="11"/>
  <c r="J39" i="9"/>
  <c r="J35" i="9" s="1"/>
  <c r="J37" i="9" s="1"/>
  <c r="F41" i="14"/>
  <c r="F41" i="36" s="1"/>
  <c r="G16" i="3"/>
  <c r="F17" i="1"/>
  <c r="F31" i="1" s="1"/>
  <c r="F99" i="2"/>
  <c r="E105" i="2"/>
  <c r="B39" i="28" s="1"/>
  <c r="D79" i="1"/>
  <c r="H61" i="2"/>
  <c r="H61" i="35" s="1"/>
  <c r="D120" i="1"/>
  <c r="E80" i="3"/>
  <c r="E97" i="3"/>
  <c r="E99" i="3" s="1"/>
  <c r="H116" i="2"/>
  <c r="H116" i="35" s="1"/>
  <c r="H125" i="2"/>
  <c r="H125" i="35" s="1"/>
  <c r="H72" i="2"/>
  <c r="H72" i="35" s="1"/>
  <c r="G97" i="1"/>
  <c r="H114" i="2"/>
  <c r="H114" i="35" s="1"/>
  <c r="H122" i="35"/>
  <c r="H65" i="35"/>
  <c r="H118" i="35"/>
  <c r="I69" i="35"/>
  <c r="G56" i="1"/>
  <c r="I60" i="2"/>
  <c r="I60" i="35" s="1"/>
  <c r="I113" i="2"/>
  <c r="I113" i="35" s="1"/>
  <c r="D36" i="1"/>
  <c r="D39" i="1" s="1"/>
  <c r="H15" i="1"/>
  <c r="L26" i="1"/>
  <c r="K28" i="1"/>
  <c r="K23" i="1"/>
  <c r="L21" i="1"/>
  <c r="L8" i="1"/>
  <c r="F21" i="37" l="1"/>
  <c r="F22" i="37" s="1"/>
  <c r="F25" i="63"/>
  <c r="F27" i="63" s="1"/>
  <c r="F8" i="63"/>
  <c r="E59" i="63"/>
  <c r="E61" i="63" s="1"/>
  <c r="E42" i="63"/>
  <c r="F8" i="52"/>
  <c r="F25" i="52"/>
  <c r="F27" i="52" s="1"/>
  <c r="E93" i="63"/>
  <c r="E95" i="63" s="1"/>
  <c r="E101" i="63" s="1"/>
  <c r="E76" i="63"/>
  <c r="E81" i="63" s="1"/>
  <c r="E93" i="52"/>
  <c r="E95" i="52" s="1"/>
  <c r="E76" i="52"/>
  <c r="E81" i="52" s="1"/>
  <c r="E101" i="52"/>
  <c r="E59" i="52"/>
  <c r="E61" i="52" s="1"/>
  <c r="E42" i="52"/>
  <c r="C40" i="11"/>
  <c r="E13" i="37"/>
  <c r="E76" i="3"/>
  <c r="E81" i="3" s="1"/>
  <c r="E42" i="3"/>
  <c r="E93" i="3"/>
  <c r="E95" i="3" s="1"/>
  <c r="E101" i="3" s="1"/>
  <c r="E59" i="3"/>
  <c r="E61" i="3" s="1"/>
  <c r="F20" i="2"/>
  <c r="F44" i="2" s="1"/>
  <c r="F48" i="2" s="1"/>
  <c r="F20" i="35"/>
  <c r="F44" i="35" s="1"/>
  <c r="F48" i="35" s="1"/>
  <c r="E76" i="37"/>
  <c r="E93" i="37"/>
  <c r="E95" i="37" s="1"/>
  <c r="E42" i="37"/>
  <c r="E59" i="37"/>
  <c r="E61" i="37" s="1"/>
  <c r="G18" i="3"/>
  <c r="G21" i="3" s="1"/>
  <c r="G22" i="3" s="1"/>
  <c r="G16" i="37"/>
  <c r="G18" i="37" s="1"/>
  <c r="F86" i="3"/>
  <c r="F89" i="3" s="1"/>
  <c r="F86" i="37"/>
  <c r="F89" i="37" s="1"/>
  <c r="E58" i="14"/>
  <c r="E67" i="14" s="1"/>
  <c r="E83" i="14" s="1"/>
  <c r="E58" i="36"/>
  <c r="E67" i="36" s="1"/>
  <c r="E83" i="36" s="1"/>
  <c r="I111" i="14"/>
  <c r="I65" i="14"/>
  <c r="E80" i="37"/>
  <c r="E99" i="37"/>
  <c r="F27" i="41"/>
  <c r="F76" i="41"/>
  <c r="F81" i="41" s="1"/>
  <c r="F134" i="59" s="1"/>
  <c r="F136" i="59" s="1"/>
  <c r="F93" i="41"/>
  <c r="F95" i="41" s="1"/>
  <c r="F101" i="41" s="1"/>
  <c r="C39" i="1"/>
  <c r="C38" i="1"/>
  <c r="C44" i="14"/>
  <c r="C45" i="14"/>
  <c r="D8" i="3"/>
  <c r="D13" i="3" s="1"/>
  <c r="E25" i="3" s="1"/>
  <c r="E25" i="37" s="1"/>
  <c r="D25" i="3"/>
  <c r="D27" i="3" s="1"/>
  <c r="D33" i="3" s="1"/>
  <c r="F9" i="27"/>
  <c r="C29" i="28"/>
  <c r="F7" i="27"/>
  <c r="F10" i="27"/>
  <c r="C39" i="11"/>
  <c r="E21" i="14"/>
  <c r="E37" i="14" s="1"/>
  <c r="D42" i="14"/>
  <c r="D44" i="14" s="1"/>
  <c r="F115" i="2"/>
  <c r="F115" i="35" s="1"/>
  <c r="C33" i="28"/>
  <c r="F7" i="8"/>
  <c r="F33" i="4"/>
  <c r="F9" i="8"/>
  <c r="F10" i="8"/>
  <c r="D29" i="11"/>
  <c r="E34" i="1"/>
  <c r="F5" i="16"/>
  <c r="H50" i="3"/>
  <c r="H52" i="3" s="1"/>
  <c r="H55" i="3" s="1"/>
  <c r="H56" i="3" s="1"/>
  <c r="G87" i="14"/>
  <c r="G87" i="36" s="1"/>
  <c r="K30" i="1"/>
  <c r="G41" i="14"/>
  <c r="G41" i="36" s="1"/>
  <c r="H16" i="3"/>
  <c r="H11" i="1"/>
  <c r="H20" i="8" s="1"/>
  <c r="G11" i="1"/>
  <c r="G20" i="8" s="1"/>
  <c r="F93" i="1"/>
  <c r="F99" i="1" s="1"/>
  <c r="F113" i="1" s="1"/>
  <c r="H97" i="1"/>
  <c r="H56" i="1"/>
  <c r="J69" i="35"/>
  <c r="I65" i="35"/>
  <c r="I114" i="2"/>
  <c r="I114" i="35" s="1"/>
  <c r="I116" i="2"/>
  <c r="I116" i="35" s="1"/>
  <c r="I72" i="2"/>
  <c r="I72" i="35" s="1"/>
  <c r="I118" i="35"/>
  <c r="I122" i="35"/>
  <c r="I125" i="2"/>
  <c r="I125" i="35" s="1"/>
  <c r="I61" i="2"/>
  <c r="I61" i="35" s="1"/>
  <c r="J113" i="2"/>
  <c r="J113" i="35" s="1"/>
  <c r="J60" i="2"/>
  <c r="J60" i="35" s="1"/>
  <c r="I11" i="1"/>
  <c r="I20" i="8" s="1"/>
  <c r="D38" i="1"/>
  <c r="I15" i="1"/>
  <c r="M26" i="1"/>
  <c r="L28" i="1"/>
  <c r="L23" i="1"/>
  <c r="M21" i="1"/>
  <c r="M8" i="1"/>
  <c r="N8" i="1" s="1"/>
  <c r="O8" i="1" s="1"/>
  <c r="G21" i="37" l="1"/>
  <c r="G22" i="37" s="1"/>
  <c r="F74" i="63"/>
  <c r="F76" i="63" s="1"/>
  <c r="E132" i="62"/>
  <c r="E134" i="62" s="1"/>
  <c r="E137" i="62" s="1"/>
  <c r="F74" i="52"/>
  <c r="F93" i="52" s="1"/>
  <c r="F95" i="52" s="1"/>
  <c r="E132" i="51"/>
  <c r="E134" i="51" s="1"/>
  <c r="E137" i="51" s="1"/>
  <c r="F12" i="51"/>
  <c r="F21" i="51" s="1"/>
  <c r="F37" i="51" s="1"/>
  <c r="F12" i="62"/>
  <c r="F21" i="62" s="1"/>
  <c r="F37" i="62" s="1"/>
  <c r="D45" i="62"/>
  <c r="G74" i="41"/>
  <c r="F132" i="40"/>
  <c r="E101" i="37"/>
  <c r="E81" i="37"/>
  <c r="F126" i="2"/>
  <c r="F150" i="2" s="1"/>
  <c r="F154" i="2" s="1"/>
  <c r="F126" i="35"/>
  <c r="F150" i="35" s="1"/>
  <c r="F154" i="35" s="1"/>
  <c r="F52" i="35"/>
  <c r="G46" i="35"/>
  <c r="H18" i="3"/>
  <c r="H21" i="3" s="1"/>
  <c r="H22" i="3" s="1"/>
  <c r="H16" i="37"/>
  <c r="H18" i="37" s="1"/>
  <c r="F90" i="3"/>
  <c r="F90" i="37"/>
  <c r="E27" i="3"/>
  <c r="E33" i="3" s="1"/>
  <c r="E27" i="37"/>
  <c r="E33" i="37" s="1"/>
  <c r="E45" i="36" s="1"/>
  <c r="J65" i="14"/>
  <c r="J111" i="14"/>
  <c r="E134" i="40"/>
  <c r="F52" i="2"/>
  <c r="F7" i="14"/>
  <c r="G46" i="2"/>
  <c r="E8" i="3"/>
  <c r="E13" i="3" s="1"/>
  <c r="E42" i="14" s="1"/>
  <c r="E44" i="14" s="1"/>
  <c r="F38" i="4"/>
  <c r="C12" i="28"/>
  <c r="M23" i="1"/>
  <c r="N21" i="1"/>
  <c r="M28" i="1"/>
  <c r="N26" i="1"/>
  <c r="D45" i="14"/>
  <c r="D33" i="11"/>
  <c r="F177" i="4"/>
  <c r="F182" i="4" s="1"/>
  <c r="H87" i="14"/>
  <c r="H87" i="36" s="1"/>
  <c r="I50" i="3"/>
  <c r="I52" i="3" s="1"/>
  <c r="I55" i="3" s="1"/>
  <c r="I56" i="3" s="1"/>
  <c r="F24" i="16"/>
  <c r="F26" i="16" s="1"/>
  <c r="F32" i="16" s="1"/>
  <c r="F7" i="16"/>
  <c r="F12" i="16" s="1"/>
  <c r="L30" i="1"/>
  <c r="H41" i="14"/>
  <c r="H41" i="36" s="1"/>
  <c r="I16" i="3"/>
  <c r="M30" i="1"/>
  <c r="H17" i="1"/>
  <c r="H31" i="1" s="1"/>
  <c r="F74" i="3"/>
  <c r="F74" i="37" s="1"/>
  <c r="E132" i="14"/>
  <c r="G17" i="1"/>
  <c r="G31" i="1" s="1"/>
  <c r="G93" i="1"/>
  <c r="G99" i="1" s="1"/>
  <c r="G113" i="1" s="1"/>
  <c r="E118" i="1"/>
  <c r="E36" i="1"/>
  <c r="I97" i="1"/>
  <c r="J61" i="2"/>
  <c r="J61" i="35" s="1"/>
  <c r="J118" i="35"/>
  <c r="J72" i="2"/>
  <c r="J72" i="35" s="1"/>
  <c r="J114" i="2"/>
  <c r="J114" i="35" s="1"/>
  <c r="K69" i="35"/>
  <c r="H93" i="1"/>
  <c r="H99" i="1" s="1"/>
  <c r="H113" i="1" s="1"/>
  <c r="J125" i="2"/>
  <c r="J125" i="35" s="1"/>
  <c r="J122" i="35"/>
  <c r="J116" i="2"/>
  <c r="J116" i="35" s="1"/>
  <c r="J65" i="35"/>
  <c r="I56" i="1"/>
  <c r="I17" i="1"/>
  <c r="I31" i="1" s="1"/>
  <c r="K60" i="2"/>
  <c r="K60" i="35" s="1"/>
  <c r="K113" i="2"/>
  <c r="K113" i="35" s="1"/>
  <c r="J11" i="1"/>
  <c r="J20" i="8" s="1"/>
  <c r="J15" i="1"/>
  <c r="F93" i="63" l="1"/>
  <c r="F95" i="63" s="1"/>
  <c r="E134" i="14"/>
  <c r="E132" i="36"/>
  <c r="E134" i="36" s="1"/>
  <c r="E137" i="36" s="1"/>
  <c r="G93" i="41"/>
  <c r="G95" i="41" s="1"/>
  <c r="G101" i="41" s="1"/>
  <c r="H21" i="37"/>
  <c r="H22" i="37" s="1"/>
  <c r="F76" i="52"/>
  <c r="D20" i="11"/>
  <c r="F48" i="8" s="1"/>
  <c r="F7" i="36"/>
  <c r="F12" i="36" s="1"/>
  <c r="F21" i="36" s="1"/>
  <c r="F37" i="36" s="1"/>
  <c r="G76" i="41"/>
  <c r="G81" i="41" s="1"/>
  <c r="G134" i="59" s="1"/>
  <c r="G136" i="59" s="1"/>
  <c r="F187" i="4"/>
  <c r="C47" i="28" s="1"/>
  <c r="B97" i="28" s="1"/>
  <c r="F104" i="51"/>
  <c r="F113" i="51" s="1"/>
  <c r="F129" i="51" s="1"/>
  <c r="F104" i="62"/>
  <c r="F113" i="62" s="1"/>
  <c r="F129" i="62" s="1"/>
  <c r="E136" i="62"/>
  <c r="E45" i="14"/>
  <c r="E45" i="62"/>
  <c r="E136" i="51"/>
  <c r="C20" i="28"/>
  <c r="C38" i="28"/>
  <c r="F158" i="35"/>
  <c r="G152" i="35"/>
  <c r="F43" i="4"/>
  <c r="C45" i="28" s="1"/>
  <c r="B95" i="28" s="1"/>
  <c r="G84" i="3"/>
  <c r="G84" i="37" s="1"/>
  <c r="F133" i="14"/>
  <c r="F133" i="36" s="1"/>
  <c r="I18" i="3"/>
  <c r="I21" i="3" s="1"/>
  <c r="I22" i="3" s="1"/>
  <c r="I41" i="14" s="1"/>
  <c r="I41" i="36" s="1"/>
  <c r="I16" i="37"/>
  <c r="I18" i="37" s="1"/>
  <c r="F12" i="14"/>
  <c r="F26" i="27" s="1"/>
  <c r="F30" i="27" s="1"/>
  <c r="F21" i="27" s="1"/>
  <c r="F24" i="27" s="1"/>
  <c r="F5" i="27" s="1"/>
  <c r="D38" i="11"/>
  <c r="L39" i="9"/>
  <c r="L35" i="9" s="1"/>
  <c r="L37" i="9" s="1"/>
  <c r="F104" i="40"/>
  <c r="F113" i="40" s="1"/>
  <c r="F129" i="40" s="1"/>
  <c r="I13" i="27"/>
  <c r="K111" i="14"/>
  <c r="K65" i="14"/>
  <c r="E136" i="40"/>
  <c r="F93" i="3"/>
  <c r="F95" i="3" s="1"/>
  <c r="F184" i="4"/>
  <c r="F189" i="4"/>
  <c r="F193" i="4" s="1"/>
  <c r="F19" i="6"/>
  <c r="F39" i="6" s="1"/>
  <c r="F43" i="6" s="1"/>
  <c r="G41" i="6" s="1"/>
  <c r="F6" i="3"/>
  <c r="F10" i="3"/>
  <c r="D24" i="11"/>
  <c r="F4" i="6"/>
  <c r="F10" i="6" s="1"/>
  <c r="F12" i="6" s="1"/>
  <c r="F158" i="2"/>
  <c r="C40" i="28" s="1"/>
  <c r="G152" i="2"/>
  <c r="F99" i="14"/>
  <c r="F40" i="4"/>
  <c r="D12" i="11"/>
  <c r="F33" i="8" s="1"/>
  <c r="C26" i="28"/>
  <c r="F45" i="4"/>
  <c r="F49" i="4" s="1"/>
  <c r="C24" i="28"/>
  <c r="N28" i="1"/>
  <c r="O26" i="1"/>
  <c r="O28" i="1" s="1"/>
  <c r="O21" i="1"/>
  <c r="O23" i="1" s="1"/>
  <c r="N23" i="1"/>
  <c r="D26" i="11"/>
  <c r="F78" i="3"/>
  <c r="F78" i="37" s="1"/>
  <c r="G62" i="2"/>
  <c r="G62" i="35" s="1"/>
  <c r="G9" i="2"/>
  <c r="G9" i="35" s="1"/>
  <c r="G5" i="16"/>
  <c r="F34" i="1"/>
  <c r="F36" i="1" s="1"/>
  <c r="I87" i="14"/>
  <c r="I87" i="36" s="1"/>
  <c r="J50" i="3"/>
  <c r="J52" i="3" s="1"/>
  <c r="J55" i="3" s="1"/>
  <c r="J56" i="3" s="1"/>
  <c r="J16" i="3"/>
  <c r="F76" i="3"/>
  <c r="E137" i="14"/>
  <c r="E136" i="14"/>
  <c r="E38" i="1"/>
  <c r="E39" i="1"/>
  <c r="E120" i="1"/>
  <c r="E121" i="1"/>
  <c r="J56" i="1"/>
  <c r="K116" i="2"/>
  <c r="K116" i="35" s="1"/>
  <c r="K125" i="2"/>
  <c r="K125" i="35" s="1"/>
  <c r="K114" i="2"/>
  <c r="K114" i="35" s="1"/>
  <c r="K72" i="2"/>
  <c r="K72" i="35" s="1"/>
  <c r="K61" i="2"/>
  <c r="K61" i="35" s="1"/>
  <c r="F118" i="1"/>
  <c r="F121" i="1" s="1"/>
  <c r="K65" i="35"/>
  <c r="K122" i="35"/>
  <c r="I93" i="1"/>
  <c r="I99" i="1" s="1"/>
  <c r="I113" i="1" s="1"/>
  <c r="J97" i="1"/>
  <c r="M69" i="35"/>
  <c r="L69" i="35"/>
  <c r="K118" i="35"/>
  <c r="J17" i="1"/>
  <c r="J31" i="1" s="1"/>
  <c r="L113" i="2"/>
  <c r="L113" i="35" s="1"/>
  <c r="L60" i="2"/>
  <c r="L60" i="35" s="1"/>
  <c r="K11" i="1"/>
  <c r="K20" i="8" s="1"/>
  <c r="K15" i="1"/>
  <c r="F25" i="3" l="1"/>
  <c r="F25" i="37" s="1"/>
  <c r="F6" i="37"/>
  <c r="I21" i="37"/>
  <c r="I22" i="37" s="1"/>
  <c r="F29" i="3"/>
  <c r="F31" i="3" s="1"/>
  <c r="F10" i="37"/>
  <c r="F104" i="14"/>
  <c r="F113" i="14" s="1"/>
  <c r="F129" i="14" s="1"/>
  <c r="F99" i="36"/>
  <c r="F104" i="36" s="1"/>
  <c r="F113" i="36" s="1"/>
  <c r="F129" i="36" s="1"/>
  <c r="G132" i="40"/>
  <c r="H74" i="41"/>
  <c r="F12" i="52"/>
  <c r="F13" i="52" s="1"/>
  <c r="F29" i="52"/>
  <c r="F31" i="52" s="1"/>
  <c r="F33" i="52" s="1"/>
  <c r="F29" i="63"/>
  <c r="F31" i="63" s="1"/>
  <c r="F33" i="63" s="1"/>
  <c r="F12" i="63"/>
  <c r="F13" i="63" s="1"/>
  <c r="F80" i="52"/>
  <c r="F81" i="52" s="1"/>
  <c r="F97" i="52"/>
  <c r="F99" i="52" s="1"/>
  <c r="F101" i="52" s="1"/>
  <c r="F97" i="63"/>
  <c r="F99" i="63" s="1"/>
  <c r="F101" i="63" s="1"/>
  <c r="F80" i="63"/>
  <c r="F81" i="63" s="1"/>
  <c r="F21" i="14"/>
  <c r="F37" i="14" s="1"/>
  <c r="F5" i="8"/>
  <c r="F12" i="3"/>
  <c r="F80" i="37"/>
  <c r="F97" i="37"/>
  <c r="F99" i="37" s="1"/>
  <c r="F29" i="41"/>
  <c r="F12" i="41"/>
  <c r="F13" i="41" s="1"/>
  <c r="F42" i="59" s="1"/>
  <c r="F44" i="59" s="1"/>
  <c r="G86" i="3"/>
  <c r="G89" i="3" s="1"/>
  <c r="G86" i="37"/>
  <c r="G89" i="37" s="1"/>
  <c r="J18" i="3"/>
  <c r="J21" i="3" s="1"/>
  <c r="J22" i="3" s="1"/>
  <c r="J16" i="37"/>
  <c r="J18" i="37" s="1"/>
  <c r="L65" i="14"/>
  <c r="L111" i="14"/>
  <c r="F93" i="37"/>
  <c r="F95" i="37" s="1"/>
  <c r="F76" i="37"/>
  <c r="F27" i="3"/>
  <c r="F27" i="37"/>
  <c r="F8" i="3"/>
  <c r="F8" i="37"/>
  <c r="E136" i="36"/>
  <c r="D40" i="11"/>
  <c r="G44" i="19"/>
  <c r="G45" i="19" s="1"/>
  <c r="G46" i="19" s="1"/>
  <c r="C13" i="28"/>
  <c r="D13" i="11"/>
  <c r="F38" i="8" s="1"/>
  <c r="G10" i="27"/>
  <c r="D29" i="28"/>
  <c r="G7" i="27"/>
  <c r="N30" i="1"/>
  <c r="N31" i="1" s="1"/>
  <c r="N20" i="8"/>
  <c r="O30" i="1"/>
  <c r="O31" i="1" s="1"/>
  <c r="O20" i="8"/>
  <c r="G7" i="8"/>
  <c r="G10" i="8"/>
  <c r="E29" i="11"/>
  <c r="G115" i="2"/>
  <c r="G115" i="35" s="1"/>
  <c r="D33" i="28"/>
  <c r="F97" i="3"/>
  <c r="F99" i="3" s="1"/>
  <c r="F101" i="3" s="1"/>
  <c r="F80" i="3"/>
  <c r="F81" i="3" s="1"/>
  <c r="K50" i="3"/>
  <c r="K52" i="3" s="1"/>
  <c r="K55" i="3" s="1"/>
  <c r="K56" i="3" s="1"/>
  <c r="J87" i="14"/>
  <c r="J87" i="36" s="1"/>
  <c r="G24" i="16"/>
  <c r="G26" i="16" s="1"/>
  <c r="G32" i="16" s="1"/>
  <c r="G7" i="16"/>
  <c r="G12" i="16" s="1"/>
  <c r="J41" i="14"/>
  <c r="J41" i="36" s="1"/>
  <c r="K16" i="3"/>
  <c r="F38" i="1"/>
  <c r="F39" i="1"/>
  <c r="M65" i="35"/>
  <c r="L65" i="35"/>
  <c r="M72" i="2"/>
  <c r="M72" i="35" s="1"/>
  <c r="L72" i="2"/>
  <c r="L72" i="35" s="1"/>
  <c r="M118" i="35"/>
  <c r="L118" i="35"/>
  <c r="J93" i="1"/>
  <c r="J99" i="1" s="1"/>
  <c r="J113" i="1" s="1"/>
  <c r="M116" i="2"/>
  <c r="M116" i="35" s="1"/>
  <c r="L116" i="2"/>
  <c r="L116" i="35" s="1"/>
  <c r="M122" i="35"/>
  <c r="L122" i="35"/>
  <c r="M61" i="2"/>
  <c r="M61" i="35" s="1"/>
  <c r="L61" i="2"/>
  <c r="L61" i="35" s="1"/>
  <c r="M114" i="2"/>
  <c r="M114" i="35" s="1"/>
  <c r="L114" i="2"/>
  <c r="L114" i="35" s="1"/>
  <c r="K97" i="1"/>
  <c r="F120" i="1"/>
  <c r="M125" i="2"/>
  <c r="M125" i="35" s="1"/>
  <c r="L125" i="2"/>
  <c r="L125" i="35" s="1"/>
  <c r="K56" i="1"/>
  <c r="K17" i="1"/>
  <c r="K31" i="1" s="1"/>
  <c r="M60" i="2"/>
  <c r="M60" i="35" s="1"/>
  <c r="M15" i="1"/>
  <c r="L15" i="1"/>
  <c r="F33" i="3" l="1"/>
  <c r="J21" i="37"/>
  <c r="J22" i="37" s="1"/>
  <c r="G74" i="63"/>
  <c r="F132" i="62"/>
  <c r="F134" i="62" s="1"/>
  <c r="F137" i="62" s="1"/>
  <c r="G6" i="63"/>
  <c r="G8" i="63" s="1"/>
  <c r="F40" i="62"/>
  <c r="G6" i="52"/>
  <c r="G25" i="52" s="1"/>
  <c r="G27" i="52" s="1"/>
  <c r="F40" i="51"/>
  <c r="G74" i="52"/>
  <c r="G76" i="52" s="1"/>
  <c r="F132" i="51"/>
  <c r="F134" i="51" s="1"/>
  <c r="F137" i="51" s="1"/>
  <c r="F31" i="41"/>
  <c r="F33" i="41" s="1"/>
  <c r="F29" i="37"/>
  <c r="F31" i="37" s="1"/>
  <c r="F33" i="37" s="1"/>
  <c r="H76" i="41"/>
  <c r="H81" i="41" s="1"/>
  <c r="H93" i="41"/>
  <c r="H95" i="41" s="1"/>
  <c r="H101" i="41" s="1"/>
  <c r="G76" i="63"/>
  <c r="G93" i="63"/>
  <c r="G95" i="63" s="1"/>
  <c r="G21" i="51"/>
  <c r="G37" i="51" s="1"/>
  <c r="G6" i="41"/>
  <c r="F40" i="40"/>
  <c r="F13" i="3"/>
  <c r="F81" i="37"/>
  <c r="F101" i="37"/>
  <c r="F12" i="37"/>
  <c r="F13" i="37" s="1"/>
  <c r="K18" i="3"/>
  <c r="K21" i="3" s="1"/>
  <c r="K22" i="3" s="1"/>
  <c r="K16" i="37"/>
  <c r="K18" i="37" s="1"/>
  <c r="G90" i="3"/>
  <c r="G90" i="37"/>
  <c r="M111" i="14"/>
  <c r="M65" i="14"/>
  <c r="F134" i="40"/>
  <c r="F132" i="14"/>
  <c r="G74" i="3"/>
  <c r="G74" i="37" s="1"/>
  <c r="E33" i="11"/>
  <c r="G34" i="1"/>
  <c r="G36" i="1" s="1"/>
  <c r="H5" i="16"/>
  <c r="L50" i="3"/>
  <c r="L52" i="3" s="1"/>
  <c r="L55" i="3" s="1"/>
  <c r="L56" i="3" s="1"/>
  <c r="K87" i="14"/>
  <c r="K87" i="36" s="1"/>
  <c r="K41" i="14"/>
  <c r="K41" i="36" s="1"/>
  <c r="L16" i="3"/>
  <c r="L11" i="1"/>
  <c r="L20" i="8" s="1"/>
  <c r="M113" i="2"/>
  <c r="M113" i="35" s="1"/>
  <c r="G118" i="1"/>
  <c r="G121" i="1" s="1"/>
  <c r="K93" i="1"/>
  <c r="K99" i="1" s="1"/>
  <c r="K113" i="1" s="1"/>
  <c r="M97" i="1"/>
  <c r="L97" i="1"/>
  <c r="M56" i="1"/>
  <c r="L56" i="1"/>
  <c r="G25" i="63" l="1"/>
  <c r="G27" i="63" s="1"/>
  <c r="G8" i="52"/>
  <c r="K21" i="37"/>
  <c r="K22" i="37" s="1"/>
  <c r="G93" i="52"/>
  <c r="G95" i="52" s="1"/>
  <c r="G8" i="41"/>
  <c r="F134" i="14"/>
  <c r="F137" i="14" s="1"/>
  <c r="F132" i="36"/>
  <c r="F134" i="36" s="1"/>
  <c r="F137" i="36" s="1"/>
  <c r="G25" i="41"/>
  <c r="G27" i="41" s="1"/>
  <c r="H134" i="59"/>
  <c r="H136" i="59" s="1"/>
  <c r="I74" i="41"/>
  <c r="H132" i="40"/>
  <c r="G104" i="51"/>
  <c r="G113" i="51" s="1"/>
  <c r="G129" i="51" s="1"/>
  <c r="F136" i="51"/>
  <c r="G6" i="3"/>
  <c r="G25" i="3" s="1"/>
  <c r="F42" i="62"/>
  <c r="F45" i="62" s="1"/>
  <c r="F42" i="51"/>
  <c r="F45" i="51" s="1"/>
  <c r="F136" i="62"/>
  <c r="F40" i="14"/>
  <c r="F42" i="14" s="1"/>
  <c r="F44" i="14" s="1"/>
  <c r="G133" i="14"/>
  <c r="G133" i="36" s="1"/>
  <c r="H84" i="3"/>
  <c r="H84" i="37" s="1"/>
  <c r="L18" i="3"/>
  <c r="L21" i="3" s="1"/>
  <c r="L22" i="3" s="1"/>
  <c r="L16" i="37"/>
  <c r="L18" i="37" s="1"/>
  <c r="L21" i="37" s="1"/>
  <c r="G104" i="40"/>
  <c r="G113" i="40" s="1"/>
  <c r="G129" i="40" s="1"/>
  <c r="N65" i="14"/>
  <c r="N111" i="14"/>
  <c r="G93" i="3"/>
  <c r="G95" i="3" s="1"/>
  <c r="F136" i="40"/>
  <c r="F42" i="40"/>
  <c r="E16" i="11"/>
  <c r="G43" i="8" s="1"/>
  <c r="G76" i="3"/>
  <c r="H9" i="2"/>
  <c r="H9" i="35" s="1"/>
  <c r="H62" i="2"/>
  <c r="H62" i="35" s="1"/>
  <c r="H7" i="16"/>
  <c r="H12" i="16" s="1"/>
  <c r="H24" i="16"/>
  <c r="H26" i="16" s="1"/>
  <c r="H32" i="16" s="1"/>
  <c r="G39" i="1"/>
  <c r="G38" i="1"/>
  <c r="M50" i="3"/>
  <c r="M52" i="3" s="1"/>
  <c r="M55" i="3" s="1"/>
  <c r="M56" i="3" s="1"/>
  <c r="L87" i="14"/>
  <c r="L87" i="36" s="1"/>
  <c r="L41" i="14"/>
  <c r="L41" i="36" s="1"/>
  <c r="M16" i="3"/>
  <c r="L17" i="1"/>
  <c r="L31" i="1" s="1"/>
  <c r="G120" i="1"/>
  <c r="L93" i="1"/>
  <c r="L99" i="1" s="1"/>
  <c r="L113" i="1" s="1"/>
  <c r="M11" i="1"/>
  <c r="G27" i="3" l="1"/>
  <c r="G25" i="37"/>
  <c r="G6" i="37"/>
  <c r="G8" i="37" s="1"/>
  <c r="F136" i="14"/>
  <c r="F40" i="36"/>
  <c r="F42" i="36" s="1"/>
  <c r="F45" i="36" s="1"/>
  <c r="G8" i="3"/>
  <c r="G27" i="37"/>
  <c r="I93" i="41"/>
  <c r="I95" i="41" s="1"/>
  <c r="I101" i="41" s="1"/>
  <c r="I76" i="41"/>
  <c r="I81" i="41" s="1"/>
  <c r="G80" i="52"/>
  <c r="G81" i="52" s="1"/>
  <c r="G97" i="52"/>
  <c r="G99" i="52" s="1"/>
  <c r="G101" i="52" s="1"/>
  <c r="G12" i="52"/>
  <c r="G13" i="52" s="1"/>
  <c r="G29" i="52"/>
  <c r="G31" i="52" s="1"/>
  <c r="G33" i="52" s="1"/>
  <c r="F44" i="51"/>
  <c r="F44" i="62"/>
  <c r="F45" i="14"/>
  <c r="G12" i="41"/>
  <c r="G13" i="41" s="1"/>
  <c r="G42" i="59" s="1"/>
  <c r="G44" i="59" s="1"/>
  <c r="G29" i="41"/>
  <c r="H86" i="3"/>
  <c r="H89" i="3" s="1"/>
  <c r="H86" i="37"/>
  <c r="H89" i="37" s="1"/>
  <c r="M18" i="3"/>
  <c r="M16" i="37"/>
  <c r="M18" i="37" s="1"/>
  <c r="M21" i="37" s="1"/>
  <c r="M22" i="37"/>
  <c r="L22" i="37"/>
  <c r="M21" i="3"/>
  <c r="M22" i="3" s="1"/>
  <c r="O65" i="14"/>
  <c r="O111" i="14"/>
  <c r="F136" i="36"/>
  <c r="F44" i="40"/>
  <c r="G76" i="37"/>
  <c r="G93" i="37"/>
  <c r="G95" i="37" s="1"/>
  <c r="H7" i="27"/>
  <c r="E29" i="28"/>
  <c r="H10" i="27"/>
  <c r="M87" i="14"/>
  <c r="M87" i="36" s="1"/>
  <c r="N50" i="3"/>
  <c r="N52" i="3" s="1"/>
  <c r="N55" i="3" s="1"/>
  <c r="N56" i="3" s="1"/>
  <c r="M41" i="14"/>
  <c r="M41" i="36" s="1"/>
  <c r="N16" i="3"/>
  <c r="E33" i="28"/>
  <c r="H115" i="2"/>
  <c r="H115" i="35" s="1"/>
  <c r="F29" i="11"/>
  <c r="H7" i="8"/>
  <c r="H10" i="8"/>
  <c r="I5" i="16"/>
  <c r="H34" i="1"/>
  <c r="H36" i="1" s="1"/>
  <c r="M17" i="1"/>
  <c r="M31" i="1" s="1"/>
  <c r="M20" i="8"/>
  <c r="H118" i="1"/>
  <c r="H121" i="1" s="1"/>
  <c r="H6" i="52" l="1"/>
  <c r="H8" i="52" s="1"/>
  <c r="G40" i="51"/>
  <c r="G42" i="51" s="1"/>
  <c r="G45" i="51" s="1"/>
  <c r="H74" i="52"/>
  <c r="H76" i="52" s="1"/>
  <c r="G132" i="51"/>
  <c r="G134" i="51" s="1"/>
  <c r="G137" i="51" s="1"/>
  <c r="G31" i="41"/>
  <c r="G33" i="41" s="1"/>
  <c r="F44" i="36"/>
  <c r="I134" i="59"/>
  <c r="I136" i="59" s="1"/>
  <c r="I132" i="40"/>
  <c r="J74" i="41"/>
  <c r="H21" i="51"/>
  <c r="H37" i="51" s="1"/>
  <c r="H6" i="41"/>
  <c r="G40" i="40"/>
  <c r="N18" i="3"/>
  <c r="N21" i="3" s="1"/>
  <c r="N16" i="37"/>
  <c r="N18" i="37" s="1"/>
  <c r="N21" i="37" s="1"/>
  <c r="H90" i="3"/>
  <c r="H90" i="37"/>
  <c r="P111" i="14"/>
  <c r="P65" i="14"/>
  <c r="G134" i="40"/>
  <c r="N22" i="3"/>
  <c r="O21" i="3"/>
  <c r="O50" i="3"/>
  <c r="O52" i="3" s="1"/>
  <c r="O55" i="3" s="1"/>
  <c r="O56" i="3" s="1"/>
  <c r="N87" i="14"/>
  <c r="N87" i="36" s="1"/>
  <c r="F33" i="11"/>
  <c r="H39" i="1"/>
  <c r="H38" i="1"/>
  <c r="I7" i="16"/>
  <c r="I12" i="16" s="1"/>
  <c r="I24" i="16"/>
  <c r="I26" i="16" s="1"/>
  <c r="I32" i="16" s="1"/>
  <c r="M93" i="1"/>
  <c r="M99" i="1" s="1"/>
  <c r="M113" i="1" s="1"/>
  <c r="H120" i="1"/>
  <c r="H93" i="52" l="1"/>
  <c r="H95" i="52" s="1"/>
  <c r="H25" i="52"/>
  <c r="H27" i="52" s="1"/>
  <c r="H25" i="41"/>
  <c r="H27" i="41" s="1"/>
  <c r="G42" i="40"/>
  <c r="G44" i="40" s="1"/>
  <c r="J76" i="41"/>
  <c r="J81" i="41" s="1"/>
  <c r="J93" i="41"/>
  <c r="J95" i="41" s="1"/>
  <c r="J101" i="41" s="1"/>
  <c r="H8" i="41"/>
  <c r="H104" i="51"/>
  <c r="H113" i="51" s="1"/>
  <c r="H129" i="51" s="1"/>
  <c r="G44" i="51"/>
  <c r="G136" i="51"/>
  <c r="I84" i="3"/>
  <c r="I84" i="37" s="1"/>
  <c r="H133" i="14"/>
  <c r="H133" i="36" s="1"/>
  <c r="N22" i="37"/>
  <c r="H104" i="40"/>
  <c r="H113" i="40" s="1"/>
  <c r="H129" i="40" s="1"/>
  <c r="G136" i="40"/>
  <c r="O87" i="14"/>
  <c r="O87" i="36" s="1"/>
  <c r="P50" i="3"/>
  <c r="P52" i="3" s="1"/>
  <c r="P55" i="3" s="1"/>
  <c r="P56" i="3" s="1"/>
  <c r="O22" i="3"/>
  <c r="P21" i="3"/>
  <c r="P22" i="3" s="1"/>
  <c r="N41" i="14"/>
  <c r="N41" i="36" s="1"/>
  <c r="O16" i="3"/>
  <c r="F16" i="11"/>
  <c r="H43" i="8" s="1"/>
  <c r="I9" i="2"/>
  <c r="I9" i="35" s="1"/>
  <c r="I62" i="2"/>
  <c r="I62" i="35" s="1"/>
  <c r="I34" i="1"/>
  <c r="I36" i="1" s="1"/>
  <c r="J5" i="16"/>
  <c r="I118" i="1"/>
  <c r="I121" i="1" s="1"/>
  <c r="J134" i="59" l="1"/>
  <c r="J136" i="59" s="1"/>
  <c r="K74" i="41"/>
  <c r="J132" i="40"/>
  <c r="H80" i="52"/>
  <c r="H81" i="52" s="1"/>
  <c r="H97" i="52"/>
  <c r="H99" i="52" s="1"/>
  <c r="H101" i="52" s="1"/>
  <c r="H12" i="52"/>
  <c r="H13" i="52" s="1"/>
  <c r="H29" i="52"/>
  <c r="H31" i="52" s="1"/>
  <c r="H33" i="52" s="1"/>
  <c r="H12" i="41"/>
  <c r="H13" i="41" s="1"/>
  <c r="H42" i="59" s="1"/>
  <c r="H44" i="59" s="1"/>
  <c r="H29" i="41"/>
  <c r="P87" i="14"/>
  <c r="P87" i="36" s="1"/>
  <c r="P41" i="14"/>
  <c r="P41" i="36" s="1"/>
  <c r="O18" i="3"/>
  <c r="O16" i="37"/>
  <c r="O18" i="37" s="1"/>
  <c r="O21" i="37" s="1"/>
  <c r="O22" i="37"/>
  <c r="I86" i="3"/>
  <c r="I89" i="3" s="1"/>
  <c r="I86" i="37"/>
  <c r="I89" i="37" s="1"/>
  <c r="F29" i="28"/>
  <c r="I7" i="27"/>
  <c r="I10" i="27"/>
  <c r="O41" i="14"/>
  <c r="O41" i="36" s="1"/>
  <c r="P16" i="3"/>
  <c r="P16" i="37" s="1"/>
  <c r="P18" i="37" s="1"/>
  <c r="P21" i="37" s="1"/>
  <c r="P22" i="37" s="1"/>
  <c r="G29" i="11"/>
  <c r="I10" i="8"/>
  <c r="I7" i="8"/>
  <c r="F33" i="28"/>
  <c r="I115" i="2"/>
  <c r="I115" i="35" s="1"/>
  <c r="J7" i="16"/>
  <c r="J12" i="16" s="1"/>
  <c r="J24" i="16"/>
  <c r="J26" i="16" s="1"/>
  <c r="J32" i="16" s="1"/>
  <c r="I39" i="1"/>
  <c r="I38" i="1"/>
  <c r="I120" i="1"/>
  <c r="I6" i="52" l="1"/>
  <c r="I8" i="52" s="1"/>
  <c r="H40" i="51"/>
  <c r="H42" i="51" s="1"/>
  <c r="H45" i="51" s="1"/>
  <c r="I74" i="52"/>
  <c r="I76" i="52" s="1"/>
  <c r="H132" i="51"/>
  <c r="H134" i="51" s="1"/>
  <c r="H137" i="51" s="1"/>
  <c r="H31" i="41"/>
  <c r="H33" i="41" s="1"/>
  <c r="K93" i="41"/>
  <c r="K95" i="41" s="1"/>
  <c r="K76" i="41"/>
  <c r="I21" i="51"/>
  <c r="I37" i="51" s="1"/>
  <c r="I6" i="41"/>
  <c r="H40" i="40"/>
  <c r="I90" i="3"/>
  <c r="I90" i="37"/>
  <c r="H134" i="40"/>
  <c r="P18" i="3"/>
  <c r="G33" i="11"/>
  <c r="K5" i="16"/>
  <c r="J34" i="1"/>
  <c r="J36" i="1" s="1"/>
  <c r="J118" i="1"/>
  <c r="J121" i="1" s="1"/>
  <c r="I93" i="52" l="1"/>
  <c r="I95" i="52" s="1"/>
  <c r="I25" i="52"/>
  <c r="I27" i="52" s="1"/>
  <c r="H42" i="40"/>
  <c r="H44" i="40" s="1"/>
  <c r="I8" i="41"/>
  <c r="I104" i="51"/>
  <c r="I113" i="51" s="1"/>
  <c r="I129" i="51" s="1"/>
  <c r="H136" i="51"/>
  <c r="H44" i="51"/>
  <c r="I25" i="41"/>
  <c r="I133" i="14"/>
  <c r="I133" i="36" s="1"/>
  <c r="J84" i="3"/>
  <c r="J84" i="37" s="1"/>
  <c r="I104" i="40"/>
  <c r="I113" i="40" s="1"/>
  <c r="I129" i="40" s="1"/>
  <c r="H136" i="40"/>
  <c r="J9" i="2"/>
  <c r="J9" i="35" s="1"/>
  <c r="J62" i="2"/>
  <c r="J62" i="35" s="1"/>
  <c r="J39" i="1"/>
  <c r="J38" i="1"/>
  <c r="K7" i="16"/>
  <c r="K12" i="16" s="1"/>
  <c r="K24" i="16"/>
  <c r="K26" i="16" s="1"/>
  <c r="K32" i="16" s="1"/>
  <c r="J120" i="1"/>
  <c r="I27" i="41" l="1"/>
  <c r="I12" i="52"/>
  <c r="I13" i="52" s="1"/>
  <c r="I29" i="52"/>
  <c r="I31" i="52" s="1"/>
  <c r="I33" i="52" s="1"/>
  <c r="I80" i="52"/>
  <c r="I81" i="52" s="1"/>
  <c r="I97" i="52"/>
  <c r="I99" i="52" s="1"/>
  <c r="I101" i="52" s="1"/>
  <c r="I29" i="41"/>
  <c r="I12" i="41"/>
  <c r="I13" i="41" s="1"/>
  <c r="I42" i="59" s="1"/>
  <c r="I44" i="59" s="1"/>
  <c r="J86" i="3"/>
  <c r="J89" i="3" s="1"/>
  <c r="J86" i="37"/>
  <c r="J89" i="37" s="1"/>
  <c r="G16" i="11"/>
  <c r="I43" i="8" s="1"/>
  <c r="G29" i="28"/>
  <c r="J10" i="27"/>
  <c r="J7" i="27"/>
  <c r="J115" i="2"/>
  <c r="J115" i="35" s="1"/>
  <c r="G33" i="28"/>
  <c r="H29" i="11"/>
  <c r="J10" i="8"/>
  <c r="J7" i="8"/>
  <c r="K34" i="1"/>
  <c r="K36" i="1" s="1"/>
  <c r="L5" i="16"/>
  <c r="K118" i="1"/>
  <c r="K121" i="1" s="1"/>
  <c r="J74" i="52" l="1"/>
  <c r="J76" i="52" s="1"/>
  <c r="I132" i="51"/>
  <c r="I134" i="51" s="1"/>
  <c r="I137" i="51" s="1"/>
  <c r="J6" i="52"/>
  <c r="J25" i="52" s="1"/>
  <c r="J27" i="52" s="1"/>
  <c r="I40" i="51"/>
  <c r="I42" i="51" s="1"/>
  <c r="I45" i="51" s="1"/>
  <c r="I31" i="41"/>
  <c r="I33" i="41" s="1"/>
  <c r="J21" i="51"/>
  <c r="J37" i="51" s="1"/>
  <c r="J6" i="41"/>
  <c r="I40" i="40"/>
  <c r="J90" i="3"/>
  <c r="J90" i="37"/>
  <c r="I134" i="40"/>
  <c r="H33" i="11"/>
  <c r="L7" i="16"/>
  <c r="L12" i="16" s="1"/>
  <c r="L24" i="16"/>
  <c r="L26" i="16" s="1"/>
  <c r="L32" i="16" s="1"/>
  <c r="K39" i="1"/>
  <c r="K38" i="1"/>
  <c r="K120" i="1"/>
  <c r="J8" i="52" l="1"/>
  <c r="J93" i="52"/>
  <c r="J95" i="52" s="1"/>
  <c r="I42" i="40"/>
  <c r="I44" i="40" s="1"/>
  <c r="J25" i="41"/>
  <c r="J8" i="41"/>
  <c r="J104" i="51"/>
  <c r="J113" i="51" s="1"/>
  <c r="J129" i="51" s="1"/>
  <c r="I136" i="51"/>
  <c r="I44" i="51"/>
  <c r="K21" i="49"/>
  <c r="K33" i="49" s="1"/>
  <c r="K38" i="49" s="1"/>
  <c r="K10" i="52" s="1"/>
  <c r="K84" i="3"/>
  <c r="K84" i="37" s="1"/>
  <c r="J133" i="14"/>
  <c r="J133" i="36" s="1"/>
  <c r="J104" i="40"/>
  <c r="J113" i="40" s="1"/>
  <c r="I136" i="40"/>
  <c r="H16" i="11"/>
  <c r="J43" i="8" s="1"/>
  <c r="L34" i="1"/>
  <c r="L36" i="1" s="1"/>
  <c r="M5" i="16"/>
  <c r="L118" i="1"/>
  <c r="L121" i="1" s="1"/>
  <c r="J27" i="41" l="1"/>
  <c r="J97" i="52"/>
  <c r="J99" i="52" s="1"/>
  <c r="J101" i="52" s="1"/>
  <c r="J80" i="52"/>
  <c r="J81" i="52" s="1"/>
  <c r="J29" i="52"/>
  <c r="J31" i="52" s="1"/>
  <c r="J33" i="52" s="1"/>
  <c r="J12" i="52"/>
  <c r="J13" i="52" s="1"/>
  <c r="K163" i="49"/>
  <c r="K177" i="49" s="1"/>
  <c r="K182" i="49" s="1"/>
  <c r="K78" i="52" s="1"/>
  <c r="K20" i="50"/>
  <c r="K44" i="50" s="1"/>
  <c r="K48" i="50" s="1"/>
  <c r="K7" i="51" s="1"/>
  <c r="K12" i="51" s="1"/>
  <c r="K45" i="49"/>
  <c r="K49" i="49" s="1"/>
  <c r="K40" i="49"/>
  <c r="K43" i="49"/>
  <c r="K58" i="49" s="1"/>
  <c r="K66" i="49" s="1"/>
  <c r="K69" i="49" s="1"/>
  <c r="K71" i="49" s="1"/>
  <c r="L70" i="49" s="1"/>
  <c r="J12" i="41"/>
  <c r="J13" i="41" s="1"/>
  <c r="J42" i="59" s="1"/>
  <c r="J44" i="59" s="1"/>
  <c r="J29" i="41"/>
  <c r="K86" i="3"/>
  <c r="K89" i="3" s="1"/>
  <c r="K86" i="37"/>
  <c r="K89" i="37" s="1"/>
  <c r="M7" i="16"/>
  <c r="M12" i="16" s="1"/>
  <c r="M24" i="16"/>
  <c r="M26" i="16" s="1"/>
  <c r="M32" i="16" s="1"/>
  <c r="L39" i="1"/>
  <c r="L38" i="1"/>
  <c r="L120" i="1"/>
  <c r="K6" i="52" l="1"/>
  <c r="K25" i="52" s="1"/>
  <c r="K27" i="52" s="1"/>
  <c r="J40" i="51"/>
  <c r="J42" i="51" s="1"/>
  <c r="J45" i="51" s="1"/>
  <c r="K74" i="52"/>
  <c r="K93" i="52" s="1"/>
  <c r="K95" i="52" s="1"/>
  <c r="J132" i="51"/>
  <c r="J134" i="51" s="1"/>
  <c r="J137" i="51" s="1"/>
  <c r="J31" i="41"/>
  <c r="J33" i="41" s="1"/>
  <c r="K21" i="57"/>
  <c r="K33" i="57" s="1"/>
  <c r="K9" i="58"/>
  <c r="K20" i="58" s="1"/>
  <c r="K44" i="58" s="1"/>
  <c r="K48" i="58" s="1"/>
  <c r="K7" i="59" s="1"/>
  <c r="K9" i="39"/>
  <c r="K126" i="50"/>
  <c r="K150" i="50" s="1"/>
  <c r="K154" i="50" s="1"/>
  <c r="K99" i="51" s="1"/>
  <c r="L46" i="50"/>
  <c r="K52" i="50"/>
  <c r="L13" i="49" s="1"/>
  <c r="L9" i="50" s="1"/>
  <c r="K184" i="49"/>
  <c r="K187" i="49"/>
  <c r="K202" i="49" s="1"/>
  <c r="K189" i="49"/>
  <c r="K193" i="49" s="1"/>
  <c r="K21" i="38"/>
  <c r="K33" i="38" s="1"/>
  <c r="K58" i="38" s="1"/>
  <c r="K62" i="39"/>
  <c r="K90" i="38"/>
  <c r="K103" i="38" s="1"/>
  <c r="K115" i="39"/>
  <c r="K158" i="38"/>
  <c r="K6" i="41"/>
  <c r="J40" i="40"/>
  <c r="K90" i="3"/>
  <c r="K90" i="37"/>
  <c r="J134" i="40"/>
  <c r="M34" i="1"/>
  <c r="M36" i="1" s="1"/>
  <c r="M38" i="1" s="1"/>
  <c r="N5" i="16"/>
  <c r="M118" i="1"/>
  <c r="M121" i="1" s="1"/>
  <c r="K8" i="52" l="1"/>
  <c r="K210" i="49"/>
  <c r="K213" i="49" s="1"/>
  <c r="K215" i="49" s="1"/>
  <c r="L214" i="49" s="1"/>
  <c r="K76" i="52"/>
  <c r="K38" i="57"/>
  <c r="K43" i="57" s="1"/>
  <c r="K58" i="57" s="1"/>
  <c r="K66" i="57" s="1"/>
  <c r="K69" i="57" s="1"/>
  <c r="K71" i="57" s="1"/>
  <c r="L70" i="57" s="1"/>
  <c r="K25" i="41"/>
  <c r="K66" i="38"/>
  <c r="K69" i="38" s="1"/>
  <c r="K71" i="38" s="1"/>
  <c r="L70" i="38" s="1"/>
  <c r="K38" i="38"/>
  <c r="K45" i="38" s="1"/>
  <c r="K49" i="38" s="1"/>
  <c r="K46" i="60"/>
  <c r="K47" i="60" s="1"/>
  <c r="K65" i="60"/>
  <c r="K67" i="60" s="1"/>
  <c r="K52" i="58"/>
  <c r="L46" i="58"/>
  <c r="J136" i="51"/>
  <c r="J44" i="51"/>
  <c r="L152" i="50"/>
  <c r="K158" i="50"/>
  <c r="L155" i="49" s="1"/>
  <c r="L115" i="50" s="1"/>
  <c r="K21" i="51"/>
  <c r="K37" i="51" s="1"/>
  <c r="K8" i="41"/>
  <c r="K108" i="38"/>
  <c r="K128" i="38" s="1"/>
  <c r="K63" i="41"/>
  <c r="K44" i="41"/>
  <c r="K73" i="39"/>
  <c r="K97" i="39" s="1"/>
  <c r="K101" i="39" s="1"/>
  <c r="K20" i="39"/>
  <c r="K44" i="39" s="1"/>
  <c r="K48" i="39" s="1"/>
  <c r="L84" i="3"/>
  <c r="L84" i="37" s="1"/>
  <c r="K133" i="14"/>
  <c r="K133" i="36" s="1"/>
  <c r="J42" i="40"/>
  <c r="M39" i="1"/>
  <c r="N24" i="16"/>
  <c r="N26" i="16" s="1"/>
  <c r="N32" i="16" s="1"/>
  <c r="N7" i="16"/>
  <c r="N12" i="16" s="1"/>
  <c r="M120" i="1"/>
  <c r="B31" i="28"/>
  <c r="K27" i="41" l="1"/>
  <c r="K40" i="57"/>
  <c r="K45" i="57"/>
  <c r="K49" i="57" s="1"/>
  <c r="K10" i="60" s="1"/>
  <c r="K12" i="60" s="1"/>
  <c r="K13" i="60" s="1"/>
  <c r="L6" i="60" s="1"/>
  <c r="L25" i="60" s="1"/>
  <c r="L27" i="60" s="1"/>
  <c r="K43" i="38"/>
  <c r="K10" i="41"/>
  <c r="K40" i="38"/>
  <c r="K65" i="41"/>
  <c r="K196" i="38"/>
  <c r="K204" i="38" s="1"/>
  <c r="K46" i="41"/>
  <c r="L40" i="60"/>
  <c r="L59" i="60" s="1"/>
  <c r="L61" i="60" s="1"/>
  <c r="K86" i="59"/>
  <c r="K53" i="40"/>
  <c r="K58" i="59"/>
  <c r="K67" i="59" s="1"/>
  <c r="K83" i="59" s="1"/>
  <c r="K7" i="40"/>
  <c r="K12" i="59"/>
  <c r="K21" i="59" s="1"/>
  <c r="K37" i="59" s="1"/>
  <c r="L21" i="49"/>
  <c r="L33" i="49" s="1"/>
  <c r="L38" i="49" s="1"/>
  <c r="L10" i="52" s="1"/>
  <c r="K136" i="38"/>
  <c r="K139" i="38" s="1"/>
  <c r="K141" i="38" s="1"/>
  <c r="L140" i="38" s="1"/>
  <c r="K110" i="38"/>
  <c r="K115" i="38"/>
  <c r="K119" i="38" s="1"/>
  <c r="K113" i="38"/>
  <c r="L99" i="39"/>
  <c r="K105" i="39"/>
  <c r="L82" i="38" s="1"/>
  <c r="L46" i="39"/>
  <c r="K52" i="39"/>
  <c r="L86" i="3"/>
  <c r="L89" i="3" s="1"/>
  <c r="L86" i="37"/>
  <c r="L89" i="37" s="1"/>
  <c r="J44" i="40"/>
  <c r="F9" i="26"/>
  <c r="F8" i="26"/>
  <c r="O5" i="16"/>
  <c r="N34" i="1"/>
  <c r="N36" i="1" s="1"/>
  <c r="G63" i="2"/>
  <c r="G63" i="35" s="1"/>
  <c r="F63" i="2"/>
  <c r="F63" i="35" s="1"/>
  <c r="E108" i="4"/>
  <c r="E113" i="4" s="1"/>
  <c r="C31" i="11"/>
  <c r="C31" i="28"/>
  <c r="K29" i="60" l="1"/>
  <c r="K31" i="60" s="1"/>
  <c r="K33" i="60" s="1"/>
  <c r="K40" i="59"/>
  <c r="L8" i="60"/>
  <c r="L42" i="60"/>
  <c r="K58" i="40"/>
  <c r="K67" i="40" s="1"/>
  <c r="K83" i="40" s="1"/>
  <c r="L62" i="58"/>
  <c r="K29" i="52"/>
  <c r="K31" i="52" s="1"/>
  <c r="K33" i="52" s="1"/>
  <c r="K97" i="52"/>
  <c r="K99" i="52" s="1"/>
  <c r="K101" i="52" s="1"/>
  <c r="L163" i="49"/>
  <c r="L177" i="49" s="1"/>
  <c r="L182" i="49" s="1"/>
  <c r="L78" i="52" s="1"/>
  <c r="L20" i="50"/>
  <c r="L44" i="50" s="1"/>
  <c r="L48" i="50" s="1"/>
  <c r="L7" i="51" s="1"/>
  <c r="L12" i="51" s="1"/>
  <c r="L45" i="49"/>
  <c r="L49" i="49" s="1"/>
  <c r="L40" i="49"/>
  <c r="L43" i="49"/>
  <c r="L58" i="49" s="1"/>
  <c r="L66" i="49" s="1"/>
  <c r="L69" i="49" s="1"/>
  <c r="L71" i="49" s="1"/>
  <c r="M70" i="49" s="1"/>
  <c r="K12" i="40"/>
  <c r="K21" i="40" s="1"/>
  <c r="K37" i="40" s="1"/>
  <c r="F73" i="2"/>
  <c r="F97" i="2" s="1"/>
  <c r="F101" i="2" s="1"/>
  <c r="F73" i="35"/>
  <c r="F97" i="35" s="1"/>
  <c r="F101" i="35" s="1"/>
  <c r="L90" i="3"/>
  <c r="L90" i="37"/>
  <c r="E118" i="4"/>
  <c r="B46" i="28" s="1"/>
  <c r="E115" i="4"/>
  <c r="E120" i="4"/>
  <c r="E124" i="4" s="1"/>
  <c r="B25" i="28"/>
  <c r="G8" i="26"/>
  <c r="G9" i="26"/>
  <c r="F7" i="26"/>
  <c r="F6" i="26"/>
  <c r="O7" i="16"/>
  <c r="O12" i="16" s="1"/>
  <c r="O34" i="1" s="1"/>
  <c r="O36" i="1" s="1"/>
  <c r="O24" i="16"/>
  <c r="O26" i="16" s="1"/>
  <c r="O32" i="16" s="1"/>
  <c r="N39" i="1"/>
  <c r="N38" i="1"/>
  <c r="E44" i="3"/>
  <c r="H63" i="2"/>
  <c r="H63" i="35" s="1"/>
  <c r="D31" i="28"/>
  <c r="C25" i="11"/>
  <c r="F108" i="4"/>
  <c r="F113" i="4" s="1"/>
  <c r="D31" i="11"/>
  <c r="F52" i="1"/>
  <c r="F58" i="1" s="1"/>
  <c r="F72" i="1" s="1"/>
  <c r="E31" i="28"/>
  <c r="I63" i="2"/>
  <c r="I63" i="35" s="1"/>
  <c r="E46" i="3" l="1"/>
  <c r="E47" i="3" s="1"/>
  <c r="E44" i="37"/>
  <c r="L9" i="58"/>
  <c r="L20" i="58" s="1"/>
  <c r="L44" i="58" s="1"/>
  <c r="L48" i="58" s="1"/>
  <c r="L7" i="59" s="1"/>
  <c r="E46" i="52"/>
  <c r="E47" i="52" s="1"/>
  <c r="E63" i="52"/>
  <c r="E65" i="52" s="1"/>
  <c r="E67" i="52" s="1"/>
  <c r="E46" i="63"/>
  <c r="E47" i="63" s="1"/>
  <c r="F40" i="63" s="1"/>
  <c r="E63" i="63"/>
  <c r="E65" i="63" s="1"/>
  <c r="E67" i="63" s="1"/>
  <c r="L150" i="57"/>
  <c r="L90" i="57"/>
  <c r="L103" i="57" s="1"/>
  <c r="L150" i="38"/>
  <c r="L73" i="58"/>
  <c r="L97" i="58" s="1"/>
  <c r="L101" i="58" s="1"/>
  <c r="L53" i="59" s="1"/>
  <c r="F118" i="4"/>
  <c r="C46" i="28" s="1"/>
  <c r="B96" i="28" s="1"/>
  <c r="K80" i="52"/>
  <c r="K81" i="52" s="1"/>
  <c r="K12" i="52"/>
  <c r="K13" i="52" s="1"/>
  <c r="F58" i="51"/>
  <c r="F67" i="51" s="1"/>
  <c r="F83" i="51" s="1"/>
  <c r="F58" i="62"/>
  <c r="F67" i="62" s="1"/>
  <c r="F83" i="62" s="1"/>
  <c r="E86" i="62"/>
  <c r="E88" i="62" s="1"/>
  <c r="M46" i="50"/>
  <c r="L52" i="50"/>
  <c r="M13" i="49" s="1"/>
  <c r="M9" i="50" s="1"/>
  <c r="L187" i="49"/>
  <c r="L202" i="49" s="1"/>
  <c r="L184" i="49"/>
  <c r="L189" i="49"/>
  <c r="L193" i="49" s="1"/>
  <c r="L21" i="51"/>
  <c r="L37" i="51" s="1"/>
  <c r="L126" i="50"/>
  <c r="L150" i="50" s="1"/>
  <c r="L154" i="50" s="1"/>
  <c r="L99" i="51" s="1"/>
  <c r="K29" i="41"/>
  <c r="K12" i="41"/>
  <c r="K13" i="41" s="1"/>
  <c r="K42" i="59" s="1"/>
  <c r="K44" i="59" s="1"/>
  <c r="G99" i="35"/>
  <c r="F105" i="35"/>
  <c r="M84" i="3"/>
  <c r="M84" i="37" s="1"/>
  <c r="L133" i="14"/>
  <c r="L133" i="36" s="1"/>
  <c r="E86" i="14"/>
  <c r="E46" i="41"/>
  <c r="E65" i="41"/>
  <c r="E67" i="41" s="1"/>
  <c r="F120" i="4"/>
  <c r="F124" i="4" s="1"/>
  <c r="F115" i="4"/>
  <c r="G7" i="26"/>
  <c r="F53" i="14"/>
  <c r="F53" i="36" s="1"/>
  <c r="F58" i="36" s="1"/>
  <c r="F67" i="36" s="1"/>
  <c r="F83" i="36" s="1"/>
  <c r="G99" i="2"/>
  <c r="F105" i="2"/>
  <c r="C39" i="28" s="1"/>
  <c r="C25" i="28"/>
  <c r="I9" i="26"/>
  <c r="H9" i="26"/>
  <c r="G6" i="26"/>
  <c r="E63" i="3"/>
  <c r="O39" i="1"/>
  <c r="O38" i="1"/>
  <c r="F44" i="3"/>
  <c r="F44" i="37" s="1"/>
  <c r="E31" i="11"/>
  <c r="F40" i="3"/>
  <c r="E77" i="1"/>
  <c r="E80" i="1" s="1"/>
  <c r="G52" i="1"/>
  <c r="G58" i="1" s="1"/>
  <c r="G72" i="1" s="1"/>
  <c r="F31" i="11"/>
  <c r="D25" i="11"/>
  <c r="F31" i="28"/>
  <c r="J63" i="2"/>
  <c r="J63" i="35" s="1"/>
  <c r="E65" i="3" l="1"/>
  <c r="E67" i="3" s="1"/>
  <c r="E63" i="37"/>
  <c r="E65" i="37" s="1"/>
  <c r="E67" i="37" s="1"/>
  <c r="E88" i="14"/>
  <c r="E90" i="14" s="1"/>
  <c r="E86" i="36"/>
  <c r="E91" i="62"/>
  <c r="L21" i="57"/>
  <c r="L33" i="57" s="1"/>
  <c r="L38" i="57" s="1"/>
  <c r="L40" i="57" s="1"/>
  <c r="L210" i="49"/>
  <c r="L213" i="49" s="1"/>
  <c r="L215" i="49" s="1"/>
  <c r="M214" i="49" s="1"/>
  <c r="F40" i="52"/>
  <c r="E86" i="51"/>
  <c r="E88" i="51" s="1"/>
  <c r="E91" i="51" s="1"/>
  <c r="L6" i="52"/>
  <c r="L8" i="52" s="1"/>
  <c r="K40" i="51"/>
  <c r="K42" i="51" s="1"/>
  <c r="K45" i="51" s="1"/>
  <c r="L74" i="52"/>
  <c r="L76" i="52" s="1"/>
  <c r="K132" i="51"/>
  <c r="K134" i="51" s="1"/>
  <c r="K137" i="51" s="1"/>
  <c r="K31" i="41"/>
  <c r="K33" i="41" s="1"/>
  <c r="L108" i="57"/>
  <c r="L115" i="57" s="1"/>
  <c r="L119" i="57" s="1"/>
  <c r="L44" i="60"/>
  <c r="L63" i="60"/>
  <c r="L158" i="57"/>
  <c r="L171" i="57" s="1"/>
  <c r="L176" i="57" s="1"/>
  <c r="L78" i="60" s="1"/>
  <c r="L115" i="58"/>
  <c r="L126" i="58" s="1"/>
  <c r="L150" i="58" s="1"/>
  <c r="L154" i="58" s="1"/>
  <c r="L12" i="59"/>
  <c r="L21" i="59" s="1"/>
  <c r="L37" i="59" s="1"/>
  <c r="F59" i="63"/>
  <c r="F61" i="63" s="1"/>
  <c r="F42" i="63"/>
  <c r="F59" i="52"/>
  <c r="F61" i="52" s="1"/>
  <c r="F42" i="52"/>
  <c r="L105" i="58"/>
  <c r="M82" i="57" s="1"/>
  <c r="M99" i="58"/>
  <c r="F63" i="52"/>
  <c r="F65" i="52" s="1"/>
  <c r="F46" i="52"/>
  <c r="F63" i="63"/>
  <c r="F65" i="63" s="1"/>
  <c r="F46" i="63"/>
  <c r="M46" i="58"/>
  <c r="L52" i="58"/>
  <c r="E90" i="62"/>
  <c r="G58" i="51"/>
  <c r="G67" i="51" s="1"/>
  <c r="G83" i="51" s="1"/>
  <c r="M21" i="49"/>
  <c r="M33" i="49" s="1"/>
  <c r="M38" i="49" s="1"/>
  <c r="M10" i="52" s="1"/>
  <c r="M152" i="50"/>
  <c r="L158" i="50"/>
  <c r="M155" i="49" s="1"/>
  <c r="M115" i="50" s="1"/>
  <c r="H138" i="34"/>
  <c r="H141" i="4"/>
  <c r="H144" i="4" s="1"/>
  <c r="G138" i="34"/>
  <c r="G141" i="4"/>
  <c r="G144" i="4" s="1"/>
  <c r="G146" i="4" s="1"/>
  <c r="H145" i="4" s="1"/>
  <c r="L115" i="39"/>
  <c r="L158" i="38"/>
  <c r="L62" i="39"/>
  <c r="L90" i="38"/>
  <c r="L103" i="38" s="1"/>
  <c r="L6" i="41"/>
  <c r="K40" i="40"/>
  <c r="F63" i="3"/>
  <c r="M86" i="3"/>
  <c r="M89" i="3" s="1"/>
  <c r="M86" i="37"/>
  <c r="M89" i="37" s="1"/>
  <c r="F58" i="14"/>
  <c r="F67" i="14" s="1"/>
  <c r="F83" i="14" s="1"/>
  <c r="E88" i="36"/>
  <c r="E91" i="36" s="1"/>
  <c r="E88" i="40"/>
  <c r="E46" i="37"/>
  <c r="E47" i="37" s="1"/>
  <c r="E47" i="41"/>
  <c r="F40" i="41" s="1"/>
  <c r="F40" i="37" s="1"/>
  <c r="E91" i="14"/>
  <c r="D39" i="11"/>
  <c r="J9" i="26"/>
  <c r="F46" i="3"/>
  <c r="F46" i="37" s="1"/>
  <c r="G31" i="11"/>
  <c r="F42" i="3"/>
  <c r="F59" i="3"/>
  <c r="F61" i="3" s="1"/>
  <c r="E79" i="1"/>
  <c r="H52" i="1"/>
  <c r="H58" i="1" s="1"/>
  <c r="H72" i="1" s="1"/>
  <c r="K63" i="2"/>
  <c r="K63" i="35" s="1"/>
  <c r="G31" i="28"/>
  <c r="F47" i="63" l="1"/>
  <c r="E90" i="51"/>
  <c r="G141" i="34"/>
  <c r="G143" i="34" s="1"/>
  <c r="H142" i="34" s="1"/>
  <c r="G139" i="34"/>
  <c r="H141" i="34"/>
  <c r="H139" i="34"/>
  <c r="L45" i="57"/>
  <c r="L49" i="57" s="1"/>
  <c r="L10" i="60" s="1"/>
  <c r="L29" i="60" s="1"/>
  <c r="L31" i="60" s="1"/>
  <c r="L33" i="60" s="1"/>
  <c r="L43" i="57"/>
  <c r="L58" i="57" s="1"/>
  <c r="L66" i="57" s="1"/>
  <c r="L69" i="57" s="1"/>
  <c r="L71" i="57" s="1"/>
  <c r="M70" i="57" s="1"/>
  <c r="G40" i="63"/>
  <c r="G42" i="63" s="1"/>
  <c r="F86" i="62"/>
  <c r="F67" i="63"/>
  <c r="L25" i="52"/>
  <c r="L27" i="52" s="1"/>
  <c r="L93" i="52"/>
  <c r="L95" i="52" s="1"/>
  <c r="L104" i="51"/>
  <c r="L113" i="51" s="1"/>
  <c r="L129" i="51" s="1"/>
  <c r="L128" i="57"/>
  <c r="L196" i="57" s="1"/>
  <c r="L204" i="57" s="1"/>
  <c r="L207" i="57" s="1"/>
  <c r="L209" i="57" s="1"/>
  <c r="M208" i="57" s="1"/>
  <c r="L8" i="41"/>
  <c r="L110" i="57"/>
  <c r="L113" i="57"/>
  <c r="F65" i="3"/>
  <c r="F67" i="3" s="1"/>
  <c r="F63" i="37"/>
  <c r="F65" i="37" s="1"/>
  <c r="L99" i="59"/>
  <c r="M152" i="58"/>
  <c r="L158" i="58"/>
  <c r="M13" i="57" s="1"/>
  <c r="L181" i="57"/>
  <c r="L73" i="39"/>
  <c r="L97" i="39" s="1"/>
  <c r="L101" i="39" s="1"/>
  <c r="L53" i="40" s="1"/>
  <c r="L178" i="57"/>
  <c r="L80" i="60"/>
  <c r="L183" i="57"/>
  <c r="F47" i="52"/>
  <c r="F67" i="52"/>
  <c r="L58" i="59"/>
  <c r="L67" i="59" s="1"/>
  <c r="L83" i="59" s="1"/>
  <c r="L46" i="60"/>
  <c r="L47" i="60" s="1"/>
  <c r="L65" i="60"/>
  <c r="L67" i="60" s="1"/>
  <c r="G63" i="52"/>
  <c r="G65" i="52" s="1"/>
  <c r="G46" i="52"/>
  <c r="K44" i="51"/>
  <c r="H63" i="52"/>
  <c r="H65" i="52" s="1"/>
  <c r="H46" i="52"/>
  <c r="H58" i="51"/>
  <c r="H67" i="51" s="1"/>
  <c r="H83" i="51" s="1"/>
  <c r="L97" i="52"/>
  <c r="L99" i="52" s="1"/>
  <c r="L80" i="52"/>
  <c r="L81" i="52" s="1"/>
  <c r="M163" i="49"/>
  <c r="M177" i="49" s="1"/>
  <c r="M182" i="49" s="1"/>
  <c r="M78" i="52" s="1"/>
  <c r="M20" i="50"/>
  <c r="M44" i="50" s="1"/>
  <c r="M48" i="50" s="1"/>
  <c r="M7" i="51" s="1"/>
  <c r="M12" i="51" s="1"/>
  <c r="M45" i="49"/>
  <c r="M49" i="49" s="1"/>
  <c r="M40" i="49"/>
  <c r="M43" i="49"/>
  <c r="M58" i="49" s="1"/>
  <c r="M66" i="49" s="1"/>
  <c r="M69" i="49" s="1"/>
  <c r="M71" i="49" s="1"/>
  <c r="N70" i="49" s="1"/>
  <c r="L29" i="52"/>
  <c r="L31" i="52" s="1"/>
  <c r="L12" i="52"/>
  <c r="L13" i="52" s="1"/>
  <c r="I138" i="34"/>
  <c r="I141" i="4"/>
  <c r="I144" i="4" s="1"/>
  <c r="H146" i="4"/>
  <c r="I145" i="4" s="1"/>
  <c r="L25" i="41"/>
  <c r="L63" i="41"/>
  <c r="L108" i="38"/>
  <c r="L128" i="38" s="1"/>
  <c r="L44" i="41"/>
  <c r="K42" i="40"/>
  <c r="M90" i="3"/>
  <c r="M90" i="37"/>
  <c r="F59" i="41"/>
  <c r="F61" i="41" s="1"/>
  <c r="F67" i="41" s="1"/>
  <c r="F42" i="41"/>
  <c r="F47" i="41" s="1"/>
  <c r="F88" i="59" s="1"/>
  <c r="F90" i="59" s="1"/>
  <c r="E90" i="36"/>
  <c r="E90" i="40"/>
  <c r="K9" i="26"/>
  <c r="F47" i="3"/>
  <c r="H31" i="11"/>
  <c r="I52" i="1"/>
  <c r="I58" i="1" s="1"/>
  <c r="I72" i="1" s="1"/>
  <c r="F77" i="1"/>
  <c r="F80" i="1" s="1"/>
  <c r="L63" i="2"/>
  <c r="L63" i="35" s="1"/>
  <c r="G59" i="63" l="1"/>
  <c r="G61" i="63" s="1"/>
  <c r="H143" i="34"/>
  <c r="I142" i="34" s="1"/>
  <c r="L27" i="41"/>
  <c r="I141" i="34"/>
  <c r="I139" i="34"/>
  <c r="L104" i="59"/>
  <c r="L113" i="59" s="1"/>
  <c r="L129" i="59" s="1"/>
  <c r="L12" i="60"/>
  <c r="L13" i="60" s="1"/>
  <c r="M6" i="60" s="1"/>
  <c r="M25" i="60" s="1"/>
  <c r="M27" i="60" s="1"/>
  <c r="M21" i="57"/>
  <c r="M33" i="57" s="1"/>
  <c r="M38" i="57" s="1"/>
  <c r="L101" i="52"/>
  <c r="L33" i="52"/>
  <c r="M74" i="52"/>
  <c r="M76" i="52" s="1"/>
  <c r="L132" i="51"/>
  <c r="M6" i="52"/>
  <c r="M25" i="52" s="1"/>
  <c r="M27" i="52" s="1"/>
  <c r="L40" i="51"/>
  <c r="L42" i="51" s="1"/>
  <c r="G40" i="52"/>
  <c r="G42" i="52" s="1"/>
  <c r="G47" i="52" s="1"/>
  <c r="F86" i="51"/>
  <c r="F88" i="51" s="1"/>
  <c r="F91" i="51" s="1"/>
  <c r="L136" i="57"/>
  <c r="L139" i="57" s="1"/>
  <c r="L141" i="57" s="1"/>
  <c r="M140" i="57" s="1"/>
  <c r="M99" i="39"/>
  <c r="L58" i="40"/>
  <c r="L67" i="40" s="1"/>
  <c r="L83" i="40" s="1"/>
  <c r="L105" i="39"/>
  <c r="M82" i="38" s="1"/>
  <c r="L46" i="41"/>
  <c r="L196" i="38"/>
  <c r="L204" i="38" s="1"/>
  <c r="L207" i="38" s="1"/>
  <c r="L65" i="41"/>
  <c r="L187" i="57"/>
  <c r="L97" i="60"/>
  <c r="L99" i="60" s="1"/>
  <c r="M40" i="60"/>
  <c r="M59" i="60" s="1"/>
  <c r="M61" i="60" s="1"/>
  <c r="L86" i="59"/>
  <c r="I63" i="52"/>
  <c r="I65" i="52" s="1"/>
  <c r="I46" i="52"/>
  <c r="F88" i="62"/>
  <c r="F91" i="62" s="1"/>
  <c r="I58" i="51"/>
  <c r="I67" i="51" s="1"/>
  <c r="I83" i="51" s="1"/>
  <c r="M52" i="50"/>
  <c r="N13" i="49" s="1"/>
  <c r="N9" i="50" s="1"/>
  <c r="N46" i="50"/>
  <c r="M126" i="50"/>
  <c r="M150" i="50" s="1"/>
  <c r="M154" i="50" s="1"/>
  <c r="M99" i="51" s="1"/>
  <c r="M189" i="49"/>
  <c r="M193" i="49" s="1"/>
  <c r="M187" i="49"/>
  <c r="M202" i="49" s="1"/>
  <c r="M184" i="49"/>
  <c r="M21" i="51"/>
  <c r="M37" i="51" s="1"/>
  <c r="I146" i="4"/>
  <c r="J145" i="4" s="1"/>
  <c r="J138" i="34"/>
  <c r="J141" i="4"/>
  <c r="J144" i="4" s="1"/>
  <c r="L136" i="38"/>
  <c r="L139" i="38" s="1"/>
  <c r="L141" i="38" s="1"/>
  <c r="M140" i="38" s="1"/>
  <c r="G40" i="41"/>
  <c r="F86" i="40"/>
  <c r="L110" i="38"/>
  <c r="L113" i="38"/>
  <c r="L115" i="38"/>
  <c r="L119" i="38" s="1"/>
  <c r="K44" i="40"/>
  <c r="M133" i="14"/>
  <c r="M133" i="36" s="1"/>
  <c r="N84" i="3"/>
  <c r="N84" i="37" s="1"/>
  <c r="F86" i="14"/>
  <c r="F88" i="14" s="1"/>
  <c r="F91" i="14" s="1"/>
  <c r="F59" i="37"/>
  <c r="F61" i="37" s="1"/>
  <c r="F67" i="37" s="1"/>
  <c r="F42" i="37"/>
  <c r="F47" i="37" s="1"/>
  <c r="G40" i="3"/>
  <c r="G42" i="3" s="1"/>
  <c r="F79" i="1"/>
  <c r="J52" i="1"/>
  <c r="J58" i="1" s="1"/>
  <c r="J72" i="1" s="1"/>
  <c r="I143" i="34" l="1"/>
  <c r="J142" i="34" s="1"/>
  <c r="G59" i="41"/>
  <c r="G61" i="41" s="1"/>
  <c r="G67" i="41" s="1"/>
  <c r="G40" i="37"/>
  <c r="L44" i="51"/>
  <c r="L45" i="51"/>
  <c r="J141" i="34"/>
  <c r="J139" i="34"/>
  <c r="M210" i="49"/>
  <c r="M213" i="49" s="1"/>
  <c r="M215" i="49" s="1"/>
  <c r="N214" i="49" s="1"/>
  <c r="L40" i="59"/>
  <c r="L42" i="59" s="1"/>
  <c r="L44" i="59" s="1"/>
  <c r="M9" i="58"/>
  <c r="M20" i="58" s="1"/>
  <c r="M44" i="58" s="1"/>
  <c r="M48" i="58" s="1"/>
  <c r="M7" i="59" s="1"/>
  <c r="M12" i="59" s="1"/>
  <c r="M21" i="59" s="1"/>
  <c r="M37" i="59" s="1"/>
  <c r="F86" i="36"/>
  <c r="F88" i="36" s="1"/>
  <c r="F91" i="36" s="1"/>
  <c r="M93" i="52"/>
  <c r="M95" i="52" s="1"/>
  <c r="M8" i="52"/>
  <c r="G59" i="52"/>
  <c r="G61" i="52" s="1"/>
  <c r="G67" i="52" s="1"/>
  <c r="H40" i="52"/>
  <c r="H42" i="52" s="1"/>
  <c r="H47" i="52" s="1"/>
  <c r="G86" i="51"/>
  <c r="G88" i="51" s="1"/>
  <c r="M8" i="60"/>
  <c r="M62" i="58"/>
  <c r="M73" i="58" s="1"/>
  <c r="M97" i="58" s="1"/>
  <c r="M101" i="58" s="1"/>
  <c r="M53" i="59" s="1"/>
  <c r="M42" i="60"/>
  <c r="J146" i="4"/>
  <c r="K145" i="4" s="1"/>
  <c r="G42" i="41"/>
  <c r="G47" i="41" s="1"/>
  <c r="G88" i="59" s="1"/>
  <c r="G90" i="59" s="1"/>
  <c r="M150" i="38"/>
  <c r="J46" i="52"/>
  <c r="J63" i="52"/>
  <c r="J65" i="52" s="1"/>
  <c r="F90" i="62"/>
  <c r="F90" i="51"/>
  <c r="L134" i="51"/>
  <c r="L137" i="51" s="1"/>
  <c r="J58" i="51"/>
  <c r="J67" i="51" s="1"/>
  <c r="J83" i="51" s="1"/>
  <c r="M158" i="50"/>
  <c r="N155" i="49" s="1"/>
  <c r="N115" i="50" s="1"/>
  <c r="N152" i="50"/>
  <c r="N21" i="49"/>
  <c r="N33" i="49" s="1"/>
  <c r="N38" i="49" s="1"/>
  <c r="N10" i="52" s="1"/>
  <c r="M40" i="57"/>
  <c r="M43" i="57"/>
  <c r="M58" i="57" s="1"/>
  <c r="M66" i="57" s="1"/>
  <c r="M69" i="57" s="1"/>
  <c r="M71" i="57" s="1"/>
  <c r="N70" i="57" s="1"/>
  <c r="M45" i="57"/>
  <c r="M49" i="57" s="1"/>
  <c r="M10" i="60" s="1"/>
  <c r="M62" i="39"/>
  <c r="M90" i="38"/>
  <c r="M103" i="38" s="1"/>
  <c r="N86" i="3"/>
  <c r="N89" i="3" s="1"/>
  <c r="N86" i="37"/>
  <c r="N89" i="37" s="1"/>
  <c r="F90" i="14"/>
  <c r="F88" i="40"/>
  <c r="G59" i="3"/>
  <c r="G61" i="3" s="1"/>
  <c r="K52" i="1"/>
  <c r="K58" i="1" s="1"/>
  <c r="K72" i="1" s="1"/>
  <c r="G77" i="1"/>
  <c r="G80" i="1" s="1"/>
  <c r="M63" i="2"/>
  <c r="M63" i="35" s="1"/>
  <c r="J143" i="34" l="1"/>
  <c r="K142" i="34" s="1"/>
  <c r="G91" i="51"/>
  <c r="H59" i="52"/>
  <c r="H61" i="52" s="1"/>
  <c r="H67" i="52" s="1"/>
  <c r="N46" i="58"/>
  <c r="M52" i="58"/>
  <c r="I40" i="52"/>
  <c r="I59" i="52" s="1"/>
  <c r="I61" i="52" s="1"/>
  <c r="I67" i="52" s="1"/>
  <c r="H86" i="51"/>
  <c r="M90" i="57"/>
  <c r="M103" i="57" s="1"/>
  <c r="M44" i="60" s="1"/>
  <c r="M46" i="60" s="1"/>
  <c r="M47" i="60" s="1"/>
  <c r="M150" i="57"/>
  <c r="M158" i="57" s="1"/>
  <c r="M171" i="57" s="1"/>
  <c r="M176" i="57" s="1"/>
  <c r="M78" i="60" s="1"/>
  <c r="M104" i="51"/>
  <c r="M113" i="51" s="1"/>
  <c r="M129" i="51" s="1"/>
  <c r="M158" i="38"/>
  <c r="G86" i="40"/>
  <c r="H40" i="41"/>
  <c r="M115" i="39"/>
  <c r="N99" i="58"/>
  <c r="M105" i="58"/>
  <c r="N82" i="57" s="1"/>
  <c r="N20" i="50"/>
  <c r="N44" i="50" s="1"/>
  <c r="N48" i="50" s="1"/>
  <c r="M12" i="60"/>
  <c r="M13" i="60" s="1"/>
  <c r="M29" i="60"/>
  <c r="M31" i="60" s="1"/>
  <c r="M33" i="60" s="1"/>
  <c r="G90" i="51"/>
  <c r="M12" i="52"/>
  <c r="M13" i="52" s="1"/>
  <c r="M29" i="52"/>
  <c r="M31" i="52" s="1"/>
  <c r="M33" i="52" s="1"/>
  <c r="N40" i="49"/>
  <c r="N43" i="49"/>
  <c r="N58" i="49" s="1"/>
  <c r="N66" i="49" s="1"/>
  <c r="N69" i="49" s="1"/>
  <c r="N71" i="49" s="1"/>
  <c r="O70" i="49" s="1"/>
  <c r="N45" i="49"/>
  <c r="N49" i="49" s="1"/>
  <c r="M97" i="52"/>
  <c r="M99" i="52" s="1"/>
  <c r="M101" i="52" s="1"/>
  <c r="M80" i="52"/>
  <c r="M81" i="52" s="1"/>
  <c r="L136" i="51"/>
  <c r="K94" i="49"/>
  <c r="K108" i="49" s="1"/>
  <c r="K113" i="49" s="1"/>
  <c r="K44" i="52" s="1"/>
  <c r="M73" i="39"/>
  <c r="M97" i="39" s="1"/>
  <c r="M101" i="39" s="1"/>
  <c r="M58" i="59" s="1"/>
  <c r="M67" i="59" s="1"/>
  <c r="M83" i="59" s="1"/>
  <c r="M63" i="41"/>
  <c r="M108" i="38"/>
  <c r="M128" i="38" s="1"/>
  <c r="M44" i="41"/>
  <c r="N90" i="3"/>
  <c r="N90" i="37"/>
  <c r="F90" i="36"/>
  <c r="F90" i="40"/>
  <c r="G42" i="37"/>
  <c r="G59" i="37"/>
  <c r="G61" i="37" s="1"/>
  <c r="G79" i="1"/>
  <c r="L52" i="1"/>
  <c r="L58" i="1" s="1"/>
  <c r="L72" i="1" s="1"/>
  <c r="H42" i="41" l="1"/>
  <c r="H47" i="41" s="1"/>
  <c r="H88" i="59" s="1"/>
  <c r="H90" i="59" s="1"/>
  <c r="I42" i="52"/>
  <c r="I47" i="52" s="1"/>
  <c r="J40" i="52" s="1"/>
  <c r="J42" i="52" s="1"/>
  <c r="J47" i="52" s="1"/>
  <c r="N6" i="52"/>
  <c r="N8" i="52" s="1"/>
  <c r="M40" i="51"/>
  <c r="M42" i="51" s="1"/>
  <c r="M45" i="51" s="1"/>
  <c r="N74" i="52"/>
  <c r="N76" i="52" s="1"/>
  <c r="M132" i="51"/>
  <c r="O46" i="50"/>
  <c r="N7" i="51"/>
  <c r="N12" i="51" s="1"/>
  <c r="N21" i="51" s="1"/>
  <c r="N37" i="51" s="1"/>
  <c r="M108" i="57"/>
  <c r="M128" i="57" s="1"/>
  <c r="M136" i="57" s="1"/>
  <c r="M139" i="57" s="1"/>
  <c r="M141" i="57" s="1"/>
  <c r="N140" i="57" s="1"/>
  <c r="M63" i="60"/>
  <c r="M65" i="60" s="1"/>
  <c r="M67" i="60" s="1"/>
  <c r="M115" i="58"/>
  <c r="M126" i="58" s="1"/>
  <c r="M150" i="58" s="1"/>
  <c r="M154" i="58" s="1"/>
  <c r="N152" i="58" s="1"/>
  <c r="N163" i="49"/>
  <c r="N177" i="49" s="1"/>
  <c r="N182" i="49" s="1"/>
  <c r="N52" i="50"/>
  <c r="O13" i="49" s="1"/>
  <c r="O9" i="50" s="1"/>
  <c r="G88" i="40"/>
  <c r="G90" i="40" s="1"/>
  <c r="M183" i="57"/>
  <c r="M97" i="60" s="1"/>
  <c r="M99" i="60" s="1"/>
  <c r="M181" i="57"/>
  <c r="M65" i="41"/>
  <c r="M178" i="57"/>
  <c r="M46" i="41"/>
  <c r="M196" i="38"/>
  <c r="M204" i="38" s="1"/>
  <c r="M207" i="38" s="1"/>
  <c r="M80" i="60"/>
  <c r="N6" i="60"/>
  <c r="N8" i="60" s="1"/>
  <c r="M40" i="59"/>
  <c r="N40" i="60"/>
  <c r="N42" i="60" s="1"/>
  <c r="M86" i="59"/>
  <c r="H59" i="41"/>
  <c r="H61" i="41" s="1"/>
  <c r="H67" i="41" s="1"/>
  <c r="H88" i="51"/>
  <c r="H91" i="51" s="1"/>
  <c r="K115" i="49"/>
  <c r="K118" i="49"/>
  <c r="K133" i="49" s="1"/>
  <c r="K120" i="49"/>
  <c r="K124" i="49" s="1"/>
  <c r="K73" i="50"/>
  <c r="K97" i="50" s="1"/>
  <c r="K101" i="50" s="1"/>
  <c r="K53" i="51" s="1"/>
  <c r="M136" i="38"/>
  <c r="M139" i="38" s="1"/>
  <c r="M141" i="38" s="1"/>
  <c r="N140" i="38" s="1"/>
  <c r="M105" i="39"/>
  <c r="N82" i="38" s="1"/>
  <c r="M53" i="40"/>
  <c r="N99" i="39"/>
  <c r="M110" i="38"/>
  <c r="M113" i="38"/>
  <c r="M115" i="38"/>
  <c r="M119" i="38" s="1"/>
  <c r="N133" i="14"/>
  <c r="N133" i="36" s="1"/>
  <c r="O84" i="3"/>
  <c r="O84" i="37" s="1"/>
  <c r="H77" i="1"/>
  <c r="H80" i="1" s="1"/>
  <c r="M52" i="1"/>
  <c r="M58" i="1" s="1"/>
  <c r="M72" i="1" s="1"/>
  <c r="H86" i="40" l="1"/>
  <c r="I40" i="41"/>
  <c r="I59" i="41" s="1"/>
  <c r="I61" i="41" s="1"/>
  <c r="I67" i="41" s="1"/>
  <c r="M110" i="57"/>
  <c r="M196" i="57"/>
  <c r="M204" i="57" s="1"/>
  <c r="M207" i="57" s="1"/>
  <c r="M209" i="57" s="1"/>
  <c r="N208" i="57" s="1"/>
  <c r="I86" i="51"/>
  <c r="J59" i="52"/>
  <c r="J61" i="52" s="1"/>
  <c r="J67" i="52" s="1"/>
  <c r="M115" i="57"/>
  <c r="M119" i="57" s="1"/>
  <c r="K141" i="49"/>
  <c r="K144" i="49" s="1"/>
  <c r="K146" i="49" s="1"/>
  <c r="L145" i="49" s="1"/>
  <c r="N25" i="52"/>
  <c r="N27" i="52" s="1"/>
  <c r="N187" i="49"/>
  <c r="N202" i="49" s="1"/>
  <c r="N78" i="52"/>
  <c r="N189" i="49"/>
  <c r="N193" i="49" s="1"/>
  <c r="N93" i="52"/>
  <c r="N95" i="52" s="1"/>
  <c r="K40" i="52"/>
  <c r="K42" i="52" s="1"/>
  <c r="J86" i="51"/>
  <c r="M113" i="57"/>
  <c r="M99" i="59"/>
  <c r="M104" i="59" s="1"/>
  <c r="M113" i="59" s="1"/>
  <c r="M129" i="59" s="1"/>
  <c r="M158" i="58"/>
  <c r="N13" i="57" s="1"/>
  <c r="N21" i="57" s="1"/>
  <c r="N33" i="57" s="1"/>
  <c r="N38" i="57" s="1"/>
  <c r="N40" i="57" s="1"/>
  <c r="N126" i="50"/>
  <c r="N150" i="50" s="1"/>
  <c r="N154" i="50" s="1"/>
  <c r="N99" i="51" s="1"/>
  <c r="N184" i="49"/>
  <c r="I42" i="41"/>
  <c r="I47" i="41" s="1"/>
  <c r="I88" i="59" s="1"/>
  <c r="I90" i="59" s="1"/>
  <c r="N25" i="60"/>
  <c r="N27" i="60" s="1"/>
  <c r="M187" i="57"/>
  <c r="N59" i="60"/>
  <c r="N61" i="60" s="1"/>
  <c r="M58" i="40"/>
  <c r="M67" i="40" s="1"/>
  <c r="M83" i="40" s="1"/>
  <c r="M42" i="59"/>
  <c r="M44" i="59" s="1"/>
  <c r="N62" i="58"/>
  <c r="H90" i="51"/>
  <c r="O21" i="49"/>
  <c r="O33" i="49" s="1"/>
  <c r="O38" i="49" s="1"/>
  <c r="O10" i="52" s="1"/>
  <c r="M134" i="51"/>
  <c r="M137" i="51" s="1"/>
  <c r="M44" i="51"/>
  <c r="K105" i="50"/>
  <c r="L86" i="49" s="1"/>
  <c r="L62" i="50" s="1"/>
  <c r="L99" i="50"/>
  <c r="O86" i="3"/>
  <c r="O89" i="3" s="1"/>
  <c r="O86" i="37"/>
  <c r="O89" i="37" s="1"/>
  <c r="H88" i="40"/>
  <c r="H79" i="1"/>
  <c r="N9" i="58" l="1"/>
  <c r="N20" i="58" s="1"/>
  <c r="N44" i="58" s="1"/>
  <c r="N48" i="58" s="1"/>
  <c r="N7" i="59" s="1"/>
  <c r="N12" i="59" s="1"/>
  <c r="N21" i="59" s="1"/>
  <c r="N37" i="59" s="1"/>
  <c r="N210" i="49"/>
  <c r="N213" i="49" s="1"/>
  <c r="N215" i="49" s="1"/>
  <c r="O214" i="49" s="1"/>
  <c r="K59" i="52"/>
  <c r="K61" i="52" s="1"/>
  <c r="O152" i="50"/>
  <c r="N158" i="50"/>
  <c r="O155" i="49" s="1"/>
  <c r="O115" i="50" s="1"/>
  <c r="I86" i="40"/>
  <c r="J40" i="41"/>
  <c r="N43" i="57"/>
  <c r="N58" i="57" s="1"/>
  <c r="N66" i="57" s="1"/>
  <c r="N69" i="57" s="1"/>
  <c r="N71" i="57" s="1"/>
  <c r="O70" i="57" s="1"/>
  <c r="N45" i="57"/>
  <c r="N49" i="57" s="1"/>
  <c r="N10" i="60" s="1"/>
  <c r="N62" i="39"/>
  <c r="N73" i="39" s="1"/>
  <c r="N97" i="39" s="1"/>
  <c r="N101" i="39" s="1"/>
  <c r="N90" i="38"/>
  <c r="N103" i="38" s="1"/>
  <c r="N108" i="38" s="1"/>
  <c r="N128" i="38" s="1"/>
  <c r="N150" i="57"/>
  <c r="N90" i="57"/>
  <c r="N103" i="57" s="1"/>
  <c r="N150" i="38"/>
  <c r="N73" i="58"/>
  <c r="N97" i="58" s="1"/>
  <c r="N101" i="58" s="1"/>
  <c r="N53" i="59" s="1"/>
  <c r="K58" i="51"/>
  <c r="K67" i="51" s="1"/>
  <c r="K83" i="51" s="1"/>
  <c r="K46" i="52"/>
  <c r="K47" i="52" s="1"/>
  <c r="I88" i="51"/>
  <c r="I91" i="51" s="1"/>
  <c r="N12" i="52"/>
  <c r="N13" i="52" s="1"/>
  <c r="N29" i="52"/>
  <c r="N31" i="52" s="1"/>
  <c r="N33" i="52" s="1"/>
  <c r="O45" i="49"/>
  <c r="O49" i="49" s="1"/>
  <c r="O40" i="49"/>
  <c r="O43" i="49"/>
  <c r="O58" i="49" s="1"/>
  <c r="O66" i="49" s="1"/>
  <c r="O69" i="49" s="1"/>
  <c r="O71" i="49" s="1"/>
  <c r="P70" i="49" s="1"/>
  <c r="O20" i="50"/>
  <c r="O44" i="50" s="1"/>
  <c r="O48" i="50" s="1"/>
  <c r="O7" i="51" s="1"/>
  <c r="O12" i="51" s="1"/>
  <c r="N80" i="52"/>
  <c r="N81" i="52" s="1"/>
  <c r="N97" i="52"/>
  <c r="N99" i="52" s="1"/>
  <c r="N101" i="52" s="1"/>
  <c r="M136" i="51"/>
  <c r="O90" i="3"/>
  <c r="O90" i="37"/>
  <c r="H90" i="40"/>
  <c r="I77" i="1"/>
  <c r="I80" i="1" s="1"/>
  <c r="N52" i="58" l="1"/>
  <c r="O46" i="58"/>
  <c r="J42" i="41"/>
  <c r="J47" i="41" s="1"/>
  <c r="J88" i="59" s="1"/>
  <c r="J90" i="59" s="1"/>
  <c r="L40" i="52"/>
  <c r="L59" i="52" s="1"/>
  <c r="L61" i="52" s="1"/>
  <c r="K86" i="51"/>
  <c r="O74" i="52"/>
  <c r="O76" i="52" s="1"/>
  <c r="N132" i="51"/>
  <c r="O6" i="52"/>
  <c r="O8" i="52" s="1"/>
  <c r="N40" i="51"/>
  <c r="N42" i="51" s="1"/>
  <c r="N45" i="51" s="1"/>
  <c r="J59" i="41"/>
  <c r="J61" i="41" s="1"/>
  <c r="J67" i="41" s="1"/>
  <c r="N104" i="51"/>
  <c r="N113" i="51" s="1"/>
  <c r="N129" i="51" s="1"/>
  <c r="N63" i="41"/>
  <c r="N108" i="57"/>
  <c r="N115" i="57" s="1"/>
  <c r="N119" i="57" s="1"/>
  <c r="N63" i="60"/>
  <c r="N65" i="60" s="1"/>
  <c r="N67" i="60" s="1"/>
  <c r="N44" i="60"/>
  <c r="N46" i="60" s="1"/>
  <c r="N47" i="60" s="1"/>
  <c r="O40" i="60" s="1"/>
  <c r="N196" i="38"/>
  <c r="N204" i="38" s="1"/>
  <c r="N207" i="38" s="1"/>
  <c r="N58" i="59"/>
  <c r="N67" i="59" s="1"/>
  <c r="N83" i="59" s="1"/>
  <c r="N158" i="57"/>
  <c r="N171" i="57" s="1"/>
  <c r="N176" i="57" s="1"/>
  <c r="N78" i="60" s="1"/>
  <c r="N115" i="58"/>
  <c r="N126" i="58" s="1"/>
  <c r="N150" i="58" s="1"/>
  <c r="N154" i="58" s="1"/>
  <c r="N99" i="59" s="1"/>
  <c r="N44" i="41"/>
  <c r="K88" i="59"/>
  <c r="K90" i="59" s="1"/>
  <c r="N105" i="58"/>
  <c r="O82" i="57" s="1"/>
  <c r="O99" i="58"/>
  <c r="N115" i="39"/>
  <c r="N158" i="38"/>
  <c r="K63" i="52"/>
  <c r="K65" i="52" s="1"/>
  <c r="K67" i="52" s="1"/>
  <c r="I90" i="51"/>
  <c r="O21" i="51"/>
  <c r="O37" i="51" s="1"/>
  <c r="O163" i="49"/>
  <c r="O177" i="49" s="1"/>
  <c r="O182" i="49" s="1"/>
  <c r="O78" i="52" s="1"/>
  <c r="L94" i="49"/>
  <c r="L108" i="49" s="1"/>
  <c r="L113" i="49" s="1"/>
  <c r="L44" i="52" s="1"/>
  <c r="O52" i="50"/>
  <c r="P13" i="49" s="1"/>
  <c r="P9" i="50" s="1"/>
  <c r="P46" i="50"/>
  <c r="N136" i="38"/>
  <c r="N139" i="38" s="1"/>
  <c r="N141" i="38" s="1"/>
  <c r="O140" i="38" s="1"/>
  <c r="O99" i="39"/>
  <c r="N53" i="40"/>
  <c r="N105" i="39"/>
  <c r="O82" i="38" s="1"/>
  <c r="N115" i="38"/>
  <c r="N119" i="38" s="1"/>
  <c r="N113" i="38"/>
  <c r="N110" i="38"/>
  <c r="O133" i="14"/>
  <c r="O133" i="36" s="1"/>
  <c r="P84" i="3"/>
  <c r="P84" i="37" s="1"/>
  <c r="I88" i="40"/>
  <c r="I79" i="1"/>
  <c r="J86" i="40" l="1"/>
  <c r="K40" i="41"/>
  <c r="K42" i="41" s="1"/>
  <c r="K47" i="41" s="1"/>
  <c r="L42" i="52"/>
  <c r="O93" i="52"/>
  <c r="O95" i="52" s="1"/>
  <c r="O25" i="52"/>
  <c r="O27" i="52" s="1"/>
  <c r="K59" i="41"/>
  <c r="K61" i="41" s="1"/>
  <c r="K67" i="41" s="1"/>
  <c r="N181" i="57"/>
  <c r="N113" i="57"/>
  <c r="N134" i="51"/>
  <c r="N137" i="51" s="1"/>
  <c r="N128" i="57"/>
  <c r="O42" i="60"/>
  <c r="O59" i="60"/>
  <c r="O61" i="60" s="1"/>
  <c r="N178" i="57"/>
  <c r="N86" i="59"/>
  <c r="N110" i="57"/>
  <c r="N46" i="41"/>
  <c r="N183" i="57"/>
  <c r="N97" i="60" s="1"/>
  <c r="N58" i="40"/>
  <c r="N67" i="40" s="1"/>
  <c r="N83" i="40" s="1"/>
  <c r="N65" i="41"/>
  <c r="O62" i="39"/>
  <c r="O62" i="58"/>
  <c r="O152" i="58"/>
  <c r="N158" i="58"/>
  <c r="O13" i="57" s="1"/>
  <c r="O9" i="58" s="1"/>
  <c r="O20" i="58" s="1"/>
  <c r="O44" i="58" s="1"/>
  <c r="O48" i="58" s="1"/>
  <c r="O7" i="59" s="1"/>
  <c r="L88" i="59"/>
  <c r="L90" i="59" s="1"/>
  <c r="N80" i="60"/>
  <c r="N29" i="60"/>
  <c r="N31" i="60" s="1"/>
  <c r="N33" i="60" s="1"/>
  <c r="N12" i="60"/>
  <c r="N13" i="60" s="1"/>
  <c r="J88" i="51"/>
  <c r="J91" i="51" s="1"/>
  <c r="L73" i="50"/>
  <c r="L97" i="50" s="1"/>
  <c r="L101" i="50" s="1"/>
  <c r="L53" i="51" s="1"/>
  <c r="O189" i="49"/>
  <c r="O193" i="49" s="1"/>
  <c r="O184" i="49"/>
  <c r="O187" i="49"/>
  <c r="O202" i="49" s="1"/>
  <c r="O126" i="50"/>
  <c r="O150" i="50" s="1"/>
  <c r="O154" i="50" s="1"/>
  <c r="O99" i="51" s="1"/>
  <c r="N44" i="51"/>
  <c r="P21" i="49"/>
  <c r="P33" i="49" s="1"/>
  <c r="P38" i="49" s="1"/>
  <c r="P10" i="52" s="1"/>
  <c r="L120" i="49"/>
  <c r="L124" i="49" s="1"/>
  <c r="L115" i="49"/>
  <c r="L118" i="49"/>
  <c r="L133" i="49" s="1"/>
  <c r="P86" i="3"/>
  <c r="P89" i="3" s="1"/>
  <c r="P86" i="37"/>
  <c r="P89" i="37" s="1"/>
  <c r="I90" i="40"/>
  <c r="J77" i="1"/>
  <c r="J80" i="1" s="1"/>
  <c r="O210" i="49" l="1"/>
  <c r="O213" i="49" s="1"/>
  <c r="O215" i="49" s="1"/>
  <c r="P214" i="49" s="1"/>
  <c r="L141" i="49"/>
  <c r="L144" i="49" s="1"/>
  <c r="L146" i="49" s="1"/>
  <c r="M145" i="49" s="1"/>
  <c r="O21" i="57"/>
  <c r="O33" i="57" s="1"/>
  <c r="O38" i="57" s="1"/>
  <c r="O43" i="57" s="1"/>
  <c r="O58" i="57" s="1"/>
  <c r="O66" i="57" s="1"/>
  <c r="O69" i="57" s="1"/>
  <c r="O71" i="57" s="1"/>
  <c r="P70" i="57" s="1"/>
  <c r="L40" i="41"/>
  <c r="K86" i="40"/>
  <c r="N136" i="51"/>
  <c r="N136" i="57"/>
  <c r="N139" i="57" s="1"/>
  <c r="N141" i="57" s="1"/>
  <c r="O140" i="57" s="1"/>
  <c r="N187" i="57"/>
  <c r="N196" i="57"/>
  <c r="N204" i="57" s="1"/>
  <c r="N207" i="57" s="1"/>
  <c r="N209" i="57" s="1"/>
  <c r="O208" i="57" s="1"/>
  <c r="O73" i="39"/>
  <c r="O97" i="39" s="1"/>
  <c r="O101" i="39" s="1"/>
  <c r="O53" i="40" s="1"/>
  <c r="O6" i="60"/>
  <c r="O25" i="60" s="1"/>
  <c r="O27" i="60" s="1"/>
  <c r="N40" i="59"/>
  <c r="N42" i="59" s="1"/>
  <c r="N44" i="59" s="1"/>
  <c r="O12" i="59"/>
  <c r="O21" i="59" s="1"/>
  <c r="O37" i="59" s="1"/>
  <c r="O80" i="52"/>
  <c r="O81" i="52" s="1"/>
  <c r="N99" i="60"/>
  <c r="O150" i="57"/>
  <c r="O90" i="57"/>
  <c r="O103" i="57" s="1"/>
  <c r="M88" i="59"/>
  <c r="M90" i="59" s="1"/>
  <c r="O150" i="38"/>
  <c r="O73" i="58"/>
  <c r="O97" i="58" s="1"/>
  <c r="O101" i="58" s="1"/>
  <c r="O53" i="59" s="1"/>
  <c r="O58" i="59" s="1"/>
  <c r="O67" i="59" s="1"/>
  <c r="O83" i="59" s="1"/>
  <c r="N104" i="59"/>
  <c r="N113" i="59" s="1"/>
  <c r="N129" i="59" s="1"/>
  <c r="O29" i="52"/>
  <c r="O31" i="52" s="1"/>
  <c r="O33" i="52" s="1"/>
  <c r="O52" i="58"/>
  <c r="P46" i="58"/>
  <c r="J90" i="51"/>
  <c r="P20" i="50"/>
  <c r="P44" i="50" s="1"/>
  <c r="P48" i="50" s="1"/>
  <c r="P152" i="50"/>
  <c r="O158" i="50"/>
  <c r="P155" i="49" s="1"/>
  <c r="P115" i="50" s="1"/>
  <c r="M99" i="50"/>
  <c r="L105" i="50"/>
  <c r="M86" i="49" s="1"/>
  <c r="M62" i="50" s="1"/>
  <c r="P40" i="49"/>
  <c r="P45" i="49"/>
  <c r="P49" i="49" s="1"/>
  <c r="P43" i="49"/>
  <c r="P58" i="49" s="1"/>
  <c r="P66" i="49" s="1"/>
  <c r="P69" i="49" s="1"/>
  <c r="P71" i="49" s="1"/>
  <c r="O90" i="38"/>
  <c r="O103" i="38" s="1"/>
  <c r="P90" i="3"/>
  <c r="P90" i="37"/>
  <c r="J88" i="40"/>
  <c r="J79" i="1"/>
  <c r="O45" i="57" l="1"/>
  <c r="O49" i="57" s="1"/>
  <c r="O10" i="60" s="1"/>
  <c r="O40" i="57"/>
  <c r="P74" i="52"/>
  <c r="P76" i="52" s="1"/>
  <c r="O132" i="51"/>
  <c r="O134" i="51" s="1"/>
  <c r="P52" i="50"/>
  <c r="P7" i="51"/>
  <c r="P12" i="51" s="1"/>
  <c r="L42" i="41"/>
  <c r="L47" i="41" s="1"/>
  <c r="L59" i="41"/>
  <c r="L61" i="41" s="1"/>
  <c r="L67" i="41" s="1"/>
  <c r="O8" i="60"/>
  <c r="P99" i="39"/>
  <c r="O105" i="39"/>
  <c r="P82" i="38" s="1"/>
  <c r="O158" i="38"/>
  <c r="O108" i="57"/>
  <c r="O110" i="57" s="1"/>
  <c r="O63" i="60"/>
  <c r="O65" i="60" s="1"/>
  <c r="O67" i="60" s="1"/>
  <c r="O44" i="60"/>
  <c r="O46" i="60" s="1"/>
  <c r="O47" i="60" s="1"/>
  <c r="O58" i="40"/>
  <c r="O67" i="40" s="1"/>
  <c r="O83" i="40" s="1"/>
  <c r="O158" i="57"/>
  <c r="O171" i="57" s="1"/>
  <c r="O176" i="57" s="1"/>
  <c r="O78" i="60" s="1"/>
  <c r="O80" i="60" s="1"/>
  <c r="O115" i="58"/>
  <c r="O126" i="58" s="1"/>
  <c r="O150" i="58" s="1"/>
  <c r="O154" i="58" s="1"/>
  <c r="O99" i="59" s="1"/>
  <c r="O104" i="51"/>
  <c r="O113" i="51" s="1"/>
  <c r="O129" i="51" s="1"/>
  <c r="O12" i="52"/>
  <c r="O13" i="52" s="1"/>
  <c r="O115" i="39"/>
  <c r="O108" i="38"/>
  <c r="O128" i="38" s="1"/>
  <c r="P99" i="58"/>
  <c r="O105" i="58"/>
  <c r="P82" i="57" s="1"/>
  <c r="L63" i="52"/>
  <c r="L65" i="52" s="1"/>
  <c r="L67" i="52" s="1"/>
  <c r="L58" i="51"/>
  <c r="L67" i="51" s="1"/>
  <c r="L83" i="51" s="1"/>
  <c r="K88" i="51"/>
  <c r="K91" i="51" s="1"/>
  <c r="O44" i="41"/>
  <c r="O63" i="41"/>
  <c r="P133" i="14"/>
  <c r="P133" i="36" s="1"/>
  <c r="J90" i="40"/>
  <c r="K77" i="1"/>
  <c r="K80" i="1" s="1"/>
  <c r="P93" i="52" l="1"/>
  <c r="P95" i="52" s="1"/>
  <c r="P6" i="52"/>
  <c r="O40" i="51"/>
  <c r="O42" i="51" s="1"/>
  <c r="O45" i="51" s="1"/>
  <c r="L86" i="40"/>
  <c r="M40" i="41"/>
  <c r="O115" i="57"/>
  <c r="O119" i="57" s="1"/>
  <c r="O113" i="57"/>
  <c r="P62" i="58"/>
  <c r="P73" i="58" s="1"/>
  <c r="P97" i="58" s="1"/>
  <c r="P101" i="58" s="1"/>
  <c r="O136" i="51"/>
  <c r="O128" i="57"/>
  <c r="O196" i="57" s="1"/>
  <c r="O204" i="57" s="1"/>
  <c r="O207" i="57" s="1"/>
  <c r="O209" i="57" s="1"/>
  <c r="P208" i="57" s="1"/>
  <c r="O104" i="59"/>
  <c r="O113" i="59" s="1"/>
  <c r="O129" i="59" s="1"/>
  <c r="O178" i="57"/>
  <c r="O181" i="57"/>
  <c r="O183" i="57"/>
  <c r="O187" i="57" s="1"/>
  <c r="O46" i="41"/>
  <c r="O196" i="38"/>
  <c r="P62" i="39"/>
  <c r="O65" i="41"/>
  <c r="P163" i="49"/>
  <c r="P177" i="49" s="1"/>
  <c r="P182" i="49" s="1"/>
  <c r="P78" i="52" s="1"/>
  <c r="P40" i="60"/>
  <c r="P59" i="60" s="1"/>
  <c r="P61" i="60" s="1"/>
  <c r="O86" i="59"/>
  <c r="O110" i="38"/>
  <c r="L46" i="52"/>
  <c r="L47" i="52" s="1"/>
  <c r="O136" i="38"/>
  <c r="O139" i="38" s="1"/>
  <c r="O141" i="38" s="1"/>
  <c r="P140" i="38" s="1"/>
  <c r="O113" i="38"/>
  <c r="P150" i="38"/>
  <c r="P152" i="58"/>
  <c r="O158" i="58"/>
  <c r="P13" i="57" s="1"/>
  <c r="O115" i="38"/>
  <c r="O119" i="38" s="1"/>
  <c r="P90" i="38"/>
  <c r="P103" i="38" s="1"/>
  <c r="P21" i="51"/>
  <c r="P37" i="51" s="1"/>
  <c r="K90" i="51"/>
  <c r="M94" i="49"/>
  <c r="M108" i="49" s="1"/>
  <c r="M113" i="49" s="1"/>
  <c r="M44" i="52" s="1"/>
  <c r="K88" i="40"/>
  <c r="K79" i="1"/>
  <c r="M40" i="52" l="1"/>
  <c r="M59" i="52" s="1"/>
  <c r="M61" i="52" s="1"/>
  <c r="L86" i="51"/>
  <c r="P25" i="52"/>
  <c r="P27" i="52" s="1"/>
  <c r="P8" i="52"/>
  <c r="P150" i="57"/>
  <c r="P158" i="57" s="1"/>
  <c r="P171" i="57" s="1"/>
  <c r="P176" i="57" s="1"/>
  <c r="P78" i="60" s="1"/>
  <c r="M59" i="41"/>
  <c r="M61" i="41" s="1"/>
  <c r="M67" i="41" s="1"/>
  <c r="M42" i="41"/>
  <c r="M47" i="41" s="1"/>
  <c r="P90" i="57"/>
  <c r="P103" i="57" s="1"/>
  <c r="P63" i="60" s="1"/>
  <c r="P65" i="60" s="1"/>
  <c r="P67" i="60" s="1"/>
  <c r="O136" i="57"/>
  <c r="O139" i="57" s="1"/>
  <c r="O141" i="57" s="1"/>
  <c r="P140" i="57" s="1"/>
  <c r="O97" i="60"/>
  <c r="O99" i="60" s="1"/>
  <c r="P105" i="58"/>
  <c r="P53" i="59"/>
  <c r="O204" i="38"/>
  <c r="O207" i="38" s="1"/>
  <c r="P42" i="60"/>
  <c r="O88" i="59"/>
  <c r="O90" i="59" s="1"/>
  <c r="P126" i="50"/>
  <c r="P150" i="50" s="1"/>
  <c r="P154" i="50" s="1"/>
  <c r="P21" i="57"/>
  <c r="P33" i="57" s="1"/>
  <c r="P9" i="58"/>
  <c r="P20" i="58" s="1"/>
  <c r="P44" i="58" s="1"/>
  <c r="P48" i="58" s="1"/>
  <c r="P187" i="49"/>
  <c r="P202" i="49" s="1"/>
  <c r="P189" i="49"/>
  <c r="P193" i="49" s="1"/>
  <c r="P184" i="49"/>
  <c r="P115" i="39"/>
  <c r="P108" i="38"/>
  <c r="P128" i="38" s="1"/>
  <c r="P44" i="41"/>
  <c r="P63" i="41"/>
  <c r="O44" i="51"/>
  <c r="O29" i="60"/>
  <c r="O31" i="60" s="1"/>
  <c r="O33" i="60" s="1"/>
  <c r="O12" i="60"/>
  <c r="O13" i="60" s="1"/>
  <c r="M73" i="50"/>
  <c r="M97" i="50" s="1"/>
  <c r="M101" i="50" s="1"/>
  <c r="M53" i="51" s="1"/>
  <c r="M115" i="49"/>
  <c r="M120" i="49"/>
  <c r="M124" i="49" s="1"/>
  <c r="M118" i="49"/>
  <c r="M133" i="49" s="1"/>
  <c r="P158" i="38"/>
  <c r="P73" i="39"/>
  <c r="P97" i="39" s="1"/>
  <c r="P101" i="39" s="1"/>
  <c r="K90" i="40"/>
  <c r="L77" i="1"/>
  <c r="L80" i="1" s="1"/>
  <c r="P115" i="58" l="1"/>
  <c r="P126" i="58" s="1"/>
  <c r="P150" i="58" s="1"/>
  <c r="P154" i="58" s="1"/>
  <c r="P158" i="58" s="1"/>
  <c r="P210" i="49"/>
  <c r="P213" i="49" s="1"/>
  <c r="P215" i="49" s="1"/>
  <c r="M141" i="49"/>
  <c r="M144" i="49" s="1"/>
  <c r="M146" i="49" s="1"/>
  <c r="N145" i="49" s="1"/>
  <c r="M42" i="52"/>
  <c r="P158" i="50"/>
  <c r="P99" i="51"/>
  <c r="P104" i="51" s="1"/>
  <c r="P113" i="51" s="1"/>
  <c r="P129" i="51" s="1"/>
  <c r="P44" i="60"/>
  <c r="P46" i="60" s="1"/>
  <c r="P47" i="60" s="1"/>
  <c r="P86" i="59" s="1"/>
  <c r="P108" i="57"/>
  <c r="P110" i="57" s="1"/>
  <c r="N40" i="41"/>
  <c r="M86" i="40"/>
  <c r="P183" i="57"/>
  <c r="P97" i="60" s="1"/>
  <c r="P58" i="59"/>
  <c r="P67" i="59" s="1"/>
  <c r="P83" i="59" s="1"/>
  <c r="P181" i="57"/>
  <c r="P65" i="41"/>
  <c r="P196" i="38"/>
  <c r="P204" i="38" s="1"/>
  <c r="P207" i="38" s="1"/>
  <c r="P46" i="41"/>
  <c r="P178" i="57"/>
  <c r="P52" i="58"/>
  <c r="P7" i="59"/>
  <c r="P12" i="59" s="1"/>
  <c r="P21" i="59" s="1"/>
  <c r="P37" i="59" s="1"/>
  <c r="P6" i="60"/>
  <c r="P25" i="60" s="1"/>
  <c r="P27" i="60" s="1"/>
  <c r="O40" i="59"/>
  <c r="O42" i="59" s="1"/>
  <c r="O44" i="59" s="1"/>
  <c r="P38" i="57"/>
  <c r="P113" i="38"/>
  <c r="P110" i="38"/>
  <c r="P115" i="38"/>
  <c r="P119" i="38" s="1"/>
  <c r="P80" i="60"/>
  <c r="P136" i="38"/>
  <c r="P139" i="38" s="1"/>
  <c r="P141" i="38" s="1"/>
  <c r="P12" i="52"/>
  <c r="P13" i="52" s="1"/>
  <c r="P40" i="51" s="1"/>
  <c r="P80" i="52"/>
  <c r="P81" i="52" s="1"/>
  <c r="P132" i="51" s="1"/>
  <c r="N99" i="50"/>
  <c r="M105" i="50"/>
  <c r="N86" i="49" s="1"/>
  <c r="N62" i="50" s="1"/>
  <c r="L88" i="51"/>
  <c r="L91" i="51" s="1"/>
  <c r="P105" i="39"/>
  <c r="P53" i="40"/>
  <c r="L88" i="40"/>
  <c r="L79" i="1"/>
  <c r="P115" i="57" l="1"/>
  <c r="P119" i="57" s="1"/>
  <c r="P99" i="59"/>
  <c r="P104" i="59" s="1"/>
  <c r="P113" i="59" s="1"/>
  <c r="P129" i="59" s="1"/>
  <c r="P113" i="57"/>
  <c r="P128" i="57"/>
  <c r="P136" i="57" s="1"/>
  <c r="P139" i="57" s="1"/>
  <c r="P141" i="57" s="1"/>
  <c r="P8" i="60"/>
  <c r="P187" i="57"/>
  <c r="N42" i="41"/>
  <c r="N47" i="41" s="1"/>
  <c r="N59" i="41"/>
  <c r="N61" i="41" s="1"/>
  <c r="N67" i="41" s="1"/>
  <c r="P97" i="52"/>
  <c r="P99" i="52" s="1"/>
  <c r="P101" i="52" s="1"/>
  <c r="P99" i="60"/>
  <c r="P58" i="40"/>
  <c r="P67" i="40" s="1"/>
  <c r="P83" i="40" s="1"/>
  <c r="P43" i="57"/>
  <c r="P58" i="57" s="1"/>
  <c r="P66" i="57" s="1"/>
  <c r="P69" i="57" s="1"/>
  <c r="P71" i="57" s="1"/>
  <c r="P40" i="57"/>
  <c r="P45" i="57"/>
  <c r="P49" i="57" s="1"/>
  <c r="P10" i="60" s="1"/>
  <c r="P29" i="60" s="1"/>
  <c r="P31" i="60" s="1"/>
  <c r="P33" i="60" s="1"/>
  <c r="P88" i="59"/>
  <c r="P90" i="59" s="1"/>
  <c r="M58" i="51"/>
  <c r="M67" i="51" s="1"/>
  <c r="M83" i="51" s="1"/>
  <c r="P29" i="52"/>
  <c r="P31" i="52" s="1"/>
  <c r="P33" i="52" s="1"/>
  <c r="M63" i="52"/>
  <c r="M65" i="52" s="1"/>
  <c r="M67" i="52" s="1"/>
  <c r="L90" i="51"/>
  <c r="L90" i="40"/>
  <c r="M77" i="1"/>
  <c r="M80" i="1" s="1"/>
  <c r="P196" i="57" l="1"/>
  <c r="P204" i="57" s="1"/>
  <c r="P207" i="57" s="1"/>
  <c r="P209" i="57" s="1"/>
  <c r="N88" i="59"/>
  <c r="N90" i="59" s="1"/>
  <c r="N86" i="40"/>
  <c r="O40" i="41"/>
  <c r="P12" i="60"/>
  <c r="P13" i="60" s="1"/>
  <c r="P40" i="59" s="1"/>
  <c r="M46" i="52"/>
  <c r="M47" i="52" s="1"/>
  <c r="P134" i="51"/>
  <c r="P137" i="51" s="1"/>
  <c r="P42" i="51"/>
  <c r="P45" i="51" s="1"/>
  <c r="N94" i="49"/>
  <c r="N108" i="49" s="1"/>
  <c r="N113" i="49" s="1"/>
  <c r="N44" i="52" s="1"/>
  <c r="M79" i="1"/>
  <c r="N40" i="52" l="1"/>
  <c r="N42" i="52" s="1"/>
  <c r="M86" i="51"/>
  <c r="O42" i="41"/>
  <c r="O47" i="41" s="1"/>
  <c r="O59" i="41"/>
  <c r="O61" i="41" s="1"/>
  <c r="O67" i="41" s="1"/>
  <c r="P44" i="51"/>
  <c r="P136" i="51"/>
  <c r="P42" i="59"/>
  <c r="P44" i="59" s="1"/>
  <c r="N120" i="49"/>
  <c r="N124" i="49" s="1"/>
  <c r="N115" i="49"/>
  <c r="N118" i="49"/>
  <c r="N133" i="49" s="1"/>
  <c r="N73" i="50"/>
  <c r="N97" i="50" s="1"/>
  <c r="N101" i="50" s="1"/>
  <c r="N53" i="51" s="1"/>
  <c r="H37" i="9"/>
  <c r="N141" i="49" l="1"/>
  <c r="N144" i="49" s="1"/>
  <c r="N146" i="49" s="1"/>
  <c r="O145" i="49" s="1"/>
  <c r="N59" i="52"/>
  <c r="N61" i="52" s="1"/>
  <c r="P40" i="41"/>
  <c r="O86" i="40"/>
  <c r="M88" i="51"/>
  <c r="M91" i="51" s="1"/>
  <c r="N105" i="50"/>
  <c r="O86" i="49" s="1"/>
  <c r="O62" i="50" s="1"/>
  <c r="O99" i="50"/>
  <c r="P42" i="41" l="1"/>
  <c r="P47" i="41" s="1"/>
  <c r="P86" i="40" s="1"/>
  <c r="P59" i="41"/>
  <c r="P61" i="41" s="1"/>
  <c r="P67" i="41" s="1"/>
  <c r="N46" i="52"/>
  <c r="N47" i="52" s="1"/>
  <c r="M90" i="51"/>
  <c r="N58" i="51"/>
  <c r="N67" i="51" s="1"/>
  <c r="N83" i="51" s="1"/>
  <c r="N63" i="52"/>
  <c r="N65" i="52" s="1"/>
  <c r="N67" i="52" s="1"/>
  <c r="M88" i="40"/>
  <c r="O40" i="52" l="1"/>
  <c r="O42" i="52" s="1"/>
  <c r="N86" i="51"/>
  <c r="O94" i="49"/>
  <c r="O108" i="49" s="1"/>
  <c r="O113" i="49" s="1"/>
  <c r="O44" i="52" s="1"/>
  <c r="M90" i="40"/>
  <c r="O59" i="52" l="1"/>
  <c r="O61" i="52" s="1"/>
  <c r="O73" i="50"/>
  <c r="O97" i="50" s="1"/>
  <c r="O101" i="50" s="1"/>
  <c r="O53" i="51" s="1"/>
  <c r="O118" i="49"/>
  <c r="O133" i="49" s="1"/>
  <c r="O120" i="49"/>
  <c r="O124" i="49" s="1"/>
  <c r="O115" i="49"/>
  <c r="O141" i="49" l="1"/>
  <c r="O144" i="49" s="1"/>
  <c r="O146" i="49" s="1"/>
  <c r="P145" i="49" s="1"/>
  <c r="N88" i="51"/>
  <c r="N91" i="51" s="1"/>
  <c r="O105" i="50"/>
  <c r="P86" i="49" s="1"/>
  <c r="P62" i="50" s="1"/>
  <c r="P99" i="50"/>
  <c r="F69" i="4"/>
  <c r="D16" i="11" s="1"/>
  <c r="F43" i="8" s="1"/>
  <c r="O58" i="51" l="1"/>
  <c r="O67" i="51" s="1"/>
  <c r="O83" i="51" s="1"/>
  <c r="O46" i="52"/>
  <c r="O47" i="52" s="1"/>
  <c r="N90" i="51"/>
  <c r="N88" i="40"/>
  <c r="F71" i="4"/>
  <c r="P40" i="52" l="1"/>
  <c r="P42" i="52" s="1"/>
  <c r="O86" i="51"/>
  <c r="O63" i="52"/>
  <c r="O65" i="52" s="1"/>
  <c r="O67" i="52" s="1"/>
  <c r="P94" i="49"/>
  <c r="P108" i="49" s="1"/>
  <c r="P113" i="49" s="1"/>
  <c r="P44" i="52" s="1"/>
  <c r="N90" i="40"/>
  <c r="C16" i="28"/>
  <c r="G70" i="4"/>
  <c r="G71" i="4" s="1"/>
  <c r="P59" i="52" l="1"/>
  <c r="P61" i="52" s="1"/>
  <c r="P73" i="50"/>
  <c r="P97" i="50" s="1"/>
  <c r="P101" i="50" s="1"/>
  <c r="P115" i="49"/>
  <c r="P118" i="49"/>
  <c r="P133" i="49" s="1"/>
  <c r="P120" i="49"/>
  <c r="P124" i="49" s="1"/>
  <c r="H70" i="4"/>
  <c r="H71" i="4" s="1"/>
  <c r="D16" i="28"/>
  <c r="P141" i="49" l="1"/>
  <c r="P144" i="49" s="1"/>
  <c r="P146" i="49" s="1"/>
  <c r="P105" i="50"/>
  <c r="P53" i="51"/>
  <c r="O88" i="51"/>
  <c r="O91" i="51" s="1"/>
  <c r="I70" i="4"/>
  <c r="I71" i="4" s="1"/>
  <c r="E16" i="28"/>
  <c r="O90" i="51" l="1"/>
  <c r="P58" i="51"/>
  <c r="P67" i="51" s="1"/>
  <c r="P83" i="51" s="1"/>
  <c r="P63" i="52"/>
  <c r="P65" i="52" s="1"/>
  <c r="P67" i="52" s="1"/>
  <c r="O88" i="40"/>
  <c r="J70" i="4"/>
  <c r="J71" i="4" s="1"/>
  <c r="F16" i="28"/>
  <c r="P46" i="52" l="1"/>
  <c r="P47" i="52" s="1"/>
  <c r="P86" i="51" s="1"/>
  <c r="O90" i="40"/>
  <c r="K70" i="4"/>
  <c r="G16" i="28"/>
  <c r="P88" i="51" l="1"/>
  <c r="P91" i="51" s="1"/>
  <c r="P88" i="40"/>
  <c r="P90" i="51" l="1"/>
  <c r="P90" i="40"/>
  <c r="K104" i="59" l="1"/>
  <c r="K113" i="59" s="1"/>
  <c r="K129" i="59" s="1"/>
  <c r="K99" i="60"/>
  <c r="K101" i="60" s="1"/>
  <c r="K80" i="60"/>
  <c r="K81" i="60" s="1"/>
  <c r="K147" i="39"/>
  <c r="K148" i="39" s="1"/>
  <c r="K194" i="38"/>
  <c r="K207" i="38" s="1"/>
  <c r="K209" i="38" s="1"/>
  <c r="L208" i="38" s="1"/>
  <c r="L209" i="38" s="1"/>
  <c r="M208" i="38" s="1"/>
  <c r="M209" i="38" s="1"/>
  <c r="N208" i="38" s="1"/>
  <c r="N209" i="38" s="1"/>
  <c r="O208" i="38" s="1"/>
  <c r="O209" i="38" s="1"/>
  <c r="P208" i="38" s="1"/>
  <c r="P209" i="38" s="1"/>
  <c r="K194" i="34"/>
  <c r="K196" i="34" s="1"/>
  <c r="J118" i="40"/>
  <c r="J118" i="36" s="1"/>
  <c r="J120" i="36" s="1"/>
  <c r="K147" i="35" l="1"/>
  <c r="K148" i="35" s="1"/>
  <c r="L74" i="60"/>
  <c r="K132" i="59"/>
  <c r="K134" i="59" s="1"/>
  <c r="K136" i="59" s="1"/>
  <c r="J124" i="40"/>
  <c r="J120" i="40"/>
  <c r="L93" i="60" l="1"/>
  <c r="L95" i="60" s="1"/>
  <c r="L101" i="60" s="1"/>
  <c r="L76" i="60"/>
  <c r="L81" i="60" s="1"/>
  <c r="J126" i="40"/>
  <c r="J128" i="40" s="1"/>
  <c r="J129" i="40" s="1"/>
  <c r="J136" i="40" s="1"/>
  <c r="J124" i="36"/>
  <c r="J126" i="36" s="1"/>
  <c r="J128" i="36" s="1"/>
  <c r="K124" i="40"/>
  <c r="M74" i="60" l="1"/>
  <c r="L132" i="59"/>
  <c r="L134" i="59" s="1"/>
  <c r="L136" i="59" s="1"/>
  <c r="K124" i="36"/>
  <c r="K126" i="36" s="1"/>
  <c r="K128" i="36" s="1"/>
  <c r="K126" i="40"/>
  <c r="K128" i="40" s="1"/>
  <c r="L124" i="40"/>
  <c r="K162" i="38"/>
  <c r="M93" i="60" l="1"/>
  <c r="M95" i="60" s="1"/>
  <c r="M101" i="60" s="1"/>
  <c r="M76" i="60"/>
  <c r="M81" i="60" s="1"/>
  <c r="K164" i="34"/>
  <c r="L162" i="38"/>
  <c r="K123" i="39"/>
  <c r="K169" i="38"/>
  <c r="K171" i="38" s="1"/>
  <c r="K176" i="38" s="1"/>
  <c r="M124" i="40"/>
  <c r="L124" i="36"/>
  <c r="L126" i="36" s="1"/>
  <c r="L128" i="36" s="1"/>
  <c r="L126" i="40"/>
  <c r="L128" i="40" s="1"/>
  <c r="N74" i="60" l="1"/>
  <c r="M132" i="59"/>
  <c r="M134" i="59" s="1"/>
  <c r="M136" i="59" s="1"/>
  <c r="M126" i="40"/>
  <c r="M128" i="40" s="1"/>
  <c r="M124" i="36"/>
  <c r="M126" i="36" s="1"/>
  <c r="M128" i="36" s="1"/>
  <c r="N124" i="40"/>
  <c r="M162" i="38"/>
  <c r="L164" i="34"/>
  <c r="L123" i="39"/>
  <c r="L169" i="38"/>
  <c r="L171" i="38" s="1"/>
  <c r="L176" i="38" s="1"/>
  <c r="K181" i="38"/>
  <c r="K178" i="38"/>
  <c r="K78" i="41"/>
  <c r="K183" i="38"/>
  <c r="K123" i="35"/>
  <c r="K126" i="39"/>
  <c r="K150" i="39" s="1"/>
  <c r="K154" i="39" s="1"/>
  <c r="N76" i="60" l="1"/>
  <c r="N81" i="60" s="1"/>
  <c r="N93" i="60"/>
  <c r="N95" i="60" s="1"/>
  <c r="N101" i="60" s="1"/>
  <c r="K158" i="39"/>
  <c r="L13" i="38" s="1"/>
  <c r="L152" i="39"/>
  <c r="K99" i="40"/>
  <c r="K80" i="41"/>
  <c r="K81" i="41" s="1"/>
  <c r="L183" i="38"/>
  <c r="L181" i="38"/>
  <c r="L78" i="41"/>
  <c r="L178" i="38"/>
  <c r="L123" i="35"/>
  <c r="L126" i="39"/>
  <c r="L150" i="39" s="1"/>
  <c r="L154" i="39" s="1"/>
  <c r="N162" i="38"/>
  <c r="M123" i="39"/>
  <c r="M169" i="38"/>
  <c r="M171" i="38" s="1"/>
  <c r="M176" i="38" s="1"/>
  <c r="M164" i="34"/>
  <c r="K97" i="41"/>
  <c r="K99" i="41" s="1"/>
  <c r="K101" i="41" s="1"/>
  <c r="K187" i="38"/>
  <c r="N126" i="40"/>
  <c r="N128" i="40" s="1"/>
  <c r="N124" i="36"/>
  <c r="N126" i="36" s="1"/>
  <c r="N128" i="36" s="1"/>
  <c r="O124" i="40"/>
  <c r="L21" i="38" l="1"/>
  <c r="L33" i="38" s="1"/>
  <c r="L9" i="39"/>
  <c r="O74" i="60"/>
  <c r="N132" i="59"/>
  <c r="N134" i="59" s="1"/>
  <c r="N136" i="59" s="1"/>
  <c r="L158" i="39"/>
  <c r="M13" i="38" s="1"/>
  <c r="L99" i="40"/>
  <c r="M152" i="39"/>
  <c r="L97" i="41"/>
  <c r="L99" i="41" s="1"/>
  <c r="L187" i="38"/>
  <c r="K132" i="40"/>
  <c r="L74" i="41"/>
  <c r="M183" i="38"/>
  <c r="M78" i="41"/>
  <c r="M178" i="38"/>
  <c r="M181" i="38"/>
  <c r="K104" i="40"/>
  <c r="K113" i="40" s="1"/>
  <c r="K129" i="40" s="1"/>
  <c r="M123" i="35"/>
  <c r="M126" i="39"/>
  <c r="M150" i="39" s="1"/>
  <c r="L80" i="41"/>
  <c r="O124" i="36"/>
  <c r="O126" i="36" s="1"/>
  <c r="O128" i="36" s="1"/>
  <c r="P124" i="40"/>
  <c r="O126" i="40"/>
  <c r="O128" i="40" s="1"/>
  <c r="O162" i="38"/>
  <c r="N164" i="34"/>
  <c r="N123" i="39"/>
  <c r="N169" i="38"/>
  <c r="N171" i="38" s="1"/>
  <c r="N176" i="38" s="1"/>
  <c r="L20" i="39" l="1"/>
  <c r="L44" i="39" s="1"/>
  <c r="L48" i="39" s="1"/>
  <c r="M9" i="39"/>
  <c r="M21" i="38"/>
  <c r="M33" i="38" s="1"/>
  <c r="L38" i="38"/>
  <c r="L58" i="38"/>
  <c r="O93" i="60"/>
  <c r="O95" i="60" s="1"/>
  <c r="O101" i="60" s="1"/>
  <c r="O76" i="60"/>
  <c r="O81" i="60" s="1"/>
  <c r="M80" i="41"/>
  <c r="M154" i="39"/>
  <c r="L104" i="40"/>
  <c r="L113" i="40" s="1"/>
  <c r="L129" i="40" s="1"/>
  <c r="M97" i="41"/>
  <c r="M99" i="41" s="1"/>
  <c r="M187" i="38"/>
  <c r="K134" i="40"/>
  <c r="K136" i="40" s="1"/>
  <c r="N181" i="38"/>
  <c r="N183" i="38"/>
  <c r="N78" i="41"/>
  <c r="N178" i="38"/>
  <c r="N123" i="35"/>
  <c r="N126" i="39"/>
  <c r="N150" i="39" s="1"/>
  <c r="O164" i="34"/>
  <c r="O123" i="39"/>
  <c r="O169" i="38"/>
  <c r="O171" i="38" s="1"/>
  <c r="O176" i="38" s="1"/>
  <c r="P162" i="38"/>
  <c r="L93" i="41"/>
  <c r="L95" i="41" s="1"/>
  <c r="L101" i="41" s="1"/>
  <c r="L76" i="41"/>
  <c r="L81" i="41" s="1"/>
  <c r="P124" i="36"/>
  <c r="P126" i="36" s="1"/>
  <c r="P128" i="36" s="1"/>
  <c r="P126" i="40"/>
  <c r="P128" i="40" s="1"/>
  <c r="M20" i="39" l="1"/>
  <c r="M44" i="39" s="1"/>
  <c r="M58" i="38"/>
  <c r="M38" i="38"/>
  <c r="L66" i="38"/>
  <c r="L69" i="38" s="1"/>
  <c r="L71" i="38" s="1"/>
  <c r="M70" i="38" s="1"/>
  <c r="M46" i="39"/>
  <c r="L7" i="40"/>
  <c r="L52" i="39"/>
  <c r="L45" i="38"/>
  <c r="L43" i="38"/>
  <c r="L40" i="38"/>
  <c r="P74" i="60"/>
  <c r="O132" i="59"/>
  <c r="O134" i="59" s="1"/>
  <c r="O136" i="59" s="1"/>
  <c r="M74" i="41"/>
  <c r="L132" i="40"/>
  <c r="M99" i="40"/>
  <c r="M158" i="39"/>
  <c r="N13" i="38" s="1"/>
  <c r="N152" i="39"/>
  <c r="N154" i="39" s="1"/>
  <c r="P123" i="39"/>
  <c r="P164" i="34"/>
  <c r="P169" i="38"/>
  <c r="P171" i="38" s="1"/>
  <c r="P176" i="38" s="1"/>
  <c r="O183" i="38"/>
  <c r="O178" i="38"/>
  <c r="O181" i="38"/>
  <c r="O78" i="41"/>
  <c r="O126" i="39"/>
  <c r="O150" i="39" s="1"/>
  <c r="O123" i="35"/>
  <c r="N80" i="41"/>
  <c r="N187" i="38"/>
  <c r="N97" i="41"/>
  <c r="N99" i="41" s="1"/>
  <c r="M48" i="39" l="1"/>
  <c r="M7" i="40" s="1"/>
  <c r="M45" i="38"/>
  <c r="M40" i="38"/>
  <c r="M43" i="38"/>
  <c r="M66" i="38"/>
  <c r="M69" i="38" s="1"/>
  <c r="M71" i="38" s="1"/>
  <c r="N70" i="38" s="1"/>
  <c r="M52" i="39"/>
  <c r="N46" i="39"/>
  <c r="L12" i="40"/>
  <c r="L21" i="40" s="1"/>
  <c r="L37" i="40" s="1"/>
  <c r="L10" i="41"/>
  <c r="L49" i="38"/>
  <c r="N9" i="39"/>
  <c r="N21" i="38"/>
  <c r="N33" i="38" s="1"/>
  <c r="P93" i="60"/>
  <c r="P95" i="60" s="1"/>
  <c r="P101" i="60" s="1"/>
  <c r="P76" i="60"/>
  <c r="P81" i="60" s="1"/>
  <c r="P132" i="59" s="1"/>
  <c r="P134" i="59" s="1"/>
  <c r="P136" i="59" s="1"/>
  <c r="M104" i="40"/>
  <c r="M113" i="40" s="1"/>
  <c r="M129" i="40" s="1"/>
  <c r="P123" i="35"/>
  <c r="P126" i="39"/>
  <c r="P150" i="39" s="1"/>
  <c r="P181" i="38"/>
  <c r="P78" i="41"/>
  <c r="P178" i="38"/>
  <c r="P183" i="38"/>
  <c r="L134" i="40"/>
  <c r="L136" i="40" s="1"/>
  <c r="N99" i="40"/>
  <c r="N158" i="39"/>
  <c r="O13" i="38" s="1"/>
  <c r="O152" i="39"/>
  <c r="O154" i="39" s="1"/>
  <c r="O80" i="41"/>
  <c r="O187" i="38"/>
  <c r="O97" i="41"/>
  <c r="O99" i="41" s="1"/>
  <c r="M93" i="41"/>
  <c r="M95" i="41" s="1"/>
  <c r="M101" i="41" s="1"/>
  <c r="M76" i="41"/>
  <c r="M81" i="41" s="1"/>
  <c r="M12" i="40" l="1"/>
  <c r="M21" i="40" s="1"/>
  <c r="M37" i="40" s="1"/>
  <c r="L29" i="41"/>
  <c r="L12" i="41"/>
  <c r="L13" i="41" s="1"/>
  <c r="N20" i="39"/>
  <c r="N44" i="39" s="1"/>
  <c r="N48" i="39" s="1"/>
  <c r="O9" i="39"/>
  <c r="O21" i="38"/>
  <c r="O33" i="38" s="1"/>
  <c r="N38" i="38"/>
  <c r="N58" i="38"/>
  <c r="M49" i="38"/>
  <c r="M10" i="41"/>
  <c r="O99" i="40"/>
  <c r="O158" i="39"/>
  <c r="P13" i="38" s="1"/>
  <c r="P152" i="39"/>
  <c r="P154" i="39" s="1"/>
  <c r="N74" i="41"/>
  <c r="M132" i="40"/>
  <c r="N104" i="40"/>
  <c r="N113" i="40" s="1"/>
  <c r="N129" i="40" s="1"/>
  <c r="P80" i="41"/>
  <c r="P97" i="41"/>
  <c r="P99" i="41" s="1"/>
  <c r="P187" i="38"/>
  <c r="N66" i="38" l="1"/>
  <c r="N69" i="38" s="1"/>
  <c r="N71" i="38" s="1"/>
  <c r="O70" i="38" s="1"/>
  <c r="M6" i="41"/>
  <c r="L40" i="40"/>
  <c r="P9" i="39"/>
  <c r="P21" i="38"/>
  <c r="P33" i="38" s="1"/>
  <c r="M29" i="41"/>
  <c r="M12" i="41"/>
  <c r="N40" i="38"/>
  <c r="N43" i="38"/>
  <c r="N45" i="38"/>
  <c r="L31" i="41"/>
  <c r="L33" i="41" s="1"/>
  <c r="O58" i="38"/>
  <c r="O38" i="38"/>
  <c r="O20" i="39"/>
  <c r="O44" i="39" s="1"/>
  <c r="O46" i="39"/>
  <c r="N52" i="39"/>
  <c r="N7" i="40"/>
  <c r="M134" i="40"/>
  <c r="M136" i="40" s="1"/>
  <c r="P158" i="39"/>
  <c r="P99" i="40"/>
  <c r="N76" i="41"/>
  <c r="N81" i="41" s="1"/>
  <c r="N93" i="41"/>
  <c r="N95" i="41" s="1"/>
  <c r="N101" i="41" s="1"/>
  <c r="O104" i="40"/>
  <c r="O113" i="40" s="1"/>
  <c r="O129" i="40" s="1"/>
  <c r="O66" i="38" l="1"/>
  <c r="O69" i="38" s="1"/>
  <c r="O71" i="38" s="1"/>
  <c r="P70" i="38" s="1"/>
  <c r="P58" i="38"/>
  <c r="P38" i="38"/>
  <c r="L42" i="40"/>
  <c r="L44" i="40" s="1"/>
  <c r="P20" i="39"/>
  <c r="P44" i="39" s="1"/>
  <c r="M8" i="41"/>
  <c r="M13" i="41" s="1"/>
  <c r="M25" i="41"/>
  <c r="O40" i="38"/>
  <c r="O43" i="38"/>
  <c r="O45" i="38"/>
  <c r="O48" i="39"/>
  <c r="M31" i="41"/>
  <c r="N12" i="40"/>
  <c r="N21" i="40" s="1"/>
  <c r="N37" i="40" s="1"/>
  <c r="N49" i="38"/>
  <c r="N10" i="41"/>
  <c r="P104" i="40"/>
  <c r="P113" i="40" s="1"/>
  <c r="P129" i="40" s="1"/>
  <c r="N132" i="40"/>
  <c r="O74" i="41"/>
  <c r="M40" i="40" l="1"/>
  <c r="N6" i="41"/>
  <c r="P45" i="38"/>
  <c r="P43" i="38"/>
  <c r="P40" i="38"/>
  <c r="O10" i="41"/>
  <c r="O49" i="38"/>
  <c r="M27" i="41"/>
  <c r="M33" i="41" s="1"/>
  <c r="P66" i="38"/>
  <c r="P69" i="38" s="1"/>
  <c r="P71" i="38" s="1"/>
  <c r="O7" i="40"/>
  <c r="O52" i="39"/>
  <c r="P46" i="39"/>
  <c r="P48" i="39" s="1"/>
  <c r="N29" i="41"/>
  <c r="N12" i="41"/>
  <c r="O93" i="41"/>
  <c r="O95" i="41" s="1"/>
  <c r="O101" i="41" s="1"/>
  <c r="O76" i="41"/>
  <c r="O81" i="41" s="1"/>
  <c r="N134" i="40"/>
  <c r="N136" i="40" s="1"/>
  <c r="P49" i="38" l="1"/>
  <c r="P10" i="41"/>
  <c r="N31" i="41"/>
  <c r="O12" i="40"/>
  <c r="O21" i="40" s="1"/>
  <c r="O37" i="40" s="1"/>
  <c r="N25" i="41"/>
  <c r="N8" i="41"/>
  <c r="N13" i="41" s="1"/>
  <c r="P52" i="39"/>
  <c r="P7" i="40"/>
  <c r="O29" i="41"/>
  <c r="O12" i="41"/>
  <c r="M42" i="40"/>
  <c r="M44" i="40" s="1"/>
  <c r="O132" i="40"/>
  <c r="P74" i="41"/>
  <c r="O6" i="41" l="1"/>
  <c r="N40" i="40"/>
  <c r="P12" i="40"/>
  <c r="P21" i="40" s="1"/>
  <c r="P37" i="40" s="1"/>
  <c r="N27" i="41"/>
  <c r="N33" i="41" s="1"/>
  <c r="O31" i="41"/>
  <c r="P29" i="41"/>
  <c r="P12" i="41"/>
  <c r="P93" i="41"/>
  <c r="P95" i="41" s="1"/>
  <c r="P101" i="41" s="1"/>
  <c r="P76" i="41"/>
  <c r="P81" i="41" s="1"/>
  <c r="P132" i="40" s="1"/>
  <c r="O134" i="40"/>
  <c r="O136" i="40" s="1"/>
  <c r="N42" i="40" l="1"/>
  <c r="N44" i="40" s="1"/>
  <c r="O8" i="41"/>
  <c r="O13" i="41" s="1"/>
  <c r="O25" i="41"/>
  <c r="P31" i="41"/>
  <c r="P134" i="40"/>
  <c r="P136" i="40" s="1"/>
  <c r="O40" i="40" l="1"/>
  <c r="P6" i="41"/>
  <c r="O27" i="41"/>
  <c r="O33" i="41" s="1"/>
  <c r="P25" i="41" l="1"/>
  <c r="P8" i="41"/>
  <c r="P13" i="41" s="1"/>
  <c r="P40" i="40" s="1"/>
  <c r="O42" i="40"/>
  <c r="O44" i="40" s="1"/>
  <c r="P42" i="40" l="1"/>
  <c r="P44" i="40" s="1"/>
  <c r="P27" i="41"/>
  <c r="P33" i="41" s="1"/>
  <c r="O97" i="52" l="1"/>
  <c r="O99" i="52" s="1"/>
  <c r="O101" i="52" s="1"/>
  <c r="O137" i="51" s="1"/>
  <c r="K104" i="51"/>
  <c r="K113" i="51" s="1"/>
  <c r="K129" i="51" s="1"/>
  <c r="K136" i="51" s="1"/>
  <c r="H24" i="61"/>
  <c r="I81" i="61"/>
  <c r="I24" i="61"/>
  <c r="E8" i="65"/>
  <c r="H81" i="61"/>
  <c r="G81" i="61"/>
  <c r="D8" i="65"/>
  <c r="G24" i="61"/>
  <c r="F8" i="65"/>
  <c r="J81" i="61"/>
  <c r="G8" i="65"/>
  <c r="J24" i="61"/>
  <c r="H50" i="69" s="1"/>
  <c r="H57" i="69" s="1"/>
  <c r="H59" i="69" s="1"/>
  <c r="I23" i="4" l="1"/>
  <c r="G50" i="69"/>
  <c r="G57" i="69" s="1"/>
  <c r="G59" i="69" s="1"/>
  <c r="G23" i="4"/>
  <c r="G15" i="2" s="1"/>
  <c r="E50" i="69"/>
  <c r="E57" i="69" s="1"/>
  <c r="E59" i="69" s="1"/>
  <c r="H23" i="4"/>
  <c r="H31" i="4" s="1"/>
  <c r="F50" i="69"/>
  <c r="F57" i="69" s="1"/>
  <c r="F59" i="69" s="1"/>
  <c r="I15" i="2"/>
  <c r="I15" i="35" s="1"/>
  <c r="I20" i="35" s="1"/>
  <c r="I44" i="35" s="1"/>
  <c r="H15" i="54"/>
  <c r="H20" i="54" s="1"/>
  <c r="H44" i="54" s="1"/>
  <c r="I15" i="54"/>
  <c r="I20" i="54" s="1"/>
  <c r="I44" i="54" s="1"/>
  <c r="U24" i="61"/>
  <c r="J32" i="61"/>
  <c r="J34" i="61" s="1"/>
  <c r="J39" i="61" s="1"/>
  <c r="K24" i="61"/>
  <c r="J15" i="54"/>
  <c r="J20" i="54" s="1"/>
  <c r="J44" i="54" s="1"/>
  <c r="J23" i="4"/>
  <c r="G31" i="65"/>
  <c r="J101" i="61"/>
  <c r="H144" i="68" s="1"/>
  <c r="R24" i="61"/>
  <c r="G15" i="54"/>
  <c r="G20" i="54" s="1"/>
  <c r="G44" i="54" s="1"/>
  <c r="G48" i="54" s="1"/>
  <c r="G32" i="61"/>
  <c r="G34" i="61" s="1"/>
  <c r="G39" i="61" s="1"/>
  <c r="D31" i="65"/>
  <c r="G101" i="61"/>
  <c r="E144" i="68" s="1"/>
  <c r="E31" i="65"/>
  <c r="H101" i="61"/>
  <c r="F144" i="68" s="1"/>
  <c r="H15" i="2"/>
  <c r="G31" i="4"/>
  <c r="F31" i="65"/>
  <c r="I101" i="61"/>
  <c r="G144" i="68" s="1"/>
  <c r="T24" i="61"/>
  <c r="I32" i="61"/>
  <c r="I34" i="61" s="1"/>
  <c r="I39" i="61" s="1"/>
  <c r="H32" i="61"/>
  <c r="H34" i="61" s="1"/>
  <c r="H39" i="61" s="1"/>
  <c r="S24" i="61"/>
  <c r="H26" i="29"/>
  <c r="H31" i="29" s="1"/>
  <c r="I25" i="34"/>
  <c r="G19" i="69" s="1"/>
  <c r="G26" i="69" s="1"/>
  <c r="G28" i="69" s="1"/>
  <c r="I31" i="4"/>
  <c r="G25" i="34" l="1"/>
  <c r="E19" i="69" s="1"/>
  <c r="E26" i="69" s="1"/>
  <c r="E28" i="69" s="1"/>
  <c r="F26" i="29"/>
  <c r="F31" i="29" s="1"/>
  <c r="G26" i="29"/>
  <c r="G31" i="29" s="1"/>
  <c r="H25" i="34"/>
  <c r="F19" i="69" s="1"/>
  <c r="F26" i="69" s="1"/>
  <c r="F28" i="69" s="1"/>
  <c r="I20" i="2"/>
  <c r="I44" i="2" s="1"/>
  <c r="T101" i="61"/>
  <c r="T109" i="61" s="1"/>
  <c r="I109" i="61"/>
  <c r="I111" i="61" s="1"/>
  <c r="I116" i="61" s="1"/>
  <c r="I68" i="54"/>
  <c r="I73" i="54" s="1"/>
  <c r="I97" i="54" s="1"/>
  <c r="I171" i="61"/>
  <c r="I98" i="4"/>
  <c r="D30" i="28"/>
  <c r="G13" i="8"/>
  <c r="E30" i="11"/>
  <c r="G9" i="27"/>
  <c r="G9" i="8"/>
  <c r="G33" i="4"/>
  <c r="U101" i="61"/>
  <c r="U109" i="61" s="1"/>
  <c r="K101" i="61"/>
  <c r="J109" i="61"/>
  <c r="J111" i="61" s="1"/>
  <c r="J116" i="61" s="1"/>
  <c r="J68" i="54"/>
  <c r="J73" i="54" s="1"/>
  <c r="J97" i="54" s="1"/>
  <c r="J98" i="4"/>
  <c r="J171" i="61"/>
  <c r="I9" i="27"/>
  <c r="I13" i="8"/>
  <c r="I9" i="8"/>
  <c r="F30" i="28"/>
  <c r="G30" i="11"/>
  <c r="I33" i="4"/>
  <c r="G6" i="34"/>
  <c r="G33" i="34"/>
  <c r="S101" i="61"/>
  <c r="S109" i="61" s="1"/>
  <c r="H98" i="4"/>
  <c r="H109" i="61"/>
  <c r="H111" i="61" s="1"/>
  <c r="H116" i="61" s="1"/>
  <c r="H68" i="54"/>
  <c r="H73" i="54" s="1"/>
  <c r="H97" i="54" s="1"/>
  <c r="H171" i="61"/>
  <c r="G41" i="61"/>
  <c r="G44" i="61"/>
  <c r="G46" i="61"/>
  <c r="G50" i="61" s="1"/>
  <c r="G10" i="63"/>
  <c r="H33" i="29"/>
  <c r="H228" i="29"/>
  <c r="H232" i="29" s="1"/>
  <c r="H233" i="29" s="1"/>
  <c r="H209" i="29"/>
  <c r="H15" i="35"/>
  <c r="H20" i="35" s="1"/>
  <c r="H44" i="35" s="1"/>
  <c r="H20" i="2"/>
  <c r="H44" i="2" s="1"/>
  <c r="R101" i="61"/>
  <c r="R109" i="61" s="1"/>
  <c r="G68" i="54"/>
  <c r="G73" i="54" s="1"/>
  <c r="G97" i="54" s="1"/>
  <c r="G101" i="54" s="1"/>
  <c r="G171" i="61"/>
  <c r="G98" i="4"/>
  <c r="G109" i="61"/>
  <c r="G111" i="61" s="1"/>
  <c r="G116" i="61" s="1"/>
  <c r="E30" i="28"/>
  <c r="F30" i="11"/>
  <c r="H9" i="8"/>
  <c r="H9" i="27"/>
  <c r="H13" i="8"/>
  <c r="H33" i="4"/>
  <c r="V24" i="61"/>
  <c r="K15" i="54"/>
  <c r="K32" i="61"/>
  <c r="K23" i="4"/>
  <c r="L24" i="61"/>
  <c r="H44" i="61"/>
  <c r="H41" i="61"/>
  <c r="H46" i="61"/>
  <c r="H50" i="61" s="1"/>
  <c r="H10" i="63"/>
  <c r="G33" i="29"/>
  <c r="G209" i="29"/>
  <c r="G228" i="29"/>
  <c r="G232" i="29" s="1"/>
  <c r="G233" i="29" s="1"/>
  <c r="J44" i="61"/>
  <c r="J41" i="61"/>
  <c r="J46" i="61"/>
  <c r="J50" i="61" s="1"/>
  <c r="J10" i="63"/>
  <c r="I6" i="34"/>
  <c r="I33" i="34"/>
  <c r="I44" i="61"/>
  <c r="I41" i="61"/>
  <c r="I46" i="61"/>
  <c r="I50" i="61" s="1"/>
  <c r="I10" i="63"/>
  <c r="G15" i="35"/>
  <c r="G20" i="35" s="1"/>
  <c r="G44" i="35" s="1"/>
  <c r="G48" i="35" s="1"/>
  <c r="G20" i="2"/>
  <c r="G44" i="2" s="1"/>
  <c r="G48" i="2" s="1"/>
  <c r="F33" i="29"/>
  <c r="F228" i="29"/>
  <c r="F232" i="29" s="1"/>
  <c r="F233" i="29" s="1"/>
  <c r="F209" i="29"/>
  <c r="H6" i="34"/>
  <c r="H33" i="34"/>
  <c r="H46" i="54"/>
  <c r="H48" i="54" s="1"/>
  <c r="G52" i="54"/>
  <c r="G7" i="62"/>
  <c r="G12" i="62" s="1"/>
  <c r="G21" i="62" s="1"/>
  <c r="G37" i="62" s="1"/>
  <c r="J25" i="34"/>
  <c r="H19" i="69" s="1"/>
  <c r="H26" i="69" s="1"/>
  <c r="H28" i="69" s="1"/>
  <c r="I26" i="29"/>
  <c r="I31" i="29" s="1"/>
  <c r="J31" i="4"/>
  <c r="J15" i="2"/>
  <c r="U98" i="4" l="1"/>
  <c r="V98" i="4"/>
  <c r="T98" i="4"/>
  <c r="S98" i="4"/>
  <c r="J6" i="34"/>
  <c r="J33" i="34"/>
  <c r="H12" i="63"/>
  <c r="H29" i="63"/>
  <c r="H31" i="63" s="1"/>
  <c r="F345" i="29"/>
  <c r="F350" i="29" s="1"/>
  <c r="G95" i="34"/>
  <c r="G106" i="4"/>
  <c r="G68" i="2"/>
  <c r="H34" i="29"/>
  <c r="H35" i="29"/>
  <c r="H36" i="29" s="1"/>
  <c r="F12" i="28"/>
  <c r="I38" i="4"/>
  <c r="J15" i="35"/>
  <c r="J20" i="35" s="1"/>
  <c r="J44" i="35" s="1"/>
  <c r="J20" i="2"/>
  <c r="J44" i="2" s="1"/>
  <c r="H46" i="2"/>
  <c r="H48" i="2" s="1"/>
  <c r="G52" i="2"/>
  <c r="G7" i="14"/>
  <c r="J12" i="63"/>
  <c r="J29" i="63"/>
  <c r="J31" i="63" s="1"/>
  <c r="G222" i="29"/>
  <c r="G225" i="29"/>
  <c r="G255" i="29"/>
  <c r="E87" i="28" s="1"/>
  <c r="K15" i="2"/>
  <c r="K15" i="35" s="1"/>
  <c r="K25" i="34"/>
  <c r="K31" i="4"/>
  <c r="J26" i="29"/>
  <c r="J31" i="29" s="1"/>
  <c r="J228" i="29" s="1"/>
  <c r="J232" i="29" s="1"/>
  <c r="J233" i="29" s="1"/>
  <c r="E12" i="28"/>
  <c r="H38" i="4"/>
  <c r="R171" i="61"/>
  <c r="R179" i="61" s="1"/>
  <c r="G167" i="4"/>
  <c r="G121" i="54"/>
  <c r="G126" i="54" s="1"/>
  <c r="G150" i="54" s="1"/>
  <c r="G154" i="54" s="1"/>
  <c r="G179" i="61"/>
  <c r="G181" i="61" s="1"/>
  <c r="G186" i="61" s="1"/>
  <c r="G29" i="63"/>
  <c r="G31" i="63" s="1"/>
  <c r="G33" i="63" s="1"/>
  <c r="G12" i="63"/>
  <c r="G13" i="63" s="1"/>
  <c r="S171" i="61"/>
  <c r="S179" i="61" s="1"/>
  <c r="H179" i="61"/>
  <c r="H181" i="61" s="1"/>
  <c r="H186" i="61" s="1"/>
  <c r="H167" i="4"/>
  <c r="H121" i="54"/>
  <c r="H126" i="54" s="1"/>
  <c r="H150" i="54" s="1"/>
  <c r="J118" i="61"/>
  <c r="J123" i="61"/>
  <c r="J127" i="61" s="1"/>
  <c r="J121" i="61"/>
  <c r="J44" i="63"/>
  <c r="I118" i="61"/>
  <c r="I121" i="61"/>
  <c r="I123" i="61"/>
  <c r="I127" i="61" s="1"/>
  <c r="I44" i="63"/>
  <c r="H95" i="34"/>
  <c r="G345" i="29"/>
  <c r="G350" i="29" s="1"/>
  <c r="H68" i="2"/>
  <c r="H106" i="4"/>
  <c r="D12" i="28"/>
  <c r="G38" i="4"/>
  <c r="G52" i="35"/>
  <c r="H46" i="35"/>
  <c r="H48" i="35" s="1"/>
  <c r="G207" i="29"/>
  <c r="E101" i="28" s="1"/>
  <c r="G105" i="54"/>
  <c r="H99" i="54"/>
  <c r="H101" i="54" s="1"/>
  <c r="G53" i="62"/>
  <c r="G58" i="62" s="1"/>
  <c r="G67" i="62" s="1"/>
  <c r="G83" i="62" s="1"/>
  <c r="H207" i="29"/>
  <c r="F101" i="28" s="1"/>
  <c r="G9" i="34"/>
  <c r="G35" i="34"/>
  <c r="G40" i="34" s="1"/>
  <c r="U171" i="61"/>
  <c r="U179" i="61" s="1"/>
  <c r="J179" i="61"/>
  <c r="J181" i="61" s="1"/>
  <c r="J186" i="61" s="1"/>
  <c r="J121" i="54"/>
  <c r="J126" i="54" s="1"/>
  <c r="J150" i="54" s="1"/>
  <c r="K171" i="61"/>
  <c r="J167" i="4"/>
  <c r="K109" i="61"/>
  <c r="V101" i="61"/>
  <c r="V109" i="61" s="1"/>
  <c r="K68" i="54"/>
  <c r="K98" i="4"/>
  <c r="W98" i="4" s="1"/>
  <c r="L101" i="61"/>
  <c r="I95" i="34"/>
  <c r="H345" i="29"/>
  <c r="H350" i="29" s="1"/>
  <c r="I68" i="2"/>
  <c r="I106" i="4"/>
  <c r="T106" i="4" s="1"/>
  <c r="H9" i="34"/>
  <c r="H35" i="34"/>
  <c r="H40" i="34" s="1"/>
  <c r="F34" i="29"/>
  <c r="F35" i="29"/>
  <c r="F36" i="29" s="1"/>
  <c r="L15" i="54"/>
  <c r="L32" i="61"/>
  <c r="W24" i="61"/>
  <c r="M24" i="61"/>
  <c r="L23" i="4"/>
  <c r="J13" i="8"/>
  <c r="H30" i="11"/>
  <c r="J9" i="27"/>
  <c r="G30" i="28"/>
  <c r="J9" i="8"/>
  <c r="J33" i="4"/>
  <c r="G208" i="29"/>
  <c r="G248" i="29" s="1"/>
  <c r="E51" i="28" s="1"/>
  <c r="F207" i="29"/>
  <c r="D101" i="28" s="1"/>
  <c r="H208" i="29"/>
  <c r="H248" i="29" s="1"/>
  <c r="F51" i="28" s="1"/>
  <c r="F208" i="29"/>
  <c r="F248" i="29" s="1"/>
  <c r="D51" i="28" s="1"/>
  <c r="I33" i="29"/>
  <c r="I209" i="29"/>
  <c r="I228" i="29"/>
  <c r="I232" i="29" s="1"/>
  <c r="I233" i="29" s="1"/>
  <c r="I46" i="54"/>
  <c r="I48" i="54" s="1"/>
  <c r="H52" i="54"/>
  <c r="H7" i="62"/>
  <c r="H12" i="62" s="1"/>
  <c r="H21" i="62" s="1"/>
  <c r="H37" i="62" s="1"/>
  <c r="F225" i="29"/>
  <c r="F222" i="29"/>
  <c r="F255" i="29"/>
  <c r="D87" i="28" s="1"/>
  <c r="I12" i="63"/>
  <c r="I29" i="63"/>
  <c r="I31" i="63" s="1"/>
  <c r="I9" i="34"/>
  <c r="I35" i="34"/>
  <c r="I40" i="34" s="1"/>
  <c r="G34" i="29"/>
  <c r="G35" i="29"/>
  <c r="G36" i="29" s="1"/>
  <c r="G118" i="61"/>
  <c r="G123" i="61"/>
  <c r="G127" i="61" s="1"/>
  <c r="G121" i="61"/>
  <c r="G44" i="63"/>
  <c r="H225" i="29"/>
  <c r="H222" i="29"/>
  <c r="H255" i="29"/>
  <c r="F87" i="28" s="1"/>
  <c r="H121" i="61"/>
  <c r="H118" i="61"/>
  <c r="H123" i="61"/>
  <c r="H127" i="61" s="1"/>
  <c r="H44" i="63"/>
  <c r="J95" i="34"/>
  <c r="J106" i="4"/>
  <c r="U106" i="4" s="1"/>
  <c r="I345" i="29"/>
  <c r="I350" i="29" s="1"/>
  <c r="J68" i="2"/>
  <c r="T171" i="61"/>
  <c r="T179" i="61" s="1"/>
  <c r="I179" i="61"/>
  <c r="I181" i="61" s="1"/>
  <c r="I186" i="61" s="1"/>
  <c r="I167" i="4"/>
  <c r="I121" i="54"/>
  <c r="I126" i="54" s="1"/>
  <c r="I150" i="54" s="1"/>
  <c r="G103" i="34" l="1"/>
  <c r="G105" i="34" s="1"/>
  <c r="G110" i="34" s="1"/>
  <c r="E22" i="68"/>
  <c r="F84" i="68"/>
  <c r="F151" i="68"/>
  <c r="F153" i="68" s="1"/>
  <c r="I103" i="34"/>
  <c r="I105" i="34" s="1"/>
  <c r="I110" i="34" s="1"/>
  <c r="I112" i="34" s="1"/>
  <c r="G22" i="68"/>
  <c r="G29" i="68" s="1"/>
  <c r="G31" i="68" s="1"/>
  <c r="E151" i="68"/>
  <c r="E153" i="68" s="1"/>
  <c r="E84" i="68"/>
  <c r="E91" i="68" s="1"/>
  <c r="E93" i="68" s="1"/>
  <c r="H103" i="34"/>
  <c r="H105" i="34" s="1"/>
  <c r="H110" i="34" s="1"/>
  <c r="F22" i="68"/>
  <c r="F29" i="68" s="1"/>
  <c r="F31" i="68" s="1"/>
  <c r="H84" i="68"/>
  <c r="H151" i="68"/>
  <c r="H153" i="68" s="1"/>
  <c r="S106" i="4"/>
  <c r="G151" i="68"/>
  <c r="G153" i="68" s="1"/>
  <c r="G84" i="68"/>
  <c r="J103" i="34"/>
  <c r="J105" i="34" s="1"/>
  <c r="J110" i="34" s="1"/>
  <c r="J112" i="34" s="1"/>
  <c r="H22" i="68"/>
  <c r="H29" i="68" s="1"/>
  <c r="H31" i="68" s="1"/>
  <c r="H52" i="35"/>
  <c r="I46" i="35"/>
  <c r="I48" i="35" s="1"/>
  <c r="J68" i="35"/>
  <c r="J73" i="35" s="1"/>
  <c r="J97" i="35" s="1"/>
  <c r="J73" i="2"/>
  <c r="J97" i="2" s="1"/>
  <c r="I207" i="29"/>
  <c r="G101" i="28" s="1"/>
  <c r="H352" i="29"/>
  <c r="H528" i="29"/>
  <c r="H547" i="29"/>
  <c r="H551" i="29" s="1"/>
  <c r="H552" i="29" s="1"/>
  <c r="K121" i="54"/>
  <c r="K179" i="61"/>
  <c r="K167" i="4"/>
  <c r="L171" i="61"/>
  <c r="V171" i="61"/>
  <c r="V179" i="61" s="1"/>
  <c r="E24" i="11"/>
  <c r="G40" i="4"/>
  <c r="D24" i="28"/>
  <c r="G4" i="6"/>
  <c r="G10" i="6" s="1"/>
  <c r="G12" i="6" s="1"/>
  <c r="E12" i="11"/>
  <c r="G33" i="8" s="1"/>
  <c r="G43" i="4"/>
  <c r="G45" i="4"/>
  <c r="G49" i="4" s="1"/>
  <c r="G19" i="6"/>
  <c r="G39" i="6" s="1"/>
  <c r="G43" i="6" s="1"/>
  <c r="H41" i="6" s="1"/>
  <c r="G10" i="3"/>
  <c r="G352" i="29"/>
  <c r="G547" i="29"/>
  <c r="G551" i="29" s="1"/>
  <c r="G552" i="29" s="1"/>
  <c r="G528" i="29"/>
  <c r="G665" i="29"/>
  <c r="G670" i="29" s="1"/>
  <c r="H163" i="34"/>
  <c r="H171" i="34" s="1"/>
  <c r="H173" i="34" s="1"/>
  <c r="H178" i="34" s="1"/>
  <c r="H175" i="4"/>
  <c r="H121" i="2"/>
  <c r="G163" i="34"/>
  <c r="G171" i="34" s="1"/>
  <c r="G173" i="34" s="1"/>
  <c r="G178" i="34" s="1"/>
  <c r="F665" i="29"/>
  <c r="F670" i="29" s="1"/>
  <c r="G121" i="2"/>
  <c r="G175" i="4"/>
  <c r="J225" i="29"/>
  <c r="J222" i="29"/>
  <c r="J255" i="29"/>
  <c r="H87" i="28" s="1"/>
  <c r="G24" i="11"/>
  <c r="F24" i="28"/>
  <c r="I40" i="4"/>
  <c r="G12" i="11"/>
  <c r="I33" i="8" s="1"/>
  <c r="I45" i="4"/>
  <c r="I49" i="4" s="1"/>
  <c r="I19" i="6"/>
  <c r="I39" i="6" s="1"/>
  <c r="I43" i="6" s="1"/>
  <c r="J41" i="6" s="1"/>
  <c r="I4" i="6"/>
  <c r="I10" i="6" s="1"/>
  <c r="I12" i="6" s="1"/>
  <c r="I10" i="3"/>
  <c r="I43" i="4"/>
  <c r="G68" i="35"/>
  <c r="G73" i="35" s="1"/>
  <c r="G97" i="35" s="1"/>
  <c r="G101" i="35" s="1"/>
  <c r="G73" i="2"/>
  <c r="G97" i="2" s="1"/>
  <c r="G101" i="2" s="1"/>
  <c r="H665" i="29"/>
  <c r="H670" i="29" s="1"/>
  <c r="I163" i="34"/>
  <c r="I171" i="34" s="1"/>
  <c r="I173" i="34" s="1"/>
  <c r="I178" i="34" s="1"/>
  <c r="I175" i="4"/>
  <c r="I121" i="2"/>
  <c r="I352" i="29"/>
  <c r="I547" i="29"/>
  <c r="I551" i="29" s="1"/>
  <c r="I552" i="29" s="1"/>
  <c r="I528" i="29"/>
  <c r="F137" i="28"/>
  <c r="I45" i="34"/>
  <c r="I42" i="34"/>
  <c r="I47" i="34"/>
  <c r="I51" i="34" s="1"/>
  <c r="I34" i="29"/>
  <c r="I35" i="29"/>
  <c r="I36" i="29" s="1"/>
  <c r="L31" i="4"/>
  <c r="L15" i="2"/>
  <c r="L15" i="35" s="1"/>
  <c r="L25" i="34"/>
  <c r="K26" i="29"/>
  <c r="K31" i="29" s="1"/>
  <c r="K228" i="29" s="1"/>
  <c r="K232" i="29" s="1"/>
  <c r="K233" i="29" s="1"/>
  <c r="I208" i="29"/>
  <c r="I248" i="29" s="1"/>
  <c r="G51" i="28" s="1"/>
  <c r="H112" i="34"/>
  <c r="H115" i="34"/>
  <c r="H117" i="34"/>
  <c r="H121" i="34" s="1"/>
  <c r="H191" i="61"/>
  <c r="H188" i="61"/>
  <c r="H193" i="61"/>
  <c r="H197" i="61" s="1"/>
  <c r="H78" i="63"/>
  <c r="I30" i="11"/>
  <c r="H30" i="28"/>
  <c r="K13" i="8"/>
  <c r="J13" i="27"/>
  <c r="E20" i="11"/>
  <c r="G48" i="8" s="1"/>
  <c r="G12" i="14"/>
  <c r="G7" i="36"/>
  <c r="G12" i="36" s="1"/>
  <c r="G21" i="36" s="1"/>
  <c r="G37" i="36" s="1"/>
  <c r="D32" i="28"/>
  <c r="E32" i="11"/>
  <c r="H8" i="26"/>
  <c r="G108" i="4"/>
  <c r="G113" i="4" s="1"/>
  <c r="M15" i="54"/>
  <c r="M32" i="61"/>
  <c r="X24" i="61"/>
  <c r="M23" i="4"/>
  <c r="N24" i="61"/>
  <c r="G32" i="11"/>
  <c r="F32" i="28"/>
  <c r="J8" i="26"/>
  <c r="I108" i="4"/>
  <c r="I113" i="4" s="1"/>
  <c r="L68" i="54"/>
  <c r="W101" i="61"/>
  <c r="W109" i="61" s="1"/>
  <c r="L109" i="61"/>
  <c r="L98" i="4"/>
  <c r="X98" i="4" s="1"/>
  <c r="M101" i="61"/>
  <c r="J191" i="61"/>
  <c r="J188" i="61"/>
  <c r="J193" i="61"/>
  <c r="J197" i="61" s="1"/>
  <c r="J78" i="63"/>
  <c r="I99" i="54"/>
  <c r="I101" i="54" s="1"/>
  <c r="H105" i="54"/>
  <c r="H53" i="62"/>
  <c r="H58" i="62" s="1"/>
  <c r="H67" i="62" s="1"/>
  <c r="H83" i="62" s="1"/>
  <c r="F32" i="11"/>
  <c r="E32" i="28"/>
  <c r="I8" i="26"/>
  <c r="H108" i="4"/>
  <c r="H113" i="4" s="1"/>
  <c r="I46" i="2"/>
  <c r="I48" i="2" s="1"/>
  <c r="H52" i="2"/>
  <c r="H7" i="14"/>
  <c r="G191" i="61"/>
  <c r="G188" i="61"/>
  <c r="G193" i="61"/>
  <c r="G197" i="61" s="1"/>
  <c r="G78" i="63"/>
  <c r="F24" i="11"/>
  <c r="H45" i="4"/>
  <c r="H49" i="4" s="1"/>
  <c r="E24" i="28"/>
  <c r="H40" i="4"/>
  <c r="H19" i="6"/>
  <c r="H39" i="6" s="1"/>
  <c r="H43" i="6" s="1"/>
  <c r="I41" i="6" s="1"/>
  <c r="H4" i="6"/>
  <c r="H10" i="6" s="1"/>
  <c r="H12" i="6" s="1"/>
  <c r="H10" i="3"/>
  <c r="F12" i="11"/>
  <c r="H33" i="8" s="1"/>
  <c r="H43" i="4"/>
  <c r="K6" i="34"/>
  <c r="K33" i="34"/>
  <c r="E137" i="28"/>
  <c r="D38" i="28"/>
  <c r="E38" i="11"/>
  <c r="D20" i="28"/>
  <c r="N39" i="9"/>
  <c r="N35" i="9" s="1"/>
  <c r="N37" i="9" s="1"/>
  <c r="G115" i="34"/>
  <c r="G112" i="34"/>
  <c r="G117" i="34"/>
  <c r="G121" i="34" s="1"/>
  <c r="J9" i="34"/>
  <c r="J35" i="34"/>
  <c r="J40" i="34" s="1"/>
  <c r="H46" i="63"/>
  <c r="H63" i="63"/>
  <c r="H65" i="63" s="1"/>
  <c r="H45" i="34"/>
  <c r="H42" i="34"/>
  <c r="H47" i="34"/>
  <c r="H51" i="34" s="1"/>
  <c r="G42" i="34"/>
  <c r="G45" i="34"/>
  <c r="G47" i="34"/>
  <c r="G51" i="34" s="1"/>
  <c r="I188" i="61"/>
  <c r="I191" i="61"/>
  <c r="I193" i="61"/>
  <c r="I197" i="61" s="1"/>
  <c r="I78" i="63"/>
  <c r="G32" i="28"/>
  <c r="H32" i="11"/>
  <c r="K8" i="26"/>
  <c r="J108" i="4"/>
  <c r="J113" i="4" s="1"/>
  <c r="F223" i="29"/>
  <c r="G223" i="29"/>
  <c r="H223" i="29"/>
  <c r="D137" i="28"/>
  <c r="J46" i="54"/>
  <c r="J48" i="54" s="1"/>
  <c r="I52" i="54"/>
  <c r="I7" i="62"/>
  <c r="I12" i="62" s="1"/>
  <c r="I21" i="62" s="1"/>
  <c r="I37" i="62" s="1"/>
  <c r="G12" i="28"/>
  <c r="J38" i="4"/>
  <c r="G46" i="63"/>
  <c r="G47" i="63" s="1"/>
  <c r="G63" i="63"/>
  <c r="G65" i="63" s="1"/>
  <c r="G67" i="63" s="1"/>
  <c r="I225" i="29"/>
  <c r="I222" i="29"/>
  <c r="J223" i="29" s="1"/>
  <c r="I255" i="29"/>
  <c r="G87" i="28" s="1"/>
  <c r="I68" i="35"/>
  <c r="I73" i="35" s="1"/>
  <c r="I97" i="35" s="1"/>
  <c r="I73" i="2"/>
  <c r="I97" i="2" s="1"/>
  <c r="K68" i="2"/>
  <c r="K68" i="35" s="1"/>
  <c r="K106" i="4"/>
  <c r="V106" i="4" s="1"/>
  <c r="K95" i="34"/>
  <c r="K103" i="34" s="1"/>
  <c r="J345" i="29"/>
  <c r="J350" i="29" s="1"/>
  <c r="J547" i="29" s="1"/>
  <c r="J551" i="29" s="1"/>
  <c r="J552" i="29" s="1"/>
  <c r="J163" i="34"/>
  <c r="J171" i="34" s="1"/>
  <c r="J173" i="34" s="1"/>
  <c r="J178" i="34" s="1"/>
  <c r="I665" i="29"/>
  <c r="I670" i="29" s="1"/>
  <c r="J175" i="4"/>
  <c r="J121" i="2"/>
  <c r="H68" i="35"/>
  <c r="H73" i="35" s="1"/>
  <c r="H97" i="35" s="1"/>
  <c r="H73" i="2"/>
  <c r="H97" i="2" s="1"/>
  <c r="I46" i="63"/>
  <c r="I63" i="63"/>
  <c r="I65" i="63" s="1"/>
  <c r="J46" i="63"/>
  <c r="J63" i="63"/>
  <c r="J65" i="63" s="1"/>
  <c r="G40" i="62"/>
  <c r="G42" i="62" s="1"/>
  <c r="H6" i="63"/>
  <c r="H152" i="54"/>
  <c r="H154" i="54" s="1"/>
  <c r="G158" i="54"/>
  <c r="G99" i="62"/>
  <c r="G104" i="62" s="1"/>
  <c r="G113" i="62" s="1"/>
  <c r="G129" i="62" s="1"/>
  <c r="F352" i="29"/>
  <c r="F547" i="29"/>
  <c r="F551" i="29" s="1"/>
  <c r="F552" i="29" s="1"/>
  <c r="F528" i="29"/>
  <c r="I117" i="34" l="1"/>
  <c r="I121" i="34" s="1"/>
  <c r="I115" i="34"/>
  <c r="J115" i="34"/>
  <c r="J117" i="34"/>
  <c r="J121" i="34" s="1"/>
  <c r="G115" i="68"/>
  <c r="G91" i="68"/>
  <c r="G93" i="68" s="1"/>
  <c r="H115" i="68"/>
  <c r="H122" i="68" s="1"/>
  <c r="H124" i="68" s="1"/>
  <c r="H53" i="68"/>
  <c r="H60" i="68" s="1"/>
  <c r="H62" i="68" s="1"/>
  <c r="H91" i="68"/>
  <c r="H93" i="68" s="1"/>
  <c r="F115" i="68"/>
  <c r="F122" i="68" s="1"/>
  <c r="F124" i="68" s="1"/>
  <c r="F91" i="68"/>
  <c r="F93" i="68" s="1"/>
  <c r="E29" i="68"/>
  <c r="E31" i="68" s="1"/>
  <c r="E115" i="68"/>
  <c r="I223" i="29"/>
  <c r="K6" i="26"/>
  <c r="I6" i="26"/>
  <c r="K7" i="26"/>
  <c r="J6" i="26"/>
  <c r="M25" i="34"/>
  <c r="M15" i="2"/>
  <c r="M15" i="35" s="1"/>
  <c r="M31" i="4"/>
  <c r="L26" i="29"/>
  <c r="L31" i="29" s="1"/>
  <c r="L228" i="29" s="1"/>
  <c r="L232" i="29" s="1"/>
  <c r="L233" i="29" s="1"/>
  <c r="H80" i="63"/>
  <c r="H97" i="63"/>
  <c r="H99" i="63" s="1"/>
  <c r="I526" i="29"/>
  <c r="G102" i="28" s="1"/>
  <c r="F34" i="28"/>
  <c r="G34" i="11"/>
  <c r="I177" i="4"/>
  <c r="I182" i="4" s="1"/>
  <c r="G183" i="34"/>
  <c r="G180" i="34"/>
  <c r="G185" i="34"/>
  <c r="G189" i="34" s="1"/>
  <c r="G672" i="29"/>
  <c r="G867" i="29"/>
  <c r="G871" i="29" s="1"/>
  <c r="G872" i="29" s="1"/>
  <c r="G848" i="29"/>
  <c r="G29" i="3"/>
  <c r="G10" i="37"/>
  <c r="G12" i="37" s="1"/>
  <c r="G13" i="37" s="1"/>
  <c r="G12" i="3"/>
  <c r="G13" i="3" s="1"/>
  <c r="H526" i="29"/>
  <c r="F102" i="28" s="1"/>
  <c r="G527" i="29"/>
  <c r="G567" i="29" s="1"/>
  <c r="E52" i="28" s="1"/>
  <c r="H527" i="29"/>
  <c r="H567" i="29" s="1"/>
  <c r="F52" i="28" s="1"/>
  <c r="F527" i="29"/>
  <c r="F567" i="29" s="1"/>
  <c r="D52" i="28" s="1"/>
  <c r="F526" i="29"/>
  <c r="D102" i="28" s="1"/>
  <c r="H158" i="54"/>
  <c r="I152" i="54"/>
  <c r="I154" i="54" s="1"/>
  <c r="H99" i="62"/>
  <c r="H104" i="62" s="1"/>
  <c r="H113" i="62" s="1"/>
  <c r="H129" i="62" s="1"/>
  <c r="G34" i="28"/>
  <c r="H34" i="11"/>
  <c r="J177" i="4"/>
  <c r="J182" i="4" s="1"/>
  <c r="J45" i="34"/>
  <c r="J42" i="34"/>
  <c r="J47" i="34"/>
  <c r="J51" i="34" s="1"/>
  <c r="H12" i="3"/>
  <c r="H29" i="3"/>
  <c r="H10" i="37"/>
  <c r="H12" i="37" s="1"/>
  <c r="E20" i="28"/>
  <c r="E38" i="28"/>
  <c r="F38" i="11"/>
  <c r="P39" i="9"/>
  <c r="P35" i="9" s="1"/>
  <c r="P37" i="9" s="1"/>
  <c r="I105" i="54"/>
  <c r="J99" i="54"/>
  <c r="J101" i="54" s="1"/>
  <c r="I53" i="62"/>
  <c r="I58" i="62" s="1"/>
  <c r="I67" i="62" s="1"/>
  <c r="I83" i="62" s="1"/>
  <c r="I7" i="26"/>
  <c r="H6" i="26"/>
  <c r="H7" i="26"/>
  <c r="J7" i="26"/>
  <c r="K225" i="29"/>
  <c r="K255" i="29"/>
  <c r="I87" i="28" s="1"/>
  <c r="K222" i="29"/>
  <c r="K223" i="29" s="1"/>
  <c r="I544" i="29"/>
  <c r="I541" i="29"/>
  <c r="I574" i="29"/>
  <c r="G88" i="28" s="1"/>
  <c r="I180" i="34"/>
  <c r="I183" i="34"/>
  <c r="I185" i="34"/>
  <c r="I189" i="34" s="1"/>
  <c r="F13" i="28"/>
  <c r="G13" i="11"/>
  <c r="I38" i="8" s="1"/>
  <c r="F45" i="28"/>
  <c r="E95" i="28" s="1"/>
  <c r="J44" i="19"/>
  <c r="J45" i="19" s="1"/>
  <c r="E34" i="11"/>
  <c r="D34" i="28"/>
  <c r="G177" i="4"/>
  <c r="G182" i="4" s="1"/>
  <c r="H121" i="35"/>
  <c r="H126" i="35" s="1"/>
  <c r="H150" i="35" s="1"/>
  <c r="H126" i="2"/>
  <c r="H150" i="2" s="1"/>
  <c r="I527" i="29"/>
  <c r="I567" i="29" s="1"/>
  <c r="G52" i="28" s="1"/>
  <c r="G526" i="29"/>
  <c r="E102" i="28" s="1"/>
  <c r="H353" i="29"/>
  <c r="H354" i="29"/>
  <c r="H355" i="29" s="1"/>
  <c r="G45" i="62"/>
  <c r="G44" i="62"/>
  <c r="J544" i="29"/>
  <c r="J541" i="29"/>
  <c r="J574" i="29"/>
  <c r="H88" i="28" s="1"/>
  <c r="G97" i="63"/>
  <c r="G99" i="63" s="1"/>
  <c r="G101" i="63" s="1"/>
  <c r="G80" i="63"/>
  <c r="G81" i="63" s="1"/>
  <c r="F20" i="11"/>
  <c r="H48" i="8" s="1"/>
  <c r="K13" i="27"/>
  <c r="H12" i="14"/>
  <c r="H7" i="36"/>
  <c r="H12" i="36" s="1"/>
  <c r="H21" i="36" s="1"/>
  <c r="H37" i="36" s="1"/>
  <c r="G115" i="4"/>
  <c r="E25" i="11"/>
  <c r="D25" i="28"/>
  <c r="G120" i="4"/>
  <c r="G124" i="4" s="1"/>
  <c r="G118" i="4"/>
  <c r="D46" i="28" s="1"/>
  <c r="C96" i="28" s="1"/>
  <c r="G44" i="3"/>
  <c r="I52" i="2"/>
  <c r="J46" i="2"/>
  <c r="J48" i="2" s="1"/>
  <c r="I7" i="14"/>
  <c r="J97" i="63"/>
  <c r="J99" i="63" s="1"/>
  <c r="J80" i="63"/>
  <c r="M68" i="54"/>
  <c r="M109" i="61"/>
  <c r="X101" i="61"/>
  <c r="X109" i="61" s="1"/>
  <c r="M98" i="4"/>
  <c r="Y98" i="4" s="1"/>
  <c r="N101" i="61"/>
  <c r="G5" i="8"/>
  <c r="G21" i="14"/>
  <c r="G37" i="14" s="1"/>
  <c r="G26" i="27"/>
  <c r="G30" i="27" s="1"/>
  <c r="G21" i="27" s="1"/>
  <c r="G24" i="27" s="1"/>
  <c r="G5" i="27" s="1"/>
  <c r="L33" i="34"/>
  <c r="L6" i="34"/>
  <c r="I353" i="29"/>
  <c r="I354" i="29"/>
  <c r="I355" i="29" s="1"/>
  <c r="H672" i="29"/>
  <c r="H848" i="29"/>
  <c r="H867" i="29"/>
  <c r="H871" i="29" s="1"/>
  <c r="H872" i="29" s="1"/>
  <c r="I12" i="3"/>
  <c r="I10" i="37"/>
  <c r="I12" i="37" s="1"/>
  <c r="I29" i="3"/>
  <c r="G121" i="35"/>
  <c r="G126" i="35" s="1"/>
  <c r="G150" i="35" s="1"/>
  <c r="G154" i="35" s="1"/>
  <c r="G126" i="2"/>
  <c r="G150" i="2" s="1"/>
  <c r="G154" i="2" s="1"/>
  <c r="F34" i="11"/>
  <c r="E34" i="28"/>
  <c r="H177" i="4"/>
  <c r="H182" i="4" s="1"/>
  <c r="G541" i="29"/>
  <c r="G544" i="29"/>
  <c r="G574" i="29"/>
  <c r="E88" i="28" s="1"/>
  <c r="J46" i="35"/>
  <c r="J48" i="35" s="1"/>
  <c r="I52" i="35"/>
  <c r="J121" i="35"/>
  <c r="J126" i="35" s="1"/>
  <c r="J150" i="35" s="1"/>
  <c r="J126" i="2"/>
  <c r="J150" i="2" s="1"/>
  <c r="J30" i="11"/>
  <c r="L13" i="8"/>
  <c r="I30" i="28"/>
  <c r="H99" i="35"/>
  <c r="H101" i="35" s="1"/>
  <c r="G105" i="35"/>
  <c r="K121" i="2"/>
  <c r="K121" i="35" s="1"/>
  <c r="J665" i="29"/>
  <c r="J670" i="29" s="1"/>
  <c r="J867" i="29" s="1"/>
  <c r="J871" i="29" s="1"/>
  <c r="J872" i="29" s="1"/>
  <c r="K175" i="4"/>
  <c r="K163" i="34"/>
  <c r="K171" i="34" s="1"/>
  <c r="F544" i="29"/>
  <c r="F541" i="29"/>
  <c r="F574" i="29"/>
  <c r="D88" i="28" s="1"/>
  <c r="I672" i="29"/>
  <c r="I848" i="29"/>
  <c r="I867" i="29"/>
  <c r="I871" i="29" s="1"/>
  <c r="I872" i="29" s="1"/>
  <c r="H32" i="28"/>
  <c r="I32" i="11"/>
  <c r="G86" i="62"/>
  <c r="G88" i="62" s="1"/>
  <c r="H40" i="63"/>
  <c r="G24" i="28"/>
  <c r="J40" i="4"/>
  <c r="H24" i="11"/>
  <c r="H12" i="11"/>
  <c r="J33" i="8" s="1"/>
  <c r="J10" i="3"/>
  <c r="J45" i="4"/>
  <c r="J49" i="4" s="1"/>
  <c r="J19" i="6"/>
  <c r="J39" i="6" s="1"/>
  <c r="J43" i="6" s="1"/>
  <c r="K41" i="6" s="1"/>
  <c r="J4" i="6"/>
  <c r="J10" i="6" s="1"/>
  <c r="J12" i="6" s="1"/>
  <c r="J43" i="4"/>
  <c r="K46" i="54"/>
  <c r="J7" i="62"/>
  <c r="J12" i="62" s="1"/>
  <c r="J21" i="62" s="1"/>
  <c r="J37" i="62" s="1"/>
  <c r="J52" i="54"/>
  <c r="K14" i="61" s="1"/>
  <c r="F353" i="29"/>
  <c r="F354" i="29"/>
  <c r="F355" i="29" s="1"/>
  <c r="H25" i="63"/>
  <c r="H27" i="63" s="1"/>
  <c r="H33" i="63" s="1"/>
  <c r="H8" i="63"/>
  <c r="H13" i="63" s="1"/>
  <c r="J183" i="34"/>
  <c r="J185" i="34"/>
  <c r="J189" i="34" s="1"/>
  <c r="J180" i="34"/>
  <c r="G137" i="28"/>
  <c r="J115" i="4"/>
  <c r="G25" i="28"/>
  <c r="H25" i="11"/>
  <c r="J120" i="4"/>
  <c r="J124" i="4" s="1"/>
  <c r="J44" i="3"/>
  <c r="J118" i="4"/>
  <c r="G46" i="28" s="1"/>
  <c r="F96" i="28" s="1"/>
  <c r="I80" i="63"/>
  <c r="I97" i="63"/>
  <c r="I99" i="63" s="1"/>
  <c r="E45" i="28"/>
  <c r="D95" i="28" s="1"/>
  <c r="E13" i="28"/>
  <c r="F13" i="11"/>
  <c r="H38" i="8" s="1"/>
  <c r="I44" i="19"/>
  <c r="I45" i="19" s="1"/>
  <c r="H115" i="4"/>
  <c r="E25" i="28"/>
  <c r="F25" i="11"/>
  <c r="H120" i="4"/>
  <c r="H124" i="4" s="1"/>
  <c r="H44" i="3"/>
  <c r="H118" i="4"/>
  <c r="E46" i="28" s="1"/>
  <c r="D96" i="28" s="1"/>
  <c r="L68" i="2"/>
  <c r="L68" i="35" s="1"/>
  <c r="L106" i="4"/>
  <c r="W106" i="4" s="1"/>
  <c r="L95" i="34"/>
  <c r="L103" i="34" s="1"/>
  <c r="K345" i="29"/>
  <c r="K350" i="29" s="1"/>
  <c r="K547" i="29" s="1"/>
  <c r="K551" i="29" s="1"/>
  <c r="K552" i="29" s="1"/>
  <c r="F25" i="28"/>
  <c r="I115" i="4"/>
  <c r="G25" i="11"/>
  <c r="I44" i="3"/>
  <c r="I120" i="4"/>
  <c r="I124" i="4" s="1"/>
  <c r="I118" i="4"/>
  <c r="F46" i="28" s="1"/>
  <c r="E96" i="28" s="1"/>
  <c r="Y24" i="61"/>
  <c r="N15" i="54"/>
  <c r="N32" i="61"/>
  <c r="N23" i="4"/>
  <c r="O24" i="61"/>
  <c r="I121" i="35"/>
  <c r="I126" i="35" s="1"/>
  <c r="I150" i="35" s="1"/>
  <c r="I126" i="2"/>
  <c r="I150" i="2" s="1"/>
  <c r="G105" i="2"/>
  <c r="H99" i="2"/>
  <c r="H101" i="2" s="1"/>
  <c r="G53" i="14"/>
  <c r="H137" i="28"/>
  <c r="F672" i="29"/>
  <c r="F848" i="29"/>
  <c r="F867" i="29"/>
  <c r="F871" i="29" s="1"/>
  <c r="F872" i="29" s="1"/>
  <c r="H180" i="34"/>
  <c r="H183" i="34"/>
  <c r="H185" i="34"/>
  <c r="H189" i="34" s="1"/>
  <c r="G353" i="29"/>
  <c r="G354" i="29"/>
  <c r="G355" i="29" s="1"/>
  <c r="D13" i="28"/>
  <c r="E13" i="11"/>
  <c r="G38" i="8" s="1"/>
  <c r="D45" i="28"/>
  <c r="C95" i="28" s="1"/>
  <c r="H44" i="19"/>
  <c r="H45" i="19" s="1"/>
  <c r="L179" i="61"/>
  <c r="L121" i="54"/>
  <c r="W171" i="61"/>
  <c r="W179" i="61" s="1"/>
  <c r="L167" i="4"/>
  <c r="M171" i="61"/>
  <c r="H544" i="29"/>
  <c r="H541" i="29"/>
  <c r="H574" i="29"/>
  <c r="F88" i="28" s="1"/>
  <c r="F53" i="68" l="1"/>
  <c r="F60" i="68" s="1"/>
  <c r="F62" i="68" s="1"/>
  <c r="E53" i="68"/>
  <c r="E60" i="68" s="1"/>
  <c r="E62" i="68" s="1"/>
  <c r="E122" i="68"/>
  <c r="E124" i="68" s="1"/>
  <c r="G53" i="68"/>
  <c r="G60" i="68" s="1"/>
  <c r="G62" i="68" s="1"/>
  <c r="G122" i="68"/>
  <c r="G124" i="68" s="1"/>
  <c r="H105" i="2"/>
  <c r="I99" i="2"/>
  <c r="I101" i="2" s="1"/>
  <c r="H53" i="14"/>
  <c r="H105" i="35"/>
  <c r="I99" i="35"/>
  <c r="I101" i="35" s="1"/>
  <c r="L225" i="29"/>
  <c r="L222" i="29"/>
  <c r="L255" i="29"/>
  <c r="J87" i="28" s="1"/>
  <c r="H40" i="62"/>
  <c r="H42" i="62" s="1"/>
  <c r="I6" i="63"/>
  <c r="I864" i="29"/>
  <c r="I861" i="29"/>
  <c r="I894" i="29"/>
  <c r="G89" i="28" s="1"/>
  <c r="H152" i="35"/>
  <c r="H154" i="35" s="1"/>
  <c r="G158" i="35"/>
  <c r="G44" i="37"/>
  <c r="G63" i="3"/>
  <c r="G46" i="3"/>
  <c r="J864" i="29"/>
  <c r="J861" i="29"/>
  <c r="J894" i="29"/>
  <c r="H89" i="28" s="1"/>
  <c r="I31" i="3"/>
  <c r="I29" i="37"/>
  <c r="I31" i="37" s="1"/>
  <c r="H846" i="29"/>
  <c r="F103" i="28" s="1"/>
  <c r="L13" i="27"/>
  <c r="G20" i="11"/>
  <c r="I48" i="8" s="1"/>
  <c r="I12" i="14"/>
  <c r="I7" i="36"/>
  <c r="I12" i="36" s="1"/>
  <c r="I21" i="36" s="1"/>
  <c r="I37" i="36" s="1"/>
  <c r="H138" i="28"/>
  <c r="I137" i="28"/>
  <c r="H31" i="3"/>
  <c r="H29" i="37"/>
  <c r="H31" i="37" s="1"/>
  <c r="G673" i="29"/>
  <c r="G674" i="29"/>
  <c r="G675" i="29" s="1"/>
  <c r="F26" i="28"/>
  <c r="I184" i="4"/>
  <c r="G26" i="11"/>
  <c r="I187" i="4"/>
  <c r="F47" i="28" s="1"/>
  <c r="E97" i="28" s="1"/>
  <c r="I78" i="3"/>
  <c r="I189" i="4"/>
  <c r="I193" i="4" s="1"/>
  <c r="K30" i="11"/>
  <c r="M13" i="8"/>
  <c r="J30" i="28"/>
  <c r="M179" i="61"/>
  <c r="M121" i="54"/>
  <c r="M167" i="4"/>
  <c r="X171" i="61"/>
  <c r="X179" i="61" s="1"/>
  <c r="N171" i="61"/>
  <c r="O15" i="54"/>
  <c r="O32" i="61"/>
  <c r="Z24" i="61"/>
  <c r="P24" i="61"/>
  <c r="O23" i="4"/>
  <c r="H184" i="4"/>
  <c r="F26" i="11"/>
  <c r="E26" i="28"/>
  <c r="H189" i="4"/>
  <c r="H193" i="4" s="1"/>
  <c r="H78" i="3"/>
  <c r="H187" i="4"/>
  <c r="E47" i="28" s="1"/>
  <c r="D97" i="28" s="1"/>
  <c r="G184" i="4"/>
  <c r="E26" i="11"/>
  <c r="D26" i="28"/>
  <c r="G189" i="4"/>
  <c r="G193" i="4" s="1"/>
  <c r="G187" i="4"/>
  <c r="D47" i="28" s="1"/>
  <c r="C97" i="28" s="1"/>
  <c r="G78" i="3"/>
  <c r="G40" i="14"/>
  <c r="H6" i="3"/>
  <c r="J46" i="19"/>
  <c r="H46" i="19"/>
  <c r="I46" i="19"/>
  <c r="D39" i="28"/>
  <c r="E39" i="11"/>
  <c r="N25" i="34"/>
  <c r="N31" i="4"/>
  <c r="N15" i="2"/>
  <c r="N15" i="35" s="1"/>
  <c r="M26" i="29"/>
  <c r="M31" i="29" s="1"/>
  <c r="M228" i="29" s="1"/>
  <c r="M232" i="29" s="1"/>
  <c r="M233" i="29" s="1"/>
  <c r="H44" i="37"/>
  <c r="H63" i="3"/>
  <c r="H46" i="3"/>
  <c r="H46" i="37" s="1"/>
  <c r="G91" i="62"/>
  <c r="G90" i="62"/>
  <c r="G542" i="29"/>
  <c r="D138" i="28"/>
  <c r="H542" i="29"/>
  <c r="F542" i="29"/>
  <c r="J542" i="29"/>
  <c r="F138" i="28"/>
  <c r="F861" i="29"/>
  <c r="F864" i="29"/>
  <c r="F894" i="29"/>
  <c r="D89" i="28" s="1"/>
  <c r="I674" i="29"/>
  <c r="I675" i="29" s="1"/>
  <c r="I673" i="29"/>
  <c r="H673" i="29"/>
  <c r="H674" i="29"/>
  <c r="H675" i="29" s="1"/>
  <c r="N109" i="61"/>
  <c r="Y101" i="61"/>
  <c r="Y109" i="61" s="1"/>
  <c r="N68" i="54"/>
  <c r="N98" i="4"/>
  <c r="Z98" i="4" s="1"/>
  <c r="O101" i="61"/>
  <c r="K46" i="2"/>
  <c r="J7" i="14"/>
  <c r="J52" i="2"/>
  <c r="G132" i="62"/>
  <c r="G134" i="62" s="1"/>
  <c r="H74" i="63"/>
  <c r="J105" i="54"/>
  <c r="K99" i="54"/>
  <c r="J53" i="62"/>
  <c r="J58" i="62" s="1"/>
  <c r="J67" i="62" s="1"/>
  <c r="J83" i="62" s="1"/>
  <c r="G31" i="3"/>
  <c r="G33" i="3" s="1"/>
  <c r="G29" i="37"/>
  <c r="G31" i="37" s="1"/>
  <c r="G33" i="37" s="1"/>
  <c r="F673" i="29"/>
  <c r="F674" i="29"/>
  <c r="F675" i="29" s="1"/>
  <c r="V14" i="61"/>
  <c r="K22" i="61"/>
  <c r="K34" i="61" s="1"/>
  <c r="K39" i="61" s="1"/>
  <c r="K13" i="4"/>
  <c r="K9" i="54"/>
  <c r="K20" i="54" s="1"/>
  <c r="K44" i="54" s="1"/>
  <c r="K48" i="54" s="1"/>
  <c r="H59" i="63"/>
  <c r="H61" i="63" s="1"/>
  <c r="H67" i="63" s="1"/>
  <c r="H42" i="63"/>
  <c r="H47" i="63" s="1"/>
  <c r="I34" i="11"/>
  <c r="H34" i="28"/>
  <c r="J52" i="35"/>
  <c r="K46" i="35"/>
  <c r="H864" i="29"/>
  <c r="H894" i="29"/>
  <c r="F89" i="28" s="1"/>
  <c r="H861" i="29"/>
  <c r="G894" i="29"/>
  <c r="E89" i="28" s="1"/>
  <c r="G861" i="29"/>
  <c r="G864" i="29"/>
  <c r="L175" i="4"/>
  <c r="L121" i="2"/>
  <c r="L121" i="35" s="1"/>
  <c r="K665" i="29"/>
  <c r="K670" i="29" s="1"/>
  <c r="K867" i="29" s="1"/>
  <c r="K871" i="29" s="1"/>
  <c r="K872" i="29" s="1"/>
  <c r="L163" i="34"/>
  <c r="L171" i="34" s="1"/>
  <c r="J32" i="11"/>
  <c r="I32" i="28"/>
  <c r="J44" i="37"/>
  <c r="J63" i="3"/>
  <c r="J46" i="3"/>
  <c r="J46" i="37" s="1"/>
  <c r="I846" i="29"/>
  <c r="G103" i="28" s="1"/>
  <c r="F846" i="29"/>
  <c r="D103" i="28" s="1"/>
  <c r="H847" i="29"/>
  <c r="H887" i="29" s="1"/>
  <c r="F53" i="28" s="1"/>
  <c r="F847" i="29"/>
  <c r="F887" i="29" s="1"/>
  <c r="D53" i="28" s="1"/>
  <c r="G847" i="29"/>
  <c r="G887" i="29" s="1"/>
  <c r="E53" i="28" s="1"/>
  <c r="G58" i="14"/>
  <c r="G67" i="14" s="1"/>
  <c r="G83" i="14" s="1"/>
  <c r="G53" i="36"/>
  <c r="G58" i="36" s="1"/>
  <c r="G67" i="36" s="1"/>
  <c r="G83" i="36" s="1"/>
  <c r="I44" i="37"/>
  <c r="I63" i="3"/>
  <c r="I46" i="3"/>
  <c r="I46" i="37" s="1"/>
  <c r="K541" i="29"/>
  <c r="K542" i="29" s="1"/>
  <c r="K544" i="29"/>
  <c r="K574" i="29"/>
  <c r="I88" i="28" s="1"/>
  <c r="G13" i="28"/>
  <c r="G45" i="28"/>
  <c r="F95" i="28" s="1"/>
  <c r="H13" i="11"/>
  <c r="J38" i="8" s="1"/>
  <c r="K44" i="19"/>
  <c r="K45" i="19" s="1"/>
  <c r="K46" i="19" s="1"/>
  <c r="J12" i="3"/>
  <c r="J29" i="3"/>
  <c r="J10" i="37"/>
  <c r="J12" i="37" s="1"/>
  <c r="E138" i="28"/>
  <c r="I542" i="29"/>
  <c r="G158" i="2"/>
  <c r="H152" i="2"/>
  <c r="H154" i="2" s="1"/>
  <c r="G99" i="14"/>
  <c r="M106" i="4"/>
  <c r="X106" i="4" s="1"/>
  <c r="M68" i="2"/>
  <c r="M68" i="35" s="1"/>
  <c r="L345" i="29"/>
  <c r="L350" i="29" s="1"/>
  <c r="L547" i="29" s="1"/>
  <c r="L551" i="29" s="1"/>
  <c r="L552" i="29" s="1"/>
  <c r="M95" i="34"/>
  <c r="M103" i="34" s="1"/>
  <c r="F20" i="28"/>
  <c r="F38" i="28"/>
  <c r="G38" i="11"/>
  <c r="R39" i="9"/>
  <c r="R35" i="9" s="1"/>
  <c r="R37" i="9" s="1"/>
  <c r="H5" i="8"/>
  <c r="H21" i="14"/>
  <c r="H37" i="14" s="1"/>
  <c r="H26" i="27"/>
  <c r="H30" i="27" s="1"/>
  <c r="H21" i="27" s="1"/>
  <c r="H24" i="27" s="1"/>
  <c r="H5" i="27" s="1"/>
  <c r="G138" i="28"/>
  <c r="G26" i="28"/>
  <c r="J184" i="4"/>
  <c r="H26" i="11"/>
  <c r="J187" i="4"/>
  <c r="G47" i="28" s="1"/>
  <c r="F97" i="28" s="1"/>
  <c r="J189" i="4"/>
  <c r="J193" i="4" s="1"/>
  <c r="J78" i="3"/>
  <c r="J152" i="54"/>
  <c r="J154" i="54" s="1"/>
  <c r="I158" i="54"/>
  <c r="I99" i="62"/>
  <c r="I104" i="62" s="1"/>
  <c r="I113" i="62" s="1"/>
  <c r="I129" i="62" s="1"/>
  <c r="I847" i="29"/>
  <c r="I887" i="29" s="1"/>
  <c r="G53" i="28" s="1"/>
  <c r="G846" i="29"/>
  <c r="E103" i="28" s="1"/>
  <c r="M33" i="34"/>
  <c r="M6" i="34"/>
  <c r="H158" i="2" l="1"/>
  <c r="I152" i="2"/>
  <c r="I154" i="2" s="1"/>
  <c r="H99" i="14"/>
  <c r="I152" i="35"/>
  <c r="I154" i="35" s="1"/>
  <c r="H158" i="35"/>
  <c r="G99" i="36"/>
  <c r="G104" i="36" s="1"/>
  <c r="G113" i="36" s="1"/>
  <c r="G129" i="36" s="1"/>
  <c r="G104" i="14"/>
  <c r="G113" i="14" s="1"/>
  <c r="G129" i="14" s="1"/>
  <c r="F139" i="28"/>
  <c r="J862" i="29"/>
  <c r="O68" i="54"/>
  <c r="Z101" i="61"/>
  <c r="Z109" i="61" s="1"/>
  <c r="O109" i="61"/>
  <c r="P101" i="61"/>
  <c r="O98" i="4"/>
  <c r="AA98" i="4" s="1"/>
  <c r="H80" i="3"/>
  <c r="H97" i="3"/>
  <c r="H99" i="3" s="1"/>
  <c r="H78" i="37"/>
  <c r="I78" i="37"/>
  <c r="I80" i="3"/>
  <c r="I97" i="3"/>
  <c r="I99" i="3" s="1"/>
  <c r="H139" i="28"/>
  <c r="G139" i="28"/>
  <c r="L541" i="29"/>
  <c r="L544" i="29"/>
  <c r="L574" i="29"/>
  <c r="J88" i="28" s="1"/>
  <c r="J65" i="3"/>
  <c r="J63" i="37"/>
  <c r="J65" i="37" s="1"/>
  <c r="L46" i="54"/>
  <c r="K7" i="62"/>
  <c r="K12" i="62" s="1"/>
  <c r="K21" i="62" s="1"/>
  <c r="K37" i="62" s="1"/>
  <c r="K52" i="54"/>
  <c r="L14" i="61" s="1"/>
  <c r="H38" i="11"/>
  <c r="G20" i="28"/>
  <c r="G38" i="28"/>
  <c r="T39" i="9"/>
  <c r="T35" i="9" s="1"/>
  <c r="T37" i="9" s="1"/>
  <c r="N106" i="4"/>
  <c r="N95" i="34"/>
  <c r="N103" i="34" s="1"/>
  <c r="N68" i="2"/>
  <c r="N68" i="35" s="1"/>
  <c r="M345" i="29"/>
  <c r="M350" i="29" s="1"/>
  <c r="M547" i="29" s="1"/>
  <c r="M551" i="29" s="1"/>
  <c r="M552" i="29" s="1"/>
  <c r="M225" i="29"/>
  <c r="M222" i="29"/>
  <c r="M255" i="29"/>
  <c r="K87" i="28" s="1"/>
  <c r="M121" i="2"/>
  <c r="M121" i="35" s="1"/>
  <c r="M175" i="4"/>
  <c r="L665" i="29"/>
  <c r="L670" i="29" s="1"/>
  <c r="L867" i="29" s="1"/>
  <c r="L871" i="29" s="1"/>
  <c r="L872" i="29" s="1"/>
  <c r="M163" i="34"/>
  <c r="M171" i="34" s="1"/>
  <c r="J137" i="28"/>
  <c r="L223" i="29"/>
  <c r="H53" i="36"/>
  <c r="H58" i="36" s="1"/>
  <c r="H67" i="36" s="1"/>
  <c r="H83" i="36" s="1"/>
  <c r="H58" i="14"/>
  <c r="H67" i="14" s="1"/>
  <c r="H83" i="14" s="1"/>
  <c r="G862" i="29"/>
  <c r="D139" i="28"/>
  <c r="F862" i="29"/>
  <c r="H862" i="29"/>
  <c r="G78" i="37"/>
  <c r="G97" i="3"/>
  <c r="G99" i="3" s="1"/>
  <c r="G101" i="3" s="1"/>
  <c r="G80" i="3"/>
  <c r="G81" i="3" s="1"/>
  <c r="D40" i="28"/>
  <c r="E40" i="11"/>
  <c r="J31" i="3"/>
  <c r="J29" i="37"/>
  <c r="J31" i="37" s="1"/>
  <c r="I138" i="28"/>
  <c r="K864" i="29"/>
  <c r="K861" i="29"/>
  <c r="K862" i="29" s="1"/>
  <c r="K894" i="29"/>
  <c r="I89" i="28" s="1"/>
  <c r="I862" i="29"/>
  <c r="E139" i="28"/>
  <c r="K15" i="34"/>
  <c r="K23" i="34" s="1"/>
  <c r="K35" i="34" s="1"/>
  <c r="K40" i="34" s="1"/>
  <c r="J16" i="29"/>
  <c r="J20" i="29" s="1"/>
  <c r="K9" i="2"/>
  <c r="K21" i="4"/>
  <c r="H93" i="63"/>
  <c r="H95" i="63" s="1"/>
  <c r="H101" i="63" s="1"/>
  <c r="H76" i="63"/>
  <c r="H81" i="63" s="1"/>
  <c r="J7" i="36"/>
  <c r="J12" i="36" s="1"/>
  <c r="J21" i="36" s="1"/>
  <c r="J37" i="36" s="1"/>
  <c r="M13" i="27"/>
  <c r="J12" i="14"/>
  <c r="H20" i="11"/>
  <c r="J48" i="8" s="1"/>
  <c r="H6" i="37"/>
  <c r="H8" i="37" s="1"/>
  <c r="H13" i="37" s="1"/>
  <c r="H25" i="3"/>
  <c r="H8" i="3"/>
  <c r="H13" i="3" s="1"/>
  <c r="O15" i="2"/>
  <c r="O15" i="35" s="1"/>
  <c r="O31" i="4"/>
  <c r="O25" i="34"/>
  <c r="N26" i="29"/>
  <c r="N31" i="29" s="1"/>
  <c r="N228" i="29" s="1"/>
  <c r="N232" i="29" s="1"/>
  <c r="N233" i="29" s="1"/>
  <c r="G46" i="37"/>
  <c r="G47" i="37" s="1"/>
  <c r="G47" i="3"/>
  <c r="I25" i="63"/>
  <c r="I27" i="63" s="1"/>
  <c r="I33" i="63" s="1"/>
  <c r="I8" i="63"/>
  <c r="I13" i="63" s="1"/>
  <c r="J99" i="2"/>
  <c r="J101" i="2" s="1"/>
  <c r="I105" i="2"/>
  <c r="I53" i="14"/>
  <c r="I65" i="3"/>
  <c r="I63" i="37"/>
  <c r="I65" i="37" s="1"/>
  <c r="J34" i="11"/>
  <c r="I34" i="28"/>
  <c r="N33" i="34"/>
  <c r="N6" i="34"/>
  <c r="J158" i="54"/>
  <c r="K152" i="54"/>
  <c r="J99" i="62"/>
  <c r="J104" i="62" s="1"/>
  <c r="J113" i="62" s="1"/>
  <c r="J129" i="62" s="1"/>
  <c r="J97" i="3"/>
  <c r="J99" i="3" s="1"/>
  <c r="J80" i="3"/>
  <c r="J78" i="37"/>
  <c r="J32" i="28"/>
  <c r="K32" i="11"/>
  <c r="H86" i="62"/>
  <c r="H88" i="62" s="1"/>
  <c r="I40" i="63"/>
  <c r="K46" i="61"/>
  <c r="K50" i="61" s="1"/>
  <c r="K41" i="61"/>
  <c r="K10" i="63"/>
  <c r="K44" i="61"/>
  <c r="G137" i="62"/>
  <c r="G136" i="62"/>
  <c r="H63" i="37"/>
  <c r="H65" i="37" s="1"/>
  <c r="H65" i="3"/>
  <c r="N13" i="8"/>
  <c r="K30" i="28"/>
  <c r="G42" i="14"/>
  <c r="G40" i="36"/>
  <c r="G42" i="36" s="1"/>
  <c r="P32" i="61"/>
  <c r="AA24" i="61"/>
  <c r="P15" i="54"/>
  <c r="P23" i="4"/>
  <c r="N179" i="61"/>
  <c r="N121" i="54"/>
  <c r="Y171" i="61"/>
  <c r="Y179" i="61" s="1"/>
  <c r="O171" i="61"/>
  <c r="N167" i="4"/>
  <c r="I5" i="8"/>
  <c r="I21" i="14"/>
  <c r="I37" i="14" s="1"/>
  <c r="I26" i="27"/>
  <c r="I30" i="27" s="1"/>
  <c r="I21" i="27" s="1"/>
  <c r="I24" i="27" s="1"/>
  <c r="I5" i="27" s="1"/>
  <c r="G65" i="3"/>
  <c r="G67" i="3" s="1"/>
  <c r="G63" i="37"/>
  <c r="G65" i="37" s="1"/>
  <c r="G67" i="37" s="1"/>
  <c r="H45" i="62"/>
  <c r="H44" i="62"/>
  <c r="I105" i="35"/>
  <c r="J99" i="35"/>
  <c r="J101" i="35" s="1"/>
  <c r="F39" i="11"/>
  <c r="E39" i="28"/>
  <c r="H148" i="28" l="1"/>
  <c r="H153" i="28"/>
  <c r="K32" i="28"/>
  <c r="Y106" i="4"/>
  <c r="J138" i="28"/>
  <c r="L542" i="29"/>
  <c r="I40" i="62"/>
  <c r="I42" i="62" s="1"/>
  <c r="J6" i="63"/>
  <c r="K9" i="35"/>
  <c r="K20" i="35" s="1"/>
  <c r="K44" i="35" s="1"/>
  <c r="K48" i="35" s="1"/>
  <c r="K20" i="2"/>
  <c r="K44" i="2" s="1"/>
  <c r="K48" i="2" s="1"/>
  <c r="H80" i="37"/>
  <c r="H97" i="37"/>
  <c r="H99" i="37" s="1"/>
  <c r="O121" i="54"/>
  <c r="O179" i="61"/>
  <c r="Z171" i="61"/>
  <c r="Z179" i="61" s="1"/>
  <c r="O167" i="4"/>
  <c r="P171" i="61"/>
  <c r="K58" i="4"/>
  <c r="K67" i="61"/>
  <c r="K70" i="61" s="1"/>
  <c r="K72" i="61" s="1"/>
  <c r="L71" i="61" s="1"/>
  <c r="I53" i="36"/>
  <c r="I58" i="36" s="1"/>
  <c r="I67" i="36" s="1"/>
  <c r="I83" i="36" s="1"/>
  <c r="I58" i="14"/>
  <c r="I67" i="14" s="1"/>
  <c r="I83" i="14" s="1"/>
  <c r="H40" i="14"/>
  <c r="I6" i="3"/>
  <c r="M574" i="29"/>
  <c r="K88" i="28" s="1"/>
  <c r="M541" i="29"/>
  <c r="M542" i="29" s="1"/>
  <c r="M544" i="29"/>
  <c r="W14" i="61"/>
  <c r="L22" i="61"/>
  <c r="L34" i="61" s="1"/>
  <c r="L39" i="61" s="1"/>
  <c r="L9" i="54"/>
  <c r="L20" i="54" s="1"/>
  <c r="L44" i="54" s="1"/>
  <c r="L48" i="54" s="1"/>
  <c r="L13" i="4"/>
  <c r="H104" i="14"/>
  <c r="H113" i="14" s="1"/>
  <c r="H129" i="14" s="1"/>
  <c r="H99" i="36"/>
  <c r="H104" i="36" s="1"/>
  <c r="H113" i="36" s="1"/>
  <c r="H129" i="36" s="1"/>
  <c r="N175" i="4"/>
  <c r="K34" i="28" s="1"/>
  <c r="N121" i="2"/>
  <c r="N121" i="35" s="1"/>
  <c r="M665" i="29"/>
  <c r="M670" i="29" s="1"/>
  <c r="M867" i="29" s="1"/>
  <c r="M871" i="29" s="1"/>
  <c r="M872" i="29" s="1"/>
  <c r="N163" i="34"/>
  <c r="N171" i="34" s="1"/>
  <c r="H132" i="62"/>
  <c r="H134" i="62" s="1"/>
  <c r="I74" i="63"/>
  <c r="P31" i="4"/>
  <c r="M30" i="28" s="1"/>
  <c r="P25" i="34"/>
  <c r="P15" i="2"/>
  <c r="P15" i="35" s="1"/>
  <c r="O26" i="29"/>
  <c r="O31" i="29" s="1"/>
  <c r="O228" i="29" s="1"/>
  <c r="O232" i="29" s="1"/>
  <c r="O233" i="29" s="1"/>
  <c r="N225" i="29"/>
  <c r="N255" i="29"/>
  <c r="L87" i="28" s="1"/>
  <c r="N222" i="29"/>
  <c r="J21" i="29"/>
  <c r="J22" i="29"/>
  <c r="J210" i="29"/>
  <c r="J214" i="29"/>
  <c r="J33" i="29"/>
  <c r="J213" i="29"/>
  <c r="J209" i="29"/>
  <c r="J218" i="29"/>
  <c r="G45" i="14"/>
  <c r="G44" i="14"/>
  <c r="K12" i="63"/>
  <c r="K29" i="63"/>
  <c r="K31" i="63" s="1"/>
  <c r="H91" i="62"/>
  <c r="H90" i="62"/>
  <c r="G39" i="11"/>
  <c r="F39" i="28"/>
  <c r="G86" i="14"/>
  <c r="H40" i="3"/>
  <c r="O6" i="34"/>
  <c r="O33" i="34"/>
  <c r="H27" i="3"/>
  <c r="H33" i="3" s="1"/>
  <c r="H25" i="37"/>
  <c r="H27" i="37" s="1"/>
  <c r="H33" i="37" s="1"/>
  <c r="K45" i="34"/>
  <c r="K42" i="34"/>
  <c r="K47" i="34"/>
  <c r="K51" i="34" s="1"/>
  <c r="I139" i="28"/>
  <c r="G132" i="14"/>
  <c r="H74" i="3"/>
  <c r="I158" i="35"/>
  <c r="J152" i="35"/>
  <c r="J154" i="35" s="1"/>
  <c r="I158" i="2"/>
  <c r="J152" i="2"/>
  <c r="J154" i="2" s="1"/>
  <c r="I99" i="14"/>
  <c r="G80" i="37"/>
  <c r="G81" i="37" s="1"/>
  <c r="G97" i="37"/>
  <c r="G99" i="37" s="1"/>
  <c r="G101" i="37" s="1"/>
  <c r="K34" i="11"/>
  <c r="J34" i="28"/>
  <c r="P109" i="61"/>
  <c r="AA101" i="61"/>
  <c r="AA109" i="61" s="1"/>
  <c r="P68" i="54"/>
  <c r="P98" i="4"/>
  <c r="AB98" i="4" s="1"/>
  <c r="AB106" i="4" s="1"/>
  <c r="G45" i="36"/>
  <c r="G44" i="36"/>
  <c r="I59" i="63"/>
  <c r="I61" i="63" s="1"/>
  <c r="I67" i="63" s="1"/>
  <c r="I42" i="63"/>
  <c r="I47" i="63" s="1"/>
  <c r="J5" i="8"/>
  <c r="J21" i="14"/>
  <c r="J37" i="14" s="1"/>
  <c r="J26" i="27"/>
  <c r="J30" i="27" s="1"/>
  <c r="J21" i="27" s="1"/>
  <c r="J24" i="27" s="1"/>
  <c r="J5" i="27" s="1"/>
  <c r="J105" i="35"/>
  <c r="K99" i="35"/>
  <c r="J80" i="37"/>
  <c r="J97" i="37"/>
  <c r="J99" i="37" s="1"/>
  <c r="K99" i="2"/>
  <c r="J53" i="14"/>
  <c r="J105" i="2"/>
  <c r="K89" i="61" s="1"/>
  <c r="L30" i="28"/>
  <c r="O13" i="8"/>
  <c r="H29" i="28"/>
  <c r="K10" i="8"/>
  <c r="K9" i="27"/>
  <c r="K9" i="8"/>
  <c r="K7" i="27"/>
  <c r="I29" i="11"/>
  <c r="K10" i="27"/>
  <c r="K7" i="8"/>
  <c r="K33" i="4"/>
  <c r="L894" i="29"/>
  <c r="J89" i="28" s="1"/>
  <c r="L861" i="29"/>
  <c r="L864" i="29"/>
  <c r="K137" i="28"/>
  <c r="M223" i="29"/>
  <c r="I80" i="37"/>
  <c r="I97" i="37"/>
  <c r="I99" i="37" s="1"/>
  <c r="O68" i="2"/>
  <c r="O68" i="35" s="1"/>
  <c r="O106" i="4"/>
  <c r="O95" i="34"/>
  <c r="O103" i="34" s="1"/>
  <c r="N345" i="29"/>
  <c r="N350" i="29" s="1"/>
  <c r="N547" i="29" s="1"/>
  <c r="N551" i="29" s="1"/>
  <c r="N552" i="29" s="1"/>
  <c r="E40" i="28"/>
  <c r="F40" i="11"/>
  <c r="L32" i="28" l="1"/>
  <c r="Z106" i="4"/>
  <c r="J58" i="14"/>
  <c r="J67" i="14" s="1"/>
  <c r="J83" i="14" s="1"/>
  <c r="J53" i="36"/>
  <c r="J58" i="36" s="1"/>
  <c r="J67" i="36" s="1"/>
  <c r="J83" i="36" s="1"/>
  <c r="G40" i="11"/>
  <c r="F40" i="28"/>
  <c r="H59" i="3"/>
  <c r="H61" i="3" s="1"/>
  <c r="H67" i="3" s="1"/>
  <c r="H40" i="37"/>
  <c r="H42" i="3"/>
  <c r="H47" i="3" s="1"/>
  <c r="J207" i="29"/>
  <c r="H101" i="28" s="1"/>
  <c r="J208" i="29"/>
  <c r="J248" i="29" s="1"/>
  <c r="H51" i="28" s="1"/>
  <c r="P33" i="34"/>
  <c r="P6" i="34"/>
  <c r="L41" i="61"/>
  <c r="L46" i="61"/>
  <c r="L50" i="61" s="1"/>
  <c r="L10" i="63"/>
  <c r="L44" i="61"/>
  <c r="H40" i="36"/>
  <c r="H42" i="36" s="1"/>
  <c r="H42" i="14"/>
  <c r="K66" i="4"/>
  <c r="K69" i="4" s="1"/>
  <c r="K60" i="34"/>
  <c r="K68" i="34" s="1"/>
  <c r="K71" i="34" s="1"/>
  <c r="K73" i="34" s="1"/>
  <c r="L72" i="34" s="1"/>
  <c r="L46" i="2"/>
  <c r="K52" i="2"/>
  <c r="K7" i="14"/>
  <c r="N574" i="29"/>
  <c r="L88" i="28" s="1"/>
  <c r="N544" i="29"/>
  <c r="N541" i="29"/>
  <c r="L138" i="28" s="1"/>
  <c r="J139" i="28"/>
  <c r="L862" i="29"/>
  <c r="G88" i="14"/>
  <c r="G86" i="36"/>
  <c r="G88" i="36" s="1"/>
  <c r="M864" i="29"/>
  <c r="M894" i="29"/>
  <c r="K89" i="28" s="1"/>
  <c r="M861" i="29"/>
  <c r="P121" i="54"/>
  <c r="P179" i="61"/>
  <c r="AA171" i="61"/>
  <c r="AA179" i="61" s="1"/>
  <c r="P167" i="4"/>
  <c r="L46" i="35"/>
  <c r="K52" i="35"/>
  <c r="J158" i="35"/>
  <c r="K152" i="35"/>
  <c r="H74" i="37"/>
  <c r="H93" i="3"/>
  <c r="H95" i="3" s="1"/>
  <c r="H101" i="3" s="1"/>
  <c r="H76" i="3"/>
  <c r="H81" i="3" s="1"/>
  <c r="J211" i="29"/>
  <c r="H107" i="28" s="1"/>
  <c r="J212" i="29"/>
  <c r="J249" i="29" s="1"/>
  <c r="H57" i="28" s="1"/>
  <c r="I86" i="62"/>
  <c r="I88" i="62" s="1"/>
  <c r="J40" i="63"/>
  <c r="P68" i="2"/>
  <c r="P68" i="35" s="1"/>
  <c r="P95" i="34"/>
  <c r="P103" i="34" s="1"/>
  <c r="P106" i="4"/>
  <c r="O345" i="29"/>
  <c r="O350" i="29" s="1"/>
  <c r="O547" i="29" s="1"/>
  <c r="O551" i="29" s="1"/>
  <c r="O552" i="29" s="1"/>
  <c r="I104" i="14"/>
  <c r="I113" i="14" s="1"/>
  <c r="I129" i="14" s="1"/>
  <c r="I99" i="36"/>
  <c r="I104" i="36" s="1"/>
  <c r="I113" i="36" s="1"/>
  <c r="I129" i="36" s="1"/>
  <c r="G134" i="14"/>
  <c r="G132" i="36"/>
  <c r="G134" i="36" s="1"/>
  <c r="J34" i="29"/>
  <c r="J35" i="29"/>
  <c r="J36" i="29" s="1"/>
  <c r="O225" i="29"/>
  <c r="O222" i="29"/>
  <c r="O255" i="29"/>
  <c r="M87" i="28" s="1"/>
  <c r="I93" i="63"/>
  <c r="I95" i="63" s="1"/>
  <c r="I101" i="63" s="1"/>
  <c r="I76" i="63"/>
  <c r="I81" i="63" s="1"/>
  <c r="L15" i="34"/>
  <c r="L23" i="34" s="1"/>
  <c r="L35" i="34" s="1"/>
  <c r="L40" i="34" s="1"/>
  <c r="L21" i="4"/>
  <c r="K16" i="29"/>
  <c r="K20" i="29" s="1"/>
  <c r="L9" i="2"/>
  <c r="O175" i="4"/>
  <c r="L34" i="28" s="1"/>
  <c r="O121" i="2"/>
  <c r="O121" i="35" s="1"/>
  <c r="N665" i="29"/>
  <c r="N670" i="29" s="1"/>
  <c r="N867" i="29" s="1"/>
  <c r="N871" i="29" s="1"/>
  <c r="N872" i="29" s="1"/>
  <c r="O163" i="34"/>
  <c r="O171" i="34" s="1"/>
  <c r="J25" i="63"/>
  <c r="J27" i="63" s="1"/>
  <c r="J33" i="63" s="1"/>
  <c r="J8" i="63"/>
  <c r="J13" i="63" s="1"/>
  <c r="H12" i="28"/>
  <c r="K38" i="4"/>
  <c r="H39" i="11"/>
  <c r="G39" i="28"/>
  <c r="K152" i="2"/>
  <c r="J99" i="14"/>
  <c r="J158" i="2"/>
  <c r="K159" i="61" s="1"/>
  <c r="J215" i="29"/>
  <c r="H131" i="28" s="1"/>
  <c r="J216" i="29"/>
  <c r="J253" i="29" s="1"/>
  <c r="H81" i="28" s="1"/>
  <c r="L137" i="28"/>
  <c r="N223" i="29"/>
  <c r="H137" i="62"/>
  <c r="H136" i="62"/>
  <c r="M46" i="54"/>
  <c r="L7" i="62"/>
  <c r="L12" i="62" s="1"/>
  <c r="L21" i="62" s="1"/>
  <c r="L37" i="62" s="1"/>
  <c r="L52" i="54"/>
  <c r="M14" i="61" s="1"/>
  <c r="K138" i="28"/>
  <c r="I6" i="37"/>
  <c r="I8" i="37" s="1"/>
  <c r="I13" i="37" s="1"/>
  <c r="I25" i="3"/>
  <c r="I8" i="3"/>
  <c r="I13" i="3" s="1"/>
  <c r="I45" i="62"/>
  <c r="I44" i="62"/>
  <c r="I148" i="28" l="1"/>
  <c r="I153" i="28"/>
  <c r="M32" i="28"/>
  <c r="AA106" i="4"/>
  <c r="N542" i="29"/>
  <c r="I40" i="14"/>
  <c r="J6" i="3"/>
  <c r="I24" i="11"/>
  <c r="K40" i="4"/>
  <c r="H24" i="28"/>
  <c r="K45" i="4"/>
  <c r="K49" i="4" s="1"/>
  <c r="K19" i="6"/>
  <c r="K39" i="6" s="1"/>
  <c r="K43" i="6" s="1"/>
  <c r="L41" i="6" s="1"/>
  <c r="I12" i="11"/>
  <c r="K33" i="8" s="1"/>
  <c r="K4" i="6"/>
  <c r="K10" i="6" s="1"/>
  <c r="K12" i="6" s="1"/>
  <c r="K10" i="3"/>
  <c r="K43" i="4"/>
  <c r="M137" i="28"/>
  <c r="O223" i="29"/>
  <c r="O544" i="29"/>
  <c r="O574" i="29"/>
  <c r="M88" i="28" s="1"/>
  <c r="O541" i="29"/>
  <c r="V89" i="61"/>
  <c r="V97" i="61" s="1"/>
  <c r="K97" i="61"/>
  <c r="K111" i="61" s="1"/>
  <c r="K116" i="61" s="1"/>
  <c r="K62" i="54"/>
  <c r="K73" i="54" s="1"/>
  <c r="K97" i="54" s="1"/>
  <c r="K101" i="54" s="1"/>
  <c r="K86" i="4"/>
  <c r="W86" i="4" s="1"/>
  <c r="N861" i="29"/>
  <c r="N864" i="29"/>
  <c r="N894" i="29"/>
  <c r="L89" i="28" s="1"/>
  <c r="L9" i="35"/>
  <c r="L20" i="35" s="1"/>
  <c r="L44" i="35" s="1"/>
  <c r="L48" i="35" s="1"/>
  <c r="L20" i="2"/>
  <c r="L44" i="2" s="1"/>
  <c r="L48" i="2" s="1"/>
  <c r="I132" i="62"/>
  <c r="I134" i="62" s="1"/>
  <c r="J74" i="63"/>
  <c r="G137" i="14"/>
  <c r="G136" i="14"/>
  <c r="I91" i="62"/>
  <c r="I90" i="62"/>
  <c r="P175" i="4"/>
  <c r="M34" i="28" s="1"/>
  <c r="P121" i="2"/>
  <c r="P121" i="35" s="1"/>
  <c r="O665" i="29"/>
  <c r="O670" i="29" s="1"/>
  <c r="O867" i="29" s="1"/>
  <c r="O871" i="29" s="1"/>
  <c r="O872" i="29" s="1"/>
  <c r="P163" i="34"/>
  <c r="P171" i="34" s="1"/>
  <c r="L67" i="61"/>
  <c r="L70" i="61" s="1"/>
  <c r="L72" i="61" s="1"/>
  <c r="M71" i="61" s="1"/>
  <c r="L58" i="4"/>
  <c r="H42" i="37"/>
  <c r="H47" i="37" s="1"/>
  <c r="H59" i="37"/>
  <c r="H61" i="37" s="1"/>
  <c r="H67" i="37" s="1"/>
  <c r="H40" i="11"/>
  <c r="G40" i="28"/>
  <c r="J40" i="62"/>
  <c r="J42" i="62" s="1"/>
  <c r="K6" i="63"/>
  <c r="H132" i="14"/>
  <c r="I74" i="3"/>
  <c r="G91" i="36"/>
  <c r="G90" i="36"/>
  <c r="I20" i="11"/>
  <c r="K48" i="8" s="1"/>
  <c r="N13" i="27"/>
  <c r="K12" i="14"/>
  <c r="K7" i="36"/>
  <c r="K12" i="36" s="1"/>
  <c r="K21" i="36" s="1"/>
  <c r="K37" i="36" s="1"/>
  <c r="K71" i="4"/>
  <c r="I16" i="11"/>
  <c r="K43" i="8" s="1"/>
  <c r="L12" i="63"/>
  <c r="L29" i="63"/>
  <c r="L31" i="63" s="1"/>
  <c r="K21" i="29"/>
  <c r="K210" i="29"/>
  <c r="K214" i="29"/>
  <c r="K22" i="29"/>
  <c r="K33" i="29"/>
  <c r="K218" i="29"/>
  <c r="K213" i="29"/>
  <c r="K209" i="29"/>
  <c r="I27" i="3"/>
  <c r="I33" i="3" s="1"/>
  <c r="I25" i="37"/>
  <c r="I27" i="37" s="1"/>
  <c r="I33" i="37" s="1"/>
  <c r="X14" i="61"/>
  <c r="M22" i="61"/>
  <c r="M34" i="61" s="1"/>
  <c r="M39" i="61" s="1"/>
  <c r="M13" i="4"/>
  <c r="M9" i="54"/>
  <c r="M20" i="54" s="1"/>
  <c r="M44" i="54" s="1"/>
  <c r="M48" i="54" s="1"/>
  <c r="J104" i="14"/>
  <c r="J113" i="14" s="1"/>
  <c r="J129" i="14" s="1"/>
  <c r="J99" i="36"/>
  <c r="J104" i="36" s="1"/>
  <c r="J113" i="36" s="1"/>
  <c r="J129" i="36" s="1"/>
  <c r="L9" i="27"/>
  <c r="I29" i="28"/>
  <c r="J29" i="11"/>
  <c r="L9" i="8"/>
  <c r="L10" i="8"/>
  <c r="L10" i="27"/>
  <c r="L7" i="27"/>
  <c r="L7" i="8"/>
  <c r="L33" i="4"/>
  <c r="K139" i="28"/>
  <c r="G91" i="14"/>
  <c r="G90" i="14"/>
  <c r="I38" i="11"/>
  <c r="H38" i="28"/>
  <c r="H20" i="28"/>
  <c r="V39" i="9"/>
  <c r="V35" i="9" s="1"/>
  <c r="V37" i="9" s="1"/>
  <c r="H45" i="14"/>
  <c r="H44" i="14"/>
  <c r="L42" i="34"/>
  <c r="L45" i="34"/>
  <c r="L47" i="34"/>
  <c r="L51" i="34" s="1"/>
  <c r="G137" i="36"/>
  <c r="G136" i="36"/>
  <c r="J59" i="63"/>
  <c r="J61" i="63" s="1"/>
  <c r="J67" i="63" s="1"/>
  <c r="J42" i="63"/>
  <c r="J47" i="63" s="1"/>
  <c r="H93" i="37"/>
  <c r="H95" i="37" s="1"/>
  <c r="H101" i="37" s="1"/>
  <c r="H76" i="37"/>
  <c r="H81" i="37" s="1"/>
  <c r="H45" i="36"/>
  <c r="H44" i="36"/>
  <c r="H86" i="14"/>
  <c r="I40" i="3"/>
  <c r="M862" i="29"/>
  <c r="H88" i="14" l="1"/>
  <c r="H86" i="36"/>
  <c r="H88" i="36" s="1"/>
  <c r="I12" i="28"/>
  <c r="L38" i="4"/>
  <c r="L16" i="29"/>
  <c r="L20" i="29" s="1"/>
  <c r="M21" i="4"/>
  <c r="M15" i="34"/>
  <c r="M23" i="34" s="1"/>
  <c r="M35" i="34" s="1"/>
  <c r="M40" i="34" s="1"/>
  <c r="M9" i="2"/>
  <c r="K34" i="29"/>
  <c r="K35" i="29"/>
  <c r="K36" i="29" s="1"/>
  <c r="I74" i="37"/>
  <c r="I93" i="3"/>
  <c r="I95" i="3" s="1"/>
  <c r="I101" i="3" s="1"/>
  <c r="I76" i="3"/>
  <c r="I81" i="3" s="1"/>
  <c r="J45" i="62"/>
  <c r="J44" i="62"/>
  <c r="J93" i="63"/>
  <c r="J95" i="63" s="1"/>
  <c r="J101" i="63" s="1"/>
  <c r="J76" i="63"/>
  <c r="J81" i="63" s="1"/>
  <c r="K105" i="54"/>
  <c r="L99" i="54"/>
  <c r="K53" i="62"/>
  <c r="K58" i="62" s="1"/>
  <c r="K67" i="62" s="1"/>
  <c r="K83" i="62" s="1"/>
  <c r="H13" i="28"/>
  <c r="H45" i="28"/>
  <c r="G95" i="28" s="1"/>
  <c r="L44" i="19"/>
  <c r="L45" i="19" s="1"/>
  <c r="I13" i="11"/>
  <c r="K38" i="8" s="1"/>
  <c r="M41" i="61"/>
  <c r="M46" i="61"/>
  <c r="M50" i="61" s="1"/>
  <c r="M44" i="61"/>
  <c r="M10" i="63"/>
  <c r="K207" i="29"/>
  <c r="I101" i="28" s="1"/>
  <c r="K208" i="29"/>
  <c r="K248" i="29" s="1"/>
  <c r="I51" i="28" s="1"/>
  <c r="L70" i="4"/>
  <c r="H16" i="28"/>
  <c r="H134" i="14"/>
  <c r="H132" i="36"/>
  <c r="H134" i="36" s="1"/>
  <c r="V159" i="61"/>
  <c r="V167" i="61" s="1"/>
  <c r="K115" i="54"/>
  <c r="K126" i="54" s="1"/>
  <c r="K150" i="54" s="1"/>
  <c r="K154" i="54" s="1"/>
  <c r="K167" i="61"/>
  <c r="K181" i="61" s="1"/>
  <c r="K186" i="61" s="1"/>
  <c r="K155" i="4"/>
  <c r="O864" i="29"/>
  <c r="O861" i="29"/>
  <c r="O894" i="29"/>
  <c r="M89" i="28" s="1"/>
  <c r="I137" i="62"/>
  <c r="I136" i="62"/>
  <c r="K118" i="61"/>
  <c r="K123" i="61"/>
  <c r="K127" i="61" s="1"/>
  <c r="K44" i="63"/>
  <c r="K121" i="61"/>
  <c r="K12" i="3"/>
  <c r="K29" i="3"/>
  <c r="K10" i="37"/>
  <c r="K12" i="37" s="1"/>
  <c r="J86" i="62"/>
  <c r="J88" i="62" s="1"/>
  <c r="K40" i="63"/>
  <c r="K211" i="29"/>
  <c r="I107" i="28" s="1"/>
  <c r="K212" i="29"/>
  <c r="K249" i="29" s="1"/>
  <c r="I57" i="28" s="1"/>
  <c r="L60" i="34"/>
  <c r="L68" i="34" s="1"/>
  <c r="L71" i="34" s="1"/>
  <c r="L73" i="34" s="1"/>
  <c r="M72" i="34" s="1"/>
  <c r="L66" i="4"/>
  <c r="L69" i="4" s="1"/>
  <c r="M46" i="2"/>
  <c r="L52" i="2"/>
  <c r="L7" i="14"/>
  <c r="L139" i="28"/>
  <c r="N862" i="29"/>
  <c r="J25" i="3"/>
  <c r="J6" i="37"/>
  <c r="J8" i="37" s="1"/>
  <c r="J13" i="37" s="1"/>
  <c r="J8" i="3"/>
  <c r="J13" i="3" s="1"/>
  <c r="I40" i="37"/>
  <c r="I59" i="3"/>
  <c r="I61" i="3" s="1"/>
  <c r="I67" i="3" s="1"/>
  <c r="I42" i="3"/>
  <c r="I47" i="3" s="1"/>
  <c r="N46" i="54"/>
  <c r="M7" i="62"/>
  <c r="M12" i="62" s="1"/>
  <c r="M21" i="62" s="1"/>
  <c r="M37" i="62" s="1"/>
  <c r="M52" i="54"/>
  <c r="N14" i="61" s="1"/>
  <c r="K215" i="29"/>
  <c r="I131" i="28" s="1"/>
  <c r="K216" i="29"/>
  <c r="K253" i="29" s="1"/>
  <c r="I81" i="28" s="1"/>
  <c r="K5" i="8"/>
  <c r="K21" i="14"/>
  <c r="K37" i="14" s="1"/>
  <c r="K26" i="27"/>
  <c r="K30" i="27" s="1"/>
  <c r="K21" i="27" s="1"/>
  <c r="K24" i="27" s="1"/>
  <c r="K5" i="27" s="1"/>
  <c r="K25" i="63"/>
  <c r="K27" i="63" s="1"/>
  <c r="K33" i="63" s="1"/>
  <c r="K8" i="63"/>
  <c r="K13" i="63" s="1"/>
  <c r="L52" i="35"/>
  <c r="M46" i="35"/>
  <c r="K94" i="4"/>
  <c r="K84" i="34"/>
  <c r="K92" i="34" s="1"/>
  <c r="K105" i="34" s="1"/>
  <c r="K110" i="34" s="1"/>
  <c r="K62" i="2"/>
  <c r="J335" i="29"/>
  <c r="J339" i="29" s="1"/>
  <c r="M138" i="28"/>
  <c r="O542" i="29"/>
  <c r="I40" i="36"/>
  <c r="I42" i="36" s="1"/>
  <c r="I42" i="14"/>
  <c r="J148" i="28" l="1"/>
  <c r="J153" i="28"/>
  <c r="V94" i="4"/>
  <c r="H149" i="28"/>
  <c r="H154" i="28"/>
  <c r="J533" i="29"/>
  <c r="J341" i="29"/>
  <c r="J340" i="29"/>
  <c r="J529" i="29"/>
  <c r="J352" i="29"/>
  <c r="J528" i="29"/>
  <c r="J537" i="29"/>
  <c r="J532" i="29"/>
  <c r="I59" i="37"/>
  <c r="I61" i="37" s="1"/>
  <c r="I67" i="37" s="1"/>
  <c r="I42" i="37"/>
  <c r="I47" i="37" s="1"/>
  <c r="K31" i="3"/>
  <c r="K29" i="37"/>
  <c r="K31" i="37" s="1"/>
  <c r="K78" i="63"/>
  <c r="K188" i="61"/>
  <c r="K193" i="61"/>
  <c r="K197" i="61" s="1"/>
  <c r="K191" i="61"/>
  <c r="K206" i="61" s="1"/>
  <c r="H137" i="14"/>
  <c r="H136" i="14"/>
  <c r="M58" i="4"/>
  <c r="M67" i="61"/>
  <c r="M70" i="61" s="1"/>
  <c r="M72" i="61" s="1"/>
  <c r="N71" i="61" s="1"/>
  <c r="M9" i="35"/>
  <c r="M20" i="35" s="1"/>
  <c r="M44" i="35" s="1"/>
  <c r="M48" i="35" s="1"/>
  <c r="M20" i="2"/>
  <c r="M44" i="2" s="1"/>
  <c r="M48" i="2" s="1"/>
  <c r="J24" i="11"/>
  <c r="I24" i="28"/>
  <c r="L40" i="4"/>
  <c r="L4" i="6"/>
  <c r="L10" i="6" s="1"/>
  <c r="L12" i="6" s="1"/>
  <c r="L45" i="4"/>
  <c r="L49" i="4" s="1"/>
  <c r="L19" i="6"/>
  <c r="L39" i="6" s="1"/>
  <c r="L43" i="6" s="1"/>
  <c r="M41" i="6" s="1"/>
  <c r="J12" i="11"/>
  <c r="L33" i="8" s="1"/>
  <c r="L10" i="3"/>
  <c r="L43" i="4"/>
  <c r="I45" i="14"/>
  <c r="I44" i="14"/>
  <c r="K73" i="2"/>
  <c r="K97" i="2" s="1"/>
  <c r="K101" i="2" s="1"/>
  <c r="K62" i="35"/>
  <c r="K73" i="35" s="1"/>
  <c r="K97" i="35" s="1"/>
  <c r="K101" i="35" s="1"/>
  <c r="J40" i="14"/>
  <c r="K6" i="3"/>
  <c r="J16" i="11"/>
  <c r="L43" i="8" s="1"/>
  <c r="L71" i="4"/>
  <c r="K42" i="63"/>
  <c r="K59" i="63"/>
  <c r="K61" i="63" s="1"/>
  <c r="M139" i="28"/>
  <c r="O862" i="29"/>
  <c r="L152" i="54"/>
  <c r="K158" i="54"/>
  <c r="K99" i="62"/>
  <c r="K104" i="62" s="1"/>
  <c r="K113" i="62" s="1"/>
  <c r="K129" i="62" s="1"/>
  <c r="L46" i="19"/>
  <c r="I76" i="37"/>
  <c r="I81" i="37" s="1"/>
  <c r="I93" i="37"/>
  <c r="I95" i="37" s="1"/>
  <c r="I101" i="37" s="1"/>
  <c r="M42" i="34"/>
  <c r="M45" i="34"/>
  <c r="M47" i="34"/>
  <c r="M51" i="34" s="1"/>
  <c r="I45" i="36"/>
  <c r="I44" i="36"/>
  <c r="K112" i="34"/>
  <c r="K115" i="34"/>
  <c r="K117" i="34"/>
  <c r="K121" i="34" s="1"/>
  <c r="K40" i="62"/>
  <c r="K42" i="62" s="1"/>
  <c r="L6" i="63"/>
  <c r="I86" i="14"/>
  <c r="J40" i="3"/>
  <c r="O13" i="27"/>
  <c r="J20" i="11"/>
  <c r="L48" i="8" s="1"/>
  <c r="L12" i="14"/>
  <c r="L7" i="36"/>
  <c r="L12" i="36" s="1"/>
  <c r="L21" i="36" s="1"/>
  <c r="L37" i="36" s="1"/>
  <c r="J91" i="62"/>
  <c r="J90" i="62"/>
  <c r="K145" i="61"/>
  <c r="K148" i="61" s="1"/>
  <c r="K150" i="61" s="1"/>
  <c r="L149" i="61" s="1"/>
  <c r="K133" i="4"/>
  <c r="M9" i="27"/>
  <c r="M10" i="27"/>
  <c r="J29" i="28"/>
  <c r="M7" i="27"/>
  <c r="M9" i="8"/>
  <c r="M10" i="8"/>
  <c r="K29" i="11"/>
  <c r="M7" i="8"/>
  <c r="M33" i="4"/>
  <c r="H91" i="36"/>
  <c r="H90" i="36"/>
  <c r="H31" i="28"/>
  <c r="L9" i="26"/>
  <c r="I31" i="11"/>
  <c r="L8" i="26"/>
  <c r="K108" i="4"/>
  <c r="K113" i="4" s="1"/>
  <c r="Y14" i="61"/>
  <c r="N13" i="4"/>
  <c r="N22" i="61"/>
  <c r="N34" i="61" s="1"/>
  <c r="N39" i="61" s="1"/>
  <c r="N9" i="54"/>
  <c r="N20" i="54" s="1"/>
  <c r="N44" i="54" s="1"/>
  <c r="N48" i="54" s="1"/>
  <c r="J27" i="3"/>
  <c r="J33" i="3" s="1"/>
  <c r="J25" i="37"/>
  <c r="J27" i="37" s="1"/>
  <c r="J33" i="37" s="1"/>
  <c r="I20" i="28"/>
  <c r="J38" i="11"/>
  <c r="I38" i="28"/>
  <c r="X39" i="9"/>
  <c r="X35" i="9" s="1"/>
  <c r="X37" i="9" s="1"/>
  <c r="K46" i="63"/>
  <c r="K63" i="63"/>
  <c r="K65" i="63" s="1"/>
  <c r="K163" i="4"/>
  <c r="J655" i="29"/>
  <c r="J659" i="29" s="1"/>
  <c r="K115" i="2"/>
  <c r="K152" i="34"/>
  <c r="K160" i="34" s="1"/>
  <c r="K173" i="34" s="1"/>
  <c r="K178" i="34" s="1"/>
  <c r="H137" i="36"/>
  <c r="H136" i="36"/>
  <c r="M12" i="63"/>
  <c r="M29" i="63"/>
  <c r="M31" i="63" s="1"/>
  <c r="J132" i="62"/>
  <c r="J134" i="62" s="1"/>
  <c r="K74" i="63"/>
  <c r="I132" i="14"/>
  <c r="J74" i="3"/>
  <c r="L21" i="29"/>
  <c r="L22" i="29"/>
  <c r="L210" i="29"/>
  <c r="L214" i="29"/>
  <c r="L33" i="29"/>
  <c r="L213" i="29"/>
  <c r="L218" i="29"/>
  <c r="L209" i="29"/>
  <c r="H91" i="14"/>
  <c r="H90" i="14"/>
  <c r="H155" i="28" l="1"/>
  <c r="H150" i="28"/>
  <c r="L215" i="29"/>
  <c r="J131" i="28" s="1"/>
  <c r="L216" i="29"/>
  <c r="L253" i="29" s="1"/>
  <c r="J81" i="28" s="1"/>
  <c r="I134" i="14"/>
  <c r="I132" i="36"/>
  <c r="I134" i="36" s="1"/>
  <c r="K115" i="35"/>
  <c r="K126" i="35" s="1"/>
  <c r="K150" i="35" s="1"/>
  <c r="K154" i="35" s="1"/>
  <c r="K126" i="2"/>
  <c r="K150" i="2" s="1"/>
  <c r="K154" i="2" s="1"/>
  <c r="L6" i="26"/>
  <c r="L7" i="26"/>
  <c r="L5" i="8"/>
  <c r="L21" i="14"/>
  <c r="L37" i="14" s="1"/>
  <c r="L26" i="27"/>
  <c r="L30" i="27" s="1"/>
  <c r="L21" i="27" s="1"/>
  <c r="L24" i="27" s="1"/>
  <c r="L5" i="27" s="1"/>
  <c r="L211" i="29"/>
  <c r="J107" i="28" s="1"/>
  <c r="L212" i="29"/>
  <c r="L249" i="29" s="1"/>
  <c r="J57" i="28" s="1"/>
  <c r="K93" i="63"/>
  <c r="K95" i="63" s="1"/>
  <c r="K76" i="63"/>
  <c r="J660" i="29"/>
  <c r="J853" i="29"/>
  <c r="J661" i="29"/>
  <c r="J849" i="29"/>
  <c r="J848" i="29"/>
  <c r="J672" i="29"/>
  <c r="J857" i="29"/>
  <c r="J852" i="29"/>
  <c r="N15" i="34"/>
  <c r="N23" i="34" s="1"/>
  <c r="N35" i="34" s="1"/>
  <c r="N40" i="34" s="1"/>
  <c r="N21" i="4"/>
  <c r="N9" i="2"/>
  <c r="M16" i="29"/>
  <c r="M20" i="29" s="1"/>
  <c r="L25" i="63"/>
  <c r="L27" i="63" s="1"/>
  <c r="L33" i="63" s="1"/>
  <c r="L8" i="63"/>
  <c r="L13" i="63" s="1"/>
  <c r="K67" i="63"/>
  <c r="K6" i="37"/>
  <c r="K8" i="37" s="1"/>
  <c r="K13" i="37" s="1"/>
  <c r="K25" i="3"/>
  <c r="K8" i="3"/>
  <c r="K13" i="3" s="1"/>
  <c r="L99" i="2"/>
  <c r="K53" i="14"/>
  <c r="K105" i="2"/>
  <c r="L89" i="61" s="1"/>
  <c r="L12" i="3"/>
  <c r="L10" i="37"/>
  <c r="L12" i="37" s="1"/>
  <c r="L29" i="3"/>
  <c r="N46" i="2"/>
  <c r="M7" i="14"/>
  <c r="M52" i="2"/>
  <c r="M66" i="4"/>
  <c r="M69" i="4" s="1"/>
  <c r="M60" i="34"/>
  <c r="M68" i="34" s="1"/>
  <c r="M71" i="34" s="1"/>
  <c r="M73" i="34" s="1"/>
  <c r="N72" i="34" s="1"/>
  <c r="J530" i="29"/>
  <c r="H108" i="28" s="1"/>
  <c r="J531" i="29"/>
  <c r="J568" i="29" s="1"/>
  <c r="H58" i="28" s="1"/>
  <c r="K45" i="62"/>
  <c r="K44" i="62"/>
  <c r="K47" i="63"/>
  <c r="J42" i="14"/>
  <c r="J40" i="36"/>
  <c r="J42" i="36" s="1"/>
  <c r="N46" i="35"/>
  <c r="M52" i="35"/>
  <c r="J535" i="29"/>
  <c r="J572" i="29" s="1"/>
  <c r="H82" i="28" s="1"/>
  <c r="J534" i="29"/>
  <c r="H132" i="28" s="1"/>
  <c r="L35" i="29"/>
  <c r="L36" i="29" s="1"/>
  <c r="L34" i="29"/>
  <c r="J137" i="62"/>
  <c r="J136" i="62"/>
  <c r="I33" i="11"/>
  <c r="H33" i="28"/>
  <c r="K177" i="4"/>
  <c r="K182" i="4" s="1"/>
  <c r="M38" i="4"/>
  <c r="J12" i="28"/>
  <c r="L207" i="29"/>
  <c r="J101" i="28" s="1"/>
  <c r="L208" i="29"/>
  <c r="L248" i="29" s="1"/>
  <c r="J51" i="28" s="1"/>
  <c r="J74" i="37"/>
  <c r="J93" i="3"/>
  <c r="J95" i="3" s="1"/>
  <c r="J101" i="3" s="1"/>
  <c r="J76" i="3"/>
  <c r="J81" i="3" s="1"/>
  <c r="K183" i="34"/>
  <c r="K180" i="34"/>
  <c r="K185" i="34"/>
  <c r="K189" i="34" s="1"/>
  <c r="O46" i="54"/>
  <c r="N7" i="62"/>
  <c r="N12" i="62" s="1"/>
  <c r="N21" i="62" s="1"/>
  <c r="N37" i="62" s="1"/>
  <c r="N52" i="54"/>
  <c r="O14" i="61" s="1"/>
  <c r="K115" i="4"/>
  <c r="I25" i="11"/>
  <c r="H25" i="28"/>
  <c r="K120" i="4"/>
  <c r="K124" i="4" s="1"/>
  <c r="K44" i="3"/>
  <c r="K118" i="4"/>
  <c r="H46" i="28" s="1"/>
  <c r="G96" i="28" s="1"/>
  <c r="K141" i="4"/>
  <c r="K144" i="4" s="1"/>
  <c r="K146" i="4" s="1"/>
  <c r="L145" i="4" s="1"/>
  <c r="K130" i="34"/>
  <c r="K138" i="34" s="1"/>
  <c r="K141" i="34" s="1"/>
  <c r="K143" i="34" s="1"/>
  <c r="L142" i="34" s="1"/>
  <c r="J59" i="3"/>
  <c r="J61" i="3" s="1"/>
  <c r="J67" i="3" s="1"/>
  <c r="J42" i="3"/>
  <c r="J47" i="3" s="1"/>
  <c r="J40" i="37"/>
  <c r="M70" i="4"/>
  <c r="I16" i="28"/>
  <c r="K80" i="63"/>
  <c r="K97" i="63"/>
  <c r="K99" i="63" s="1"/>
  <c r="J526" i="29"/>
  <c r="H102" i="28" s="1"/>
  <c r="J527" i="29"/>
  <c r="J567" i="29" s="1"/>
  <c r="H52" i="28" s="1"/>
  <c r="N41" i="61"/>
  <c r="N46" i="61"/>
  <c r="N50" i="61" s="1"/>
  <c r="N10" i="63"/>
  <c r="N44" i="61"/>
  <c r="I88" i="14"/>
  <c r="I86" i="36"/>
  <c r="I88" i="36" s="1"/>
  <c r="K105" i="35"/>
  <c r="L99" i="35"/>
  <c r="I13" i="28"/>
  <c r="I45" i="28"/>
  <c r="H95" i="28" s="1"/>
  <c r="M44" i="19"/>
  <c r="M45" i="19" s="1"/>
  <c r="J13" i="11"/>
  <c r="L38" i="8" s="1"/>
  <c r="K214" i="61"/>
  <c r="K217" i="61" s="1"/>
  <c r="K219" i="61" s="1"/>
  <c r="L218" i="61" s="1"/>
  <c r="K202" i="4"/>
  <c r="J353" i="29"/>
  <c r="J354" i="29"/>
  <c r="J355" i="29" s="1"/>
  <c r="K148" i="28" l="1"/>
  <c r="K153" i="28"/>
  <c r="N67" i="61"/>
  <c r="N70" i="61" s="1"/>
  <c r="N72" i="61" s="1"/>
  <c r="O71" i="61" s="1"/>
  <c r="N58" i="4"/>
  <c r="J42" i="37"/>
  <c r="J47" i="37" s="1"/>
  <c r="J59" i="37"/>
  <c r="J61" i="37" s="1"/>
  <c r="J67" i="37" s="1"/>
  <c r="Z14" i="61"/>
  <c r="O9" i="54"/>
  <c r="O20" i="54" s="1"/>
  <c r="O44" i="54" s="1"/>
  <c r="O48" i="54" s="1"/>
  <c r="O22" i="61"/>
  <c r="O34" i="61" s="1"/>
  <c r="O39" i="61" s="1"/>
  <c r="O13" i="4"/>
  <c r="J76" i="37"/>
  <c r="J81" i="37" s="1"/>
  <c r="J93" i="37"/>
  <c r="J95" i="37" s="1"/>
  <c r="J101" i="37" s="1"/>
  <c r="J45" i="36"/>
  <c r="J44" i="36"/>
  <c r="P13" i="27"/>
  <c r="K20" i="11"/>
  <c r="M48" i="8" s="1"/>
  <c r="M12" i="14"/>
  <c r="M7" i="36"/>
  <c r="M12" i="36" s="1"/>
  <c r="M21" i="36" s="1"/>
  <c r="M37" i="36" s="1"/>
  <c r="K40" i="14"/>
  <c r="L6" i="3"/>
  <c r="L40" i="62"/>
  <c r="L42" i="62" s="1"/>
  <c r="M6" i="63"/>
  <c r="K29" i="28"/>
  <c r="N9" i="8"/>
  <c r="N9" i="27"/>
  <c r="N10" i="8"/>
  <c r="N7" i="27"/>
  <c r="N7" i="8"/>
  <c r="N10" i="27"/>
  <c r="N33" i="4"/>
  <c r="J673" i="29"/>
  <c r="J674" i="29"/>
  <c r="J675" i="29" s="1"/>
  <c r="L152" i="2"/>
  <c r="K99" i="14"/>
  <c r="K158" i="2"/>
  <c r="L159" i="61" s="1"/>
  <c r="M46" i="19"/>
  <c r="J86" i="14"/>
  <c r="K40" i="3"/>
  <c r="J45" i="14"/>
  <c r="J44" i="14"/>
  <c r="I39" i="11"/>
  <c r="H39" i="28"/>
  <c r="K27" i="3"/>
  <c r="K33" i="3" s="1"/>
  <c r="K25" i="37"/>
  <c r="K27" i="37" s="1"/>
  <c r="K33" i="37" s="1"/>
  <c r="N45" i="34"/>
  <c r="N42" i="34"/>
  <c r="N47" i="34"/>
  <c r="N51" i="34" s="1"/>
  <c r="J846" i="29"/>
  <c r="H103" i="28" s="1"/>
  <c r="J847" i="29"/>
  <c r="J887" i="29" s="1"/>
  <c r="H53" i="28" s="1"/>
  <c r="K158" i="35"/>
  <c r="L152" i="35"/>
  <c r="N12" i="63"/>
  <c r="N29" i="63"/>
  <c r="N31" i="63" s="1"/>
  <c r="K210" i="4"/>
  <c r="K213" i="4" s="1"/>
  <c r="K215" i="4" s="1"/>
  <c r="L214" i="4" s="1"/>
  <c r="K198" i="34"/>
  <c r="K206" i="34" s="1"/>
  <c r="K209" i="34" s="1"/>
  <c r="K211" i="34" s="1"/>
  <c r="L210" i="34" s="1"/>
  <c r="I91" i="36"/>
  <c r="I90" i="36"/>
  <c r="J132" i="14"/>
  <c r="K74" i="3"/>
  <c r="M40" i="4"/>
  <c r="K24" i="11"/>
  <c r="J24" i="28"/>
  <c r="K12" i="11"/>
  <c r="M33" i="8" s="1"/>
  <c r="M19" i="6"/>
  <c r="M39" i="6" s="1"/>
  <c r="M43" i="6" s="1"/>
  <c r="N41" i="6" s="1"/>
  <c r="M45" i="4"/>
  <c r="M49" i="4" s="1"/>
  <c r="M4" i="6"/>
  <c r="M10" i="6" s="1"/>
  <c r="M12" i="6" s="1"/>
  <c r="M43" i="4"/>
  <c r="M10" i="3"/>
  <c r="K86" i="62"/>
  <c r="K88" i="62" s="1"/>
  <c r="L40" i="63"/>
  <c r="M71" i="4"/>
  <c r="K16" i="11"/>
  <c r="M43" i="8" s="1"/>
  <c r="L31" i="3"/>
  <c r="L29" i="37"/>
  <c r="L31" i="37" s="1"/>
  <c r="K58" i="14"/>
  <c r="K67" i="14" s="1"/>
  <c r="K83" i="14" s="1"/>
  <c r="K53" i="36"/>
  <c r="K58" i="36" s="1"/>
  <c r="K67" i="36" s="1"/>
  <c r="K83" i="36" s="1"/>
  <c r="M210" i="29"/>
  <c r="M214" i="29"/>
  <c r="M22" i="29"/>
  <c r="M21" i="29"/>
  <c r="M33" i="29"/>
  <c r="M209" i="29"/>
  <c r="M218" i="29"/>
  <c r="M213" i="29"/>
  <c r="J851" i="29"/>
  <c r="J888" i="29" s="1"/>
  <c r="H59" i="28" s="1"/>
  <c r="J850" i="29"/>
  <c r="H109" i="28" s="1"/>
  <c r="K81" i="63"/>
  <c r="I137" i="36"/>
  <c r="I136" i="36"/>
  <c r="I91" i="14"/>
  <c r="I90" i="14"/>
  <c r="K46" i="3"/>
  <c r="K46" i="37" s="1"/>
  <c r="K44" i="37"/>
  <c r="K63" i="3"/>
  <c r="H26" i="28"/>
  <c r="I26" i="11"/>
  <c r="K184" i="4"/>
  <c r="K187" i="4"/>
  <c r="H47" i="28" s="1"/>
  <c r="G97" i="28" s="1"/>
  <c r="K189" i="4"/>
  <c r="K193" i="4" s="1"/>
  <c r="K78" i="3"/>
  <c r="J38" i="28"/>
  <c r="J20" i="28"/>
  <c r="K38" i="11"/>
  <c r="Z39" i="9"/>
  <c r="Z35" i="9" s="1"/>
  <c r="Z37" i="9" s="1"/>
  <c r="N9" i="35"/>
  <c r="N20" i="35" s="1"/>
  <c r="N44" i="35" s="1"/>
  <c r="N48" i="35" s="1"/>
  <c r="N20" i="2"/>
  <c r="N44" i="2" s="1"/>
  <c r="N48" i="2" s="1"/>
  <c r="J855" i="29"/>
  <c r="J892" i="29" s="1"/>
  <c r="H83" i="28" s="1"/>
  <c r="J854" i="29"/>
  <c r="H133" i="28" s="1"/>
  <c r="K101" i="63"/>
  <c r="I137" i="14"/>
  <c r="I136" i="14"/>
  <c r="K104" i="14" l="1"/>
  <c r="K113" i="14" s="1"/>
  <c r="K129" i="14" s="1"/>
  <c r="K99" i="36"/>
  <c r="K104" i="36" s="1"/>
  <c r="K113" i="36" s="1"/>
  <c r="K129" i="36" s="1"/>
  <c r="K12" i="28"/>
  <c r="N38" i="4"/>
  <c r="M25" i="63"/>
  <c r="M27" i="63" s="1"/>
  <c r="M33" i="63" s="1"/>
  <c r="M8" i="63"/>
  <c r="M13" i="63" s="1"/>
  <c r="N16" i="29"/>
  <c r="N20" i="29" s="1"/>
  <c r="O21" i="4"/>
  <c r="O9" i="2"/>
  <c r="O15" i="34"/>
  <c r="O23" i="34" s="1"/>
  <c r="O35" i="34" s="1"/>
  <c r="O40" i="34" s="1"/>
  <c r="M215" i="29"/>
  <c r="K131" i="28" s="1"/>
  <c r="M216" i="29"/>
  <c r="M253" i="29" s="1"/>
  <c r="K81" i="28" s="1"/>
  <c r="N70" i="4"/>
  <c r="J16" i="28"/>
  <c r="W89" i="61"/>
  <c r="W97" i="61" s="1"/>
  <c r="L62" i="54"/>
  <c r="L73" i="54" s="1"/>
  <c r="L97" i="54" s="1"/>
  <c r="L101" i="54" s="1"/>
  <c r="L97" i="61"/>
  <c r="L111" i="61" s="1"/>
  <c r="L116" i="61" s="1"/>
  <c r="L86" i="4"/>
  <c r="X86" i="4" s="1"/>
  <c r="L45" i="62"/>
  <c r="L44" i="62"/>
  <c r="M5" i="8"/>
  <c r="M21" i="14"/>
  <c r="M37" i="14" s="1"/>
  <c r="M26" i="27"/>
  <c r="M30" i="27" s="1"/>
  <c r="M21" i="27" s="1"/>
  <c r="M24" i="27" s="1"/>
  <c r="M5" i="27" s="1"/>
  <c r="O41" i="61"/>
  <c r="O46" i="61"/>
  <c r="O50" i="61" s="1"/>
  <c r="O10" i="63"/>
  <c r="O44" i="61"/>
  <c r="O46" i="35"/>
  <c r="N52" i="35"/>
  <c r="M10" i="37"/>
  <c r="M12" i="37" s="1"/>
  <c r="M12" i="3"/>
  <c r="M29" i="3"/>
  <c r="K80" i="3"/>
  <c r="K97" i="3"/>
  <c r="K99" i="3" s="1"/>
  <c r="K78" i="37"/>
  <c r="K13" i="11"/>
  <c r="M38" i="8" s="1"/>
  <c r="J13" i="28"/>
  <c r="J45" i="28"/>
  <c r="I95" i="28" s="1"/>
  <c r="N44" i="19"/>
  <c r="N45" i="19" s="1"/>
  <c r="K93" i="3"/>
  <c r="K95" i="3" s="1"/>
  <c r="K74" i="37"/>
  <c r="K76" i="3"/>
  <c r="M207" i="29"/>
  <c r="K101" i="28" s="1"/>
  <c r="M208" i="29"/>
  <c r="M248" i="29" s="1"/>
  <c r="K51" i="28" s="1"/>
  <c r="L42" i="63"/>
  <c r="L59" i="63"/>
  <c r="L61" i="63" s="1"/>
  <c r="J132" i="36"/>
  <c r="J134" i="36" s="1"/>
  <c r="J134" i="14"/>
  <c r="K59" i="3"/>
  <c r="K61" i="3" s="1"/>
  <c r="K40" i="37"/>
  <c r="K42" i="3"/>
  <c r="K47" i="3" s="1"/>
  <c r="L25" i="3"/>
  <c r="L6" i="37"/>
  <c r="L8" i="37" s="1"/>
  <c r="L13" i="37" s="1"/>
  <c r="L8" i="3"/>
  <c r="L13" i="3" s="1"/>
  <c r="P46" i="54"/>
  <c r="O7" i="62"/>
  <c r="O12" i="62" s="1"/>
  <c r="O21" i="62" s="1"/>
  <c r="O37" i="62" s="1"/>
  <c r="O52" i="54"/>
  <c r="P14" i="61" s="1"/>
  <c r="N66" i="4"/>
  <c r="N69" i="4" s="1"/>
  <c r="N60" i="34"/>
  <c r="N68" i="34" s="1"/>
  <c r="N71" i="34" s="1"/>
  <c r="N73" i="34" s="1"/>
  <c r="O72" i="34" s="1"/>
  <c r="M211" i="29"/>
  <c r="K107" i="28" s="1"/>
  <c r="M212" i="29"/>
  <c r="M249" i="29" s="1"/>
  <c r="K57" i="28" s="1"/>
  <c r="O46" i="2"/>
  <c r="N52" i="2"/>
  <c r="N7" i="14"/>
  <c r="K65" i="3"/>
  <c r="K63" i="37"/>
  <c r="K65" i="37" s="1"/>
  <c r="L74" i="63"/>
  <c r="K132" i="62"/>
  <c r="K134" i="62" s="1"/>
  <c r="M34" i="29"/>
  <c r="M35" i="29"/>
  <c r="M36" i="29" s="1"/>
  <c r="K91" i="62"/>
  <c r="K90" i="62"/>
  <c r="J88" i="14"/>
  <c r="J86" i="36"/>
  <c r="J88" i="36" s="1"/>
  <c r="H40" i="28"/>
  <c r="I40" i="11"/>
  <c r="K42" i="14"/>
  <c r="K40" i="36"/>
  <c r="K42" i="36" s="1"/>
  <c r="L148" i="28" l="1"/>
  <c r="L153" i="28"/>
  <c r="N71" i="4"/>
  <c r="K16" i="28" s="1"/>
  <c r="K81" i="3"/>
  <c r="L74" i="3" s="1"/>
  <c r="L115" i="54"/>
  <c r="L126" i="54" s="1"/>
  <c r="L150" i="54" s="1"/>
  <c r="L154" i="54" s="1"/>
  <c r="W159" i="61"/>
  <c r="W167" i="61" s="1"/>
  <c r="L167" i="61"/>
  <c r="L181" i="61" s="1"/>
  <c r="L186" i="61" s="1"/>
  <c r="L155" i="4"/>
  <c r="K137" i="62"/>
  <c r="K136" i="62"/>
  <c r="K45" i="36"/>
  <c r="K44" i="36"/>
  <c r="L93" i="63"/>
  <c r="L95" i="63" s="1"/>
  <c r="L76" i="63"/>
  <c r="K20" i="28"/>
  <c r="K38" i="28"/>
  <c r="AA14" i="61"/>
  <c r="P13" i="4"/>
  <c r="P9" i="54"/>
  <c r="P20" i="54" s="1"/>
  <c r="P44" i="54" s="1"/>
  <c r="P48" i="54" s="1"/>
  <c r="P22" i="61"/>
  <c r="P34" i="61" s="1"/>
  <c r="P39" i="61" s="1"/>
  <c r="K67" i="3"/>
  <c r="N46" i="19"/>
  <c r="M31" i="3"/>
  <c r="M29" i="37"/>
  <c r="M31" i="37" s="1"/>
  <c r="L118" i="61"/>
  <c r="L123" i="61"/>
  <c r="L127" i="61" s="1"/>
  <c r="L44" i="63"/>
  <c r="L121" i="61"/>
  <c r="N214" i="29"/>
  <c r="N21" i="29"/>
  <c r="N210" i="29"/>
  <c r="N22" i="29"/>
  <c r="N218" i="29"/>
  <c r="N209" i="29"/>
  <c r="N33" i="29"/>
  <c r="N213" i="29"/>
  <c r="K24" i="28"/>
  <c r="N40" i="4"/>
  <c r="N45" i="4"/>
  <c r="N49" i="4" s="1"/>
  <c r="N4" i="6"/>
  <c r="N10" i="6" s="1"/>
  <c r="N12" i="6" s="1"/>
  <c r="N19" i="6"/>
  <c r="N39" i="6" s="1"/>
  <c r="N43" i="6" s="1"/>
  <c r="O41" i="6" s="1"/>
  <c r="N43" i="4"/>
  <c r="N10" i="3"/>
  <c r="L27" i="3"/>
  <c r="L33" i="3" s="1"/>
  <c r="L25" i="37"/>
  <c r="L27" i="37" s="1"/>
  <c r="L33" i="37" s="1"/>
  <c r="J137" i="14"/>
  <c r="J136" i="14"/>
  <c r="K132" i="14"/>
  <c r="K80" i="37"/>
  <c r="K97" i="37"/>
  <c r="K99" i="37" s="1"/>
  <c r="L105" i="54"/>
  <c r="M99" i="54"/>
  <c r="L53" i="62"/>
  <c r="L58" i="62" s="1"/>
  <c r="L67" i="62" s="1"/>
  <c r="L83" i="62" s="1"/>
  <c r="O42" i="34"/>
  <c r="O45" i="34"/>
  <c r="O47" i="34"/>
  <c r="O51" i="34" s="1"/>
  <c r="K45" i="14"/>
  <c r="K44" i="14"/>
  <c r="K86" i="14"/>
  <c r="L40" i="3"/>
  <c r="J137" i="36"/>
  <c r="J136" i="36"/>
  <c r="K76" i="37"/>
  <c r="K93" i="37"/>
  <c r="K95" i="37" s="1"/>
  <c r="O67" i="61"/>
  <c r="O70" i="61" s="1"/>
  <c r="O72" i="61" s="1"/>
  <c r="P71" i="61" s="1"/>
  <c r="O58" i="4"/>
  <c r="O9" i="35"/>
  <c r="O20" i="35" s="1"/>
  <c r="O44" i="35" s="1"/>
  <c r="O48" i="35" s="1"/>
  <c r="O20" i="2"/>
  <c r="O44" i="2" s="1"/>
  <c r="O48" i="2" s="1"/>
  <c r="M40" i="62"/>
  <c r="M42" i="62" s="1"/>
  <c r="N6" i="63"/>
  <c r="J91" i="36"/>
  <c r="J90" i="36"/>
  <c r="J91" i="14"/>
  <c r="J90" i="14"/>
  <c r="N7" i="36"/>
  <c r="N12" i="36" s="1"/>
  <c r="N21" i="36" s="1"/>
  <c r="N37" i="36" s="1"/>
  <c r="N12" i="14"/>
  <c r="O70" i="4"/>
  <c r="L40" i="14"/>
  <c r="M6" i="3"/>
  <c r="K42" i="37"/>
  <c r="K47" i="37" s="1"/>
  <c r="K59" i="37"/>
  <c r="K61" i="37" s="1"/>
  <c r="K67" i="37" s="1"/>
  <c r="K101" i="3"/>
  <c r="O12" i="63"/>
  <c r="O29" i="63"/>
  <c r="O31" i="63" s="1"/>
  <c r="L94" i="4"/>
  <c r="L84" i="34"/>
  <c r="L92" i="34" s="1"/>
  <c r="L105" i="34" s="1"/>
  <c r="L110" i="34" s="1"/>
  <c r="K335" i="29"/>
  <c r="K339" i="29" s="1"/>
  <c r="L62" i="2"/>
  <c r="O7" i="27"/>
  <c r="L29" i="28"/>
  <c r="O10" i="27"/>
  <c r="O7" i="8"/>
  <c r="O9" i="8"/>
  <c r="O10" i="8"/>
  <c r="O9" i="27"/>
  <c r="O33" i="4"/>
  <c r="W94" i="4" l="1"/>
  <c r="I149" i="28"/>
  <c r="I154" i="28"/>
  <c r="K81" i="37"/>
  <c r="K101" i="37"/>
  <c r="P46" i="2"/>
  <c r="O52" i="2"/>
  <c r="O7" i="14"/>
  <c r="L74" i="37"/>
  <c r="L76" i="3"/>
  <c r="L93" i="3"/>
  <c r="L95" i="3" s="1"/>
  <c r="K340" i="29"/>
  <c r="K529" i="29"/>
  <c r="K533" i="29"/>
  <c r="K341" i="29"/>
  <c r="K528" i="29"/>
  <c r="K352" i="29"/>
  <c r="K532" i="29"/>
  <c r="K537" i="29"/>
  <c r="O52" i="35"/>
  <c r="P46" i="35"/>
  <c r="K88" i="14"/>
  <c r="K86" i="36"/>
  <c r="K88" i="36" s="1"/>
  <c r="K134" i="14"/>
  <c r="K132" i="36"/>
  <c r="K134" i="36" s="1"/>
  <c r="N215" i="29"/>
  <c r="L131" i="28" s="1"/>
  <c r="N216" i="29"/>
  <c r="N253" i="29" s="1"/>
  <c r="L81" i="28" s="1"/>
  <c r="P41" i="61"/>
  <c r="P10" i="63"/>
  <c r="P46" i="61"/>
  <c r="P50" i="61" s="1"/>
  <c r="P44" i="61"/>
  <c r="L163" i="4"/>
  <c r="K655" i="29"/>
  <c r="K659" i="29" s="1"/>
  <c r="L152" i="34"/>
  <c r="L160" i="34" s="1"/>
  <c r="L173" i="34" s="1"/>
  <c r="L178" i="34" s="1"/>
  <c r="L115" i="2"/>
  <c r="N25" i="63"/>
  <c r="N27" i="63" s="1"/>
  <c r="N33" i="63" s="1"/>
  <c r="N8" i="63"/>
  <c r="N13" i="63" s="1"/>
  <c r="N211" i="29"/>
  <c r="L107" i="28" s="1"/>
  <c r="N212" i="29"/>
  <c r="N249" i="29" s="1"/>
  <c r="L57" i="28" s="1"/>
  <c r="L145" i="61"/>
  <c r="L148" i="61" s="1"/>
  <c r="L150" i="61" s="1"/>
  <c r="M149" i="61" s="1"/>
  <c r="L133" i="4"/>
  <c r="P52" i="54"/>
  <c r="P7" i="62"/>
  <c r="P12" i="62" s="1"/>
  <c r="P21" i="62" s="1"/>
  <c r="P37" i="62" s="1"/>
  <c r="L188" i="61"/>
  <c r="L78" i="63"/>
  <c r="L193" i="61"/>
  <c r="L197" i="61" s="1"/>
  <c r="L191" i="61"/>
  <c r="L206" i="61" s="1"/>
  <c r="L12" i="28"/>
  <c r="O38" i="4"/>
  <c r="L62" i="35"/>
  <c r="L73" i="35" s="1"/>
  <c r="L97" i="35" s="1"/>
  <c r="L101" i="35" s="1"/>
  <c r="L73" i="2"/>
  <c r="L97" i="2" s="1"/>
  <c r="L101" i="2" s="1"/>
  <c r="L112" i="34"/>
  <c r="L115" i="34"/>
  <c r="L117" i="34"/>
  <c r="L121" i="34" s="1"/>
  <c r="O66" i="4"/>
  <c r="O69" i="4" s="1"/>
  <c r="O71" i="4" s="1"/>
  <c r="O60" i="34"/>
  <c r="O68" i="34" s="1"/>
  <c r="O71" i="34" s="1"/>
  <c r="O73" i="34" s="1"/>
  <c r="P72" i="34" s="1"/>
  <c r="M9" i="26"/>
  <c r="J31" i="11"/>
  <c r="I31" i="28"/>
  <c r="M8" i="26"/>
  <c r="L108" i="4"/>
  <c r="L113" i="4" s="1"/>
  <c r="M8" i="3"/>
  <c r="M13" i="3" s="1"/>
  <c r="M25" i="3"/>
  <c r="M6" i="37"/>
  <c r="M8" i="37" s="1"/>
  <c r="M13" i="37" s="1"/>
  <c r="N5" i="8"/>
  <c r="N26" i="27"/>
  <c r="N30" i="27" s="1"/>
  <c r="N21" i="27" s="1"/>
  <c r="N24" i="27" s="1"/>
  <c r="N5" i="27" s="1"/>
  <c r="N21" i="14"/>
  <c r="N37" i="14" s="1"/>
  <c r="M45" i="62"/>
  <c r="M44" i="62"/>
  <c r="N12" i="3"/>
  <c r="N10" i="37"/>
  <c r="N12" i="37" s="1"/>
  <c r="N29" i="3"/>
  <c r="N34" i="29"/>
  <c r="N35" i="29"/>
  <c r="N36" i="29" s="1"/>
  <c r="L46" i="63"/>
  <c r="L47" i="63" s="1"/>
  <c r="L63" i="63"/>
  <c r="L65" i="63" s="1"/>
  <c r="L67" i="63" s="1"/>
  <c r="O16" i="29"/>
  <c r="O20" i="29" s="1"/>
  <c r="P15" i="34"/>
  <c r="P23" i="34" s="1"/>
  <c r="P35" i="34" s="1"/>
  <c r="P40" i="34" s="1"/>
  <c r="P21" i="4"/>
  <c r="P9" i="2"/>
  <c r="L42" i="14"/>
  <c r="L40" i="36"/>
  <c r="L42" i="36" s="1"/>
  <c r="L59" i="3"/>
  <c r="L61" i="3" s="1"/>
  <c r="L40" i="37"/>
  <c r="L42" i="3"/>
  <c r="K13" i="28"/>
  <c r="K45" i="28"/>
  <c r="J95" i="28" s="1"/>
  <c r="O44" i="19"/>
  <c r="O45" i="19" s="1"/>
  <c r="N207" i="29"/>
  <c r="L101" i="28" s="1"/>
  <c r="N208" i="29"/>
  <c r="N248" i="29" s="1"/>
  <c r="L51" i="28" s="1"/>
  <c r="M152" i="54"/>
  <c r="L158" i="54"/>
  <c r="L99" i="62"/>
  <c r="L104" i="62" s="1"/>
  <c r="L113" i="62" s="1"/>
  <c r="L129" i="62" s="1"/>
  <c r="M148" i="28" l="1"/>
  <c r="M153" i="28"/>
  <c r="I155" i="28"/>
  <c r="I150" i="28"/>
  <c r="P45" i="34"/>
  <c r="P42" i="34"/>
  <c r="P47" i="34"/>
  <c r="P51" i="34" s="1"/>
  <c r="O46" i="19"/>
  <c r="L42" i="37"/>
  <c r="L59" i="37"/>
  <c r="L61" i="37" s="1"/>
  <c r="O22" i="29"/>
  <c r="O214" i="29"/>
  <c r="O210" i="29"/>
  <c r="O21" i="29"/>
  <c r="O33" i="29"/>
  <c r="O213" i="29"/>
  <c r="O209" i="29"/>
  <c r="O218" i="29"/>
  <c r="M40" i="14"/>
  <c r="N6" i="3"/>
  <c r="L105" i="35"/>
  <c r="M99" i="35"/>
  <c r="L115" i="35"/>
  <c r="L126" i="35" s="1"/>
  <c r="L150" i="35" s="1"/>
  <c r="L154" i="35" s="1"/>
  <c r="L126" i="2"/>
  <c r="L150" i="2" s="1"/>
  <c r="L154" i="2" s="1"/>
  <c r="P58" i="4"/>
  <c r="P67" i="61"/>
  <c r="P70" i="61" s="1"/>
  <c r="P72" i="61" s="1"/>
  <c r="K137" i="14"/>
  <c r="K136" i="14"/>
  <c r="K526" i="29"/>
  <c r="I102" i="28" s="1"/>
  <c r="K527" i="29"/>
  <c r="K567" i="29" s="1"/>
  <c r="I52" i="28" s="1"/>
  <c r="O7" i="36"/>
  <c r="O12" i="36" s="1"/>
  <c r="O21" i="36" s="1"/>
  <c r="O37" i="36" s="1"/>
  <c r="O12" i="14"/>
  <c r="N31" i="3"/>
  <c r="N29" i="37"/>
  <c r="N31" i="37" s="1"/>
  <c r="L115" i="4"/>
  <c r="J25" i="11"/>
  <c r="I25" i="28"/>
  <c r="L120" i="4"/>
  <c r="L124" i="4" s="1"/>
  <c r="L44" i="3"/>
  <c r="L118" i="4"/>
  <c r="I46" i="28" s="1"/>
  <c r="H96" i="28" s="1"/>
  <c r="L24" i="28"/>
  <c r="O40" i="4"/>
  <c r="O45" i="4"/>
  <c r="O49" i="4" s="1"/>
  <c r="O19" i="6"/>
  <c r="O39" i="6" s="1"/>
  <c r="O43" i="6" s="1"/>
  <c r="P41" i="6" s="1"/>
  <c r="O43" i="4"/>
  <c r="O4" i="6"/>
  <c r="O10" i="6" s="1"/>
  <c r="O12" i="6" s="1"/>
  <c r="O10" i="3"/>
  <c r="L80" i="63"/>
  <c r="L81" i="63" s="1"/>
  <c r="L97" i="63"/>
  <c r="L99" i="63" s="1"/>
  <c r="L101" i="63" s="1"/>
  <c r="L141" i="4"/>
  <c r="L144" i="4" s="1"/>
  <c r="L146" i="4" s="1"/>
  <c r="M145" i="4" s="1"/>
  <c r="L130" i="34"/>
  <c r="L138" i="34" s="1"/>
  <c r="L141" i="34" s="1"/>
  <c r="L143" i="34" s="1"/>
  <c r="M142" i="34" s="1"/>
  <c r="L180" i="34"/>
  <c r="L183" i="34"/>
  <c r="L185" i="34"/>
  <c r="L189" i="34" s="1"/>
  <c r="K91" i="36"/>
  <c r="K90" i="36"/>
  <c r="K534" i="29"/>
  <c r="I132" i="28" s="1"/>
  <c r="K535" i="29"/>
  <c r="K572" i="29" s="1"/>
  <c r="I82" i="28" s="1"/>
  <c r="L38" i="28"/>
  <c r="L20" i="28"/>
  <c r="P9" i="35"/>
  <c r="P20" i="35" s="1"/>
  <c r="P44" i="35" s="1"/>
  <c r="P48" i="35" s="1"/>
  <c r="P52" i="35" s="1"/>
  <c r="P20" i="2"/>
  <c r="P44" i="2" s="1"/>
  <c r="P48" i="2" s="1"/>
  <c r="L45" i="36"/>
  <c r="L44" i="36"/>
  <c r="P10" i="27"/>
  <c r="M29" i="28"/>
  <c r="P9" i="27"/>
  <c r="P7" i="27"/>
  <c r="P33" i="4"/>
  <c r="L86" i="62"/>
  <c r="L88" i="62" s="1"/>
  <c r="M40" i="63"/>
  <c r="M6" i="26"/>
  <c r="M7" i="26"/>
  <c r="N40" i="62"/>
  <c r="N42" i="62" s="1"/>
  <c r="O6" i="63"/>
  <c r="K849" i="29"/>
  <c r="K853" i="29"/>
  <c r="K660" i="29"/>
  <c r="K661" i="29"/>
  <c r="K672" i="29"/>
  <c r="K857" i="29"/>
  <c r="K852" i="29"/>
  <c r="K848" i="29"/>
  <c r="P12" i="63"/>
  <c r="P29" i="63"/>
  <c r="P31" i="63" s="1"/>
  <c r="K91" i="14"/>
  <c r="K90" i="14"/>
  <c r="K530" i="29"/>
  <c r="I108" i="28" s="1"/>
  <c r="K531" i="29"/>
  <c r="K568" i="29" s="1"/>
  <c r="I58" i="28" s="1"/>
  <c r="L45" i="14"/>
  <c r="L44" i="14"/>
  <c r="M27" i="3"/>
  <c r="M33" i="3" s="1"/>
  <c r="M25" i="37"/>
  <c r="M27" i="37" s="1"/>
  <c r="M33" i="37" s="1"/>
  <c r="L16" i="28"/>
  <c r="P70" i="4"/>
  <c r="M99" i="2"/>
  <c r="L53" i="14"/>
  <c r="L105" i="2"/>
  <c r="M89" i="61" s="1"/>
  <c r="L214" i="61"/>
  <c r="L217" i="61" s="1"/>
  <c r="L219" i="61" s="1"/>
  <c r="M218" i="61" s="1"/>
  <c r="L202" i="4"/>
  <c r="I33" i="28"/>
  <c r="J33" i="11"/>
  <c r="L177" i="4"/>
  <c r="L182" i="4" s="1"/>
  <c r="K137" i="36"/>
  <c r="K136" i="36"/>
  <c r="K353" i="29"/>
  <c r="K354" i="29"/>
  <c r="K355" i="29" s="1"/>
  <c r="L76" i="37"/>
  <c r="L93" i="37"/>
  <c r="L95" i="37" s="1"/>
  <c r="L58" i="14" l="1"/>
  <c r="L67" i="14" s="1"/>
  <c r="L83" i="14" s="1"/>
  <c r="L53" i="36"/>
  <c r="L58" i="36" s="1"/>
  <c r="L67" i="36" s="1"/>
  <c r="L83" i="36" s="1"/>
  <c r="K850" i="29"/>
  <c r="I109" i="28" s="1"/>
  <c r="K851" i="29"/>
  <c r="K888" i="29" s="1"/>
  <c r="I59" i="28" s="1"/>
  <c r="N45" i="62"/>
  <c r="N44" i="62"/>
  <c r="L132" i="62"/>
  <c r="L134" i="62" s="1"/>
  <c r="M74" i="63"/>
  <c r="L158" i="35"/>
  <c r="M152" i="35"/>
  <c r="M40" i="36"/>
  <c r="M42" i="36" s="1"/>
  <c r="M42" i="14"/>
  <c r="O34" i="29"/>
  <c r="O35" i="29"/>
  <c r="O36" i="29" s="1"/>
  <c r="J26" i="11"/>
  <c r="I26" i="28"/>
  <c r="L184" i="4"/>
  <c r="L189" i="4"/>
  <c r="L193" i="4" s="1"/>
  <c r="L187" i="4"/>
  <c r="I47" i="28" s="1"/>
  <c r="H97" i="28" s="1"/>
  <c r="L78" i="3"/>
  <c r="K854" i="29"/>
  <c r="I133" i="28" s="1"/>
  <c r="K855" i="29"/>
  <c r="K892" i="29" s="1"/>
  <c r="I83" i="28" s="1"/>
  <c r="M59" i="63"/>
  <c r="M61" i="63" s="1"/>
  <c r="M42" i="63"/>
  <c r="O12" i="3"/>
  <c r="O10" i="37"/>
  <c r="O12" i="37" s="1"/>
  <c r="O29" i="3"/>
  <c r="L46" i="3"/>
  <c r="L44" i="37"/>
  <c r="L63" i="3"/>
  <c r="O5" i="8"/>
  <c r="O21" i="14"/>
  <c r="O37" i="14" s="1"/>
  <c r="O26" i="27"/>
  <c r="O30" i="27" s="1"/>
  <c r="O21" i="27" s="1"/>
  <c r="O24" i="27" s="1"/>
  <c r="O5" i="27" s="1"/>
  <c r="O215" i="29"/>
  <c r="M131" i="28" s="1"/>
  <c r="O216" i="29"/>
  <c r="O253" i="29" s="1"/>
  <c r="M81" i="28" s="1"/>
  <c r="L198" i="34"/>
  <c r="L206" i="34" s="1"/>
  <c r="L209" i="34" s="1"/>
  <c r="L211" i="34" s="1"/>
  <c r="M210" i="34" s="1"/>
  <c r="L210" i="4"/>
  <c r="L213" i="4" s="1"/>
  <c r="L215" i="4" s="1"/>
  <c r="M214" i="4" s="1"/>
  <c r="K674" i="29"/>
  <c r="K675" i="29" s="1"/>
  <c r="K673" i="29"/>
  <c r="L91" i="62"/>
  <c r="L90" i="62"/>
  <c r="P52" i="2"/>
  <c r="P7" i="14"/>
  <c r="P66" i="4"/>
  <c r="P69" i="4" s="1"/>
  <c r="P71" i="4" s="1"/>
  <c r="M16" i="28" s="1"/>
  <c r="P60" i="34"/>
  <c r="P68" i="34" s="1"/>
  <c r="P71" i="34" s="1"/>
  <c r="P73" i="34" s="1"/>
  <c r="O207" i="29"/>
  <c r="M101" i="28" s="1"/>
  <c r="O208" i="29"/>
  <c r="O248" i="29" s="1"/>
  <c r="M51" i="28" s="1"/>
  <c r="J39" i="11"/>
  <c r="I39" i="28"/>
  <c r="K846" i="29"/>
  <c r="I103" i="28" s="1"/>
  <c r="K847" i="29"/>
  <c r="K887" i="29" s="1"/>
  <c r="I53" i="28" s="1"/>
  <c r="O25" i="63"/>
  <c r="O27" i="63" s="1"/>
  <c r="O33" i="63" s="1"/>
  <c r="O8" i="63"/>
  <c r="O13" i="63" s="1"/>
  <c r="M12" i="28"/>
  <c r="P38" i="4"/>
  <c r="L13" i="28"/>
  <c r="P44" i="19"/>
  <c r="P45" i="19" s="1"/>
  <c r="P46" i="19" s="1"/>
  <c r="L45" i="28"/>
  <c r="K95" i="28" s="1"/>
  <c r="M152" i="2"/>
  <c r="L99" i="14"/>
  <c r="L158" i="2"/>
  <c r="M159" i="61" s="1"/>
  <c r="N25" i="3"/>
  <c r="N6" i="37"/>
  <c r="N8" i="37" s="1"/>
  <c r="N13" i="37" s="1"/>
  <c r="N8" i="3"/>
  <c r="N13" i="3" s="1"/>
  <c r="O211" i="29"/>
  <c r="M107" i="28" s="1"/>
  <c r="O212" i="29"/>
  <c r="O249" i="29" s="1"/>
  <c r="M57" i="28" s="1"/>
  <c r="J40" i="11" l="1"/>
  <c r="I40" i="28"/>
  <c r="N40" i="14"/>
  <c r="O6" i="3"/>
  <c r="L104" i="14"/>
  <c r="L113" i="14" s="1"/>
  <c r="L129" i="14" s="1"/>
  <c r="L99" i="36"/>
  <c r="L104" i="36" s="1"/>
  <c r="L113" i="36" s="1"/>
  <c r="L129" i="36" s="1"/>
  <c r="M20" i="28"/>
  <c r="M38" i="28"/>
  <c r="O31" i="3"/>
  <c r="O29" i="37"/>
  <c r="O31" i="37" s="1"/>
  <c r="X89" i="61"/>
  <c r="X97" i="61" s="1"/>
  <c r="M62" i="54"/>
  <c r="M73" i="54" s="1"/>
  <c r="M97" i="54" s="1"/>
  <c r="M101" i="54" s="1"/>
  <c r="M97" i="61"/>
  <c r="M111" i="61" s="1"/>
  <c r="M116" i="61" s="1"/>
  <c r="M86" i="4"/>
  <c r="Y86" i="4" s="1"/>
  <c r="L65" i="3"/>
  <c r="L67" i="3" s="1"/>
  <c r="L63" i="37"/>
  <c r="L65" i="37" s="1"/>
  <c r="L67" i="37" s="1"/>
  <c r="L80" i="3"/>
  <c r="L81" i="3" s="1"/>
  <c r="L97" i="3"/>
  <c r="L99" i="3" s="1"/>
  <c r="L101" i="3" s="1"/>
  <c r="L78" i="37"/>
  <c r="M45" i="14"/>
  <c r="M44" i="14"/>
  <c r="M93" i="63"/>
  <c r="M95" i="63" s="1"/>
  <c r="M76" i="63"/>
  <c r="N25" i="37"/>
  <c r="N27" i="37" s="1"/>
  <c r="N33" i="37" s="1"/>
  <c r="N27" i="3"/>
  <c r="N33" i="3" s="1"/>
  <c r="M45" i="36"/>
  <c r="M44" i="36"/>
  <c r="L137" i="62"/>
  <c r="L136" i="62"/>
  <c r="M24" i="28"/>
  <c r="P4" i="6"/>
  <c r="P10" i="6" s="1"/>
  <c r="P12" i="6" s="1"/>
  <c r="P40" i="4"/>
  <c r="P45" i="4"/>
  <c r="P49" i="4" s="1"/>
  <c r="P43" i="4"/>
  <c r="P19" i="6"/>
  <c r="P39" i="6" s="1"/>
  <c r="P43" i="6" s="1"/>
  <c r="P10" i="3"/>
  <c r="O40" i="62"/>
  <c r="O42" i="62" s="1"/>
  <c r="P6" i="63"/>
  <c r="P12" i="14"/>
  <c r="P7" i="36"/>
  <c r="P12" i="36" s="1"/>
  <c r="P21" i="36" s="1"/>
  <c r="P37" i="36" s="1"/>
  <c r="L46" i="37"/>
  <c r="L47" i="37" s="1"/>
  <c r="L47" i="3"/>
  <c r="X94" i="4" l="1"/>
  <c r="O45" i="62"/>
  <c r="O44" i="62"/>
  <c r="L97" i="37"/>
  <c r="L99" i="37" s="1"/>
  <c r="L101" i="37" s="1"/>
  <c r="L80" i="37"/>
  <c r="L81" i="37" s="1"/>
  <c r="P12" i="3"/>
  <c r="P29" i="3"/>
  <c r="P10" i="37"/>
  <c r="P12" i="37" s="1"/>
  <c r="M84" i="34"/>
  <c r="M92" i="34" s="1"/>
  <c r="M105" i="34" s="1"/>
  <c r="M110" i="34" s="1"/>
  <c r="M94" i="4"/>
  <c r="L335" i="29"/>
  <c r="L339" i="29" s="1"/>
  <c r="M62" i="2"/>
  <c r="N40" i="36"/>
  <c r="N42" i="36" s="1"/>
  <c r="N42" i="14"/>
  <c r="L132" i="14"/>
  <c r="M74" i="3"/>
  <c r="X159" i="61"/>
  <c r="X167" i="61" s="1"/>
  <c r="M167" i="61"/>
  <c r="M181" i="61" s="1"/>
  <c r="M186" i="61" s="1"/>
  <c r="M115" i="54"/>
  <c r="M126" i="54" s="1"/>
  <c r="M150" i="54" s="1"/>
  <c r="M154" i="54" s="1"/>
  <c r="M155" i="4"/>
  <c r="P26" i="27"/>
  <c r="P30" i="27" s="1"/>
  <c r="P21" i="27" s="1"/>
  <c r="P24" i="27" s="1"/>
  <c r="P5" i="27" s="1"/>
  <c r="P21" i="14"/>
  <c r="P37" i="14" s="1"/>
  <c r="M118" i="61"/>
  <c r="M123" i="61"/>
  <c r="M127" i="61" s="1"/>
  <c r="M44" i="63"/>
  <c r="M121" i="61"/>
  <c r="P25" i="63"/>
  <c r="P27" i="63" s="1"/>
  <c r="P33" i="63" s="1"/>
  <c r="P8" i="63"/>
  <c r="P13" i="63" s="1"/>
  <c r="P40" i="62" s="1"/>
  <c r="P42" i="62" s="1"/>
  <c r="M13" i="28"/>
  <c r="M45" i="28"/>
  <c r="L95" i="28" s="1"/>
  <c r="N99" i="54"/>
  <c r="M105" i="54"/>
  <c r="M53" i="62"/>
  <c r="M58" i="62" s="1"/>
  <c r="M67" i="62" s="1"/>
  <c r="M83" i="62" s="1"/>
  <c r="M40" i="3"/>
  <c r="L86" i="14"/>
  <c r="O6" i="37"/>
  <c r="O8" i="37" s="1"/>
  <c r="O13" i="37" s="1"/>
  <c r="O25" i="3"/>
  <c r="O8" i="3"/>
  <c r="O13" i="3" s="1"/>
  <c r="J149" i="28" l="1"/>
  <c r="J154" i="28"/>
  <c r="M59" i="3"/>
  <c r="M61" i="3" s="1"/>
  <c r="M42" i="3"/>
  <c r="M40" i="37"/>
  <c r="M158" i="54"/>
  <c r="N152" i="54"/>
  <c r="M99" i="62"/>
  <c r="M104" i="62" s="1"/>
  <c r="M113" i="62" s="1"/>
  <c r="M129" i="62" s="1"/>
  <c r="M93" i="3"/>
  <c r="M95" i="3" s="1"/>
  <c r="M74" i="37"/>
  <c r="M76" i="3"/>
  <c r="M62" i="35"/>
  <c r="M73" i="35" s="1"/>
  <c r="M97" i="35" s="1"/>
  <c r="M101" i="35" s="1"/>
  <c r="M73" i="2"/>
  <c r="M97" i="2" s="1"/>
  <c r="M101" i="2" s="1"/>
  <c r="M145" i="61"/>
  <c r="M148" i="61" s="1"/>
  <c r="M150" i="61" s="1"/>
  <c r="N149" i="61" s="1"/>
  <c r="M133" i="4"/>
  <c r="M188" i="61"/>
  <c r="M78" i="63"/>
  <c r="M193" i="61"/>
  <c r="M197" i="61" s="1"/>
  <c r="M191" i="61"/>
  <c r="M206" i="61" s="1"/>
  <c r="L134" i="14"/>
  <c r="L132" i="36"/>
  <c r="L134" i="36" s="1"/>
  <c r="L341" i="29"/>
  <c r="L533" i="29"/>
  <c r="L340" i="29"/>
  <c r="L529" i="29"/>
  <c r="L352" i="29"/>
  <c r="L528" i="29"/>
  <c r="L532" i="29"/>
  <c r="L537" i="29"/>
  <c r="M63" i="63"/>
  <c r="M65" i="63" s="1"/>
  <c r="M67" i="63" s="1"/>
  <c r="M46" i="63"/>
  <c r="M47" i="63" s="1"/>
  <c r="N45" i="14"/>
  <c r="N44" i="14"/>
  <c r="P31" i="3"/>
  <c r="P29" i="37"/>
  <c r="P31" i="37" s="1"/>
  <c r="N9" i="26"/>
  <c r="N8" i="26"/>
  <c r="K31" i="11"/>
  <c r="J31" i="28"/>
  <c r="M108" i="4"/>
  <c r="M113" i="4" s="1"/>
  <c r="O40" i="14"/>
  <c r="P6" i="3"/>
  <c r="L88" i="14"/>
  <c r="L86" i="36"/>
  <c r="L88" i="36" s="1"/>
  <c r="P45" i="62"/>
  <c r="P44" i="62"/>
  <c r="L655" i="29"/>
  <c r="L659" i="29" s="1"/>
  <c r="M163" i="4"/>
  <c r="M152" i="34"/>
  <c r="M160" i="34" s="1"/>
  <c r="M173" i="34" s="1"/>
  <c r="M178" i="34" s="1"/>
  <c r="M115" i="2"/>
  <c r="N45" i="36"/>
  <c r="N44" i="36"/>
  <c r="M115" i="34"/>
  <c r="M112" i="34"/>
  <c r="M117" i="34"/>
  <c r="M121" i="34" s="1"/>
  <c r="O25" i="37"/>
  <c r="O27" i="37" s="1"/>
  <c r="O33" i="37" s="1"/>
  <c r="O27" i="3"/>
  <c r="O33" i="3" s="1"/>
  <c r="J155" i="28" l="1"/>
  <c r="J150" i="28"/>
  <c r="L91" i="36"/>
  <c r="L90" i="36"/>
  <c r="L137" i="36"/>
  <c r="L136" i="36"/>
  <c r="M97" i="63"/>
  <c r="M99" i="63" s="1"/>
  <c r="M101" i="63" s="1"/>
  <c r="M80" i="63"/>
  <c r="M81" i="63" s="1"/>
  <c r="M76" i="37"/>
  <c r="M93" i="37"/>
  <c r="M95" i="37" s="1"/>
  <c r="L853" i="29"/>
  <c r="L661" i="29"/>
  <c r="L660" i="29"/>
  <c r="L849" i="29"/>
  <c r="L852" i="29"/>
  <c r="L672" i="29"/>
  <c r="L848" i="29"/>
  <c r="L857" i="29"/>
  <c r="L91" i="14"/>
  <c r="L90" i="14"/>
  <c r="M86" i="62"/>
  <c r="M88" i="62" s="1"/>
  <c r="N40" i="63"/>
  <c r="L530" i="29"/>
  <c r="J108" i="28" s="1"/>
  <c r="L531" i="29"/>
  <c r="L568" i="29" s="1"/>
  <c r="J58" i="28" s="1"/>
  <c r="L137" i="14"/>
  <c r="L136" i="14"/>
  <c r="N99" i="2"/>
  <c r="M105" i="2"/>
  <c r="N89" i="61" s="1"/>
  <c r="M53" i="14"/>
  <c r="M42" i="37"/>
  <c r="M59" i="37"/>
  <c r="M61" i="37" s="1"/>
  <c r="M115" i="4"/>
  <c r="J25" i="28"/>
  <c r="K25" i="11"/>
  <c r="M120" i="4"/>
  <c r="M124" i="4" s="1"/>
  <c r="M44" i="3"/>
  <c r="M118" i="4"/>
  <c r="J46" i="28" s="1"/>
  <c r="I96" i="28" s="1"/>
  <c r="M115" i="35"/>
  <c r="M126" i="35" s="1"/>
  <c r="M150" i="35" s="1"/>
  <c r="M154" i="35" s="1"/>
  <c r="M126" i="2"/>
  <c r="M150" i="2" s="1"/>
  <c r="M154" i="2" s="1"/>
  <c r="M105" i="35"/>
  <c r="N99" i="35"/>
  <c r="K33" i="11"/>
  <c r="J33" i="28"/>
  <c r="M177" i="4"/>
  <c r="M182" i="4" s="1"/>
  <c r="L534" i="29"/>
  <c r="J132" i="28" s="1"/>
  <c r="L535" i="29"/>
  <c r="L572" i="29" s="1"/>
  <c r="J82" i="28" s="1"/>
  <c r="P25" i="3"/>
  <c r="P6" i="37"/>
  <c r="P8" i="37" s="1"/>
  <c r="P13" i="37" s="1"/>
  <c r="P8" i="3"/>
  <c r="P13" i="3" s="1"/>
  <c r="P40" i="14" s="1"/>
  <c r="L526" i="29"/>
  <c r="J102" i="28" s="1"/>
  <c r="L527" i="29"/>
  <c r="L567" i="29" s="1"/>
  <c r="J52" i="28" s="1"/>
  <c r="M202" i="4"/>
  <c r="M214" i="61"/>
  <c r="M217" i="61" s="1"/>
  <c r="M219" i="61" s="1"/>
  <c r="N218" i="61" s="1"/>
  <c r="M180" i="34"/>
  <c r="M183" i="34"/>
  <c r="M185" i="34"/>
  <c r="M189" i="34" s="1"/>
  <c r="O42" i="14"/>
  <c r="O40" i="36"/>
  <c r="O42" i="36" s="1"/>
  <c r="N6" i="26"/>
  <c r="N7" i="26"/>
  <c r="L353" i="29"/>
  <c r="L354" i="29"/>
  <c r="L355" i="29" s="1"/>
  <c r="M130" i="34"/>
  <c r="M138" i="34" s="1"/>
  <c r="M141" i="34" s="1"/>
  <c r="M143" i="34" s="1"/>
  <c r="N142" i="34" s="1"/>
  <c r="M141" i="4"/>
  <c r="M144" i="4" s="1"/>
  <c r="M146" i="4" s="1"/>
  <c r="N145" i="4" s="1"/>
  <c r="O45" i="14" l="1"/>
  <c r="O44" i="14"/>
  <c r="P25" i="37"/>
  <c r="P27" i="37" s="1"/>
  <c r="P33" i="37" s="1"/>
  <c r="P27" i="3"/>
  <c r="P33" i="3" s="1"/>
  <c r="N152" i="2"/>
  <c r="M99" i="14"/>
  <c r="M158" i="2"/>
  <c r="N159" i="61" s="1"/>
  <c r="K39" i="11"/>
  <c r="J39" i="28"/>
  <c r="N59" i="63"/>
  <c r="N61" i="63" s="1"/>
  <c r="N42" i="63"/>
  <c r="L854" i="29"/>
  <c r="J133" i="28" s="1"/>
  <c r="L855" i="29"/>
  <c r="L892" i="29" s="1"/>
  <c r="J83" i="28" s="1"/>
  <c r="M210" i="4"/>
  <c r="M213" i="4" s="1"/>
  <c r="M215" i="4" s="1"/>
  <c r="N214" i="4" s="1"/>
  <c r="M198" i="34"/>
  <c r="M206" i="34" s="1"/>
  <c r="M209" i="34" s="1"/>
  <c r="M211" i="34" s="1"/>
  <c r="N210" i="34" s="1"/>
  <c r="M184" i="4"/>
  <c r="K26" i="11"/>
  <c r="J26" i="28"/>
  <c r="M189" i="4"/>
  <c r="M193" i="4" s="1"/>
  <c r="M187" i="4"/>
  <c r="J47" i="28" s="1"/>
  <c r="I97" i="28" s="1"/>
  <c r="M78" i="3"/>
  <c r="N152" i="35"/>
  <c r="M158" i="35"/>
  <c r="M91" i="62"/>
  <c r="M90" i="62"/>
  <c r="L846" i="29"/>
  <c r="J103" i="28" s="1"/>
  <c r="L847" i="29"/>
  <c r="L887" i="29" s="1"/>
  <c r="J53" i="28" s="1"/>
  <c r="P42" i="14"/>
  <c r="P40" i="36"/>
  <c r="P42" i="36" s="1"/>
  <c r="L673" i="29"/>
  <c r="L674" i="29"/>
  <c r="L675" i="29" s="1"/>
  <c r="M132" i="62"/>
  <c r="M134" i="62" s="1"/>
  <c r="N74" i="63"/>
  <c r="O45" i="36"/>
  <c r="O44" i="36"/>
  <c r="M44" i="37"/>
  <c r="M46" i="3"/>
  <c r="M63" i="3"/>
  <c r="M58" i="14"/>
  <c r="M67" i="14" s="1"/>
  <c r="M83" i="14" s="1"/>
  <c r="M53" i="36"/>
  <c r="M58" i="36" s="1"/>
  <c r="M67" i="36" s="1"/>
  <c r="M83" i="36" s="1"/>
  <c r="L850" i="29"/>
  <c r="J109" i="28" s="1"/>
  <c r="L851" i="29"/>
  <c r="L888" i="29" s="1"/>
  <c r="J59" i="28" s="1"/>
  <c r="M137" i="62" l="1"/>
  <c r="M136" i="62"/>
  <c r="P45" i="14"/>
  <c r="P44" i="14"/>
  <c r="M65" i="3"/>
  <c r="M67" i="3" s="1"/>
  <c r="M63" i="37"/>
  <c r="M65" i="37" s="1"/>
  <c r="M67" i="37" s="1"/>
  <c r="Y89" i="61"/>
  <c r="Y97" i="61" s="1"/>
  <c r="N62" i="54"/>
  <c r="N73" i="54" s="1"/>
  <c r="N97" i="54" s="1"/>
  <c r="N101" i="54" s="1"/>
  <c r="N97" i="61"/>
  <c r="N111" i="61" s="1"/>
  <c r="N116" i="61" s="1"/>
  <c r="N86" i="4"/>
  <c r="Z86" i="4" s="1"/>
  <c r="K40" i="11"/>
  <c r="J40" i="28"/>
  <c r="M46" i="37"/>
  <c r="M47" i="37" s="1"/>
  <c r="M47" i="3"/>
  <c r="N93" i="63"/>
  <c r="N95" i="63" s="1"/>
  <c r="N76" i="63"/>
  <c r="P45" i="36"/>
  <c r="P44" i="36"/>
  <c r="M80" i="3"/>
  <c r="M81" i="3" s="1"/>
  <c r="M78" i="37"/>
  <c r="M97" i="3"/>
  <c r="M99" i="3" s="1"/>
  <c r="M101" i="3" s="1"/>
  <c r="M104" i="14"/>
  <c r="M113" i="14" s="1"/>
  <c r="M129" i="14" s="1"/>
  <c r="M99" i="36"/>
  <c r="M104" i="36" s="1"/>
  <c r="M113" i="36" s="1"/>
  <c r="M129" i="36" s="1"/>
  <c r="M335" i="29" l="1"/>
  <c r="M339" i="29" s="1"/>
  <c r="N94" i="4"/>
  <c r="N62" i="2"/>
  <c r="N84" i="34"/>
  <c r="N92" i="34" s="1"/>
  <c r="N105" i="34" s="1"/>
  <c r="N110" i="34" s="1"/>
  <c r="M80" i="37"/>
  <c r="M81" i="37" s="1"/>
  <c r="M97" i="37"/>
  <c r="M99" i="37" s="1"/>
  <c r="M101" i="37" s="1"/>
  <c r="Y159" i="61"/>
  <c r="Y167" i="61" s="1"/>
  <c r="N167" i="61"/>
  <c r="N181" i="61" s="1"/>
  <c r="N186" i="61" s="1"/>
  <c r="N115" i="54"/>
  <c r="N126" i="54" s="1"/>
  <c r="N150" i="54" s="1"/>
  <c r="N154" i="54" s="1"/>
  <c r="N155" i="4"/>
  <c r="N118" i="61"/>
  <c r="N44" i="63"/>
  <c r="N123" i="61"/>
  <c r="N127" i="61" s="1"/>
  <c r="N121" i="61"/>
  <c r="M132" i="14"/>
  <c r="N74" i="3"/>
  <c r="O99" i="54"/>
  <c r="N105" i="54"/>
  <c r="N53" i="62"/>
  <c r="N58" i="62" s="1"/>
  <c r="N67" i="62" s="1"/>
  <c r="N83" i="62" s="1"/>
  <c r="M86" i="14"/>
  <c r="N40" i="3"/>
  <c r="Y94" i="4" l="1"/>
  <c r="K149" i="28"/>
  <c r="K154" i="28"/>
  <c r="N40" i="37"/>
  <c r="N59" i="3"/>
  <c r="N61" i="3" s="1"/>
  <c r="N42" i="3"/>
  <c r="M134" i="14"/>
  <c r="M132" i="36"/>
  <c r="M134" i="36" s="1"/>
  <c r="N46" i="63"/>
  <c r="N47" i="63" s="1"/>
  <c r="N63" i="63"/>
  <c r="N65" i="63" s="1"/>
  <c r="N67" i="63" s="1"/>
  <c r="M340" i="29"/>
  <c r="M341" i="29"/>
  <c r="M529" i="29"/>
  <c r="M533" i="29"/>
  <c r="M528" i="29"/>
  <c r="M352" i="29"/>
  <c r="M537" i="29"/>
  <c r="M532" i="29"/>
  <c r="M86" i="36"/>
  <c r="M88" i="36" s="1"/>
  <c r="M88" i="14"/>
  <c r="N115" i="34"/>
  <c r="N117" i="34"/>
  <c r="N121" i="34" s="1"/>
  <c r="N112" i="34"/>
  <c r="N145" i="61"/>
  <c r="N148" i="61" s="1"/>
  <c r="N150" i="61" s="1"/>
  <c r="O149" i="61" s="1"/>
  <c r="N133" i="4"/>
  <c r="N163" i="4"/>
  <c r="M655" i="29"/>
  <c r="M659" i="29" s="1"/>
  <c r="N152" i="34"/>
  <c r="N160" i="34" s="1"/>
  <c r="N173" i="34" s="1"/>
  <c r="N178" i="34" s="1"/>
  <c r="N115" i="2"/>
  <c r="N62" i="35"/>
  <c r="N73" i="35" s="1"/>
  <c r="N97" i="35" s="1"/>
  <c r="N101" i="35" s="1"/>
  <c r="N73" i="2"/>
  <c r="N97" i="2" s="1"/>
  <c r="N101" i="2" s="1"/>
  <c r="N76" i="3"/>
  <c r="N93" i="3"/>
  <c r="N95" i="3" s="1"/>
  <c r="N74" i="37"/>
  <c r="O152" i="54"/>
  <c r="N158" i="54"/>
  <c r="N99" i="62"/>
  <c r="N104" i="62" s="1"/>
  <c r="N113" i="62" s="1"/>
  <c r="N129" i="62" s="1"/>
  <c r="O9" i="26"/>
  <c r="K31" i="28"/>
  <c r="O8" i="26"/>
  <c r="N108" i="4"/>
  <c r="N113" i="4" s="1"/>
  <c r="N193" i="61"/>
  <c r="N197" i="61" s="1"/>
  <c r="N78" i="63"/>
  <c r="N188" i="61"/>
  <c r="N191" i="61"/>
  <c r="N206" i="61" s="1"/>
  <c r="K155" i="28" l="1"/>
  <c r="K150" i="28"/>
  <c r="K25" i="28"/>
  <c r="N115" i="4"/>
  <c r="N120" i="4"/>
  <c r="N124" i="4" s="1"/>
  <c r="N118" i="4"/>
  <c r="K46" i="28" s="1"/>
  <c r="J96" i="28" s="1"/>
  <c r="N44" i="3"/>
  <c r="N97" i="63"/>
  <c r="N99" i="63" s="1"/>
  <c r="N101" i="63" s="1"/>
  <c r="N80" i="63"/>
  <c r="N81" i="63" s="1"/>
  <c r="N180" i="34"/>
  <c r="N185" i="34"/>
  <c r="N189" i="34" s="1"/>
  <c r="N183" i="34"/>
  <c r="M91" i="14"/>
  <c r="M90" i="14"/>
  <c r="M353" i="29"/>
  <c r="M354" i="29"/>
  <c r="M355" i="29" s="1"/>
  <c r="M137" i="36"/>
  <c r="M136" i="36"/>
  <c r="N76" i="37"/>
  <c r="N93" i="37"/>
  <c r="N95" i="37" s="1"/>
  <c r="O99" i="2"/>
  <c r="N53" i="14"/>
  <c r="N105" i="2"/>
  <c r="O89" i="61" s="1"/>
  <c r="M849" i="29"/>
  <c r="M660" i="29"/>
  <c r="M661" i="29"/>
  <c r="M853" i="29"/>
  <c r="M672" i="29"/>
  <c r="M852" i="29"/>
  <c r="M848" i="29"/>
  <c r="M857" i="29"/>
  <c r="M91" i="36"/>
  <c r="M90" i="36"/>
  <c r="M526" i="29"/>
  <c r="K102" i="28" s="1"/>
  <c r="M527" i="29"/>
  <c r="M567" i="29" s="1"/>
  <c r="K52" i="28" s="1"/>
  <c r="M137" i="14"/>
  <c r="M136" i="14"/>
  <c r="N214" i="61"/>
  <c r="N217" i="61" s="1"/>
  <c r="N219" i="61" s="1"/>
  <c r="O218" i="61" s="1"/>
  <c r="N202" i="4"/>
  <c r="K33" i="28"/>
  <c r="N177" i="4"/>
  <c r="N182" i="4" s="1"/>
  <c r="O99" i="35"/>
  <c r="N105" i="35"/>
  <c r="M530" i="29"/>
  <c r="K108" i="28" s="1"/>
  <c r="M531" i="29"/>
  <c r="M568" i="29" s="1"/>
  <c r="K58" i="28" s="1"/>
  <c r="O6" i="26"/>
  <c r="O7" i="26"/>
  <c r="N115" i="35"/>
  <c r="N126" i="35" s="1"/>
  <c r="N150" i="35" s="1"/>
  <c r="N154" i="35" s="1"/>
  <c r="N126" i="2"/>
  <c r="N150" i="2" s="1"/>
  <c r="N154" i="2" s="1"/>
  <c r="N141" i="4"/>
  <c r="N144" i="4" s="1"/>
  <c r="N146" i="4" s="1"/>
  <c r="O145" i="4" s="1"/>
  <c r="N130" i="34"/>
  <c r="N138" i="34" s="1"/>
  <c r="N141" i="34" s="1"/>
  <c r="N143" i="34" s="1"/>
  <c r="O142" i="34" s="1"/>
  <c r="M534" i="29"/>
  <c r="K132" i="28" s="1"/>
  <c r="M535" i="29"/>
  <c r="M572" i="29" s="1"/>
  <c r="K82" i="28" s="1"/>
  <c r="N86" i="62"/>
  <c r="N88" i="62" s="1"/>
  <c r="O40" i="63"/>
  <c r="N42" i="37"/>
  <c r="N59" i="37"/>
  <c r="N61" i="37" s="1"/>
  <c r="M854" i="29" l="1"/>
  <c r="K133" i="28" s="1"/>
  <c r="M855" i="29"/>
  <c r="M892" i="29" s="1"/>
  <c r="K83" i="28" s="1"/>
  <c r="O42" i="63"/>
  <c r="O59" i="63"/>
  <c r="O61" i="63" s="1"/>
  <c r="O152" i="2"/>
  <c r="N99" i="14"/>
  <c r="N158" i="2"/>
  <c r="O159" i="61" s="1"/>
  <c r="M846" i="29"/>
  <c r="K103" i="28" s="1"/>
  <c r="M847" i="29"/>
  <c r="M887" i="29" s="1"/>
  <c r="K53" i="28" s="1"/>
  <c r="N53" i="36"/>
  <c r="N58" i="36" s="1"/>
  <c r="N67" i="36" s="1"/>
  <c r="N83" i="36" s="1"/>
  <c r="N58" i="14"/>
  <c r="N67" i="14" s="1"/>
  <c r="N83" i="14" s="1"/>
  <c r="O152" i="35"/>
  <c r="N158" i="35"/>
  <c r="N210" i="4"/>
  <c r="N213" i="4" s="1"/>
  <c r="N215" i="4" s="1"/>
  <c r="O214" i="4" s="1"/>
  <c r="N198" i="34"/>
  <c r="N206" i="34" s="1"/>
  <c r="N209" i="34" s="1"/>
  <c r="N211" i="34" s="1"/>
  <c r="O210" i="34" s="1"/>
  <c r="M850" i="29"/>
  <c r="K109" i="28" s="1"/>
  <c r="M851" i="29"/>
  <c r="M888" i="29" s="1"/>
  <c r="K59" i="28" s="1"/>
  <c r="N132" i="62"/>
  <c r="N134" i="62" s="1"/>
  <c r="O74" i="63"/>
  <c r="N91" i="62"/>
  <c r="N90" i="62"/>
  <c r="K26" i="28"/>
  <c r="N184" i="4"/>
  <c r="N78" i="3"/>
  <c r="N187" i="4"/>
  <c r="K47" i="28" s="1"/>
  <c r="J97" i="28" s="1"/>
  <c r="N189" i="4"/>
  <c r="N193" i="4" s="1"/>
  <c r="M673" i="29"/>
  <c r="M674" i="29"/>
  <c r="M675" i="29" s="1"/>
  <c r="K39" i="28"/>
  <c r="N46" i="3"/>
  <c r="N44" i="37"/>
  <c r="N63" i="3"/>
  <c r="Z89" i="61" l="1"/>
  <c r="Z97" i="61" s="1"/>
  <c r="O86" i="4"/>
  <c r="AA86" i="4" s="1"/>
  <c r="O62" i="54"/>
  <c r="O73" i="54" s="1"/>
  <c r="O97" i="54" s="1"/>
  <c r="O101" i="54" s="1"/>
  <c r="O97" i="61"/>
  <c r="O111" i="61" s="1"/>
  <c r="O116" i="61" s="1"/>
  <c r="N46" i="37"/>
  <c r="N47" i="37" s="1"/>
  <c r="N47" i="3"/>
  <c r="N80" i="3"/>
  <c r="N81" i="3" s="1"/>
  <c r="N97" i="3"/>
  <c r="N99" i="3" s="1"/>
  <c r="N101" i="3" s="1"/>
  <c r="N78" i="37"/>
  <c r="N65" i="3"/>
  <c r="N67" i="3" s="1"/>
  <c r="N63" i="37"/>
  <c r="N65" i="37" s="1"/>
  <c r="N67" i="37" s="1"/>
  <c r="O76" i="63"/>
  <c r="O93" i="63"/>
  <c r="O95" i="63" s="1"/>
  <c r="K40" i="28"/>
  <c r="N137" i="62"/>
  <c r="N136" i="62"/>
  <c r="N99" i="36"/>
  <c r="N104" i="36" s="1"/>
  <c r="N113" i="36" s="1"/>
  <c r="N129" i="36" s="1"/>
  <c r="N104" i="14"/>
  <c r="N113" i="14" s="1"/>
  <c r="N129" i="14" s="1"/>
  <c r="Z159" i="61" l="1"/>
  <c r="Z167" i="61" s="1"/>
  <c r="O115" i="54"/>
  <c r="O126" i="54" s="1"/>
  <c r="O150" i="54" s="1"/>
  <c r="O154" i="54" s="1"/>
  <c r="O167" i="61"/>
  <c r="O181" i="61" s="1"/>
  <c r="O186" i="61" s="1"/>
  <c r="O155" i="4"/>
  <c r="O40" i="3"/>
  <c r="N86" i="14"/>
  <c r="O118" i="61"/>
  <c r="O44" i="63"/>
  <c r="O123" i="61"/>
  <c r="O127" i="61" s="1"/>
  <c r="O121" i="61"/>
  <c r="N80" i="37"/>
  <c r="N81" i="37" s="1"/>
  <c r="N97" i="37"/>
  <c r="N99" i="37" s="1"/>
  <c r="N101" i="37" s="1"/>
  <c r="O105" i="54"/>
  <c r="P99" i="54"/>
  <c r="O53" i="62"/>
  <c r="O58" i="62" s="1"/>
  <c r="O67" i="62" s="1"/>
  <c r="O83" i="62" s="1"/>
  <c r="N335" i="29"/>
  <c r="N339" i="29" s="1"/>
  <c r="O62" i="2"/>
  <c r="O84" i="34"/>
  <c r="O92" i="34" s="1"/>
  <c r="O105" i="34" s="1"/>
  <c r="O110" i="34" s="1"/>
  <c r="O94" i="4"/>
  <c r="N132" i="14"/>
  <c r="O74" i="3"/>
  <c r="Z94" i="4" l="1"/>
  <c r="L149" i="28"/>
  <c r="L154" i="28"/>
  <c r="P9" i="26"/>
  <c r="L31" i="28"/>
  <c r="P8" i="26"/>
  <c r="O108" i="4"/>
  <c r="O113" i="4" s="1"/>
  <c r="O76" i="3"/>
  <c r="O74" i="37"/>
  <c r="O93" i="3"/>
  <c r="O95" i="3" s="1"/>
  <c r="O62" i="35"/>
  <c r="O73" i="35" s="1"/>
  <c r="O97" i="35" s="1"/>
  <c r="O101" i="35" s="1"/>
  <c r="O73" i="2"/>
  <c r="O97" i="2" s="1"/>
  <c r="O101" i="2" s="1"/>
  <c r="O46" i="63"/>
  <c r="O47" i="63" s="1"/>
  <c r="O63" i="63"/>
  <c r="O65" i="63" s="1"/>
  <c r="O67" i="63" s="1"/>
  <c r="O163" i="4"/>
  <c r="N655" i="29"/>
  <c r="N659" i="29" s="1"/>
  <c r="O152" i="34"/>
  <c r="O160" i="34" s="1"/>
  <c r="O173" i="34" s="1"/>
  <c r="O178" i="34" s="1"/>
  <c r="O115" i="2"/>
  <c r="N132" i="36"/>
  <c r="N134" i="36" s="1"/>
  <c r="N134" i="14"/>
  <c r="N341" i="29"/>
  <c r="N340" i="29"/>
  <c r="N529" i="29"/>
  <c r="N528" i="29"/>
  <c r="N533" i="29"/>
  <c r="N352" i="29"/>
  <c r="N537" i="29"/>
  <c r="N532" i="29"/>
  <c r="O193" i="61"/>
  <c r="O197" i="61" s="1"/>
  <c r="O188" i="61"/>
  <c r="O78" i="63"/>
  <c r="O191" i="61"/>
  <c r="O206" i="61" s="1"/>
  <c r="O133" i="4"/>
  <c r="O145" i="61"/>
  <c r="O148" i="61" s="1"/>
  <c r="O150" i="61" s="1"/>
  <c r="P149" i="61" s="1"/>
  <c r="N88" i="14"/>
  <c r="N86" i="36"/>
  <c r="N88" i="36" s="1"/>
  <c r="O158" i="54"/>
  <c r="P152" i="54"/>
  <c r="O99" i="62"/>
  <c r="O104" i="62" s="1"/>
  <c r="O113" i="62" s="1"/>
  <c r="O129" i="62" s="1"/>
  <c r="O115" i="34"/>
  <c r="O112" i="34"/>
  <c r="O117" i="34"/>
  <c r="O121" i="34" s="1"/>
  <c r="O42" i="3"/>
  <c r="O59" i="3"/>
  <c r="O61" i="3" s="1"/>
  <c r="O40" i="37"/>
  <c r="L155" i="28" l="1"/>
  <c r="L150" i="28"/>
  <c r="O42" i="37"/>
  <c r="O59" i="37"/>
  <c r="O61" i="37" s="1"/>
  <c r="N91" i="14"/>
  <c r="N90" i="14"/>
  <c r="O80" i="63"/>
  <c r="O81" i="63" s="1"/>
  <c r="O97" i="63"/>
  <c r="O99" i="63" s="1"/>
  <c r="O101" i="63" s="1"/>
  <c r="N534" i="29"/>
  <c r="L132" i="28" s="1"/>
  <c r="N535" i="29"/>
  <c r="N572" i="29" s="1"/>
  <c r="L82" i="28" s="1"/>
  <c r="N137" i="36"/>
  <c r="N136" i="36"/>
  <c r="L33" i="28"/>
  <c r="O177" i="4"/>
  <c r="O182" i="4" s="1"/>
  <c r="N353" i="29"/>
  <c r="N354" i="29"/>
  <c r="N355" i="29" s="1"/>
  <c r="O126" i="2"/>
  <c r="O150" i="2" s="1"/>
  <c r="O154" i="2" s="1"/>
  <c r="O115" i="35"/>
  <c r="O126" i="35" s="1"/>
  <c r="O150" i="35" s="1"/>
  <c r="O154" i="35" s="1"/>
  <c r="O105" i="35"/>
  <c r="P99" i="35"/>
  <c r="O120" i="4"/>
  <c r="O124" i="4" s="1"/>
  <c r="L25" i="28"/>
  <c r="O115" i="4"/>
  <c r="O44" i="3"/>
  <c r="O118" i="4"/>
  <c r="L46" i="28" s="1"/>
  <c r="K96" i="28" s="1"/>
  <c r="O141" i="4"/>
  <c r="O144" i="4" s="1"/>
  <c r="O146" i="4" s="1"/>
  <c r="P145" i="4" s="1"/>
  <c r="O130" i="34"/>
  <c r="O138" i="34" s="1"/>
  <c r="O141" i="34" s="1"/>
  <c r="O143" i="34" s="1"/>
  <c r="P142" i="34" s="1"/>
  <c r="O180" i="34"/>
  <c r="O183" i="34"/>
  <c r="O185" i="34"/>
  <c r="O189" i="34" s="1"/>
  <c r="P40" i="63"/>
  <c r="O86" i="62"/>
  <c r="O88" i="62" s="1"/>
  <c r="P6" i="26"/>
  <c r="P7" i="26"/>
  <c r="N91" i="36"/>
  <c r="N90" i="36"/>
  <c r="O214" i="61"/>
  <c r="O217" i="61" s="1"/>
  <c r="O219" i="61" s="1"/>
  <c r="P218" i="61" s="1"/>
  <c r="O202" i="4"/>
  <c r="N530" i="29"/>
  <c r="L108" i="28" s="1"/>
  <c r="N531" i="29"/>
  <c r="N568" i="29" s="1"/>
  <c r="L58" i="28" s="1"/>
  <c r="N526" i="29"/>
  <c r="L102" i="28" s="1"/>
  <c r="N527" i="29"/>
  <c r="N567" i="29" s="1"/>
  <c r="L52" i="28" s="1"/>
  <c r="N137" i="14"/>
  <c r="N136" i="14"/>
  <c r="N660" i="29"/>
  <c r="N849" i="29"/>
  <c r="N661" i="29"/>
  <c r="N853" i="29"/>
  <c r="N857" i="29"/>
  <c r="N672" i="29"/>
  <c r="N848" i="29"/>
  <c r="N852" i="29"/>
  <c r="O76" i="37"/>
  <c r="O93" i="37"/>
  <c r="O95" i="37" s="1"/>
  <c r="P99" i="2"/>
  <c r="O53" i="14"/>
  <c r="O105" i="2"/>
  <c r="P89" i="61" s="1"/>
  <c r="L39" i="28" l="1"/>
  <c r="N673" i="29"/>
  <c r="N674" i="29"/>
  <c r="N675" i="29" s="1"/>
  <c r="N850" i="29"/>
  <c r="L109" i="28" s="1"/>
  <c r="N851" i="29"/>
  <c r="N888" i="29" s="1"/>
  <c r="L59" i="28" s="1"/>
  <c r="O210" i="4"/>
  <c r="O213" i="4" s="1"/>
  <c r="O215" i="4" s="1"/>
  <c r="P214" i="4" s="1"/>
  <c r="O198" i="34"/>
  <c r="O206" i="34" s="1"/>
  <c r="O209" i="34" s="1"/>
  <c r="O211" i="34" s="1"/>
  <c r="P210" i="34" s="1"/>
  <c r="P42" i="63"/>
  <c r="P59" i="63"/>
  <c r="P61" i="63" s="1"/>
  <c r="N846" i="29"/>
  <c r="L103" i="28" s="1"/>
  <c r="N847" i="29"/>
  <c r="N887" i="29" s="1"/>
  <c r="L53" i="28" s="1"/>
  <c r="P152" i="35"/>
  <c r="O158" i="35"/>
  <c r="O58" i="14"/>
  <c r="O67" i="14" s="1"/>
  <c r="O83" i="14" s="1"/>
  <c r="O53" i="36"/>
  <c r="O58" i="36" s="1"/>
  <c r="O67" i="36" s="1"/>
  <c r="O83" i="36" s="1"/>
  <c r="N854" i="29"/>
  <c r="L133" i="28" s="1"/>
  <c r="N855" i="29"/>
  <c r="N892" i="29" s="1"/>
  <c r="L83" i="28" s="1"/>
  <c r="O91" i="62"/>
  <c r="O90" i="62"/>
  <c r="P152" i="2"/>
  <c r="O158" i="2"/>
  <c r="P159" i="61" s="1"/>
  <c r="O99" i="14"/>
  <c r="L26" i="28"/>
  <c r="O189" i="4"/>
  <c r="O193" i="4" s="1"/>
  <c r="O184" i="4"/>
  <c r="O187" i="4"/>
  <c r="L47" i="28" s="1"/>
  <c r="K97" i="28" s="1"/>
  <c r="O78" i="3"/>
  <c r="P74" i="63"/>
  <c r="O132" i="62"/>
  <c r="O134" i="62" s="1"/>
  <c r="O44" i="37"/>
  <c r="O63" i="3"/>
  <c r="O46" i="3"/>
  <c r="O104" i="14" l="1"/>
  <c r="O113" i="14" s="1"/>
  <c r="O129" i="14" s="1"/>
  <c r="O99" i="36"/>
  <c r="O104" i="36" s="1"/>
  <c r="O113" i="36" s="1"/>
  <c r="O129" i="36" s="1"/>
  <c r="O137" i="62"/>
  <c r="O136" i="62"/>
  <c r="L40" i="28"/>
  <c r="O65" i="3"/>
  <c r="O67" i="3" s="1"/>
  <c r="O63" i="37"/>
  <c r="O65" i="37" s="1"/>
  <c r="O67" i="37" s="1"/>
  <c r="P76" i="63"/>
  <c r="P93" i="63"/>
  <c r="P95" i="63" s="1"/>
  <c r="AA89" i="61"/>
  <c r="AA97" i="61" s="1"/>
  <c r="P62" i="54"/>
  <c r="P73" i="54" s="1"/>
  <c r="P97" i="54" s="1"/>
  <c r="P101" i="54" s="1"/>
  <c r="P97" i="61"/>
  <c r="P111" i="61" s="1"/>
  <c r="P116" i="61" s="1"/>
  <c r="P86" i="4"/>
  <c r="AB86" i="4" s="1"/>
  <c r="AB94" i="4" s="1"/>
  <c r="O46" i="37"/>
  <c r="O47" i="37" s="1"/>
  <c r="O47" i="3"/>
  <c r="O80" i="3"/>
  <c r="O81" i="3" s="1"/>
  <c r="O97" i="3"/>
  <c r="O99" i="3" s="1"/>
  <c r="O101" i="3" s="1"/>
  <c r="O78" i="37"/>
  <c r="O80" i="37" l="1"/>
  <c r="O81" i="37" s="1"/>
  <c r="O97" i="37"/>
  <c r="O99" i="37" s="1"/>
  <c r="O101" i="37" s="1"/>
  <c r="P40" i="3"/>
  <c r="O86" i="14"/>
  <c r="P105" i="54"/>
  <c r="P53" i="62"/>
  <c r="P58" i="62" s="1"/>
  <c r="P67" i="62" s="1"/>
  <c r="P83" i="62" s="1"/>
  <c r="P84" i="34"/>
  <c r="P92" i="34" s="1"/>
  <c r="P105" i="34" s="1"/>
  <c r="P110" i="34" s="1"/>
  <c r="P94" i="4"/>
  <c r="O335" i="29"/>
  <c r="O339" i="29" s="1"/>
  <c r="P62" i="2"/>
  <c r="AA159" i="61"/>
  <c r="AA167" i="61" s="1"/>
  <c r="P115" i="54"/>
  <c r="P126" i="54" s="1"/>
  <c r="P150" i="54" s="1"/>
  <c r="P154" i="54" s="1"/>
  <c r="P167" i="61"/>
  <c r="P181" i="61" s="1"/>
  <c r="P186" i="61" s="1"/>
  <c r="P155" i="4"/>
  <c r="P74" i="3"/>
  <c r="O132" i="14"/>
  <c r="P118" i="61"/>
  <c r="P44" i="63"/>
  <c r="P123" i="61"/>
  <c r="P127" i="61" s="1"/>
  <c r="P121" i="61"/>
  <c r="AA94" i="4" l="1"/>
  <c r="M149" i="28"/>
  <c r="M154" i="28"/>
  <c r="P133" i="4"/>
  <c r="P145" i="61"/>
  <c r="P148" i="61" s="1"/>
  <c r="P150" i="61" s="1"/>
  <c r="P46" i="63"/>
  <c r="P47" i="63" s="1"/>
  <c r="P86" i="62" s="1"/>
  <c r="P88" i="62" s="1"/>
  <c r="P90" i="62" s="1"/>
  <c r="P63" i="63"/>
  <c r="P65" i="63" s="1"/>
  <c r="P67" i="63" s="1"/>
  <c r="P115" i="34"/>
  <c r="P112" i="34"/>
  <c r="P117" i="34"/>
  <c r="P121" i="34" s="1"/>
  <c r="P152" i="34"/>
  <c r="P160" i="34" s="1"/>
  <c r="P173" i="34" s="1"/>
  <c r="P178" i="34" s="1"/>
  <c r="P115" i="2"/>
  <c r="P163" i="4"/>
  <c r="O655" i="29"/>
  <c r="O659" i="29" s="1"/>
  <c r="P62" i="35"/>
  <c r="P73" i="35" s="1"/>
  <c r="P97" i="35" s="1"/>
  <c r="P101" i="35" s="1"/>
  <c r="P105" i="35" s="1"/>
  <c r="P73" i="2"/>
  <c r="P97" i="2" s="1"/>
  <c r="P101" i="2" s="1"/>
  <c r="O88" i="14"/>
  <c r="O86" i="36"/>
  <c r="O88" i="36" s="1"/>
  <c r="O134" i="14"/>
  <c r="O132" i="36"/>
  <c r="O134" i="36" s="1"/>
  <c r="O340" i="29"/>
  <c r="O529" i="29"/>
  <c r="O341" i="29"/>
  <c r="O533" i="29"/>
  <c r="O528" i="29"/>
  <c r="O352" i="29"/>
  <c r="O537" i="29"/>
  <c r="O532" i="29"/>
  <c r="P59" i="3"/>
  <c r="P61" i="3" s="1"/>
  <c r="P40" i="37"/>
  <c r="P42" i="3"/>
  <c r="P188" i="61"/>
  <c r="P193" i="61"/>
  <c r="P197" i="61" s="1"/>
  <c r="P78" i="63"/>
  <c r="P191" i="61"/>
  <c r="P206" i="61" s="1"/>
  <c r="P93" i="3"/>
  <c r="P95" i="3" s="1"/>
  <c r="P74" i="37"/>
  <c r="P76" i="3"/>
  <c r="P158" i="54"/>
  <c r="P99" i="62"/>
  <c r="P104" i="62" s="1"/>
  <c r="P113" i="62" s="1"/>
  <c r="P129" i="62" s="1"/>
  <c r="M31" i="28"/>
  <c r="P108" i="4"/>
  <c r="P113" i="4" s="1"/>
  <c r="M155" i="28" l="1"/>
  <c r="M150" i="28"/>
  <c r="P91" i="62"/>
  <c r="P202" i="4"/>
  <c r="P214" i="61"/>
  <c r="P217" i="61" s="1"/>
  <c r="P219" i="61" s="1"/>
  <c r="O534" i="29"/>
  <c r="M132" i="28" s="1"/>
  <c r="O535" i="29"/>
  <c r="O572" i="29" s="1"/>
  <c r="M82" i="28" s="1"/>
  <c r="O137" i="14"/>
  <c r="O136" i="14"/>
  <c r="P183" i="34"/>
  <c r="P180" i="34"/>
  <c r="P185" i="34"/>
  <c r="P189" i="34" s="1"/>
  <c r="M25" i="28"/>
  <c r="P115" i="4"/>
  <c r="P120" i="4"/>
  <c r="P124" i="4" s="1"/>
  <c r="P118" i="4"/>
  <c r="M46" i="28" s="1"/>
  <c r="L96" i="28" s="1"/>
  <c r="P44" i="3"/>
  <c r="P97" i="63"/>
  <c r="P99" i="63" s="1"/>
  <c r="P101" i="63" s="1"/>
  <c r="P80" i="63"/>
  <c r="P81" i="63" s="1"/>
  <c r="P132" i="62" s="1"/>
  <c r="P134" i="62" s="1"/>
  <c r="P136" i="62" s="1"/>
  <c r="O353" i="29"/>
  <c r="O354" i="29"/>
  <c r="O355" i="29" s="1"/>
  <c r="O91" i="36"/>
  <c r="O90" i="36"/>
  <c r="O661" i="29"/>
  <c r="O853" i="29"/>
  <c r="O660" i="29"/>
  <c r="O849" i="29"/>
  <c r="O672" i="29"/>
  <c r="O852" i="29"/>
  <c r="O857" i="29"/>
  <c r="O848" i="29"/>
  <c r="P42" i="37"/>
  <c r="P59" i="37"/>
  <c r="P61" i="37" s="1"/>
  <c r="P76" i="37"/>
  <c r="P93" i="37"/>
  <c r="P95" i="37" s="1"/>
  <c r="O526" i="29"/>
  <c r="M102" i="28" s="1"/>
  <c r="O527" i="29"/>
  <c r="O567" i="29" s="1"/>
  <c r="M52" i="28" s="1"/>
  <c r="O91" i="14"/>
  <c r="O90" i="14"/>
  <c r="P177" i="4"/>
  <c r="P182" i="4" s="1"/>
  <c r="M33" i="28"/>
  <c r="O530" i="29"/>
  <c r="M108" i="28" s="1"/>
  <c r="O531" i="29"/>
  <c r="O568" i="29" s="1"/>
  <c r="M58" i="28" s="1"/>
  <c r="O137" i="36"/>
  <c r="O136" i="36"/>
  <c r="P105" i="2"/>
  <c r="M39" i="28" s="1"/>
  <c r="P53" i="14"/>
  <c r="P126" i="2"/>
  <c r="P150" i="2" s="1"/>
  <c r="P154" i="2" s="1"/>
  <c r="P115" i="35"/>
  <c r="P126" i="35" s="1"/>
  <c r="P150" i="35" s="1"/>
  <c r="P154" i="35" s="1"/>
  <c r="P158" i="35" s="1"/>
  <c r="P141" i="4"/>
  <c r="P144" i="4" s="1"/>
  <c r="P146" i="4" s="1"/>
  <c r="P130" i="34"/>
  <c r="P138" i="34" s="1"/>
  <c r="P141" i="34" s="1"/>
  <c r="P143" i="34" s="1"/>
  <c r="P58" i="14" l="1"/>
  <c r="P67" i="14" s="1"/>
  <c r="P83" i="14" s="1"/>
  <c r="P53" i="36"/>
  <c r="P58" i="36" s="1"/>
  <c r="P67" i="36" s="1"/>
  <c r="P83" i="36" s="1"/>
  <c r="P184" i="4"/>
  <c r="M26" i="28"/>
  <c r="P189" i="4"/>
  <c r="P193" i="4" s="1"/>
  <c r="P187" i="4"/>
  <c r="M47" i="28" s="1"/>
  <c r="L97" i="28" s="1"/>
  <c r="P78" i="3"/>
  <c r="O854" i="29"/>
  <c r="M133" i="28" s="1"/>
  <c r="O855" i="29"/>
  <c r="O892" i="29" s="1"/>
  <c r="M83" i="28" s="1"/>
  <c r="O850" i="29"/>
  <c r="M109" i="28" s="1"/>
  <c r="O851" i="29"/>
  <c r="O888" i="29" s="1"/>
  <c r="M59" i="28" s="1"/>
  <c r="P44" i="37"/>
  <c r="P63" i="3"/>
  <c r="P46" i="3"/>
  <c r="O673" i="29"/>
  <c r="O674" i="29"/>
  <c r="O675" i="29" s="1"/>
  <c r="P158" i="2"/>
  <c r="M40" i="28" s="1"/>
  <c r="P99" i="14"/>
  <c r="O846" i="29"/>
  <c r="M103" i="28" s="1"/>
  <c r="O847" i="29"/>
  <c r="O887" i="29" s="1"/>
  <c r="M53" i="28" s="1"/>
  <c r="P137" i="62"/>
  <c r="P210" i="4"/>
  <c r="P213" i="4" s="1"/>
  <c r="P215" i="4" s="1"/>
  <c r="P198" i="34"/>
  <c r="P206" i="34" s="1"/>
  <c r="P209" i="34" s="1"/>
  <c r="P211" i="34" s="1"/>
  <c r="P99" i="36" l="1"/>
  <c r="P104" i="36" s="1"/>
  <c r="P113" i="36" s="1"/>
  <c r="P129" i="36" s="1"/>
  <c r="P104" i="14"/>
  <c r="P113" i="14" s="1"/>
  <c r="P129" i="14" s="1"/>
  <c r="P65" i="3"/>
  <c r="P67" i="3" s="1"/>
  <c r="P63" i="37"/>
  <c r="P65" i="37" s="1"/>
  <c r="P67" i="37" s="1"/>
  <c r="P80" i="3"/>
  <c r="P81" i="3" s="1"/>
  <c r="P132" i="14" s="1"/>
  <c r="P78" i="37"/>
  <c r="P97" i="3"/>
  <c r="P99" i="3" s="1"/>
  <c r="P101" i="3" s="1"/>
  <c r="P46" i="37"/>
  <c r="P47" i="37" s="1"/>
  <c r="P47" i="3"/>
  <c r="P86" i="14" s="1"/>
  <c r="P134" i="14" l="1"/>
  <c r="P137" i="14" s="1"/>
  <c r="P132" i="36"/>
  <c r="P134" i="36" s="1"/>
  <c r="P136" i="36" s="1"/>
  <c r="P86" i="36"/>
  <c r="P88" i="36" s="1"/>
  <c r="P88" i="14"/>
  <c r="P80" i="37"/>
  <c r="P81" i="37" s="1"/>
  <c r="P97" i="37"/>
  <c r="P99" i="37" s="1"/>
  <c r="P101" i="37" s="1"/>
  <c r="P91" i="14" l="1"/>
  <c r="P90" i="14"/>
  <c r="P136" i="14"/>
  <c r="P91" i="36"/>
  <c r="P90" i="36"/>
  <c r="P137" i="36"/>
</calcChain>
</file>

<file path=xl/comments1.xml><?xml version="1.0" encoding="utf-8"?>
<comments xmlns="http://schemas.openxmlformats.org/spreadsheetml/2006/main">
  <authors>
    <author>Ross Franklin</author>
  </authors>
  <commentList>
    <comment ref="E73" authorId="0">
      <text>
        <r>
          <rPr>
            <b/>
            <sz val="8"/>
            <color indexed="81"/>
            <rFont val="Tahoma"/>
            <family val="2"/>
          </rPr>
          <t>Ross Franklin:</t>
        </r>
        <r>
          <rPr>
            <sz val="8"/>
            <color indexed="81"/>
            <rFont val="Tahoma"/>
            <family val="2"/>
          </rPr>
          <t xml:space="preserve">
Base tsfr to reserves</t>
        </r>
      </text>
    </comment>
  </commentList>
</comments>
</file>

<file path=xl/comments2.xml><?xml version="1.0" encoding="utf-8"?>
<comments xmlns="http://schemas.openxmlformats.org/spreadsheetml/2006/main">
  <authors>
    <author>Jodie Bourke</author>
  </authors>
  <commentList>
    <comment ref="E6" authorId="0">
      <text>
        <r>
          <rPr>
            <b/>
            <sz val="8"/>
            <color indexed="81"/>
            <rFont val="Tahoma"/>
            <family val="2"/>
          </rPr>
          <t>Morrison Low:</t>
        </r>
        <r>
          <rPr>
            <sz val="8"/>
            <color indexed="81"/>
            <rFont val="Tahoma"/>
            <family val="2"/>
          </rPr>
          <t xml:space="preserve">
Infrastructure levy applied - 1 year permanent increase 6.7% on top of 2.3% IPART increase</t>
        </r>
      </text>
    </comment>
  </commentList>
</comments>
</file>

<file path=xl/comments3.xml><?xml version="1.0" encoding="utf-8"?>
<comments xmlns="http://schemas.openxmlformats.org/spreadsheetml/2006/main">
  <authors>
    <author>Ross Franklin</author>
  </authors>
  <commentList>
    <comment ref="H12" authorId="0">
      <text>
        <r>
          <rPr>
            <b/>
            <sz val="8"/>
            <color indexed="81"/>
            <rFont val="Tahoma"/>
            <family val="2"/>
          </rPr>
          <t>Ross Franklin:</t>
        </r>
        <r>
          <rPr>
            <sz val="8"/>
            <color indexed="81"/>
            <rFont val="Tahoma"/>
            <family val="2"/>
          </rPr>
          <t xml:space="preserve">
Changed as per email from G O'Leary 20/1/2017</t>
        </r>
      </text>
    </comment>
    <comment ref="E73" authorId="0">
      <text>
        <r>
          <rPr>
            <b/>
            <sz val="8"/>
            <color indexed="81"/>
            <rFont val="Tahoma"/>
            <family val="2"/>
          </rPr>
          <t>Ross Franklin:</t>
        </r>
        <r>
          <rPr>
            <sz val="8"/>
            <color indexed="81"/>
            <rFont val="Tahoma"/>
            <family val="2"/>
          </rPr>
          <t xml:space="preserve">
Base tsfr to reserves</t>
        </r>
      </text>
    </comment>
    <comment ref="H140" authorId="0">
      <text>
        <r>
          <rPr>
            <b/>
            <sz val="8"/>
            <color indexed="81"/>
            <rFont val="Tahoma"/>
            <family val="2"/>
          </rPr>
          <t>Ross Franklin:</t>
        </r>
        <r>
          <rPr>
            <sz val="8"/>
            <color indexed="81"/>
            <rFont val="Tahoma"/>
            <family val="2"/>
          </rPr>
          <t xml:space="preserve">
As per email 20/1/2017</t>
        </r>
      </text>
    </comment>
  </commentList>
</comments>
</file>

<file path=xl/comments4.xml><?xml version="1.0" encoding="utf-8"?>
<comments xmlns="http://schemas.openxmlformats.org/spreadsheetml/2006/main">
  <authors>
    <author>Ross Franklin</author>
  </authors>
  <commentList>
    <comment ref="E74" authorId="0">
      <text>
        <r>
          <rPr>
            <b/>
            <sz val="8"/>
            <color indexed="81"/>
            <rFont val="Tahoma"/>
            <family val="2"/>
          </rPr>
          <t>Ross Franklin:</t>
        </r>
        <r>
          <rPr>
            <sz val="8"/>
            <color indexed="81"/>
            <rFont val="Tahoma"/>
            <family val="2"/>
          </rPr>
          <t xml:space="preserve">
Base tsfr to reserves</t>
        </r>
      </text>
    </comment>
  </commentList>
</comments>
</file>

<file path=xl/comments5.xml><?xml version="1.0" encoding="utf-8"?>
<comments xmlns="http://schemas.openxmlformats.org/spreadsheetml/2006/main">
  <authors>
    <author>Ross Franklin</author>
  </authors>
  <commentList>
    <comment ref="E73" authorId="0">
      <text>
        <r>
          <rPr>
            <b/>
            <sz val="8"/>
            <color indexed="81"/>
            <rFont val="Tahoma"/>
            <family val="2"/>
          </rPr>
          <t>Ross Franklin:</t>
        </r>
        <r>
          <rPr>
            <sz val="8"/>
            <color indexed="81"/>
            <rFont val="Tahoma"/>
            <family val="2"/>
          </rPr>
          <t xml:space="preserve">
Base tsfr to reserves</t>
        </r>
      </text>
    </comment>
  </commentList>
</comments>
</file>

<file path=xl/comments6.xml><?xml version="1.0" encoding="utf-8"?>
<comments xmlns="http://schemas.openxmlformats.org/spreadsheetml/2006/main">
  <authors>
    <author>Ross Franklin</author>
  </authors>
  <commentList>
    <comment ref="E73" authorId="0">
      <text>
        <r>
          <rPr>
            <b/>
            <sz val="8"/>
            <color indexed="81"/>
            <rFont val="Tahoma"/>
            <family val="2"/>
          </rPr>
          <t>Ross Franklin:</t>
        </r>
        <r>
          <rPr>
            <sz val="8"/>
            <color indexed="81"/>
            <rFont val="Tahoma"/>
            <family val="2"/>
          </rPr>
          <t xml:space="preserve">
Base tsfr to reserves</t>
        </r>
      </text>
    </comment>
  </commentList>
</comments>
</file>

<file path=xl/comments7.xml><?xml version="1.0" encoding="utf-8"?>
<comments xmlns="http://schemas.openxmlformats.org/spreadsheetml/2006/main">
  <authors>
    <author>Ross Franklin</author>
  </authors>
  <commentList>
    <comment ref="E75" authorId="0">
      <text>
        <r>
          <rPr>
            <b/>
            <sz val="8"/>
            <color indexed="81"/>
            <rFont val="Tahoma"/>
            <family val="2"/>
          </rPr>
          <t>Ross Franklin:</t>
        </r>
        <r>
          <rPr>
            <sz val="8"/>
            <color indexed="81"/>
            <rFont val="Tahoma"/>
            <family val="2"/>
          </rPr>
          <t xml:space="preserve">
Base tsfr to reserves</t>
        </r>
      </text>
    </comment>
  </commentList>
</comments>
</file>

<file path=xl/comments8.xml><?xml version="1.0" encoding="utf-8"?>
<comments xmlns="http://schemas.openxmlformats.org/spreadsheetml/2006/main">
  <authors>
    <author>Ross Franklin</author>
  </authors>
  <commentList>
    <comment ref="C52" authorId="0">
      <text>
        <r>
          <rPr>
            <b/>
            <sz val="8"/>
            <color indexed="81"/>
            <rFont val="Tahoma"/>
            <family val="2"/>
          </rPr>
          <t>Ross Franklin:</t>
        </r>
        <r>
          <rPr>
            <sz val="8"/>
            <color indexed="81"/>
            <rFont val="Tahoma"/>
            <family val="2"/>
          </rPr>
          <t xml:space="preserve">
Adjustment to balance to total</t>
        </r>
      </text>
    </comment>
  </commentList>
</comments>
</file>

<file path=xl/sharedStrings.xml><?xml version="1.0" encoding="utf-8"?>
<sst xmlns="http://schemas.openxmlformats.org/spreadsheetml/2006/main" count="12523" uniqueCount="1645">
  <si>
    <t>2013/14</t>
  </si>
  <si>
    <t>2014/15</t>
  </si>
  <si>
    <t>2015/16</t>
  </si>
  <si>
    <t>2016/17</t>
  </si>
  <si>
    <t>2017/18</t>
  </si>
  <si>
    <t>2018/19</t>
  </si>
  <si>
    <t>2019/20</t>
  </si>
  <si>
    <t>2020/21</t>
  </si>
  <si>
    <t>2021/22</t>
  </si>
  <si>
    <t>2022/23</t>
  </si>
  <si>
    <t>INCOME</t>
  </si>
  <si>
    <t>Rates and Annual Charges</t>
  </si>
  <si>
    <t>User Charges and Fees</t>
  </si>
  <si>
    <t>Interest and Investment Revenue</t>
  </si>
  <si>
    <t>Other Revenue</t>
  </si>
  <si>
    <t>Grants and Contributions provided for Operating Purposes</t>
  </si>
  <si>
    <t>Grants Operating</t>
  </si>
  <si>
    <t>Contributions Operating</t>
  </si>
  <si>
    <t>Grants and Contributions provided for Capital Purposes</t>
  </si>
  <si>
    <t>Grants Capital</t>
  </si>
  <si>
    <t>Contributions Capital</t>
  </si>
  <si>
    <t>Gain/Loss on Disposal</t>
  </si>
  <si>
    <t>Transfers from Reserve</t>
  </si>
  <si>
    <t>Total</t>
  </si>
  <si>
    <t>EXPENSES</t>
  </si>
  <si>
    <t>Employee Benefits and On-Costs</t>
  </si>
  <si>
    <t>Employee Benefits</t>
  </si>
  <si>
    <t>Materials and Contracts</t>
  </si>
  <si>
    <t>Other Expenses</t>
  </si>
  <si>
    <t>Depreciation and Amortisation</t>
  </si>
  <si>
    <t>Capital Expenditure</t>
  </si>
  <si>
    <t>Transfers to Reserve</t>
  </si>
  <si>
    <t>Capital Additions</t>
  </si>
  <si>
    <t>Non-cash Depreciation and Amortisation</t>
  </si>
  <si>
    <t>Working Funds Surplus / (Defict)</t>
  </si>
  <si>
    <t>ASSETS</t>
  </si>
  <si>
    <t>Current Assets</t>
  </si>
  <si>
    <t>Cash and Cash Equivalents</t>
  </si>
  <si>
    <t>Investments</t>
  </si>
  <si>
    <t>Receivables</t>
  </si>
  <si>
    <t>Inventories</t>
  </si>
  <si>
    <t>Other</t>
  </si>
  <si>
    <t>Total Current Assets</t>
  </si>
  <si>
    <t>Non-Current Assets</t>
  </si>
  <si>
    <t>Infrastructure, Property, Plant and Equipment</t>
  </si>
  <si>
    <t>Total Non-Current Assets</t>
  </si>
  <si>
    <t>TOTAL ASSETS</t>
  </si>
  <si>
    <t>LIABILITIES</t>
  </si>
  <si>
    <t>Current Liabilities</t>
  </si>
  <si>
    <t>Payables</t>
  </si>
  <si>
    <t>Provisions</t>
  </si>
  <si>
    <t>Total Current Liabilities</t>
  </si>
  <si>
    <t>Non-Current Liabilities</t>
  </si>
  <si>
    <t>Total Non-Current Liabilities</t>
  </si>
  <si>
    <t>TOTAL LIABILITIES</t>
  </si>
  <si>
    <t>Net Assets</t>
  </si>
  <si>
    <t>EQUITY</t>
  </si>
  <si>
    <t>Retained Earnings</t>
  </si>
  <si>
    <t>Revaluation Reserves</t>
  </si>
  <si>
    <t>Total Equity</t>
  </si>
  <si>
    <t>2011/12</t>
  </si>
  <si>
    <t>Income from Continuing Operations</t>
  </si>
  <si>
    <t>Revenue:</t>
  </si>
  <si>
    <t>Other Income:</t>
  </si>
  <si>
    <t>Total Income from Continuing Operations</t>
  </si>
  <si>
    <t>Expenses from Continuing Operations</t>
  </si>
  <si>
    <t>Total Expenses from Continuing Operations</t>
  </si>
  <si>
    <t>Operating Result from Continuing Operations</t>
  </si>
  <si>
    <t>2012/13</t>
  </si>
  <si>
    <t>Actual</t>
  </si>
  <si>
    <t>Budget</t>
  </si>
  <si>
    <t>Projected</t>
  </si>
  <si>
    <t>As at</t>
  </si>
  <si>
    <t>For the year</t>
  </si>
  <si>
    <t>Net gain from the disposal of assets</t>
  </si>
  <si>
    <t>Discontinued Operations</t>
  </si>
  <si>
    <t>Net Operating Result for the Year</t>
  </si>
  <si>
    <t>Net Operating Result attributable to Council</t>
  </si>
  <si>
    <t>Net Operating Result attributable to Minority Interests</t>
  </si>
  <si>
    <t>Net Operating Result for the year before Grants and Contributions provided for Capital Purposes</t>
  </si>
  <si>
    <t>Income Statement</t>
  </si>
  <si>
    <t>Balance Sheet</t>
  </si>
  <si>
    <t>Cash Flows from Operating Activities</t>
  </si>
  <si>
    <t>Receipts:</t>
  </si>
  <si>
    <t>Investment and Interest Revenue Received</t>
  </si>
  <si>
    <t>Grants and Contributions</t>
  </si>
  <si>
    <t>Bonds, Deposits and Retention amounts received</t>
  </si>
  <si>
    <t>Payments:</t>
  </si>
  <si>
    <t>Bonds, Deposits and Retention amounts refunded</t>
  </si>
  <si>
    <t>Net Cash provided (or used in) Operating Activities</t>
  </si>
  <si>
    <t>Cash Flows from Investing Activities</t>
  </si>
  <si>
    <t>Sale of Real Estate Assets</t>
  </si>
  <si>
    <t>Sale of Infrastructure, Property, Plant and Equipment</t>
  </si>
  <si>
    <t>Purchase of Investment Securities</t>
  </si>
  <si>
    <t>Purchase of Infrastructure, Property, Plant and Equipment</t>
  </si>
  <si>
    <t>Purchase of Real Estate Assets</t>
  </si>
  <si>
    <t>plus: Cash and Cash Equivalents - beginning of year</t>
  </si>
  <si>
    <t>Cash and Cash Equivalents - end of year</t>
  </si>
  <si>
    <t>plus: Investments on hand - end of year</t>
  </si>
  <si>
    <t>Total Cash, Cash Equivalents and Investments</t>
  </si>
  <si>
    <t>Opening Balance</t>
  </si>
  <si>
    <t>Correction of Prior Period Errors</t>
  </si>
  <si>
    <t>Revised Opening Balance</t>
  </si>
  <si>
    <t>RETAINED EARNINGS</t>
  </si>
  <si>
    <t>Revaluations - IPP&amp;E Asset Revaluation Reserve</t>
  </si>
  <si>
    <t>Total Comprehensive Income</t>
  </si>
  <si>
    <t>Balance at End of the Reporting Period</t>
  </si>
  <si>
    <t>IPP&amp;E ASSET REVALUATION RESERVE</t>
  </si>
  <si>
    <t>COUNCIL EQUITY INTEREST</t>
  </si>
  <si>
    <t>Written Down Value of Assets Sold</t>
  </si>
  <si>
    <t>Net Cash provided (or used) in Investing Activities</t>
  </si>
  <si>
    <t>Check Net Assets</t>
  </si>
  <si>
    <t>Check Equity Statement</t>
  </si>
  <si>
    <t>Transfer of Inventory Stock to Other Assets</t>
  </si>
  <si>
    <t>Increase in ELE Provisions</t>
  </si>
  <si>
    <t>Decrease in Bonds and Deposits</t>
  </si>
  <si>
    <t>GMFORM2ANBR</t>
  </si>
  <si>
    <t>CSP</t>
  </si>
  <si>
    <t>CSP Theme</t>
  </si>
  <si>
    <t>Program</t>
  </si>
  <si>
    <t>Program Description</t>
  </si>
  <si>
    <t>Inc/Exp</t>
  </si>
  <si>
    <t>Inc/Exp Description</t>
  </si>
  <si>
    <t>Dept</t>
  </si>
  <si>
    <t>Dept Description</t>
  </si>
  <si>
    <t>Project</t>
  </si>
  <si>
    <t>A/c Type</t>
  </si>
  <si>
    <t>Job No</t>
  </si>
  <si>
    <t>Description</t>
  </si>
  <si>
    <t>Carry Forwards</t>
  </si>
  <si>
    <t>Estimate</t>
  </si>
  <si>
    <t>Variance</t>
  </si>
  <si>
    <t>Reserve</t>
  </si>
  <si>
    <t>Ledger No</t>
  </si>
  <si>
    <t>B/Forward</t>
  </si>
  <si>
    <t>Actual YTD</t>
  </si>
  <si>
    <t>Interface</t>
  </si>
  <si>
    <t>Committed</t>
  </si>
  <si>
    <t>Account Balance</t>
  </si>
  <si>
    <t>% Expended</t>
  </si>
  <si>
    <t>Mnemonic</t>
  </si>
  <si>
    <t>GMDESCSEARCH</t>
  </si>
  <si>
    <t>GMRESPCODE</t>
  </si>
  <si>
    <t>GMGRANTSRPTNBR</t>
  </si>
  <si>
    <t>GMINTERNALRPTNBR</t>
  </si>
  <si>
    <t>GMFUNCTION</t>
  </si>
  <si>
    <t>GMACTIVITY</t>
  </si>
  <si>
    <t>GMACCOUNTTYPE</t>
  </si>
  <si>
    <t>GMPROJECTNUMBER</t>
  </si>
  <si>
    <t>GMDEPARTMENT</t>
  </si>
  <si>
    <t>Search Value</t>
  </si>
  <si>
    <t>AAS27NUMBER</t>
  </si>
  <si>
    <t>Ledger Description</t>
  </si>
  <si>
    <t>Ledger Reporting No</t>
  </si>
  <si>
    <t>GPJDESCSEARCH</t>
  </si>
  <si>
    <t>GPJRESPCODE</t>
  </si>
  <si>
    <t>GPJDEPARTMENT</t>
  </si>
  <si>
    <t>GREPTSEARCHDESC</t>
  </si>
  <si>
    <t>LEVEL1</t>
  </si>
  <si>
    <t>LEVEL2</t>
  </si>
  <si>
    <t>LEVEL3</t>
  </si>
  <si>
    <t>LEVEL4</t>
  </si>
  <si>
    <t>X70DESC1</t>
  </si>
  <si>
    <t>Community Wellbeing</t>
  </si>
  <si>
    <t>01-01-04-09</t>
  </si>
  <si>
    <t>PARKSCAPE</t>
  </si>
  <si>
    <t>Community Lands and Parks</t>
  </si>
  <si>
    <t>CIVIC SPACE</t>
  </si>
  <si>
    <t>PARKS</t>
  </si>
  <si>
    <t>Prosperity &amp; Opportunities</t>
  </si>
  <si>
    <t>Responsible Leadership</t>
  </si>
  <si>
    <t>01-01-04-08</t>
  </si>
  <si>
    <t>Library</t>
  </si>
  <si>
    <t>WORKS &amp; ENGINEERING</t>
  </si>
  <si>
    <t>Domestic Waste Management</t>
  </si>
  <si>
    <t>CONTROL</t>
  </si>
  <si>
    <t>Corporate Services</t>
  </si>
  <si>
    <t>DEPT</t>
  </si>
  <si>
    <t>01-01-04-11</t>
  </si>
  <si>
    <t>Works &amp; Engineering</t>
  </si>
  <si>
    <t>E</t>
  </si>
  <si>
    <t>01-01-01-06</t>
  </si>
  <si>
    <t>Governance</t>
  </si>
  <si>
    <t>Connectivity</t>
  </si>
  <si>
    <t>COMMUNICATIONS</t>
  </si>
  <si>
    <t>STREETSCAPE</t>
  </si>
  <si>
    <t>WASTE MANAGEMEN</t>
  </si>
  <si>
    <t>Unexpended Grants</t>
  </si>
  <si>
    <t>CORPORATE SERVICES</t>
  </si>
  <si>
    <t>Information Technology</t>
  </si>
  <si>
    <t>PLANT RUNNING EXPENSES</t>
  </si>
  <si>
    <t>PARKS, PLAYGROUNDS &amp; SPORTSFIELDS</t>
  </si>
  <si>
    <t>BUILDING</t>
  </si>
  <si>
    <t>03-61-01-0008</t>
  </si>
  <si>
    <t>03-61-01-0007</t>
  </si>
  <si>
    <t>20006-004</t>
  </si>
  <si>
    <t>25 Broughton Road - HOOSH - Depreciation</t>
  </si>
  <si>
    <t>03-61-004</t>
  </si>
  <si>
    <t>20007-004</t>
  </si>
  <si>
    <t>29 Loftus Crescent, Homebush - Depreciation</t>
  </si>
  <si>
    <t>20011-004</t>
  </si>
  <si>
    <t>A2 Fraser Street - Depreciation</t>
  </si>
  <si>
    <t>01-51-01-0002</t>
  </si>
  <si>
    <t>20015-004</t>
  </si>
  <si>
    <t>Central library - Depreciation</t>
  </si>
  <si>
    <t>02-31-01-0004</t>
  </si>
  <si>
    <t>20021-004</t>
  </si>
  <si>
    <t>Enfield Hall - Depreciation</t>
  </si>
  <si>
    <t>20026-004</t>
  </si>
  <si>
    <t>Kurrallee Long Day Centre - Depreciation</t>
  </si>
  <si>
    <t>20031-004</t>
  </si>
  <si>
    <t>Strathfield CommunityCentre, 1B Bates - Depreciation</t>
  </si>
  <si>
    <t>20034-004</t>
  </si>
  <si>
    <t>Town Hall &amp; Corporate Services Offices - Depreciation</t>
  </si>
  <si>
    <t>01-22-01-0014</t>
  </si>
  <si>
    <t>20057-004</t>
  </si>
  <si>
    <t>Plant Control - Depreciation</t>
  </si>
  <si>
    <t>01-22-004</t>
  </si>
  <si>
    <t>05-44-01-0008</t>
  </si>
  <si>
    <t>02-34-01-0006</t>
  </si>
  <si>
    <t>20073-004</t>
  </si>
  <si>
    <t>Depreciation - DWM Plant</t>
  </si>
  <si>
    <t>02-34-004</t>
  </si>
  <si>
    <t>Technology</t>
  </si>
  <si>
    <t>20081-004</t>
  </si>
  <si>
    <t>Library - Depreciation</t>
  </si>
  <si>
    <t>01-51-004</t>
  </si>
  <si>
    <t>20083-004</t>
  </si>
  <si>
    <t>Parks - Depreciation</t>
  </si>
  <si>
    <t>02-31-004</t>
  </si>
  <si>
    <t>Insurance</t>
  </si>
  <si>
    <t>01-22-01-0001</t>
  </si>
  <si>
    <t>02-31-01-0006</t>
  </si>
  <si>
    <t>20148-004</t>
  </si>
  <si>
    <t>Hudson Park Golf Course - Depreciation</t>
  </si>
  <si>
    <t>20218-004</t>
  </si>
  <si>
    <t>Depot - Depreciation</t>
  </si>
  <si>
    <t>20261-004</t>
  </si>
  <si>
    <t>Works &amp; Engineering - Depreciation</t>
  </si>
  <si>
    <t>20273-004</t>
  </si>
  <si>
    <t>Asset - Bulidings - Depreciation</t>
  </si>
  <si>
    <t>20309-004</t>
  </si>
  <si>
    <t>Asset - Office Equipment - Depreciation</t>
  </si>
  <si>
    <t>05-44-004</t>
  </si>
  <si>
    <t>Section 94</t>
  </si>
  <si>
    <t>Future Major Expenditure</t>
  </si>
  <si>
    <t>20674-004</t>
  </si>
  <si>
    <t>Asset - Parks - Depreciation</t>
  </si>
  <si>
    <t>Plant Replacement</t>
  </si>
  <si>
    <t>ELE</t>
  </si>
  <si>
    <t>05-44</t>
  </si>
  <si>
    <t>05</t>
  </si>
  <si>
    <t>44</t>
  </si>
  <si>
    <t>03</t>
  </si>
  <si>
    <t>0004</t>
  </si>
  <si>
    <t>02-31</t>
  </si>
  <si>
    <t>02</t>
  </si>
  <si>
    <t>31</t>
  </si>
  <si>
    <t>Parkscape</t>
  </si>
  <si>
    <t>0007</t>
  </si>
  <si>
    <t>01</t>
  </si>
  <si>
    <t>Operational Expenditure</t>
  </si>
  <si>
    <t>02-34</t>
  </si>
  <si>
    <t>02-34-01</t>
  </si>
  <si>
    <t>34</t>
  </si>
  <si>
    <t>Waste Management</t>
  </si>
  <si>
    <t>0006</t>
  </si>
  <si>
    <t>05-44-01</t>
  </si>
  <si>
    <t>0002</t>
  </si>
  <si>
    <t>0001</t>
  </si>
  <si>
    <t>01-22</t>
  </si>
  <si>
    <t>01-22-01</t>
  </si>
  <si>
    <t>22</t>
  </si>
  <si>
    <t>Streetscape</t>
  </si>
  <si>
    <t>01-51</t>
  </si>
  <si>
    <t>51</t>
  </si>
  <si>
    <t>Library and Information Services</t>
  </si>
  <si>
    <t>03-61</t>
  </si>
  <si>
    <t>61</t>
  </si>
  <si>
    <t>Civicscape</t>
  </si>
  <si>
    <t>03-61-01</t>
  </si>
  <si>
    <t>BUILDING MAINTENANCE &amp; REPAIR</t>
  </si>
  <si>
    <t>0008</t>
  </si>
  <si>
    <t>BUILDING OPERATING EXPENSES</t>
  </si>
  <si>
    <t>004</t>
  </si>
  <si>
    <t>0011</t>
  </si>
  <si>
    <t>01-51-01</t>
  </si>
  <si>
    <t>OPERATING EXPENSES</t>
  </si>
  <si>
    <t>0014</t>
  </si>
  <si>
    <t>0015</t>
  </si>
  <si>
    <t>02-31-01</t>
  </si>
  <si>
    <t>0021</t>
  </si>
  <si>
    <t>0026</t>
  </si>
  <si>
    <t>0031</t>
  </si>
  <si>
    <t>0034</t>
  </si>
  <si>
    <t>0057</t>
  </si>
  <si>
    <t>STREETSCAPE SERVICES</t>
  </si>
  <si>
    <t>ORGANISATION SUPPORT</t>
  </si>
  <si>
    <t>0073</t>
  </si>
  <si>
    <t>GOLF COURSE</t>
  </si>
  <si>
    <t>0081</t>
  </si>
  <si>
    <t>0083</t>
  </si>
  <si>
    <t>0148</t>
  </si>
  <si>
    <t>0218</t>
  </si>
  <si>
    <t>0261</t>
  </si>
  <si>
    <t>Statement of Comprehensive Income</t>
  </si>
  <si>
    <t>Net Operating Result for the year</t>
  </si>
  <si>
    <t>Other Comprehensive Income</t>
  </si>
  <si>
    <t>Total Other Comprehensive Income for the year</t>
  </si>
  <si>
    <t>Total Comprehensive Income for the year</t>
  </si>
  <si>
    <t>Total Comprehensive Income attributable to Council</t>
  </si>
  <si>
    <t>Total Comprehensive Income attributable to Minority Interests</t>
  </si>
  <si>
    <t>Working Funds Reconciliation</t>
  </si>
  <si>
    <t>Total Non-Cash Items</t>
  </si>
  <si>
    <t>Add-back Non-Cash Items:</t>
  </si>
  <si>
    <t>Movements in Non-Current Assets:</t>
  </si>
  <si>
    <t>Increase / (Decrease) in ELE Provisions</t>
  </si>
  <si>
    <t>Increase / (Decrease) in Bonds and Deposits</t>
  </si>
  <si>
    <t>Transfer of Inventory Stock (Current Asset) to Other Assets (Non-Current Asset)</t>
  </si>
  <si>
    <t>Total Movements in Non-Current Assets</t>
  </si>
  <si>
    <t>Gain / (loss) on revaluation of IPP&amp;E</t>
  </si>
  <si>
    <t>Net Increase / (Decrease) in Cash and Cash Equivalents</t>
  </si>
  <si>
    <t>Net Profit / (Loss) from Discontinued Operations</t>
  </si>
  <si>
    <t>Movements in Reserves:</t>
  </si>
  <si>
    <t>Total Movements in Reserves</t>
  </si>
  <si>
    <t>Row Labels</t>
  </si>
  <si>
    <t>Sum of 2019 Bud</t>
  </si>
  <si>
    <t>Footpath Renewal</t>
  </si>
  <si>
    <t>Stormwater Renewal</t>
  </si>
  <si>
    <t>Strathfield Square Renewal</t>
  </si>
  <si>
    <t>Grand Total</t>
  </si>
  <si>
    <t>Capital Program</t>
  </si>
  <si>
    <t>Other New Assets</t>
  </si>
  <si>
    <t>New Infrastructure Assets</t>
  </si>
  <si>
    <t>Infrastructure Renewals</t>
  </si>
  <si>
    <t>Other Renewals</t>
  </si>
  <si>
    <t>Infrastructure Assets:</t>
  </si>
  <si>
    <t>Total Infrastructure Assets</t>
  </si>
  <si>
    <t>Other Assets:</t>
  </si>
  <si>
    <t>Total Other Assets</t>
  </si>
  <si>
    <t>Total Capital Program</t>
  </si>
  <si>
    <t>Local Government Industry Indicators</t>
  </si>
  <si>
    <t>Unrestricted Current Ratio</t>
  </si>
  <si>
    <t>Reserves Balances</t>
  </si>
  <si>
    <t>Opening</t>
  </si>
  <si>
    <t>Movement</t>
  </si>
  <si>
    <t>Balance</t>
  </si>
  <si>
    <t>Result</t>
  </si>
  <si>
    <r>
      <t xml:space="preserve">Externally Restricted </t>
    </r>
    <r>
      <rPr>
        <b/>
        <vertAlign val="superscript"/>
        <sz val="10"/>
        <rFont val="Arial"/>
        <family val="2"/>
      </rPr>
      <t>(</t>
    </r>
    <r>
      <rPr>
        <vertAlign val="superscript"/>
        <sz val="10"/>
        <rFont val="Arial"/>
        <family val="2"/>
      </rPr>
      <t>1)</t>
    </r>
  </si>
  <si>
    <t>Total Externally Restricted</t>
  </si>
  <si>
    <t>(1) Funds that must be spent for a specific purpose</t>
  </si>
  <si>
    <r>
      <t xml:space="preserve">Internally Restricted </t>
    </r>
    <r>
      <rPr>
        <vertAlign val="superscript"/>
        <sz val="10"/>
        <rFont val="Arial"/>
        <family val="2"/>
      </rPr>
      <t>(2)</t>
    </r>
  </si>
  <si>
    <t>Deposits</t>
  </si>
  <si>
    <t>Golf Course</t>
  </si>
  <si>
    <t>Adshel</t>
  </si>
  <si>
    <t>Permanent Assets</t>
  </si>
  <si>
    <t>Parkscape Improvements</t>
  </si>
  <si>
    <t>Election</t>
  </si>
  <si>
    <t>Total Internally Restricted</t>
  </si>
  <si>
    <t>(2) Funds that Council has earmarked for a specific purpose</t>
  </si>
  <si>
    <r>
      <t xml:space="preserve">Unrestricted </t>
    </r>
    <r>
      <rPr>
        <sz val="10"/>
        <rFont val="Arial"/>
        <family val="2"/>
      </rPr>
      <t xml:space="preserve">(ie. available after the above </t>
    </r>
  </si>
  <si>
    <t>Restrictions)</t>
  </si>
  <si>
    <t>Total Cash &amp; Investments</t>
  </si>
  <si>
    <t>Original</t>
  </si>
  <si>
    <t>Building and Infrastructure Renewals Ratio</t>
  </si>
  <si>
    <t>CSP Program</t>
  </si>
  <si>
    <t>Consol Prog</t>
  </si>
  <si>
    <t>Prog Acct</t>
  </si>
  <si>
    <t>2013 Orig Bud</t>
  </si>
  <si>
    <t>2014 Bud</t>
  </si>
  <si>
    <t>2015 Bud</t>
  </si>
  <si>
    <t>2016 Bud</t>
  </si>
  <si>
    <t>2017 Bud</t>
  </si>
  <si>
    <t>2018 Bud</t>
  </si>
  <si>
    <t>2019 Bud</t>
  </si>
  <si>
    <t>2020 Bud</t>
  </si>
  <si>
    <t>2021 Bud</t>
  </si>
  <si>
    <t>2022 Bud</t>
  </si>
  <si>
    <t>2023 Bud</t>
  </si>
  <si>
    <t>Fin Notes</t>
  </si>
  <si>
    <t>Note Description</t>
  </si>
  <si>
    <t>Capital Details</t>
  </si>
  <si>
    <t>Capital Funding</t>
  </si>
  <si>
    <t>4d</t>
  </si>
  <si>
    <t>0674</t>
  </si>
  <si>
    <t>0273</t>
  </si>
  <si>
    <t>0309</t>
  </si>
  <si>
    <t>2012 Actual</t>
  </si>
  <si>
    <t>Infra Renewal</t>
  </si>
  <si>
    <t>Operating Performance Ratio</t>
  </si>
  <si>
    <t>Benchmark</t>
  </si>
  <si>
    <t>Capital Expenditure Ratio</t>
  </si>
  <si>
    <t>Cash Expense Ratio (no. of months)</t>
  </si>
  <si>
    <t>DLG</t>
  </si>
  <si>
    <t>Tcorp</t>
  </si>
  <si>
    <t>Tcorp/IPWEA</t>
  </si>
  <si>
    <t>Target</t>
  </si>
  <si>
    <t>Asset Renewal Ratio - All Assets</t>
  </si>
  <si>
    <t>Asset Renewal Ratio - Building &amp; Infrastructure</t>
  </si>
  <si>
    <t>Renewals</t>
  </si>
  <si>
    <t>New Assets</t>
  </si>
  <si>
    <t>Net Operating Result</t>
  </si>
  <si>
    <t>Working Funds Balance</t>
  </si>
  <si>
    <t>Cash &amp; Investments</t>
  </si>
  <si>
    <t>Rates</t>
  </si>
  <si>
    <t>Salaries &amp; Wages (incl. oncosts)</t>
  </si>
  <si>
    <t>Financial Assistance Grant &amp; Other Grants</t>
  </si>
  <si>
    <t>Discretionary Fees &amp; Charges</t>
  </si>
  <si>
    <t>Materials &amp; Contracts</t>
  </si>
  <si>
    <t>Utilities</t>
  </si>
  <si>
    <t>Base Case</t>
  </si>
  <si>
    <t>Optimistic</t>
  </si>
  <si>
    <t>Interest / Investment Revenue</t>
  </si>
  <si>
    <t>Optimistic Income Statement</t>
  </si>
  <si>
    <t>Pessimistic</t>
  </si>
  <si>
    <t>Pessimistic Income Statement</t>
  </si>
  <si>
    <t>Revenue - Base Case</t>
  </si>
  <si>
    <t>Expenditure - Base Case</t>
  </si>
  <si>
    <t>Revenue - Pessimistic</t>
  </si>
  <si>
    <t>Expenditure - Pessimistic</t>
  </si>
  <si>
    <t>Revenue - Optimistic</t>
  </si>
  <si>
    <t>Expenditure - Optimistic</t>
  </si>
  <si>
    <t>Revenue vs Expenditure</t>
  </si>
  <si>
    <t>Pessimistic Statement of Cash Flows</t>
  </si>
  <si>
    <t>Optimistic Statement of Cash Flows</t>
  </si>
  <si>
    <t>Pessimistic Balance Sheet</t>
  </si>
  <si>
    <t>Pessimistic Statement of Changes in Equity</t>
  </si>
  <si>
    <t>Optimistic Statement of Changes in Equity</t>
  </si>
  <si>
    <t>Optimistic Balance Sheet</t>
  </si>
  <si>
    <t>Closing Cash &amp; Cash Equivalents</t>
  </si>
  <si>
    <t>Sustainable Scenario</t>
  </si>
  <si>
    <t>Sale of Investment Securities</t>
  </si>
  <si>
    <t>Revenue - Sustainable Scenario</t>
  </si>
  <si>
    <t>Expenditure - Sustainable Scenario</t>
  </si>
  <si>
    <t>Sustainable Income Statement</t>
  </si>
  <si>
    <t>Sustainable Statement of Cash Flows</t>
  </si>
  <si>
    <t>Sustainable Balance Sheet</t>
  </si>
  <si>
    <t>Sustainable Statement of Changes in Equity</t>
  </si>
  <si>
    <t>Sustainable Statement of Comprehensive Income</t>
  </si>
  <si>
    <t>Sustainable Working Funds Reconciliation</t>
  </si>
  <si>
    <t>Debt Service Ratio</t>
  </si>
  <si>
    <t>Rate Coverage Ratio</t>
  </si>
  <si>
    <t>Own Source Operating Revenue</t>
  </si>
  <si>
    <t>Debt Service Cover Ratio</t>
  </si>
  <si>
    <t>Interest Cover Ratio</t>
  </si>
  <si>
    <t>Financially Sustainable Scenario</t>
  </si>
  <si>
    <t>Net Operating Result (Including Capital Revenue)</t>
  </si>
  <si>
    <t>Net Operating Result (Excluding Capital Revenue)</t>
  </si>
  <si>
    <t>Scenario 2 - Financially Sustainable</t>
  </si>
  <si>
    <t>Additional Capex - Option 2</t>
  </si>
  <si>
    <t>(Infrastructure asset Renewals)</t>
  </si>
  <si>
    <t>Add Opening Balance</t>
  </si>
  <si>
    <t xml:space="preserve">Closing Balance Working Funds </t>
  </si>
  <si>
    <t>Summary</t>
  </si>
  <si>
    <t>Average Increase</t>
  </si>
  <si>
    <t>Annual</t>
  </si>
  <si>
    <t>Monthly</t>
  </si>
  <si>
    <t>Weekly</t>
  </si>
  <si>
    <t>Residential - Rate Peg 2.3%</t>
  </si>
  <si>
    <t>Business - Rate Peg 2.3%</t>
  </si>
  <si>
    <t>Residential - Rate Peg 2.3% &amp; 6.7% SRV</t>
  </si>
  <si>
    <t>Business - Rate Peg 2.3% &amp; 6.7% SRV</t>
  </si>
  <si>
    <t>Estimates at 6 January 2014 for Rates Levies 2014/2015</t>
  </si>
  <si>
    <t>Current Levy 2013/14</t>
  </si>
  <si>
    <t>Rate Peg 2.3% 2014/15</t>
  </si>
  <si>
    <t>Increase</t>
  </si>
  <si>
    <t>Inc %</t>
  </si>
  <si>
    <t>Land Values</t>
  </si>
  <si>
    <t>Average</t>
  </si>
  <si>
    <t>New Rate 9% 2014/15</t>
  </si>
  <si>
    <t>New 9% 2014/15</t>
  </si>
  <si>
    <t xml:space="preserve">Residential </t>
  </si>
  <si>
    <t>Business</t>
  </si>
  <si>
    <t>Estimate for 2014/15 at 2.3% Peg Increase</t>
  </si>
  <si>
    <t xml:space="preserve">At 2.3% Residential </t>
  </si>
  <si>
    <t xml:space="preserve">At 2.3% Business </t>
  </si>
  <si>
    <t>Total at 2.3%</t>
  </si>
  <si>
    <t>Estimate for 2014/15 at 2.3% Peg &amp; 6.7% SRV Increase</t>
  </si>
  <si>
    <t xml:space="preserve">At 9% Residential </t>
  </si>
  <si>
    <t>At 9% Business</t>
  </si>
  <si>
    <t>Total at 9%</t>
  </si>
  <si>
    <t>Increase from 2.3% peg Inc</t>
  </si>
  <si>
    <t>Increase from 2013/14</t>
  </si>
  <si>
    <t>Financially Sustainable (A) Scenario</t>
  </si>
  <si>
    <t>Residential rates</t>
  </si>
  <si>
    <t>Residential properties</t>
  </si>
  <si>
    <t>Business rates</t>
  </si>
  <si>
    <t>Business properties</t>
  </si>
  <si>
    <t>Closing Balance Working Funds</t>
  </si>
  <si>
    <t>Other road contribution</t>
  </si>
  <si>
    <t>Financial Assistance Grant</t>
  </si>
  <si>
    <t>Scenario 1 - Base Case</t>
  </si>
  <si>
    <t>Cash &amp; Investments Base Case</t>
  </si>
  <si>
    <t>2013  Opening balances updated.  No changes made to movements</t>
  </si>
  <si>
    <r>
      <rPr>
        <b/>
        <sz val="12"/>
        <rFont val="Arial"/>
        <family val="2"/>
      </rPr>
      <t>Notes</t>
    </r>
    <r>
      <rPr>
        <sz val="12"/>
        <rFont val="Arial"/>
        <family val="2"/>
      </rPr>
      <t xml:space="preserve">: </t>
    </r>
  </si>
  <si>
    <t>Reserve movements do not agree with LTFP movements in income statement (working funds calculation)</t>
  </si>
  <si>
    <t>Capex as per Inc statement</t>
  </si>
  <si>
    <t>Variance in spreadsheet Capex</t>
  </si>
  <si>
    <t>Net amount of additional Asset renewals</t>
  </si>
  <si>
    <t>CAPEX</t>
  </si>
  <si>
    <t>Difference</t>
  </si>
  <si>
    <t>Note 13(a)</t>
  </si>
  <si>
    <t>Who</t>
  </si>
  <si>
    <t xml:space="preserve">DLG/Tcorp </t>
  </si>
  <si>
    <t>(Tcorp)</t>
  </si>
  <si>
    <t>&gt;2.0x</t>
  </si>
  <si>
    <t>&gt;110%</t>
  </si>
  <si>
    <t>&gt; 3</t>
  </si>
  <si>
    <t>&gt;  4x</t>
  </si>
  <si>
    <t>&gt;  -4%</t>
  </si>
  <si>
    <t>&gt; 60%</t>
  </si>
  <si>
    <t>Working Funds Movement</t>
  </si>
  <si>
    <t>Including Capital Revenue</t>
  </si>
  <si>
    <t>Excluding Capital Revenue</t>
  </si>
  <si>
    <t>2023/24</t>
  </si>
  <si>
    <t>2024/25</t>
  </si>
  <si>
    <t xml:space="preserve"> </t>
  </si>
  <si>
    <t>Strathfield Council</t>
  </si>
  <si>
    <t>Population &amp; Rates revenue projections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</si>
  <si>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</si>
  <si>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</si>
  <si>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</si>
  <si>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</si>
  <si>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</si>
  <si>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</si>
  <si>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</si>
  <si>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</si>
  <si>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</si>
  <si>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</si>
  <si>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Year 13</t>
  </si>
  <si>
    <t>Year 14</t>
  </si>
  <si>
    <t>Year 15</t>
  </si>
  <si>
    <t>Year 16</t>
  </si>
  <si>
    <t>Year 17</t>
  </si>
  <si>
    <t>Year 18</t>
  </si>
  <si>
    <t>Year</t>
  </si>
  <si>
    <t>Current 2013-23 LTFP</t>
  </si>
  <si>
    <t>Current 2020+</t>
  </si>
  <si>
    <t>2014-24 LTFP</t>
  </si>
  <si>
    <t>Annual Percentage movement over period ending</t>
  </si>
  <si>
    <t>Annual Population Movement - revised</t>
  </si>
  <si>
    <t xml:space="preserve"> new properties at 2.2 persons per property</t>
  </si>
  <si>
    <t>No of new properties used for LTFP revenue projections</t>
  </si>
  <si>
    <t>Additional Rates Revenue from Growth</t>
  </si>
  <si>
    <t>Additional Rates based on 2014/15 Base rate</t>
  </si>
  <si>
    <t>Cumulative value of additional rates (excl inflation)</t>
  </si>
  <si>
    <t>Inflation factor</t>
  </si>
  <si>
    <t>Waste Management Annual Charges</t>
  </si>
  <si>
    <t>Additional Waste management revenue</t>
  </si>
  <si>
    <t>Additional Waste management expenditure</t>
  </si>
  <si>
    <t>Cumulative change in revenue\expenditure</t>
  </si>
  <si>
    <t>Stormwater Management Charges</t>
  </si>
  <si>
    <t>Rateable Residential Property Growth Over 12 Years</t>
  </si>
  <si>
    <t>Years</t>
  </si>
  <si>
    <t>Begin</t>
  </si>
  <si>
    <t>End</t>
  </si>
  <si>
    <t>(as at 28/3/15)     2015/2016 (projection only)</t>
  </si>
  <si>
    <t>2014/2015</t>
  </si>
  <si>
    <t>2013/2014</t>
  </si>
  <si>
    <t>2012/2013</t>
  </si>
  <si>
    <t>2011/2012</t>
  </si>
  <si>
    <t>2010/2011</t>
  </si>
  <si>
    <t>2009/2010</t>
  </si>
  <si>
    <t>2008/2009</t>
  </si>
  <si>
    <t>2007/2008</t>
  </si>
  <si>
    <t>2006/2007</t>
  </si>
  <si>
    <t>2005/2006</t>
  </si>
  <si>
    <t>2004/2005</t>
  </si>
  <si>
    <t>Total Residential Growth From 2004 to 2015</t>
  </si>
  <si>
    <t>Overall Average</t>
  </si>
  <si>
    <t>new properties per annum</t>
  </si>
  <si>
    <t>Last 4 year average</t>
  </si>
  <si>
    <t>Strathfield Council uses the Base Method (not minimum)</t>
  </si>
  <si>
    <t>Current Base for 2014/2015</t>
  </si>
  <si>
    <t>Proposed Base for 2015/2016</t>
  </si>
  <si>
    <t>Year 0</t>
  </si>
  <si>
    <t>Cumulative value of additional rates (incl inflation)</t>
  </si>
  <si>
    <t>General Rate Revenue</t>
  </si>
  <si>
    <t>Planned</t>
  </si>
  <si>
    <t>IPART</t>
  </si>
  <si>
    <t>User Fees &amp; Charges</t>
  </si>
  <si>
    <t>Additional Revenue fom Development Contributions</t>
  </si>
  <si>
    <t>Additional Interest on S94</t>
  </si>
  <si>
    <t>Cumulative increase</t>
  </si>
  <si>
    <t>Depreciation</t>
  </si>
  <si>
    <t>per IPART</t>
  </si>
  <si>
    <t>Sum of 2016 Budget</t>
  </si>
  <si>
    <t>Sum of 2017 Budget</t>
  </si>
  <si>
    <t>Sum of 2018 Budget</t>
  </si>
  <si>
    <t>Sum of 2020 Budget</t>
  </si>
  <si>
    <t>Sum of 2021 Budget</t>
  </si>
  <si>
    <t>Sum of 2022 Budget</t>
  </si>
  <si>
    <t>Sum of 2023 Budget</t>
  </si>
  <si>
    <t>Sum of 2024 Budget</t>
  </si>
  <si>
    <t>Sum of 2025 Budget</t>
  </si>
  <si>
    <t>Building Renewal</t>
  </si>
  <si>
    <t>Library book</t>
  </si>
  <si>
    <t>Office Equipment New</t>
  </si>
  <si>
    <t>Park improv Hudson park</t>
  </si>
  <si>
    <t>Road Renewal</t>
  </si>
  <si>
    <t>Roadside Assets New</t>
  </si>
  <si>
    <t>Waste Management Renewal</t>
  </si>
  <si>
    <t>Traffic Facilities Renewal</t>
  </si>
  <si>
    <t>Park improvements</t>
  </si>
  <si>
    <t>Base Case Capex Data (as supplied 19/5/15)</t>
  </si>
  <si>
    <t>Uninflated data</t>
  </si>
  <si>
    <t>Museum</t>
  </si>
  <si>
    <t>Roadside Assets Renewal</t>
  </si>
  <si>
    <t xml:space="preserve">New Building </t>
  </si>
  <si>
    <t>New Park</t>
  </si>
  <si>
    <t>New Road</t>
  </si>
  <si>
    <t>Base Materials and Contracts</t>
  </si>
  <si>
    <t>Buildings and Infrastructure</t>
  </si>
  <si>
    <t>Other Depreciation</t>
  </si>
  <si>
    <t>Total Depreciation</t>
  </si>
  <si>
    <t>Building &amp; Infrastructure Renewals</t>
  </si>
  <si>
    <t>Building &amp; Infrastructure renewals ratio</t>
  </si>
  <si>
    <t xml:space="preserve"> 2017 Budget</t>
  </si>
  <si>
    <t xml:space="preserve"> 2018 Budget</t>
  </si>
  <si>
    <t xml:space="preserve"> 2020 Budget</t>
  </si>
  <si>
    <t xml:space="preserve"> 2021 Budget</t>
  </si>
  <si>
    <t xml:space="preserve"> 2022 Budget</t>
  </si>
  <si>
    <t xml:space="preserve"> 2023 Budget</t>
  </si>
  <si>
    <t xml:space="preserve"> 2024 Budget</t>
  </si>
  <si>
    <t xml:space="preserve"> 2025 Budget</t>
  </si>
  <si>
    <t>Building &amp; Infrastructure</t>
  </si>
  <si>
    <t>May 2015 Data</t>
  </si>
  <si>
    <t>SRV to increase revenue base</t>
  </si>
  <si>
    <t>Base rates</t>
  </si>
  <si>
    <t>2015 Original Budget</t>
  </si>
  <si>
    <t>2015 Actual to 31.3.15</t>
  </si>
  <si>
    <t>2016 Budget</t>
  </si>
  <si>
    <t>2017 Budget</t>
  </si>
  <si>
    <t>2018 Budget</t>
  </si>
  <si>
    <t>2020 Budget</t>
  </si>
  <si>
    <t>2021 Budget</t>
  </si>
  <si>
    <t>2022 Budget</t>
  </si>
  <si>
    <t>2023 Budget</t>
  </si>
  <si>
    <t>2024 Budget</t>
  </si>
  <si>
    <t>2025 Budget</t>
  </si>
  <si>
    <t>028</t>
  </si>
  <si>
    <t>10029-028</t>
  </si>
  <si>
    <t>20004-028</t>
  </si>
  <si>
    <t>1 Loftus Cres, Homebush - Repairs &amp; Maintenance</t>
  </si>
  <si>
    <t>20006-028</t>
  </si>
  <si>
    <t>25 Broughton Road - HOOSH - Repairs &amp; Maintenace</t>
  </si>
  <si>
    <t>20007-028</t>
  </si>
  <si>
    <t>29 Loftus Crescent, Homebush - Repairs &amp; Maintenance</t>
  </si>
  <si>
    <t>20008-028</t>
  </si>
  <si>
    <t>30 Loftus Cres, Homebush - Repairs &amp; Maintenance</t>
  </si>
  <si>
    <t>20009-028</t>
  </si>
  <si>
    <t>52 Redmyre Rd - Early C/hood Centre - M &amp; R Building</t>
  </si>
  <si>
    <t>20011-028</t>
  </si>
  <si>
    <t>Strathfield Childrens' Centre - Routine Maintenance</t>
  </si>
  <si>
    <t>20012-028</t>
  </si>
  <si>
    <t>Bates Street Kindergarten - 1A Bates Street - Repairs &amp; Maintenance</t>
  </si>
  <si>
    <t>20013-028</t>
  </si>
  <si>
    <t>Branch library - Repairs &amp; Maintenance</t>
  </si>
  <si>
    <t>01-22-01-0007</t>
  </si>
  <si>
    <t>20014-028</t>
  </si>
  <si>
    <t>Bus Shelter Sheds - Repairs &amp; Maintenance</t>
  </si>
  <si>
    <t>20015-028</t>
  </si>
  <si>
    <t>Central library - Repairs &amp; Maintenance</t>
  </si>
  <si>
    <t>20019-028</t>
  </si>
  <si>
    <t>20021-028</t>
  </si>
  <si>
    <t>Enfield Hall - Repairs &amp; Maintenance</t>
  </si>
  <si>
    <t>20023-028</t>
  </si>
  <si>
    <t>28 Pomeroy St - Repairs &amp; Maintenance</t>
  </si>
  <si>
    <t>20024-028</t>
  </si>
  <si>
    <t>Homebush Bowling Club - Repairs &amp; Maintenance</t>
  </si>
  <si>
    <t>20025-028</t>
  </si>
  <si>
    <t>Ismay Ave Community Facility - Repairs &amp; Maintenance</t>
  </si>
  <si>
    <t>20026-028</t>
  </si>
  <si>
    <t>Kurrallee Long Day Centre - Repairs &amp; Maintenance</t>
  </si>
  <si>
    <t>20027-028</t>
  </si>
  <si>
    <t>20028-028</t>
  </si>
  <si>
    <t>20029-028</t>
  </si>
  <si>
    <t>20030-028</t>
  </si>
  <si>
    <t>20031-028</t>
  </si>
  <si>
    <t>Strathfield CommunityCentre, 1B Bates - Repairs &amp; Maintenance</t>
  </si>
  <si>
    <t>20032-028</t>
  </si>
  <si>
    <t>Strathfield Square Kiosk - Repairs &amp; Maintenance</t>
  </si>
  <si>
    <t>20033-028</t>
  </si>
  <si>
    <t>Technical Services Office - Repairs &amp; Maintenance</t>
  </si>
  <si>
    <t>20034-028</t>
  </si>
  <si>
    <t>Town Hall &amp; Corporate Services Offices - Repairs &amp; Maintenance</t>
  </si>
  <si>
    <t>02-46-01-0002</t>
  </si>
  <si>
    <t>20065-028</t>
  </si>
  <si>
    <t>20068-028</t>
  </si>
  <si>
    <t>Council Office - Repairs &amp; Maintenance</t>
  </si>
  <si>
    <t>01-22-01-0017</t>
  </si>
  <si>
    <t>20071-028</t>
  </si>
  <si>
    <t>Depot Maintenance &amp; Repairs</t>
  </si>
  <si>
    <t>02-34-01-0002</t>
  </si>
  <si>
    <t>20073-028</t>
  </si>
  <si>
    <t>01-45-01-0003</t>
  </si>
  <si>
    <t>20080-028</t>
  </si>
  <si>
    <t>20081-028</t>
  </si>
  <si>
    <t>20083-028</t>
  </si>
  <si>
    <t>Parks Reserves - General Maintenance</t>
  </si>
  <si>
    <t>01-22-01-0013</t>
  </si>
  <si>
    <t>20089-028</t>
  </si>
  <si>
    <t>01-22-01-0003</t>
  </si>
  <si>
    <t>20093-028</t>
  </si>
  <si>
    <t>02-31-01-0015</t>
  </si>
  <si>
    <t>20129-028</t>
  </si>
  <si>
    <t>Nature Strips - Repairs &amp; Maintenance</t>
  </si>
  <si>
    <t>02-31-01-0002</t>
  </si>
  <si>
    <t>20130-028</t>
  </si>
  <si>
    <t>Street Trees - Repairs &amp; maintenance</t>
  </si>
  <si>
    <t>20133-028</t>
  </si>
  <si>
    <t>Airey Park - Repairs &amp; Maintenance</t>
  </si>
  <si>
    <t>20135-028</t>
  </si>
  <si>
    <t>Bark Huts - Repairs &amp; Maintenance</t>
  </si>
  <si>
    <t>20136-028</t>
  </si>
  <si>
    <t>Begnell Field - Repairs &amp; Maintenance</t>
  </si>
  <si>
    <t>20138-028</t>
  </si>
  <si>
    <t>20140-028</t>
  </si>
  <si>
    <t>Chain of Ponds - Repairs &amp; Maintenance</t>
  </si>
  <si>
    <t>20141-028</t>
  </si>
  <si>
    <t>Cooke Park - Repairs &amp; Maintenance</t>
  </si>
  <si>
    <t>20142-028</t>
  </si>
  <si>
    <t>Coronation Reserve - Repairs &amp; Maintenance</t>
  </si>
  <si>
    <t>20143-028</t>
  </si>
  <si>
    <t>Croquet Greens - Repairs &amp; Maintenance</t>
  </si>
  <si>
    <t>20144-028</t>
  </si>
  <si>
    <t>20146-028</t>
  </si>
  <si>
    <t>Ford Park - Repairs &amp; Maintenance</t>
  </si>
  <si>
    <t>20147-028</t>
  </si>
  <si>
    <t>20148-028</t>
  </si>
  <si>
    <t>Hudson Park Golf Course - Repairs &amp; Maintenace</t>
  </si>
  <si>
    <t>20149-028</t>
  </si>
  <si>
    <t>Hudson Park Oval - Repairs &amp; Maintenance</t>
  </si>
  <si>
    <t>20151-028</t>
  </si>
  <si>
    <t>20153-028</t>
  </si>
  <si>
    <t>Mason Park - Repairs &amp; Maintenance</t>
  </si>
  <si>
    <t>20156-028</t>
  </si>
  <si>
    <t>20157-028</t>
  </si>
  <si>
    <t>Playground Equipment - Repairs &amp; Maintenance</t>
  </si>
  <si>
    <t>20159-028</t>
  </si>
  <si>
    <t>Strathfield Park - Repairs &amp; Maintenance</t>
  </si>
  <si>
    <t>03-61-01-0001</t>
  </si>
  <si>
    <t>20160-028</t>
  </si>
  <si>
    <t>Strathfield Square - Repairs &amp; Maintenance</t>
  </si>
  <si>
    <t>20162-028</t>
  </si>
  <si>
    <t>01-22-01-0004</t>
  </si>
  <si>
    <t>20198-028</t>
  </si>
  <si>
    <t>Footpaths - Maintenance &amp; Repairs</t>
  </si>
  <si>
    <t>01-22-01-0015</t>
  </si>
  <si>
    <t>20201-028</t>
  </si>
  <si>
    <t>Kerb &amp; Guttering - Repairs &amp; Maintenance</t>
  </si>
  <si>
    <t>01-22-01-0011</t>
  </si>
  <si>
    <t>20202-028</t>
  </si>
  <si>
    <t>01-22-01-0022</t>
  </si>
  <si>
    <t>20207-028</t>
  </si>
  <si>
    <t>20208-028</t>
  </si>
  <si>
    <t>20210-028</t>
  </si>
  <si>
    <t>01-22-01-0005</t>
  </si>
  <si>
    <t>20215-028</t>
  </si>
  <si>
    <t>Drainage - Repairs &amp; Maintenance - LTFP</t>
  </si>
  <si>
    <t>20216-028</t>
  </si>
  <si>
    <t>20218-028</t>
  </si>
  <si>
    <t>Depot - Repairs &amp; Maintenance</t>
  </si>
  <si>
    <t>20219-028</t>
  </si>
  <si>
    <t>Dean Reserve - Repairs &amp; Maintenance</t>
  </si>
  <si>
    <t>02-31-01-0017</t>
  </si>
  <si>
    <t>20243-028</t>
  </si>
  <si>
    <t>20246-028</t>
  </si>
  <si>
    <t>Ordinary Roads - Repairs &amp; Maintenance</t>
  </si>
  <si>
    <t>02-31-01-0018</t>
  </si>
  <si>
    <t>20248-028</t>
  </si>
  <si>
    <t>02-31-01-0016</t>
  </si>
  <si>
    <t>20251-028</t>
  </si>
  <si>
    <t>20270-028</t>
  </si>
  <si>
    <t>Fences - Repairs &amp; Maintenance</t>
  </si>
  <si>
    <t>20308-028</t>
  </si>
  <si>
    <t>02-31-01-0001</t>
  </si>
  <si>
    <t>20380-028</t>
  </si>
  <si>
    <t>Irrigation systems - Repairs &amp; Maintenance</t>
  </si>
  <si>
    <t>20381-028</t>
  </si>
  <si>
    <t>Park Trees - Repairs &amp; Maintenance</t>
  </si>
  <si>
    <t>20382-028</t>
  </si>
  <si>
    <t>02-34-01-0005</t>
  </si>
  <si>
    <t>20413-028</t>
  </si>
  <si>
    <t>20416-028</t>
  </si>
  <si>
    <t>Tree Pruning - Repairs &amp; Maintenance</t>
  </si>
  <si>
    <t>20580-028</t>
  </si>
  <si>
    <t>Additional Building Maintenance for LTFP</t>
  </si>
  <si>
    <t>20617-028</t>
  </si>
  <si>
    <t>20619-028</t>
  </si>
  <si>
    <t>20875-028</t>
  </si>
  <si>
    <t>SRV Revenue Required</t>
  </si>
  <si>
    <t>SRV %age required</t>
  </si>
  <si>
    <t>New rates revenue</t>
  </si>
  <si>
    <t>Inflated impact of SRV</t>
  </si>
  <si>
    <t>Revised Operating Surplus (excl Capital Revenue)</t>
  </si>
  <si>
    <t>Operating Surplus ratio (3 year Average)</t>
  </si>
  <si>
    <t xml:space="preserve">Operating Surplus ratio </t>
  </si>
  <si>
    <t>(NB:  Calculation assumes asset maintenance ratio is being met - see separate Improvement Model calculations)</t>
  </si>
  <si>
    <t>REPAIRS AND MAINTENANCE LISTING as per 10 year Plan</t>
  </si>
  <si>
    <t>IRMain</t>
  </si>
  <si>
    <t>20198-029</t>
  </si>
  <si>
    <t>Footpaths M &amp; R - Salaries &amp; Wages</t>
  </si>
  <si>
    <t>20198-063</t>
  </si>
  <si>
    <t>Paved Footpaths - M &amp; R Concrete</t>
  </si>
  <si>
    <t>20198-099</t>
  </si>
  <si>
    <t>Footpaths - Plant Hire</t>
  </si>
  <si>
    <t>20198-100</t>
  </si>
  <si>
    <t>Footpaths M &amp; R - Oncosts</t>
  </si>
  <si>
    <t>20207-029</t>
  </si>
  <si>
    <t>Traffic &amp; Street Signs M &amp; R - Salaries &amp; Wages</t>
  </si>
  <si>
    <t>20207-099</t>
  </si>
  <si>
    <t>Traffic &amp; Street Signs - Plant Hire</t>
  </si>
  <si>
    <t>20207-100</t>
  </si>
  <si>
    <t>Traffic &amp; Street Signs - Oncosts</t>
  </si>
  <si>
    <t>20207-122</t>
  </si>
  <si>
    <t>Traffic &amp; Street Signs - Materials</t>
  </si>
  <si>
    <t>20208-029</t>
  </si>
  <si>
    <t>Reinstatements - Footpaths - Salaries &amp; Wages</t>
  </si>
  <si>
    <t>20208-099</t>
  </si>
  <si>
    <t>Reinstatements - Footpaths - Plant Hire</t>
  </si>
  <si>
    <t>20208-100</t>
  </si>
  <si>
    <t>Reinstatements - Footpaths - Oncosts</t>
  </si>
  <si>
    <t>20215-029</t>
  </si>
  <si>
    <t>Drainage Maintenance - Salaries &amp; Wages</t>
  </si>
  <si>
    <t>20215-099</t>
  </si>
  <si>
    <t>Drainage - Plant Hire</t>
  </si>
  <si>
    <t>20215-100</t>
  </si>
  <si>
    <t>Drainage Maintenance - Oncosts</t>
  </si>
  <si>
    <t>20215-122</t>
  </si>
  <si>
    <t>Drainage Maintenance - Materials</t>
  </si>
  <si>
    <t>20217-013</t>
  </si>
  <si>
    <t>Cox's Creek Bushland Restoration - Insurance</t>
  </si>
  <si>
    <t>20217-029</t>
  </si>
  <si>
    <t>Cox's Creek Bushland Restoration - Salaries &amp; Wages</t>
  </si>
  <si>
    <t>20217-099</t>
  </si>
  <si>
    <t>Cox's Creek Bushland Restoration - Plant Hire</t>
  </si>
  <si>
    <t>20217-100</t>
  </si>
  <si>
    <t>Cox's Creek Bushland Restoration - Oncosts</t>
  </si>
  <si>
    <t>Elliot Reserve - Repairs &amp; Maintenance</t>
  </si>
  <si>
    <t>20625-029</t>
  </si>
  <si>
    <t>Local Roads Unplanned Maintenance - Salaries &amp; Wages</t>
  </si>
  <si>
    <t>20625-100</t>
  </si>
  <si>
    <t>Local Roads Unplanned Maintenance - Oncosts</t>
  </si>
  <si>
    <t>20625-122</t>
  </si>
  <si>
    <t>Local Roads Unplanned Maintenance - Materials</t>
  </si>
  <si>
    <t>20626-099</t>
  </si>
  <si>
    <t>Local Roads Routine Roadside Maintenance - Plant Hire</t>
  </si>
  <si>
    <t>20626-122</t>
  </si>
  <si>
    <t>Local Roads Routine Roadside Maintenance - Materials</t>
  </si>
  <si>
    <t>20627-122</t>
  </si>
  <si>
    <t>Local Roads Routine Pavement Maintenance - Materials</t>
  </si>
  <si>
    <t>20630-122</t>
  </si>
  <si>
    <t>Bridge/Culvert Maintenance - Materials</t>
  </si>
  <si>
    <t>20632-029</t>
  </si>
  <si>
    <t>Regional Roads Unplanned Maintenance - Salaries &amp; Wages</t>
  </si>
  <si>
    <t>20632-100</t>
  </si>
  <si>
    <t>Regional Roads Unplanned Maintenance - Oncosts</t>
  </si>
  <si>
    <t>20157-029</t>
  </si>
  <si>
    <t>Playground Equipment - Salaries &amp; Wages</t>
  </si>
  <si>
    <t>Not Sure</t>
  </si>
  <si>
    <t>20157-099</t>
  </si>
  <si>
    <t>Playground Equipment - Plant Hire</t>
  </si>
  <si>
    <t>20157-100</t>
  </si>
  <si>
    <t>Playground Equipment - Oncosts</t>
  </si>
  <si>
    <t>Budget Maintenance</t>
  </si>
  <si>
    <t>Current Ratio</t>
  </si>
  <si>
    <t>Shortfall</t>
  </si>
  <si>
    <t>ok</t>
  </si>
  <si>
    <t>New asset as per program</t>
  </si>
  <si>
    <t>Asset Renewals</t>
  </si>
  <si>
    <t>Other Assets</t>
  </si>
  <si>
    <t>CAPITAL EXPENDITURE</t>
  </si>
  <si>
    <t>Benchmark Calculations</t>
  </si>
  <si>
    <t>As per Fit for the future criteria</t>
  </si>
  <si>
    <t>(000s)</t>
  </si>
  <si>
    <t>Operating Performance Ratio
(Bm = greater or equal to break even over 3 years)</t>
  </si>
  <si>
    <t>Operating Performance Ratio - 3 year average</t>
  </si>
  <si>
    <t>Operating Revenue(excl Capital Grants and Contributions) less Operating Expenses</t>
  </si>
  <si>
    <t>Operating Revenue (excl Capital Grants and Contributions etc)</t>
  </si>
  <si>
    <t>Own Source Operating Revenue Ratio (Fiscal flexibility reliance on external funding) BM&gt;60%</t>
  </si>
  <si>
    <t>Revenue less grants &amp; Subsidies</t>
  </si>
  <si>
    <t>Total Operating Revenue (incl Capital Grants and Contributions)</t>
  </si>
  <si>
    <t>Debt Service  Ratio (greater than 0 and less than 20%)</t>
  </si>
  <si>
    <t>Average over 3 years</t>
  </si>
  <si>
    <t>Debt Service Costs</t>
  </si>
  <si>
    <t>Borrowing Costs (Interest)</t>
  </si>
  <si>
    <t>Principal Payments from Cashflow plus Borrowing Costs</t>
  </si>
  <si>
    <r>
      <rPr>
        <b/>
        <sz val="11"/>
        <color theme="1"/>
        <rFont val="Arial"/>
        <family val="2"/>
      </rPr>
      <t>Real Operating Expenditure per Capita</t>
    </r>
    <r>
      <rPr>
        <sz val="11"/>
        <color theme="1"/>
        <rFont val="Arial"/>
        <family val="2"/>
      </rPr>
      <t xml:space="preserve"> (trend of real operating expenditure/population) BM = Declining trend</t>
    </r>
  </si>
  <si>
    <r>
      <rPr>
        <b/>
        <sz val="11"/>
        <color theme="1"/>
        <rFont val="Arial"/>
        <family val="2"/>
      </rPr>
      <t>Real Operating Expenditure per Capita</t>
    </r>
    <r>
      <rPr>
        <sz val="11"/>
        <color theme="1"/>
        <rFont val="Arial"/>
        <family val="2"/>
      </rPr>
      <t xml:space="preserve"> (trend )</t>
    </r>
  </si>
  <si>
    <r>
      <t xml:space="preserve">Population      </t>
    </r>
    <r>
      <rPr>
        <sz val="11"/>
        <color rgb="FFFF0000"/>
        <rFont val="Arial"/>
        <family val="2"/>
      </rPr>
      <t>(see row 712)</t>
    </r>
  </si>
  <si>
    <t>Real Expenditure (uninflated)</t>
  </si>
  <si>
    <t>Inflation (per LTFP)</t>
  </si>
  <si>
    <t>Cumulative Inflation</t>
  </si>
  <si>
    <t>Total Expenses from continuing operations</t>
  </si>
  <si>
    <t>Net Loss on disposal of Assets</t>
  </si>
  <si>
    <t>Net share of losses Joint Ventures &amp; Associates</t>
  </si>
  <si>
    <t>Revaluation Decrements</t>
  </si>
  <si>
    <t>Net Expenses for Calculation</t>
  </si>
  <si>
    <t>Building &amp; Infrastructure Renewals Ratio (Proportion spent on renewals versus asset deterioration) BM 1.0x</t>
  </si>
  <si>
    <t>Asset Renewals (Building &amp; Infrastructure)</t>
  </si>
  <si>
    <t>Depreciation of Building and Infrastructure Assets</t>
  </si>
  <si>
    <t>Maintenance ratio</t>
  </si>
  <si>
    <t>Backlog ratio</t>
  </si>
  <si>
    <t>2025/26</t>
  </si>
  <si>
    <t>The 2016/17 budget is used as the base budget with the following major item assumptions:</t>
  </si>
  <si>
    <t>Increase in rates revenue</t>
  </si>
  <si>
    <t>Assumptions years 5 - 10</t>
  </si>
  <si>
    <t>Drainage</t>
  </si>
  <si>
    <t>Buildings</t>
  </si>
  <si>
    <t>Total Capital Expenditure</t>
  </si>
  <si>
    <t xml:space="preserve"> 2026 Budget</t>
  </si>
  <si>
    <t>Last updated from data received 18/5/2016</t>
  </si>
  <si>
    <t>Morrison Low Fit For Future Analysis</t>
  </si>
  <si>
    <t>Operating Results</t>
  </si>
  <si>
    <t>Source: Council Financial Statements and Long Term Financial Plan</t>
  </si>
  <si>
    <t>Rates &amp; Annual Charges</t>
  </si>
  <si>
    <t>Grants &amp; Contributions - Operations</t>
  </si>
  <si>
    <t>Grants &amp; Contributions for Capital</t>
  </si>
  <si>
    <t>Interest and Investment Income</t>
  </si>
  <si>
    <t>Gains from disposal assets</t>
  </si>
  <si>
    <t>Other Income</t>
  </si>
  <si>
    <t>Total Income</t>
  </si>
  <si>
    <t>Income excl Gains\losses</t>
  </si>
  <si>
    <t>Income excl Gains\losses &amp; Capital Grants</t>
  </si>
  <si>
    <t>Expenses</t>
  </si>
  <si>
    <t>Borrowing Costs</t>
  </si>
  <si>
    <t>Gains &amp; losses on disposal</t>
  </si>
  <si>
    <t>Depreciation &amp; Amortisation</t>
  </si>
  <si>
    <t>All other Expenses</t>
  </si>
  <si>
    <t>Total Expenses</t>
  </si>
  <si>
    <t>Operating Result</t>
  </si>
  <si>
    <t>Operating Result before grants &amp; contributions for capital purposes</t>
  </si>
  <si>
    <t>Operating Result (excl Gains\losses and capital grants)</t>
  </si>
  <si>
    <t>EBITDA</t>
  </si>
  <si>
    <t>Cash &amp; Cash Equivalents</t>
  </si>
  <si>
    <t>Non-current Assets Held for Sale</t>
  </si>
  <si>
    <t>Infrastructure Property &amp; Equip</t>
  </si>
  <si>
    <t>Investments Accounted for using the Equity Method</t>
  </si>
  <si>
    <t>Investment Property</t>
  </si>
  <si>
    <t>Intangible Assets</t>
  </si>
  <si>
    <t>Total Non Current Assets</t>
  </si>
  <si>
    <t>Borrowings -  current</t>
  </si>
  <si>
    <t>Borrowings - Non current</t>
  </si>
  <si>
    <t>Total Non Current Liabilities</t>
  </si>
  <si>
    <t>NET ASSETS</t>
  </si>
  <si>
    <t>Council Equity Interests</t>
  </si>
  <si>
    <t>Non-controlling Interests</t>
  </si>
  <si>
    <t>Statement of Cashflows</t>
  </si>
  <si>
    <t>Key Data</t>
  </si>
  <si>
    <t>Sale of Assets</t>
  </si>
  <si>
    <t>Loan Borrowing</t>
  </si>
  <si>
    <t>Principle Repayments</t>
  </si>
  <si>
    <t>Closing Cash &amp; Cash equivalents</t>
  </si>
  <si>
    <t>New Capital Works</t>
  </si>
  <si>
    <t>Replacement/refurbishment of existing assets</t>
  </si>
  <si>
    <t>Total Capital</t>
  </si>
  <si>
    <t>Council</t>
  </si>
  <si>
    <t>Number of Councillors</t>
  </si>
  <si>
    <t>Population</t>
  </si>
  <si>
    <t>FTE's</t>
  </si>
  <si>
    <t>Details of Capital Expenditure (as provided by council)</t>
  </si>
  <si>
    <t>Asset Renewals - Buildings and Infrastructure</t>
  </si>
  <si>
    <t>Asset Renewals - Other assets</t>
  </si>
  <si>
    <t>Total Asset Renewals</t>
  </si>
  <si>
    <t>New Assets - Buildings and Infrastructure</t>
  </si>
  <si>
    <t>New Assets - other assets</t>
  </si>
  <si>
    <t>Total New Assets</t>
  </si>
  <si>
    <t>Land Improvements - Depreciable</t>
  </si>
  <si>
    <t>Park Assets</t>
  </si>
  <si>
    <t>Buildings - Non Specialised</t>
  </si>
  <si>
    <t>Buildings - Specialised</t>
  </si>
  <si>
    <t>Other Structures</t>
  </si>
  <si>
    <t>Roads, Bridges Footpaths</t>
  </si>
  <si>
    <t>Stormwater Drainage</t>
  </si>
  <si>
    <t>Other (non infrastructure\buildings)</t>
  </si>
  <si>
    <t>Depreciation - Buildings &amp; Infrastructure</t>
  </si>
  <si>
    <t>Asset data</t>
  </si>
  <si>
    <t>Special Schedule 7 and Note 9a</t>
  </si>
  <si>
    <t>C2S</t>
  </si>
  <si>
    <t>Required maintenance</t>
  </si>
  <si>
    <t>Actual maintenance</t>
  </si>
  <si>
    <t>CRC</t>
  </si>
  <si>
    <t>WDV</t>
  </si>
  <si>
    <t>Annual Depreciation</t>
  </si>
  <si>
    <t>Roads Assets</t>
  </si>
  <si>
    <t>Open Space &amp; recreation</t>
  </si>
  <si>
    <t>Other Infrastructure assets</t>
  </si>
  <si>
    <t>TOTALS</t>
  </si>
  <si>
    <t>Residential</t>
  </si>
  <si>
    <t>Base Rate</t>
  </si>
  <si>
    <t>Min Rate</t>
  </si>
  <si>
    <t>Revenue</t>
  </si>
  <si>
    <t>Units</t>
  </si>
  <si>
    <t>Value</t>
  </si>
  <si>
    <t>Average Rates</t>
  </si>
  <si>
    <t>Average Land value</t>
  </si>
  <si>
    <t>Fit for the future benchmarks</t>
  </si>
  <si>
    <t>BENCHMARK</t>
  </si>
  <si>
    <t>Operating Performance Ratio (greater or equal to break-even average over 3 years)</t>
  </si>
  <si>
    <t>Own Source Revenue Ratio (greater than 60% average over 3 years)</t>
  </si>
  <si>
    <t xml:space="preserve">Building and Infrastructure Asset Renewal Ratio (greater than 100% average over 3 years) </t>
  </si>
  <si>
    <t xml:space="preserve"> Infrastructure Backlog Ratio (less than 2%) </t>
  </si>
  <si>
    <t>Asset Maintenance Ratio  (greater than 100% average over 3 years)</t>
  </si>
  <si>
    <t xml:space="preserve">Debt Service Ratio (greater than 0 and less than or equal to 20% average over 3 years) </t>
  </si>
  <si>
    <t>A decrease in Real Operating Expenditure per capita over time</t>
  </si>
  <si>
    <t>Unrestricted Current ratio</t>
  </si>
  <si>
    <t>restricted current assets (s94)</t>
  </si>
  <si>
    <t>Revised Current assets</t>
  </si>
  <si>
    <t>Current liabilities</t>
  </si>
  <si>
    <t xml:space="preserve">restricted current assets </t>
  </si>
  <si>
    <t>Unrestricted Current Liabilities</t>
  </si>
  <si>
    <t>Unrestricted Current Asstes</t>
  </si>
  <si>
    <t>Calculation of Cumulative Inflation factors</t>
  </si>
  <si>
    <t>Gain (Loss) on revaluation of I,PP&amp;E</t>
  </si>
  <si>
    <t>Amounts which will not be reclassified subsequently to the Operating Result</t>
  </si>
  <si>
    <t>PLEASE TICK THE BOXES TO CHOSE DATA TO BE MODELED</t>
  </si>
  <si>
    <t>2019/2020</t>
  </si>
  <si>
    <t>Which Asset Data do you want to Model</t>
  </si>
  <si>
    <t xml:space="preserve">Operating Performance Ratio </t>
  </si>
  <si>
    <t>Morrison Low</t>
  </si>
  <si>
    <t xml:space="preserve">Own Source Revenue Ratio </t>
  </si>
  <si>
    <t>Maintenance  (only pick one)</t>
  </si>
  <si>
    <t>Building and Infrastructure Asset Renewal Ratio</t>
  </si>
  <si>
    <t>Cost to Satisfactory / backlog  (only pick one)</t>
  </si>
  <si>
    <t>Asset Maintenance Ratio</t>
  </si>
  <si>
    <t>Include Improvement Opportunitys Identified (as per improvement opportunitys sheet)</t>
  </si>
  <si>
    <t>Yes</t>
  </si>
  <si>
    <t>Decrease in Real Operating Expenditure</t>
  </si>
  <si>
    <t>Cash Position</t>
  </si>
  <si>
    <t xml:space="preserve"> 2019 Budget</t>
  </si>
  <si>
    <t>Funding</t>
  </si>
  <si>
    <t>Roads</t>
  </si>
  <si>
    <t>Required Maintenance as per 2013/14  &amp; 2014/15 annual reports</t>
  </si>
  <si>
    <t>Actual Reported Maintenance 2014/15</t>
  </si>
  <si>
    <t>2026 Budget</t>
  </si>
  <si>
    <t>Manually adjusted</t>
  </si>
  <si>
    <t>Required maintenance based on % of CRC</t>
  </si>
  <si>
    <t>CRC as per calcs</t>
  </si>
  <si>
    <t>Mainteance as % of CRC</t>
  </si>
  <si>
    <t>per year</t>
  </si>
  <si>
    <t>See 2017 maint ratio sheet for the latest model calculations</t>
  </si>
  <si>
    <t>%age increase</t>
  </si>
  <si>
    <t>Extra raes revenue from growth - first 4 years</t>
  </si>
  <si>
    <t>Muswellbrook Shire Council</t>
  </si>
  <si>
    <t>Muswellbrook</t>
  </si>
  <si>
    <t>2026/27</t>
  </si>
  <si>
    <t>Share of interests in joint ventures and associates</t>
  </si>
  <si>
    <t>Impairment</t>
  </si>
  <si>
    <t>Net Losses from the disposal of assets</t>
  </si>
  <si>
    <t>Investments accounted for using the equity method</t>
  </si>
  <si>
    <t>Borrowings</t>
  </si>
  <si>
    <t>Sale of Investment Property</t>
  </si>
  <si>
    <t>Purchase of Investment Property</t>
  </si>
  <si>
    <t>Cash Flows from Financing Activities</t>
  </si>
  <si>
    <t>Proceeds from Borrowing and Advances</t>
  </si>
  <si>
    <t>Repayment of borrowing and advances</t>
  </si>
  <si>
    <t>2017-2027 LTFP</t>
  </si>
  <si>
    <t>Description of Scenarios</t>
  </si>
  <si>
    <t>Scenario 1 - Base Case (BAU)</t>
  </si>
  <si>
    <t>Revenue - Scenario 1 Base Case</t>
  </si>
  <si>
    <t>Revenue - Scenario 2</t>
  </si>
  <si>
    <t>Expenditure - Scenario 2</t>
  </si>
  <si>
    <t>Revenue - Scenario 3</t>
  </si>
  <si>
    <t>Expenditure - Scenario 3</t>
  </si>
  <si>
    <t>Scenario 2  Income Statement</t>
  </si>
  <si>
    <t>Scenario 3  Income Statement</t>
  </si>
  <si>
    <t>Scenario 3 Statement of Cash Flows</t>
  </si>
  <si>
    <t>Scenario 2 Statement of Cash Flows</t>
  </si>
  <si>
    <t>Scenario 3 Balance Sheet</t>
  </si>
  <si>
    <t>Scenario 2 Balance Sheet</t>
  </si>
  <si>
    <t>Scenario 1 - Base Case Balance Sheet</t>
  </si>
  <si>
    <t>Scenario 1 Statement of Changes in Equity</t>
  </si>
  <si>
    <t>Scenario 2 Statement of Changes in Equity</t>
  </si>
  <si>
    <t>Scenario 3 Statement of Changes in Equity</t>
  </si>
  <si>
    <t>Internal revenue for elimination</t>
  </si>
  <si>
    <t>Gross Materials and contracts</t>
  </si>
  <si>
    <t>Overheads</t>
  </si>
  <si>
    <t>Water &amp; Sewer Fund</t>
  </si>
  <si>
    <t>General Fund</t>
  </si>
  <si>
    <t>CONSOLIDATED</t>
  </si>
  <si>
    <t>Capital Expenditure - New Assets</t>
  </si>
  <si>
    <t>Capital Expenditure - Asset Renewals</t>
  </si>
  <si>
    <t>Loan Repayments</t>
  </si>
  <si>
    <t>Funded By</t>
  </si>
  <si>
    <t>Capital Grants</t>
  </si>
  <si>
    <t>Capital Contributions</t>
  </si>
  <si>
    <t>Borrowed funds</t>
  </si>
  <si>
    <t>Asset Ssales</t>
  </si>
  <si>
    <t>Transfers to Reserves</t>
  </si>
  <si>
    <t>Capital Budget - NO SRV</t>
  </si>
  <si>
    <t>Funding Sources</t>
  </si>
  <si>
    <t>2011/12 Budget (Original)</t>
  </si>
  <si>
    <t>2016/17 Budget (Original)</t>
  </si>
  <si>
    <t>2016/17 Budget (December Review)</t>
  </si>
  <si>
    <t>2017/18 Planned</t>
  </si>
  <si>
    <t>2018/19 Planned</t>
  </si>
  <si>
    <t>2019/20 Planned</t>
  </si>
  <si>
    <t>2020/21 Planned</t>
  </si>
  <si>
    <t>Borrowed Funds</t>
  </si>
  <si>
    <t>Total Capital Funds</t>
  </si>
  <si>
    <t>Capital Works/Purchases</t>
  </si>
  <si>
    <t>Budgeted Result</t>
  </si>
  <si>
    <t>Capital Budget - CONSOLIDATED</t>
  </si>
  <si>
    <t>Capital Budget - General Fund</t>
  </si>
  <si>
    <t>Capital Budget - Water &amp; Sewer Funds</t>
  </si>
  <si>
    <t>Assumptions 2017/18</t>
  </si>
  <si>
    <t>Assumptions years 2- 4</t>
  </si>
  <si>
    <t>Borrowing Interest Rate</t>
  </si>
  <si>
    <t>Rates - Growth in rating Base</t>
  </si>
  <si>
    <t>Scenario 1 - Statement of Cash Flows</t>
  </si>
  <si>
    <t>Capital Expenditure - New Assets (Invest properties)</t>
  </si>
  <si>
    <t>Capital Expenditure - New Assets Investment properties</t>
  </si>
  <si>
    <t>Average borrowing interest rate</t>
  </si>
  <si>
    <t>Depreciation Buildings &amp; Infrastructure (gen Fund)</t>
  </si>
  <si>
    <t>Base  (year ended)</t>
  </si>
  <si>
    <t>Proposed Capital Works Programmes Allocations 2017/18 to 2020/21</t>
  </si>
  <si>
    <t>Proposed 2017/18 Allocation</t>
  </si>
  <si>
    <t>Proposed 2018/19 Allocation</t>
  </si>
  <si>
    <t>Proposed 2019/20 Allocation</t>
  </si>
  <si>
    <t>Proposed 2020/21 Allocation</t>
  </si>
  <si>
    <t xml:space="preserve">           - Regional Roads Renewal</t>
  </si>
  <si>
    <t xml:space="preserve">           - Roads Reseal Programme</t>
  </si>
  <si>
    <t xml:space="preserve">           - Urban Road Renewal Programme</t>
  </si>
  <si>
    <t xml:space="preserve">           - Rural Road Renewal Pogramme</t>
  </si>
  <si>
    <t xml:space="preserve">           - Rural Road Regravelling</t>
  </si>
  <si>
    <t xml:space="preserve">           - Heavy Patching Programme</t>
  </si>
  <si>
    <t>Mine Affected Roads</t>
  </si>
  <si>
    <t>Bridges Programme</t>
  </si>
  <si>
    <t>Kerb and gutter</t>
  </si>
  <si>
    <t>Cycleways and footpaths</t>
  </si>
  <si>
    <t>Carparks</t>
  </si>
  <si>
    <t>Other Minor Programmes</t>
  </si>
  <si>
    <t>Traffic safety / control devices</t>
  </si>
  <si>
    <t>Works Fleet and Vehicles</t>
  </si>
  <si>
    <t xml:space="preserve">               - Recreation Renewals</t>
  </si>
  <si>
    <t xml:space="preserve">               - Sporting Grants</t>
  </si>
  <si>
    <t xml:space="preserve">               - Aquatic Centres</t>
  </si>
  <si>
    <t xml:space="preserve">               - Cemeteries </t>
  </si>
  <si>
    <t xml:space="preserve">              - Tree Management</t>
  </si>
  <si>
    <t xml:space="preserve">               - Buildings</t>
  </si>
  <si>
    <t>Waste</t>
  </si>
  <si>
    <t xml:space="preserve">                -  Vehicles</t>
  </si>
  <si>
    <t xml:space="preserve">                - Library Books Programme</t>
  </si>
  <si>
    <t xml:space="preserve">                - Works Depot Fuel Tanks</t>
  </si>
  <si>
    <t xml:space="preserve">                - Information Services Strategy</t>
  </si>
  <si>
    <t xml:space="preserve">                - Capital Works Contingency</t>
  </si>
  <si>
    <t xml:space="preserve">                - Corporate Services Programme</t>
  </si>
  <si>
    <t>Emergency management</t>
  </si>
  <si>
    <t>Upgrades/New</t>
  </si>
  <si>
    <t xml:space="preserve">           - Denman Masterplan</t>
  </si>
  <si>
    <t>CBD Programme</t>
  </si>
  <si>
    <t xml:space="preserve">               - Renewable Energy</t>
  </si>
  <si>
    <t xml:space="preserve">                - Public Art</t>
  </si>
  <si>
    <t xml:space="preserve">                - Art Acquistions</t>
  </si>
  <si>
    <t xml:space="preserve">                - Commercial Buildings</t>
  </si>
  <si>
    <t>Including SRV and Related Projects</t>
  </si>
  <si>
    <t>Recreation and Buildings</t>
  </si>
  <si>
    <t>Corporate services</t>
  </si>
  <si>
    <t>New/Upgrade</t>
  </si>
  <si>
    <t xml:space="preserve">               - Convention Centre</t>
  </si>
  <si>
    <t>New Capital Works/Purchases</t>
  </si>
  <si>
    <t>New Investment Properties</t>
  </si>
  <si>
    <t>Muswellbrook Shire Council Estimates for 2017/18 to 2020/21</t>
  </si>
  <si>
    <t>Fund:</t>
  </si>
  <si>
    <t>All Funds</t>
  </si>
  <si>
    <t>Business Unit:</t>
  </si>
  <si>
    <t>Consolidated General, Water, Sewer and Commercial Buildings Funds - With SRV</t>
  </si>
  <si>
    <t>2016/17 Original Budget</t>
  </si>
  <si>
    <t>September 2016 Review Budget</t>
  </si>
  <si>
    <t>2017/18 Budget</t>
  </si>
  <si>
    <t>YTD Actuals</t>
  </si>
  <si>
    <t>2018/19 Budget</t>
  </si>
  <si>
    <t>2019/20 Budget</t>
  </si>
  <si>
    <t>2020/21 Budget</t>
  </si>
  <si>
    <t>Revenues</t>
  </si>
  <si>
    <t>Rates and Charges</t>
  </si>
  <si>
    <t>Interest and Investments Revenues</t>
  </si>
  <si>
    <t>Other Revenues</t>
  </si>
  <si>
    <t>Operating Grants and Contributions</t>
  </si>
  <si>
    <t>Internal Revenue</t>
  </si>
  <si>
    <t>Total Operating Revenues</t>
  </si>
  <si>
    <t>Wages and Salaries</t>
  </si>
  <si>
    <t>Other Costs</t>
  </si>
  <si>
    <t>Total Operating Expenses</t>
  </si>
  <si>
    <t>Total Operating Result Before Capital</t>
  </si>
  <si>
    <t>Consolidated General , Water &amp; Sewer Funds</t>
  </si>
  <si>
    <t>General Fund (Including Future Fund)</t>
  </si>
  <si>
    <t>Consolidated General Fund</t>
  </si>
  <si>
    <t>Future Funds</t>
  </si>
  <si>
    <t>Education Division and Commercial Division Fund</t>
  </si>
  <si>
    <t>General Fund Principal Activities - Use of General Revenues</t>
  </si>
  <si>
    <t>Fleet Operations</t>
  </si>
  <si>
    <t>Total Fleet Operations</t>
  </si>
  <si>
    <t>Recreation</t>
  </si>
  <si>
    <t>Total Recreation</t>
  </si>
  <si>
    <t>Aquatic Centres</t>
  </si>
  <si>
    <t>Total Aquatic Centres</t>
  </si>
  <si>
    <t>Roads and Drainage - Works</t>
  </si>
  <si>
    <t>Total Roads and Drainage - Works</t>
  </si>
  <si>
    <t>Technical Services</t>
  </si>
  <si>
    <t>Total Technical Services</t>
  </si>
  <si>
    <t>Domestic Waste</t>
  </si>
  <si>
    <t>Total Domestic Waste</t>
  </si>
  <si>
    <t>Waste Management Facility</t>
  </si>
  <si>
    <t>Total Waste Management Facility</t>
  </si>
  <si>
    <t>Economic Development and Community Services</t>
  </si>
  <si>
    <t>Total Economic Development and Community Services</t>
  </si>
  <si>
    <t>Human Resources and Safety</t>
  </si>
  <si>
    <t>Total Human Resources and Safety</t>
  </si>
  <si>
    <t>Property and Building Services</t>
  </si>
  <si>
    <t>Total Property and Building Services</t>
  </si>
  <si>
    <t>Financial Services</t>
  </si>
  <si>
    <t>Total Financial Services</t>
  </si>
  <si>
    <t>Cultural</t>
  </si>
  <si>
    <t>Total Cultural</t>
  </si>
  <si>
    <t>Libraries</t>
  </si>
  <si>
    <t>Total Libraries</t>
  </si>
  <si>
    <t>Information Services</t>
  </si>
  <si>
    <t>Total Information Services</t>
  </si>
  <si>
    <t>Customer Service and Administration</t>
  </si>
  <si>
    <t>Total Customer Service and Administration</t>
  </si>
  <si>
    <t>Emergency Services</t>
  </si>
  <si>
    <t>Total Emergency Services</t>
  </si>
  <si>
    <t>Environmental Planning</t>
  </si>
  <si>
    <t>Total Environmental Planning</t>
  </si>
  <si>
    <t>Regulatory Services</t>
  </si>
  <si>
    <t>Total Regulatory Services</t>
  </si>
  <si>
    <t>Integrated Planning</t>
  </si>
  <si>
    <t>Total Integrated Planning</t>
  </si>
  <si>
    <t>Executive Services</t>
  </si>
  <si>
    <t>Total Executive Services</t>
  </si>
  <si>
    <t>Corporate Services Management</t>
  </si>
  <si>
    <t>Total Corporate Services Management</t>
  </si>
  <si>
    <t>Sustainability</t>
  </si>
  <si>
    <t>Total Sustainability</t>
  </si>
  <si>
    <t>Education Division</t>
  </si>
  <si>
    <t>Total Education Division</t>
  </si>
  <si>
    <t>Commercial Division</t>
  </si>
  <si>
    <t>Total Commercial Division</t>
  </si>
  <si>
    <t xml:space="preserve">Minor Funds Principal Activities </t>
  </si>
  <si>
    <t>Water</t>
  </si>
  <si>
    <t>Total Water</t>
  </si>
  <si>
    <t>Sewer</t>
  </si>
  <si>
    <t>Total Sewer</t>
  </si>
  <si>
    <t>Consolidated General, Water, Sewer and Commercial Buildings Funds - Without SRV</t>
  </si>
  <si>
    <t>Internal Revenue (net)</t>
  </si>
  <si>
    <t>GENERAL FUND</t>
  </si>
  <si>
    <t>WATER &amp; SEWER FUNDS</t>
  </si>
  <si>
    <t>General</t>
  </si>
  <si>
    <t>Minor Funds Principal Activities</t>
  </si>
  <si>
    <t>Exclude</t>
  </si>
  <si>
    <t>and deduct from materials &amp; contracts</t>
  </si>
  <si>
    <t>Add to materials &amp; contracts</t>
  </si>
  <si>
    <t xml:space="preserve">Exclude </t>
  </si>
  <si>
    <t>Net difference deducted from materials &amp; contracts</t>
  </si>
  <si>
    <t>New works</t>
  </si>
  <si>
    <t>Additional Spend with SRV (Gen Fund)</t>
  </si>
  <si>
    <t>Transfer to Reserves</t>
  </si>
  <si>
    <t xml:space="preserve">                - VPA Funds</t>
  </si>
  <si>
    <t xml:space="preserve">                - Waste Facility Remediation</t>
  </si>
  <si>
    <t>TOTAL CAPITAL EXPENDITURE</t>
  </si>
  <si>
    <t>Scenario 2 - SRV with proactive response</t>
  </si>
  <si>
    <t>Renewals by category</t>
  </si>
  <si>
    <t>Buildings &amp; Infrastructure</t>
  </si>
  <si>
    <t>Plant &amp; Vehicles</t>
  </si>
  <si>
    <t>General Fund - Scenario 1</t>
  </si>
  <si>
    <t>Water &amp; Sewer Fund - Scenario 1</t>
  </si>
  <si>
    <t>General Fund - Scenario 2</t>
  </si>
  <si>
    <t>Water &amp; Sewer Fund - Scenario 2</t>
  </si>
  <si>
    <t>Scenario 1</t>
  </si>
  <si>
    <t>2016 New South Wales State and Local Government Area Population Projections</t>
  </si>
  <si>
    <t>source</t>
  </si>
  <si>
    <t>NSW Govt Dept of Planning &amp; Environment</t>
  </si>
  <si>
    <t xml:space="preserve">Capital Program </t>
  </si>
  <si>
    <t>CONSOLIDATED - Scenario 1  Building &amp; Infrastructure Renewals</t>
  </si>
  <si>
    <t>CONSOLIDATED - Scenario 2  Building &amp; Infrastructure Renewals</t>
  </si>
  <si>
    <t>Estimate of Future Rate Pegging</t>
  </si>
  <si>
    <t>IPART Factor</t>
  </si>
  <si>
    <t>Inflation</t>
  </si>
  <si>
    <t>Projected Rate Peg</t>
  </si>
  <si>
    <t>Employee Costs</t>
  </si>
  <si>
    <t>Energy</t>
  </si>
  <si>
    <t>Construction</t>
  </si>
  <si>
    <t>Productivity Gain Factor</t>
  </si>
  <si>
    <t>Ave CPI excluding productivity gain</t>
  </si>
  <si>
    <t>With higher Energy Cost Assumption &amp; no productivity gain</t>
  </si>
  <si>
    <t>With lower productivity gain factor</t>
  </si>
  <si>
    <t>Based onLTFP Model Assumptions - Years 1-4</t>
  </si>
  <si>
    <t>Based onLTFP Model Assumptions - Years 5-10</t>
  </si>
  <si>
    <t>Scenario 2</t>
  </si>
  <si>
    <t>Scenario 3</t>
  </si>
  <si>
    <t>SCENARIO 2</t>
  </si>
  <si>
    <t>Water &amp; Sewer Fund - Scenario 3</t>
  </si>
  <si>
    <t>General Fund - Scenario 3</t>
  </si>
  <si>
    <t>SCENARIO 3</t>
  </si>
  <si>
    <t>CONSOLIDATED - Scenario 3  Building &amp; Infrastructure Renewals</t>
  </si>
  <si>
    <t xml:space="preserve">Net Operating Result for the Year (excl Capital Grants) </t>
  </si>
  <si>
    <t>ANNUAL MEASURE</t>
  </si>
  <si>
    <t>Net Operating Result for the Year (excl Capital Grants)  -  Annual Measure</t>
  </si>
  <si>
    <t>Operating Performance Ratio (General Fund) - Annual Measure</t>
  </si>
  <si>
    <t>Own Source Revenue (General Fund) - Annual Measure</t>
  </si>
  <si>
    <t>Building &amp; Infrastructure Renewals Ratio (General Fund) - Annual Measure</t>
  </si>
  <si>
    <t>Infrastructure Backlog Ratio (General Fund) - Annual Measure</t>
  </si>
  <si>
    <t>Asset Maintenance Ratio (General Fund) - Annual Measure</t>
  </si>
  <si>
    <t>Debt Service Ratio (General Fund) - Annual Measure</t>
  </si>
  <si>
    <t>Real Operating Expenditure per capita trend (General Fund) - Annual Measure</t>
  </si>
  <si>
    <t>Operating Performance Ratio (General Fund) - 3 Year trend</t>
  </si>
  <si>
    <t>Own Source Revenue (General Fund)- 3 Year trend</t>
  </si>
  <si>
    <t>Building &amp; Infrastructure Renewals Ratio (General Fund) - 3 Year trend</t>
  </si>
  <si>
    <t>Infrastructure Backlog Ratio (General Fund) - 3 Year trend</t>
  </si>
  <si>
    <t>Asset Maintenance Ratio (General Fund) - 3 Year trend</t>
  </si>
  <si>
    <t>Debt Service Ratio (General Fund) - 3 Year trend</t>
  </si>
  <si>
    <t>User Charges - Water &amp; Sewer</t>
  </si>
  <si>
    <t>Manually adjust</t>
  </si>
  <si>
    <t>Need to manually adjust</t>
  </si>
  <si>
    <t>Muswellbrook LTFP Scenarios - FFF Ratios</t>
  </si>
  <si>
    <t>Muswellbrook Shire Council - 2017 -2027 LTFP Assumptions</t>
  </si>
  <si>
    <t>Calculation of Revenue Impact due to changes in mining properties</t>
  </si>
  <si>
    <t>Current Rates  ($2016)</t>
  </si>
  <si>
    <t>Revised Rates</t>
  </si>
  <si>
    <t>Revenue Increase (decrease)</t>
  </si>
  <si>
    <t>Rate Peg %age increase</t>
  </si>
  <si>
    <t>Inflated Revenue impact</t>
  </si>
  <si>
    <t>Scenario 3 - SRV with Mine revenue reduction</t>
  </si>
  <si>
    <t>Muswellbrook Shire Council Capital Budget 2016/17 - 2019/20</t>
  </si>
  <si>
    <t>Capital Budget</t>
  </si>
  <si>
    <t>Total as per funding summary</t>
  </si>
  <si>
    <t>Future Fund</t>
  </si>
  <si>
    <t>Capital Works Budget 2017/18 - 2020/21</t>
  </si>
  <si>
    <t>Account Group</t>
  </si>
  <si>
    <t>Capital Revenue</t>
  </si>
  <si>
    <t xml:space="preserve">    Operating Result</t>
  </si>
  <si>
    <t xml:space="preserve">    Depreciation</t>
  </si>
  <si>
    <t xml:space="preserve">    Capital Grants and Contributions</t>
  </si>
  <si>
    <t xml:space="preserve">    Borrowed Funds</t>
  </si>
  <si>
    <t xml:space="preserve">    Transfer from reserve</t>
  </si>
  <si>
    <t xml:space="preserve">    Sale of Assets</t>
  </si>
  <si>
    <t>Total Capital Revenue</t>
  </si>
  <si>
    <t>Capital Expenses</t>
  </si>
  <si>
    <t xml:space="preserve">    Capital Works and Purchases</t>
  </si>
  <si>
    <t xml:space="preserve">    Loan Repayments</t>
  </si>
  <si>
    <t xml:space="preserve">    Transfer to reserves</t>
  </si>
  <si>
    <t>Total Capital Expenses</t>
  </si>
  <si>
    <t>Asset Sales</t>
  </si>
  <si>
    <t>Capital Expenditure as per projects above</t>
  </si>
  <si>
    <t>Sewer Fund</t>
  </si>
  <si>
    <t>Capital Budget 2016/17 - 2019/20</t>
  </si>
  <si>
    <t xml:space="preserve">    Operating Budget</t>
  </si>
  <si>
    <t xml:space="preserve">    Section 94</t>
  </si>
  <si>
    <t xml:space="preserve">    Capital Grants</t>
  </si>
  <si>
    <t xml:space="preserve">    Transfer from Reserve</t>
  </si>
  <si>
    <t xml:space="preserve">    Transfer to Reserve</t>
  </si>
  <si>
    <t>Water Fund</t>
  </si>
  <si>
    <t>Capital Budget 2017/18-2020/21</t>
  </si>
  <si>
    <r>
      <t xml:space="preserve">    </t>
    </r>
    <r>
      <rPr>
        <sz val="10"/>
        <rFont val="Arial"/>
        <family val="2"/>
      </rPr>
      <t>Operating Result</t>
    </r>
  </si>
  <si>
    <t xml:space="preserve">    Transfers from Reserve</t>
  </si>
  <si>
    <t xml:space="preserve">    Transfers to Reserve</t>
  </si>
  <si>
    <t>Depreciation Rate</t>
  </si>
  <si>
    <t>Depreciation Impact</t>
  </si>
  <si>
    <t>percentage change in rates &amp; annual charges</t>
  </si>
  <si>
    <t>Consolidated Financial Statements</t>
  </si>
  <si>
    <t>SEWER FUND</t>
  </si>
  <si>
    <t>WATER FUND</t>
  </si>
  <si>
    <t>FUTURE FUND</t>
  </si>
  <si>
    <t>General &amp; Future Fund</t>
  </si>
  <si>
    <t>Combined Water Fund</t>
  </si>
  <si>
    <t>Principal Activity:</t>
  </si>
  <si>
    <t>Combined Sewer Fund</t>
  </si>
  <si>
    <t>Muswellbrook Shire Council Budget Review 2017/18</t>
  </si>
  <si>
    <t>PROJECT DETAILS</t>
  </si>
  <si>
    <t>Check - Revenue againdt consolidated budget</t>
  </si>
  <si>
    <t>Check - Expenditure against consolidated budget</t>
  </si>
  <si>
    <t>General Fund (Incl Future Fund)</t>
  </si>
  <si>
    <t>Consolidated General, Water, Sewer and Commercial Buildings Funds</t>
  </si>
  <si>
    <t>Replaced with data from Grant 19/1/2016</t>
  </si>
  <si>
    <r>
      <rPr>
        <b/>
        <sz val="11"/>
        <color theme="1"/>
        <rFont val="Arial"/>
        <family val="2"/>
      </rPr>
      <t xml:space="preserve">Note: </t>
    </r>
    <r>
      <rPr>
        <sz val="11"/>
        <color theme="1"/>
        <rFont val="Arial"/>
        <family val="2"/>
      </rPr>
      <t xml:space="preserve"> Revised following email from Grant 19/1/2017</t>
    </r>
  </si>
  <si>
    <t>Muswellbrook Coal</t>
  </si>
  <si>
    <t>Liddell</t>
  </si>
  <si>
    <t>Drayton</t>
  </si>
  <si>
    <t>Mount Arthur</t>
  </si>
  <si>
    <t>Bengalla</t>
  </si>
  <si>
    <t>Additional Bengalla</t>
  </si>
  <si>
    <t>Mangoola</t>
  </si>
  <si>
    <t>Dartbrook</t>
  </si>
  <si>
    <t>Mount Pleasant</t>
  </si>
  <si>
    <t>In the General Fund Operating Statement scenario 3, the rates should be the same as Scenario 2 for years 1-4 and then for years 5-10 as per the amended rates estimate sheet attached. Sorry, but after I sent you the original sheet of mine rates estimates, these estimates were revised.</t>
  </si>
  <si>
    <t>Previous Version</t>
  </si>
  <si>
    <t>Change to revenue from version 3.1</t>
  </si>
  <si>
    <t>Inflated</t>
  </si>
  <si>
    <t>changed in Scenario as per email from Grant 20/1/2016</t>
  </si>
  <si>
    <t>Changed as per email 20/1/2017</t>
  </si>
  <si>
    <t>Increase in fees &amp; Charges revenue</t>
  </si>
  <si>
    <t>Increase in Employee Costs</t>
  </si>
  <si>
    <t>Increase in Materials &amp; Contracts</t>
  </si>
  <si>
    <t>Changes from Scenario 1</t>
  </si>
  <si>
    <t>Scenario 2 - Changes from Scenario 1</t>
  </si>
  <si>
    <t>Scenario 3 - Changes from Scenario 2</t>
  </si>
  <si>
    <t>Changes from Scenario 2</t>
  </si>
  <si>
    <t>SRV</t>
  </si>
  <si>
    <t>cumulative</t>
  </si>
  <si>
    <t>Revised 25/1/2015</t>
  </si>
  <si>
    <t>As per Scenario 1  long term plans</t>
  </si>
  <si>
    <t>2016/17*</t>
  </si>
  <si>
    <t>General Rates</t>
  </si>
  <si>
    <t>Estimated for additional mine revenues</t>
  </si>
  <si>
    <t>Workings</t>
  </si>
  <si>
    <t xml:space="preserve">Opening </t>
  </si>
  <si>
    <t>Plus Rate Pegging</t>
  </si>
  <si>
    <t>Plus SRV</t>
  </si>
  <si>
    <t>Plus additional mine rates from new mine</t>
  </si>
  <si>
    <t>Add Domestic Waste Management</t>
  </si>
  <si>
    <t>Rates and Annual Charges - Scenario 1</t>
  </si>
  <si>
    <t>As you can see these workings are close enough to the planned amount to not put too much more effort into them.</t>
  </si>
  <si>
    <t>The reason, I think for the lowered increase in year 4 is due to the inclusion of the Domestic Waste Management Fees this category</t>
  </si>
  <si>
    <t>they do not grow at the same rate as the general rates.</t>
  </si>
  <si>
    <t>Hope this helps make the matter clearer, if not, please let me know</t>
  </si>
  <si>
    <t xml:space="preserve">In 2016/17 we are expecting additional mining related revenues but cannot accurately estimate the amount as the Valuer General has not </t>
  </si>
  <si>
    <t xml:space="preserve">provided the necessary details, as such we have not adjusted the 2016/17 budget. The 2016/17 budget then impacts on the estimate of </t>
  </si>
  <si>
    <t xml:space="preserve">the 2017/18 budget and on, so </t>
  </si>
  <si>
    <t>Scenario 2 (old)</t>
  </si>
  <si>
    <t>See Rates Revenue Analysis Sheet</t>
  </si>
  <si>
    <t>Additional Asset Renewals</t>
  </si>
  <si>
    <t>Added by ML</t>
  </si>
  <si>
    <t>2027/28</t>
  </si>
  <si>
    <t>2028/29</t>
  </si>
  <si>
    <t>2029/30</t>
  </si>
  <si>
    <t>2030/31</t>
  </si>
  <si>
    <t>2031/32</t>
  </si>
  <si>
    <t>2032/33</t>
  </si>
  <si>
    <t>2033/34</t>
  </si>
  <si>
    <t>Amounts deleted to balance to capex totals supplied</t>
  </si>
  <si>
    <t>2023/40</t>
  </si>
  <si>
    <t>2034/35</t>
  </si>
  <si>
    <t>2035/36</t>
  </si>
  <si>
    <t>2036/37</t>
  </si>
  <si>
    <t>2037/38</t>
  </si>
  <si>
    <t>2038/39</t>
  </si>
  <si>
    <t>%age Change</t>
  </si>
  <si>
    <t>Adjustment to Employee costs (per improvement model)</t>
  </si>
  <si>
    <t>Reserve Funded?</t>
  </si>
  <si>
    <t>Aquatic Renewal</t>
  </si>
  <si>
    <t>CBD</t>
  </si>
  <si>
    <t>Denman Master Plan</t>
  </si>
  <si>
    <t>Revised 2021/22 extrapolated</t>
  </si>
  <si>
    <t xml:space="preserve">Capital Expenditure </t>
  </si>
  <si>
    <t>Addiitional Renewals</t>
  </si>
  <si>
    <t>Reduce new Capex</t>
  </si>
  <si>
    <t>Information Services Strategy</t>
  </si>
  <si>
    <t>Drainage - Commercial Buildings</t>
  </si>
  <si>
    <t>Reserves</t>
  </si>
  <si>
    <t>Borrowing</t>
  </si>
  <si>
    <t>Scenarios 2 &amp; 3</t>
  </si>
  <si>
    <t>Employee cost adjustment = saving in Improvement Plan</t>
  </si>
  <si>
    <t>Big increase compared to FFF LTFP - savings need to be found</t>
  </si>
  <si>
    <r>
      <rPr>
        <b/>
        <sz val="14"/>
        <color rgb="FFFF0000"/>
        <rFont val="Calibri"/>
        <family val="2"/>
        <scheme val="minor"/>
      </rPr>
      <t>NB:</t>
    </r>
    <r>
      <rPr>
        <sz val="14"/>
        <color rgb="FFFF0000"/>
        <rFont val="Calibri"/>
        <family val="2"/>
        <scheme val="minor"/>
      </rPr>
      <t xml:space="preserve"> 2016/17 Buliding &amp; Infrasture renewals estimated at $6.862m</t>
    </r>
  </si>
  <si>
    <t>Version Control</t>
  </si>
  <si>
    <t>Version No</t>
  </si>
  <si>
    <t>V1</t>
  </si>
  <si>
    <t>V2.0</t>
  </si>
  <si>
    <t>V2.1</t>
  </si>
  <si>
    <t>V2.2.1</t>
  </si>
  <si>
    <t>V2.2</t>
  </si>
  <si>
    <t>V2.3</t>
  </si>
  <si>
    <t>V3.0</t>
  </si>
  <si>
    <t>V3.1</t>
  </si>
  <si>
    <t>V3.2</t>
  </si>
  <si>
    <t>V3.3</t>
  </si>
  <si>
    <t>V4.0</t>
  </si>
  <si>
    <t>V4.1</t>
  </si>
  <si>
    <t>V4.2</t>
  </si>
  <si>
    <t>V4.3</t>
  </si>
  <si>
    <t>V4.4</t>
  </si>
  <si>
    <t>V4.5</t>
  </si>
  <si>
    <t>V5.0</t>
  </si>
  <si>
    <t>Date</t>
  </si>
  <si>
    <t>Outline of Version (what was done\changed)</t>
  </si>
  <si>
    <t>Initial model build and delivered to client</t>
  </si>
  <si>
    <t>Revised model with data sheets and other changes as outlined in email of 16/1/2017</t>
  </si>
  <si>
    <t>New model delivered following rebuild to separates Water &amp; Sewer, include separate sheets for the General Fund and Future fund and to separatels show the internal revenue and overheads budget lines.</t>
  </si>
  <si>
    <t>Adjustment to investment revenue calculations and new model delivered to G O'Leary</t>
  </si>
  <si>
    <t>New version incorporating adjustments to Future Fund as per email 20/12/2017 from G O'Leary</t>
  </si>
  <si>
    <t>Added calculations to show movements between vscenarios in General fund.  Add new revenue calculation sheet and reduced revenues for Scenario ! Based on calculation sheet.</t>
  </si>
  <si>
    <t>Interest calculation adjusted for Scenarios 2 &amp; 3 (correcting error)</t>
  </si>
  <si>
    <t>Adjustments to Future Fund Balance Sheet (2015/16) as per email from G O'Leary 23/1/2017</t>
  </si>
  <si>
    <t>Version 3.3 converted into V4.0 and delivered to G P"Leary</t>
  </si>
  <si>
    <t>Correction to indexing of General Fund expenditure</t>
  </si>
  <si>
    <t>Complete initial build based on email of 19/12/2016 which outlined the proposed structure to meet the requirements relayed by the client.  Model explained in email of 10/1/2017</t>
  </si>
  <si>
    <t>Model updated to improve treatment of capex and funding</t>
  </si>
  <si>
    <t>Further improvements to model build</t>
  </si>
  <si>
    <t>Mining rates revenue changes as per email from G O'Leary 19/1/2017</t>
  </si>
  <si>
    <t>Loaded revised opex budgets for scenario 2 as supplied by Grant O'Leary in email 18/1.  Correct error in indexing of revenue</t>
  </si>
  <si>
    <t>Original budget</t>
  </si>
  <si>
    <t>Replaced with data from Grant 20/1/2016</t>
  </si>
  <si>
    <t>Old budgets changed 20/1/2017</t>
  </si>
  <si>
    <t>OLD budget replaced 20/1/2017</t>
  </si>
  <si>
    <t>Budget changed per email 20/1/2017</t>
  </si>
  <si>
    <t>OLD Budget</t>
  </si>
  <si>
    <t>Budget revised per email 20/1/2017</t>
  </si>
  <si>
    <t>Budget revised per email 20/1/2018</t>
  </si>
  <si>
    <t>Convention Centre</t>
  </si>
  <si>
    <t>Base Scenario 2 budgets (Funding model 1)</t>
  </si>
  <si>
    <t>Expenditure</t>
  </si>
  <si>
    <t>Depreciation Expense</t>
  </si>
  <si>
    <t>Funding Model 1</t>
  </si>
  <si>
    <t>Funding Model 6</t>
  </si>
  <si>
    <t xml:space="preserve">Budget </t>
  </si>
  <si>
    <t>Change</t>
  </si>
  <si>
    <t>Capital Expenditure &amp; Funding</t>
  </si>
  <si>
    <t>Project Cost</t>
  </si>
  <si>
    <t>Capital Grant</t>
  </si>
  <si>
    <t>Reserve Funds</t>
  </si>
  <si>
    <t>Loan Principal repayment</t>
  </si>
  <si>
    <t>Additional renewals spend means funding does not balance</t>
  </si>
  <si>
    <t>Additional Grant revenue (Mt Pleasant)</t>
  </si>
  <si>
    <t>Extra Operational Grants &amp; Contributions</t>
  </si>
  <si>
    <t>Landcare Program</t>
  </si>
  <si>
    <t>Adjustment to Materials &amp; Contracts (Landcare)</t>
  </si>
  <si>
    <t xml:space="preserve">"Other Asset" Renewals Ratio </t>
  </si>
  <si>
    <t>Excess spend on other asset renewals</t>
  </si>
  <si>
    <t>Asset Renewal Expenditure</t>
  </si>
  <si>
    <t>upgrade</t>
  </si>
  <si>
    <t>(revised data 2/2/2017)</t>
  </si>
  <si>
    <t>This is the Depreciation that impact on the Infrastructure Replacement and Renewal Ratio</t>
  </si>
  <si>
    <t xml:space="preserve">Roads </t>
  </si>
  <si>
    <t>Waste Management Centre</t>
  </si>
  <si>
    <t>Total Infrastructure Depn</t>
  </si>
  <si>
    <t>Works Fleet</t>
  </si>
  <si>
    <t>Technical Service Vehicles</t>
  </si>
  <si>
    <t>Integrated Planning Unit</t>
  </si>
  <si>
    <t>Regulatory</t>
  </si>
  <si>
    <t xml:space="preserve">Economic Development and Community </t>
  </si>
  <si>
    <t xml:space="preserve">Corporate Services Management </t>
  </si>
  <si>
    <t xml:space="preserve">Finance Vehicle </t>
  </si>
  <si>
    <t>Cultural Assets</t>
  </si>
  <si>
    <t>Bushfire Assets</t>
  </si>
  <si>
    <t>Environmental Services Assets</t>
  </si>
  <si>
    <t>Total Non Infrastrucutre Depn</t>
  </si>
  <si>
    <t>Total Depn</t>
  </si>
  <si>
    <t>Capital Programmes Related to Infrastructure Renewal and Replacement (Total Budgets)</t>
  </si>
  <si>
    <t xml:space="preserve">           - Resources for Regions Project</t>
  </si>
  <si>
    <t xml:space="preserve">           - VPA Roads Renewal Project</t>
  </si>
  <si>
    <t xml:space="preserve">           - New infrastructure Upgrades</t>
  </si>
  <si>
    <t xml:space="preserve">               - Depot Building</t>
  </si>
  <si>
    <t xml:space="preserve">               - VPA Buildings Renewal Project</t>
  </si>
  <si>
    <t>Capital Programmes Related to Infrastrucutre Renewal and Replacement (Renewal Portions)</t>
  </si>
  <si>
    <t>Capital Programmes Related to Infrastrucutre Renewal and Replacement (New/Upgrade Portions)</t>
  </si>
  <si>
    <t xml:space="preserve">           - VPA Roads Renewal Project </t>
  </si>
  <si>
    <t>New Infrastriucture Upgrades</t>
  </si>
  <si>
    <t>Renewals Plus New/Upgrade</t>
  </si>
  <si>
    <t xml:space="preserve">Infrastructure Replacement and Renewal Ratio </t>
  </si>
  <si>
    <t>Programmes that do not impact on the ratio</t>
  </si>
  <si>
    <t xml:space="preserve">                - Job Creation and VPA Seed Fund</t>
  </si>
  <si>
    <t xml:space="preserve">                - Major Landcare Project </t>
  </si>
  <si>
    <t>Other Minor Pogrammes</t>
  </si>
  <si>
    <t>Check against funding summary</t>
  </si>
  <si>
    <t>Check against Income statement (should be zero)</t>
  </si>
  <si>
    <t>Overall Summary</t>
  </si>
  <si>
    <t>Total Asset renewals</t>
  </si>
  <si>
    <t>New &amp; Upgrade</t>
  </si>
  <si>
    <t>Other new assets</t>
  </si>
  <si>
    <t>Total Capital expenditure</t>
  </si>
  <si>
    <t>Check against total by program</t>
  </si>
  <si>
    <t>V5.1</t>
  </si>
  <si>
    <t>V6.0</t>
  </si>
  <si>
    <t>V6.1</t>
  </si>
  <si>
    <t>V6.2</t>
  </si>
  <si>
    <t>New version with revised data sheet and data for Scenario 1 (Capital expenditure &amp; funding)</t>
  </si>
  <si>
    <t>New version created on site following meeting At Muswellbrook Shire Council.  Removed ML adjustmenst to operating staement and moved Landcare program from operations to Capital</t>
  </si>
  <si>
    <t>Revised model with ML adjustments as set out in the ML adjustments sheet to meet ratios and FFF.  Includes $10m convention Centre project</t>
  </si>
  <si>
    <t>Revised model with ML adjustments as set out in the ML adjustments sheet to meet ratios and FFF.  Includes $20m convention Centre project</t>
  </si>
  <si>
    <t xml:space="preserve">Update to V6.0 with Landcare budget added back into Capital Program </t>
  </si>
  <si>
    <t>Depreciation Budgets</t>
  </si>
  <si>
    <t>Performance Centre</t>
  </si>
  <si>
    <t xml:space="preserve">Total Infrastructure Depreciation </t>
  </si>
  <si>
    <t>Total Non Infrastructure Depreciation</t>
  </si>
  <si>
    <t>Total Depreication</t>
  </si>
  <si>
    <t>Total Infrastructure Related Spending</t>
  </si>
  <si>
    <t xml:space="preserve">           - Additional Renewals</t>
  </si>
  <si>
    <t xml:space="preserve">          - VPA Funded Roads Renewal</t>
  </si>
  <si>
    <t xml:space="preserve">               - VPA Funded Buildings Renewal</t>
  </si>
  <si>
    <t xml:space="preserve">               - Depot Renewal Works</t>
  </si>
  <si>
    <t>Variance between Category totals and Renewals\New split</t>
  </si>
  <si>
    <t>Additional Renewals (variance)</t>
  </si>
  <si>
    <t>Drainage Variance</t>
  </si>
  <si>
    <t>Traffic Control &amp; Safety</t>
  </si>
  <si>
    <t>Aquatic</t>
  </si>
  <si>
    <t>Recreation Renewals</t>
  </si>
  <si>
    <t>Depot Renewal Works</t>
  </si>
  <si>
    <t>Total Infrastructure Renewals</t>
  </si>
  <si>
    <t xml:space="preserve">           - VPA Funded Roads Renewal Project</t>
  </si>
  <si>
    <t>Infrastructure Renewal Ratio</t>
  </si>
  <si>
    <t>Total Infrastructure Upgrades and New</t>
  </si>
  <si>
    <t xml:space="preserve">              - VPA Funded Buildings Renewal</t>
  </si>
  <si>
    <t>Totals</t>
  </si>
  <si>
    <t xml:space="preserve">              - Other Minor Programmes</t>
  </si>
  <si>
    <t xml:space="preserve">               - Job Creation and VPA Seed Funding</t>
  </si>
  <si>
    <t xml:space="preserve">               - Major Landcare Projects</t>
  </si>
  <si>
    <t>Total Purchases IPPE</t>
  </si>
  <si>
    <t>Variance to income statement</t>
  </si>
  <si>
    <t>V6.3</t>
  </si>
  <si>
    <t>New version with revised data sheet and data for Scenario 2 (Capital expenditure &amp; funding) as per data supplied 2/2/2017.</t>
  </si>
  <si>
    <t>VPA funded</t>
  </si>
  <si>
    <t>Adjustment to Borrowing Costs (3/2/2017)</t>
  </si>
  <si>
    <t>As supplied by Grant 3/2/2017</t>
  </si>
  <si>
    <t>Note:  The opex budget loaded is based on Funding model 1 and this has been updated based on this calculation (adjustments in blue column added to operating budget).
The Capital Budget was updated on 2/2/2017 so no adjustments have been loaded.</t>
  </si>
  <si>
    <t>Additional renewals</t>
  </si>
  <si>
    <t>See new Capex Incl SRV data shhet supplied (green tab) supplied 2/2/2017</t>
  </si>
  <si>
    <t>Interest Costs</t>
  </si>
  <si>
    <t>To cover additional borrowing in capex version 2/2/2017</t>
  </si>
  <si>
    <r>
      <rPr>
        <b/>
        <sz val="11"/>
        <color theme="1"/>
        <rFont val="Calibri"/>
        <family val="2"/>
        <scheme val="minor"/>
      </rPr>
      <t xml:space="preserve">NB: </t>
    </r>
    <r>
      <rPr>
        <sz val="11"/>
        <color theme="1"/>
        <rFont val="Calibri"/>
        <family val="2"/>
        <scheme val="minor"/>
      </rPr>
      <t xml:space="preserve"> Any capex adjustmenst here are not linked through to the financial statements</t>
    </r>
  </si>
  <si>
    <t>variance to Capital budget sheet analysis (future fund depreciation)</t>
  </si>
  <si>
    <t xml:space="preserve">           - Additional Renewal Projects</t>
  </si>
  <si>
    <t>V7.0</t>
  </si>
  <si>
    <t>V7.1</t>
  </si>
  <si>
    <t>Updated version after questions answered on funding and principle repayments</t>
  </si>
  <si>
    <t xml:space="preserve">New version with extra asset renewals added to meet ratios </t>
  </si>
  <si>
    <t xml:space="preserve">Includes $24 Convention Centre </t>
  </si>
  <si>
    <t>V7.1.1</t>
  </si>
  <si>
    <t>Added graphs comparing Scenario 1 (base case) and Scenario 2 only for General fund (exclude Scenario 3)</t>
  </si>
  <si>
    <t xml:space="preserve">           - Additional Renewals - per email from Grant</t>
  </si>
  <si>
    <t>Program adjustment to Support additional Asset Renewals</t>
  </si>
  <si>
    <t>Scenario 1 - Income Statement</t>
  </si>
  <si>
    <t>Rates &amp; Annual Charges Ratio</t>
  </si>
  <si>
    <t>Broad Liabilities Ratio</t>
  </si>
  <si>
    <t>Asset Renewals Ratio</t>
  </si>
  <si>
    <t>Net Impact</t>
  </si>
  <si>
    <t>Extra Interest added</t>
  </si>
  <si>
    <t>Full Impact 2020/21</t>
  </si>
  <si>
    <t>Lost income from demolition of building</t>
  </si>
  <si>
    <t>??</t>
  </si>
  <si>
    <t>Extra capex from Aquatics and Denman Town Centre</t>
  </si>
  <si>
    <t>Impact from Aquatic loan  ($3.5m x4% = $140k)</t>
  </si>
  <si>
    <t>December 2016 Review Budget</t>
  </si>
  <si>
    <t>Consolidated General Fund - Without SRV</t>
  </si>
  <si>
    <t>Education Division and Commercial Division Fund - Without SRV</t>
  </si>
  <si>
    <t>Combined Water Fund - Without SRV</t>
  </si>
  <si>
    <t>Combined Sewer Fund - Without SRV</t>
  </si>
  <si>
    <t>Consolidated General Fund - With SRV</t>
  </si>
  <si>
    <t>Education Division and Commercial Division Fund - With SRV</t>
  </si>
  <si>
    <t>Combined Sewer Fund - With SRV</t>
  </si>
  <si>
    <t>Combined Water Fund - With SRV</t>
  </si>
  <si>
    <t>Interest on unpaid rates</t>
  </si>
  <si>
    <t>All Renewals</t>
  </si>
  <si>
    <t xml:space="preserve">           - Additional Renewals - added 12/2/2027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</si>
</sst>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_ ;[Red]\-#,##0\ "/>
    <numFmt numFmtId="165" formatCode="#,##0_);\(#,##0\)"/>
    <numFmt numFmtId="166" formatCode="#,##0.00_ ;[Red]\-#,##0.00\ "/>
    <numFmt numFmtId="167" formatCode="#,##0_ ;[Red]\-#,##0\ ;\ \-\ "/>
    <numFmt numFmtId="168" formatCode="_-* #,##0.0_-;\-* #,##0.0_-;_-* &quot;-&quot;??_-;_-@_-"/>
    <numFmt numFmtId="169" formatCode="0.0%"/>
    <numFmt numFmtId="170" formatCode="#,##0_ ;[Red]\(#,##0\);\ \-"/>
    <numFmt numFmtId="171" formatCode="_-&quot;$&quot;* #,##0_-;\-&quot;$&quot;* #,##0_-;_-&quot;$&quot;* &quot;-&quot;??_-;_-@_-"/>
    <numFmt numFmtId="172" formatCode="_-* #,##0_-;\-* #,##0_-;_-* &quot;-&quot;??_-;_-@_-"/>
    <numFmt numFmtId="173" formatCode="#,##0_ ;[Red]\(#,##0\)\ "/>
    <numFmt numFmtId="174" formatCode="_(* #,##0.00_);_(* \(#,##0.00\);_(* &quot;-&quot;??_);_(@_)"/>
    <numFmt numFmtId="175" formatCode="#,##0;[Red]\(#,##0\)"/>
    <numFmt numFmtId="176" formatCode="_-* #,##0.0_-;\-* #,##0.0_-;_-* &quot;-&quot;_-;_-@_-"/>
    <numFmt numFmtId="177" formatCode="_(&quot;$&quot;* #,##0.00_);_(&quot;$&quot;* \(#,##0.00\);_(&quot;$&quot;* &quot;-&quot;??_);_(@_)"/>
    <numFmt numFmtId="178" formatCode="#,##0.000_ ;[Red]\-#,##0.000\ "/>
    <numFmt numFmtId="179" formatCode="0.00%;\(0.00%\)"/>
    <numFmt numFmtId="180" formatCode="_(* #,##0_);[Red]_(* \(#,##0\);_-* &quot;-&quot;_-"/>
    <numFmt numFmtId="181" formatCode="#,##0_ ;\-#,##0\ "/>
    <numFmt numFmtId="182" formatCode="0.000%"/>
    <numFmt numFmtId="183" formatCode="#,##0;\(#,##0\)"/>
    <numFmt numFmtId="184" formatCode="&quot;$&quot;#,##0"/>
    <numFmt numFmtId="185" formatCode="0.00000%"/>
    <numFmt numFmtId="186" formatCode="&quot;$&quot;#,##0_);\(&quot;$&quot;#,##0\)"/>
    <numFmt numFmtId="187" formatCode="0_ ;[Red]\-0\ "/>
    <numFmt numFmtId="188" formatCode="#,##0_ ;[Red]\(#,##0\)\ ;\ \-\ "/>
  </numFmts>
  <fonts count="160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Times New Roman"/>
      <family val="1"/>
    </font>
    <font>
      <b/>
      <sz val="11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i/>
      <sz val="11"/>
      <color theme="3" tint="0.3999755851924192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i/>
      <sz val="11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rgb="FF002060"/>
      <name val="Calibri"/>
      <family val="2"/>
    </font>
    <font>
      <b/>
      <sz val="12"/>
      <color rgb="FF002060"/>
      <name val="Calibri"/>
      <family val="2"/>
      <scheme val="minor"/>
    </font>
    <font>
      <sz val="12"/>
      <color rgb="FF002060"/>
      <name val="Calibri"/>
      <family val="2"/>
      <scheme val="minor"/>
    </font>
    <font>
      <b/>
      <u/>
      <sz val="11"/>
      <color rgb="FF002060"/>
      <name val="Calibri"/>
      <family val="2"/>
      <scheme val="minor"/>
    </font>
    <font>
      <b/>
      <sz val="11"/>
      <color rgb="FF002060"/>
      <name val="Calibri"/>
      <family val="2"/>
    </font>
    <font>
      <b/>
      <sz val="12"/>
      <color rgb="FF002060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2"/>
      <color rgb="FF002060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sz val="11"/>
      <color indexed="60"/>
      <name val="Calibri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0"/>
      <name val="Arial"/>
      <family val="2"/>
    </font>
    <font>
      <b/>
      <sz val="14"/>
      <name val="Calibri"/>
      <family val="2"/>
      <scheme val="minor"/>
    </font>
    <font>
      <b/>
      <sz val="11"/>
      <name val="Arial"/>
      <family val="2"/>
    </font>
    <font>
      <b/>
      <sz val="14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20"/>
      <name val="Arial"/>
      <family val="2"/>
    </font>
    <font>
      <sz val="10"/>
      <color theme="1"/>
      <name val="Arial"/>
      <family val="2"/>
    </font>
    <font>
      <u/>
      <sz val="5"/>
      <color indexed="12"/>
      <name val="Arial"/>
      <family val="2"/>
    </font>
    <font>
      <sz val="10"/>
      <name val="Calibri"/>
      <family val="1"/>
      <scheme val="minor"/>
    </font>
    <font>
      <sz val="11"/>
      <color theme="1"/>
      <name val="Agency FB"/>
      <family val="2"/>
    </font>
    <font>
      <sz val="11"/>
      <color rgb="FF3F3F76"/>
      <name val="Agency FB"/>
      <family val="2"/>
    </font>
    <font>
      <b/>
      <sz val="11"/>
      <color rgb="FFFA7D00"/>
      <name val="Agency FB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rgb="FFFA7D00"/>
      <name val="Arial"/>
      <family val="2"/>
    </font>
    <font>
      <b/>
      <sz val="12"/>
      <color rgb="FFFF0000"/>
      <name val="Arial"/>
      <family val="2"/>
    </font>
    <font>
      <sz val="11"/>
      <color rgb="FFFF0000"/>
      <name val="Arial"/>
      <family val="2"/>
    </font>
    <font>
      <b/>
      <u/>
      <sz val="10"/>
      <name val="Arial"/>
      <family val="2"/>
    </font>
    <font>
      <b/>
      <sz val="11"/>
      <color rgb="FF3F3F76"/>
      <name val="Arial"/>
      <family val="2"/>
    </font>
    <font>
      <sz val="11"/>
      <color rgb="FF3F3F76"/>
      <name val="Arial"/>
      <family val="2"/>
    </font>
    <font>
      <sz val="14"/>
      <color theme="1"/>
      <name val="Arial"/>
      <family val="2"/>
    </font>
    <font>
      <i/>
      <sz val="11"/>
      <color theme="1"/>
      <name val="Arial"/>
      <family val="2"/>
    </font>
    <font>
      <b/>
      <u/>
      <sz val="11"/>
      <color theme="1"/>
      <name val="Arial"/>
      <family val="2"/>
    </font>
    <font>
      <i/>
      <sz val="11"/>
      <name val="Arial"/>
      <family val="2"/>
    </font>
    <font>
      <b/>
      <i/>
      <sz val="11"/>
      <color theme="1"/>
      <name val="Arial"/>
      <family val="2"/>
    </font>
    <font>
      <b/>
      <sz val="24"/>
      <color theme="1"/>
      <name val="Arial"/>
      <family val="2"/>
    </font>
    <font>
      <b/>
      <sz val="16"/>
      <color theme="1"/>
      <name val="Arial"/>
      <family val="2"/>
    </font>
    <font>
      <i/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sz val="11"/>
      <color theme="6" tint="0.59999389629810485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rgb="FF002060"/>
      <name val="Calibri"/>
      <family val="2"/>
      <scheme val="minor"/>
    </font>
    <font>
      <sz val="9"/>
      <name val="Calibri"/>
      <family val="2"/>
    </font>
    <font>
      <sz val="9"/>
      <color rgb="FF002060"/>
      <name val="Calibri"/>
      <family val="2"/>
      <scheme val="minor"/>
    </font>
    <font>
      <sz val="9"/>
      <color rgb="FF9C0006"/>
      <name val="Calibri"/>
      <family val="2"/>
      <scheme val="minor"/>
    </font>
    <font>
      <sz val="9"/>
      <color rgb="FF0061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sz val="8"/>
      <color theme="3" tint="0.39997558519241921"/>
      <name val="Calibri"/>
      <family val="2"/>
      <scheme val="minor"/>
    </font>
    <font>
      <b/>
      <i/>
      <sz val="8"/>
      <color rgb="FF002060"/>
      <name val="Calibri"/>
      <family val="2"/>
      <scheme val="minor"/>
    </font>
    <font>
      <sz val="8"/>
      <name val="Calibri"/>
      <family val="2"/>
    </font>
    <font>
      <sz val="8"/>
      <color rgb="FF00206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color rgb="FF006100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color rgb="FF002060"/>
      <name val="Calibri"/>
      <family val="2"/>
      <scheme val="minor"/>
    </font>
    <font>
      <b/>
      <sz val="9"/>
      <color rgb="FF002060"/>
      <name val="Calibri"/>
      <family val="2"/>
    </font>
    <font>
      <sz val="8"/>
      <color theme="1"/>
      <name val="Calibri"/>
      <family val="2"/>
      <scheme val="minor"/>
    </font>
    <font>
      <b/>
      <sz val="8"/>
      <color rgb="FF002060"/>
      <name val="Calibri"/>
      <family val="2"/>
    </font>
    <font>
      <b/>
      <sz val="8"/>
      <name val="Calibri"/>
      <family val="2"/>
    </font>
    <font>
      <b/>
      <u/>
      <sz val="9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b/>
      <sz val="7"/>
      <color rgb="FF002060"/>
      <name val="Calibri"/>
      <family val="2"/>
      <scheme val="minor"/>
    </font>
    <font>
      <b/>
      <sz val="7"/>
      <color theme="3" tint="0.39997558519241921"/>
      <name val="Calibri"/>
      <family val="2"/>
      <scheme val="minor"/>
    </font>
    <font>
      <b/>
      <i/>
      <sz val="7"/>
      <color rgb="FF002060"/>
      <name val="Calibri"/>
      <family val="2"/>
      <scheme val="minor"/>
    </font>
    <font>
      <b/>
      <i/>
      <sz val="7"/>
      <color theme="3" tint="0.39997558519241921"/>
      <name val="Calibri"/>
      <family val="2"/>
      <scheme val="minor"/>
    </font>
    <font>
      <sz val="7"/>
      <name val="Calibri"/>
      <family val="2"/>
    </font>
    <font>
      <sz val="7"/>
      <color rgb="FF002060"/>
      <name val="Calibri"/>
      <family val="2"/>
    </font>
    <font>
      <sz val="7"/>
      <color rgb="FF00206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name val="Arial"/>
      <family val="2"/>
    </font>
    <font>
      <u/>
      <sz val="10"/>
      <name val="Arial"/>
      <family val="2"/>
    </font>
    <font>
      <b/>
      <sz val="12"/>
      <color theme="7" tint="-0.249977111117893"/>
      <name val="Arial"/>
      <family val="2"/>
    </font>
    <font>
      <b/>
      <sz val="12"/>
      <color theme="1"/>
      <name val="Arial"/>
      <family val="2"/>
    </font>
    <font>
      <b/>
      <u/>
      <sz val="16"/>
      <color theme="1"/>
      <name val="Calibri"/>
      <family val="2"/>
      <scheme val="minor"/>
    </font>
    <font>
      <b/>
      <sz val="18"/>
      <color theme="7" tint="-0.249977111117893"/>
      <name val="Arial"/>
      <family val="2"/>
    </font>
    <font>
      <b/>
      <sz val="26"/>
      <color rgb="FF0070C0"/>
      <name val="Calibri"/>
      <family val="2"/>
      <scheme val="minor"/>
    </font>
    <font>
      <b/>
      <sz val="26"/>
      <color rgb="FF00B050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14"/>
      <color theme="1"/>
      <name val="Arial"/>
      <family val="2"/>
    </font>
    <font>
      <sz val="10"/>
      <name val="Arial"/>
      <family val="2"/>
    </font>
    <font>
      <sz val="7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</fills>
  <borders count="9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55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rgb="FF7F7F7F"/>
      </left>
      <right style="medium">
        <color rgb="FF7F7F7F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47">
    <xf numFmtId="0" fontId="0" fillId="0" borderId="0"/>
    <xf numFmtId="0" fontId="4" fillId="0" borderId="0"/>
    <xf numFmtId="0" fontId="5" fillId="0" borderId="0"/>
    <xf numFmtId="164" fontId="10" fillId="0" borderId="1" applyBorder="0">
      <alignment wrapText="1"/>
    </xf>
    <xf numFmtId="0" fontId="6" fillId="3" borderId="2" applyNumberFormat="0" applyFont="0" applyAlignment="0" applyProtection="0"/>
    <xf numFmtId="9" fontId="6" fillId="0" borderId="0" applyFont="0" applyFill="0" applyBorder="0" applyAlignment="0" applyProtection="0"/>
    <xf numFmtId="165" fontId="5" fillId="0" borderId="0" applyFont="0" applyFill="0" applyBorder="0" applyProtection="0">
      <alignment vertical="top"/>
    </xf>
    <xf numFmtId="1" fontId="7" fillId="0" borderId="0" applyFill="0" applyBorder="0">
      <alignment horizontal="center"/>
    </xf>
    <xf numFmtId="9" fontId="15" fillId="0" borderId="0" applyFont="0" applyFill="0" applyBorder="0" applyAlignment="0" applyProtection="0"/>
    <xf numFmtId="0" fontId="16" fillId="4" borderId="0" applyNumberFormat="0" applyBorder="0" applyAlignment="0" applyProtection="0"/>
    <xf numFmtId="166" fontId="5" fillId="0" borderId="0"/>
    <xf numFmtId="0" fontId="6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1" applyBorder="0">
      <alignment wrapText="1"/>
    </xf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5" borderId="0" applyNumberFormat="0" applyBorder="0" applyAlignment="0" applyProtection="0"/>
    <xf numFmtId="0" fontId="35" fillId="6" borderId="0" applyNumberFormat="0" applyBorder="0" applyAlignment="0" applyProtection="0"/>
    <xf numFmtId="170" fontId="9" fillId="0" borderId="5" applyBorder="0"/>
    <xf numFmtId="0" fontId="5" fillId="0" borderId="0"/>
    <xf numFmtId="44" fontId="15" fillId="0" borderId="0" applyFont="0" applyFill="0" applyBorder="0" applyAlignment="0" applyProtection="0"/>
    <xf numFmtId="0" fontId="48" fillId="0" borderId="0"/>
    <xf numFmtId="164" fontId="4" fillId="0" borderId="1" applyBorder="0">
      <alignment wrapText="1"/>
    </xf>
    <xf numFmtId="0" fontId="32" fillId="0" borderId="0"/>
    <xf numFmtId="0" fontId="4" fillId="0" borderId="0"/>
    <xf numFmtId="165" fontId="4" fillId="0" borderId="0" applyFont="0" applyFill="0" applyBorder="0" applyProtection="0">
      <alignment vertical="top"/>
    </xf>
    <xf numFmtId="164" fontId="4" fillId="0" borderId="1" applyBorder="0">
      <alignment wrapText="1"/>
    </xf>
    <xf numFmtId="0" fontId="4" fillId="0" borderId="0"/>
    <xf numFmtId="43" fontId="4" fillId="0" borderId="0" applyFon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6" fillId="49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6" fillId="49" borderId="0" applyNumberFormat="0" applyBorder="0" applyAlignment="0" applyProtection="0"/>
    <xf numFmtId="0" fontId="15" fillId="25" borderId="0" applyNumberFormat="0" applyBorder="0" applyAlignment="0" applyProtection="0"/>
    <xf numFmtId="0" fontId="6" fillId="4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6" fillId="50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6" fillId="50" borderId="0" applyNumberFormat="0" applyBorder="0" applyAlignment="0" applyProtection="0"/>
    <xf numFmtId="0" fontId="15" fillId="29" borderId="0" applyNumberFormat="0" applyBorder="0" applyAlignment="0" applyProtection="0"/>
    <xf numFmtId="0" fontId="6" fillId="50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6" fillId="51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6" fillId="51" borderId="0" applyNumberFormat="0" applyBorder="0" applyAlignment="0" applyProtection="0"/>
    <xf numFmtId="0" fontId="15" fillId="33" borderId="0" applyNumberFormat="0" applyBorder="0" applyAlignment="0" applyProtection="0"/>
    <xf numFmtId="0" fontId="6" fillId="51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6" fillId="52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6" fillId="52" borderId="0" applyNumberFormat="0" applyBorder="0" applyAlignment="0" applyProtection="0"/>
    <xf numFmtId="0" fontId="15" fillId="37" borderId="0" applyNumberFormat="0" applyBorder="0" applyAlignment="0" applyProtection="0"/>
    <xf numFmtId="0" fontId="6" fillId="52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6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6" fillId="53" borderId="0" applyNumberFormat="0" applyBorder="0" applyAlignment="0" applyProtection="0"/>
    <xf numFmtId="0" fontId="15" fillId="41" borderId="0" applyNumberFormat="0" applyBorder="0" applyAlignment="0" applyProtection="0"/>
    <xf numFmtId="0" fontId="6" fillId="53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6" fillId="54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6" fillId="54" borderId="0" applyNumberFormat="0" applyBorder="0" applyAlignment="0" applyProtection="0"/>
    <xf numFmtId="0" fontId="15" fillId="45" borderId="0" applyNumberFormat="0" applyBorder="0" applyAlignment="0" applyProtection="0"/>
    <xf numFmtId="0" fontId="6" fillId="54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6" fillId="55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6" fillId="55" borderId="0" applyNumberFormat="0" applyBorder="0" applyAlignment="0" applyProtection="0"/>
    <xf numFmtId="0" fontId="15" fillId="26" borderId="0" applyNumberFormat="0" applyBorder="0" applyAlignment="0" applyProtection="0"/>
    <xf numFmtId="0" fontId="6" fillId="55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6" fillId="5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6" fillId="56" borderId="0" applyNumberFormat="0" applyBorder="0" applyAlignment="0" applyProtection="0"/>
    <xf numFmtId="0" fontId="15" fillId="30" borderId="0" applyNumberFormat="0" applyBorder="0" applyAlignment="0" applyProtection="0"/>
    <xf numFmtId="0" fontId="6" fillId="56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6" fillId="57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6" fillId="57" borderId="0" applyNumberFormat="0" applyBorder="0" applyAlignment="0" applyProtection="0"/>
    <xf numFmtId="0" fontId="15" fillId="34" borderId="0" applyNumberFormat="0" applyBorder="0" applyAlignment="0" applyProtection="0"/>
    <xf numFmtId="0" fontId="6" fillId="57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6" fillId="52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6" fillId="52" borderId="0" applyNumberFormat="0" applyBorder="0" applyAlignment="0" applyProtection="0"/>
    <xf numFmtId="0" fontId="15" fillId="38" borderId="0" applyNumberFormat="0" applyBorder="0" applyAlignment="0" applyProtection="0"/>
    <xf numFmtId="0" fontId="6" fillId="5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6" fillId="55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6" fillId="55" borderId="0" applyNumberFormat="0" applyBorder="0" applyAlignment="0" applyProtection="0"/>
    <xf numFmtId="0" fontId="15" fillId="42" borderId="0" applyNumberFormat="0" applyBorder="0" applyAlignment="0" applyProtection="0"/>
    <xf numFmtId="0" fontId="6" fillId="55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6" fillId="5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6" fillId="58" borderId="0" applyNumberFormat="0" applyBorder="0" applyAlignment="0" applyProtection="0"/>
    <xf numFmtId="0" fontId="15" fillId="46" borderId="0" applyNumberFormat="0" applyBorder="0" applyAlignment="0" applyProtection="0"/>
    <xf numFmtId="0" fontId="6" fillId="58" borderId="0" applyNumberFormat="0" applyBorder="0" applyAlignment="0" applyProtection="0"/>
    <xf numFmtId="0" fontId="65" fillId="27" borderId="0" applyNumberFormat="0" applyBorder="0" applyAlignment="0" applyProtection="0"/>
    <xf numFmtId="0" fontId="67" fillId="59" borderId="0" applyNumberFormat="0" applyBorder="0" applyAlignment="0" applyProtection="0"/>
    <xf numFmtId="0" fontId="67" fillId="59" borderId="0" applyNumberFormat="0" applyBorder="0" applyAlignment="0" applyProtection="0"/>
    <xf numFmtId="0" fontId="67" fillId="59" borderId="0" applyNumberFormat="0" applyBorder="0" applyAlignment="0" applyProtection="0"/>
    <xf numFmtId="0" fontId="65" fillId="31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5" fillId="35" borderId="0" applyNumberFormat="0" applyBorder="0" applyAlignment="0" applyProtection="0"/>
    <xf numFmtId="0" fontId="67" fillId="57" borderId="0" applyNumberFormat="0" applyBorder="0" applyAlignment="0" applyProtection="0"/>
    <xf numFmtId="0" fontId="67" fillId="57" borderId="0" applyNumberFormat="0" applyBorder="0" applyAlignment="0" applyProtection="0"/>
    <xf numFmtId="0" fontId="67" fillId="57" borderId="0" applyNumberFormat="0" applyBorder="0" applyAlignment="0" applyProtection="0"/>
    <xf numFmtId="0" fontId="65" fillId="39" borderId="0" applyNumberFormat="0" applyBorder="0" applyAlignment="0" applyProtection="0"/>
    <xf numFmtId="0" fontId="67" fillId="60" borderId="0" applyNumberFormat="0" applyBorder="0" applyAlignment="0" applyProtection="0"/>
    <xf numFmtId="0" fontId="67" fillId="60" borderId="0" applyNumberFormat="0" applyBorder="0" applyAlignment="0" applyProtection="0"/>
    <xf numFmtId="0" fontId="67" fillId="60" borderId="0" applyNumberFormat="0" applyBorder="0" applyAlignment="0" applyProtection="0"/>
    <xf numFmtId="0" fontId="65" fillId="43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5" fillId="47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5" fillId="24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5" fillId="28" borderId="0" applyNumberFormat="0" applyBorder="0" applyAlignment="0" applyProtection="0"/>
    <xf numFmtId="0" fontId="67" fillId="64" borderId="0" applyNumberFormat="0" applyBorder="0" applyAlignment="0" applyProtection="0"/>
    <xf numFmtId="0" fontId="67" fillId="64" borderId="0" applyNumberFormat="0" applyBorder="0" applyAlignment="0" applyProtection="0"/>
    <xf numFmtId="0" fontId="67" fillId="64" borderId="0" applyNumberFormat="0" applyBorder="0" applyAlignment="0" applyProtection="0"/>
    <xf numFmtId="0" fontId="65" fillId="32" borderId="0" applyNumberFormat="0" applyBorder="0" applyAlignment="0" applyProtection="0"/>
    <xf numFmtId="0" fontId="67" fillId="65" borderId="0" applyNumberFormat="0" applyBorder="0" applyAlignment="0" applyProtection="0"/>
    <xf numFmtId="0" fontId="67" fillId="65" borderId="0" applyNumberFormat="0" applyBorder="0" applyAlignment="0" applyProtection="0"/>
    <xf numFmtId="0" fontId="67" fillId="65" borderId="0" applyNumberFormat="0" applyBorder="0" applyAlignment="0" applyProtection="0"/>
    <xf numFmtId="0" fontId="65" fillId="36" borderId="0" applyNumberFormat="0" applyBorder="0" applyAlignment="0" applyProtection="0"/>
    <xf numFmtId="0" fontId="67" fillId="60" borderId="0" applyNumberFormat="0" applyBorder="0" applyAlignment="0" applyProtection="0"/>
    <xf numFmtId="0" fontId="67" fillId="60" borderId="0" applyNumberFormat="0" applyBorder="0" applyAlignment="0" applyProtection="0"/>
    <xf numFmtId="0" fontId="67" fillId="60" borderId="0" applyNumberFormat="0" applyBorder="0" applyAlignment="0" applyProtection="0"/>
    <xf numFmtId="0" fontId="65" fillId="40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5" fillId="44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35" fillId="6" borderId="0" applyNumberFormat="0" applyBorder="0" applyAlignment="0" applyProtection="0"/>
    <xf numFmtId="0" fontId="68" fillId="50" borderId="0" applyNumberFormat="0" applyBorder="0" applyAlignment="0" applyProtection="0"/>
    <xf numFmtId="0" fontId="68" fillId="50" borderId="0" applyNumberFormat="0" applyBorder="0" applyAlignment="0" applyProtection="0"/>
    <xf numFmtId="0" fontId="68" fillId="50" borderId="0" applyNumberFormat="0" applyBorder="0" applyAlignment="0" applyProtection="0"/>
    <xf numFmtId="0" fontId="61" fillId="21" borderId="32" applyNumberFormat="0" applyAlignment="0" applyProtection="0"/>
    <xf numFmtId="0" fontId="69" fillId="67" borderId="39" applyNumberFormat="0" applyAlignment="0" applyProtection="0"/>
    <xf numFmtId="0" fontId="69" fillId="67" borderId="39" applyNumberFormat="0" applyAlignment="0" applyProtection="0"/>
    <xf numFmtId="0" fontId="69" fillId="67" borderId="39" applyNumberFormat="0" applyAlignment="0" applyProtection="0"/>
    <xf numFmtId="0" fontId="63" fillId="22" borderId="35" applyNumberFormat="0" applyAlignment="0" applyProtection="0"/>
    <xf numFmtId="0" fontId="70" fillId="68" borderId="40" applyNumberFormat="0" applyAlignment="0" applyProtection="0"/>
    <xf numFmtId="0" fontId="70" fillId="68" borderId="40" applyNumberFormat="0" applyAlignment="0" applyProtection="0"/>
    <xf numFmtId="0" fontId="70" fillId="68" borderId="40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4" fillId="5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56" fillId="0" borderId="29" applyNumberFormat="0" applyFill="0" applyAlignment="0" applyProtection="0"/>
    <xf numFmtId="0" fontId="73" fillId="0" borderId="41" applyNumberFormat="0" applyFill="0" applyAlignment="0" applyProtection="0"/>
    <xf numFmtId="0" fontId="73" fillId="0" borderId="41" applyNumberFormat="0" applyFill="0" applyAlignment="0" applyProtection="0"/>
    <xf numFmtId="0" fontId="73" fillId="0" borderId="41" applyNumberFormat="0" applyFill="0" applyAlignment="0" applyProtection="0"/>
    <xf numFmtId="0" fontId="57" fillId="0" borderId="30" applyNumberFormat="0" applyFill="0" applyAlignment="0" applyProtection="0"/>
    <xf numFmtId="0" fontId="74" fillId="0" borderId="42" applyNumberFormat="0" applyFill="0" applyAlignment="0" applyProtection="0"/>
    <xf numFmtId="0" fontId="74" fillId="0" borderId="42" applyNumberFormat="0" applyFill="0" applyAlignment="0" applyProtection="0"/>
    <xf numFmtId="0" fontId="74" fillId="0" borderId="42" applyNumberFormat="0" applyFill="0" applyAlignment="0" applyProtection="0"/>
    <xf numFmtId="0" fontId="58" fillId="0" borderId="31" applyNumberFormat="0" applyFill="0" applyAlignment="0" applyProtection="0"/>
    <xf numFmtId="0" fontId="75" fillId="0" borderId="43" applyNumberFormat="0" applyFill="0" applyAlignment="0" applyProtection="0"/>
    <xf numFmtId="0" fontId="75" fillId="0" borderId="43" applyNumberFormat="0" applyFill="0" applyAlignment="0" applyProtection="0"/>
    <xf numFmtId="0" fontId="75" fillId="0" borderId="43" applyNumberFormat="0" applyFill="0" applyAlignment="0" applyProtection="0"/>
    <xf numFmtId="0" fontId="5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9" fillId="20" borderId="32" applyNumberFormat="0" applyAlignment="0" applyProtection="0"/>
    <xf numFmtId="0" fontId="76" fillId="54" borderId="39" applyNumberFormat="0" applyAlignment="0" applyProtection="0"/>
    <xf numFmtId="0" fontId="76" fillId="54" borderId="39" applyNumberFormat="0" applyAlignment="0" applyProtection="0"/>
    <xf numFmtId="0" fontId="76" fillId="54" borderId="39" applyNumberFormat="0" applyAlignment="0" applyProtection="0"/>
    <xf numFmtId="0" fontId="62" fillId="0" borderId="34" applyNumberFormat="0" applyFill="0" applyAlignment="0" applyProtection="0"/>
    <xf numFmtId="0" fontId="77" fillId="0" borderId="44" applyNumberFormat="0" applyFill="0" applyAlignment="0" applyProtection="0"/>
    <xf numFmtId="0" fontId="77" fillId="0" borderId="44" applyNumberFormat="0" applyFill="0" applyAlignment="0" applyProtection="0"/>
    <xf numFmtId="0" fontId="77" fillId="0" borderId="44" applyNumberFormat="0" applyFill="0" applyAlignment="0" applyProtection="0"/>
    <xf numFmtId="0" fontId="16" fillId="4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15" fillId="0" borderId="0"/>
    <xf numFmtId="0" fontId="15" fillId="0" borderId="0"/>
    <xf numFmtId="166" fontId="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" fillId="0" borderId="0"/>
    <xf numFmtId="0" fontId="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166" fontId="15" fillId="0" borderId="0"/>
    <xf numFmtId="166" fontId="15" fillId="0" borderId="0"/>
    <xf numFmtId="0" fontId="15" fillId="23" borderId="36" applyNumberFormat="0" applyFont="0" applyAlignment="0" applyProtection="0"/>
    <xf numFmtId="0" fontId="15" fillId="23" borderId="36" applyNumberFormat="0" applyFont="0" applyAlignment="0" applyProtection="0"/>
    <xf numFmtId="0" fontId="15" fillId="23" borderId="36" applyNumberFormat="0" applyFont="0" applyAlignment="0" applyProtection="0"/>
    <xf numFmtId="0" fontId="15" fillId="23" borderId="36" applyNumberFormat="0" applyFont="0" applyAlignment="0" applyProtection="0"/>
    <xf numFmtId="0" fontId="15" fillId="23" borderId="36" applyNumberFormat="0" applyFont="0" applyAlignment="0" applyProtection="0"/>
    <xf numFmtId="0" fontId="15" fillId="23" borderId="36" applyNumberFormat="0" applyFont="0" applyAlignment="0" applyProtection="0"/>
    <xf numFmtId="0" fontId="15" fillId="23" borderId="36" applyNumberFormat="0" applyFont="0" applyAlignment="0" applyProtection="0"/>
    <xf numFmtId="0" fontId="15" fillId="23" borderId="36" applyNumberFormat="0" applyFont="0" applyAlignment="0" applyProtection="0"/>
    <xf numFmtId="0" fontId="4" fillId="3" borderId="2" applyNumberFormat="0" applyFont="0" applyAlignment="0" applyProtection="0"/>
    <xf numFmtId="0" fontId="15" fillId="23" borderId="36" applyNumberFormat="0" applyFont="0" applyAlignment="0" applyProtection="0"/>
    <xf numFmtId="0" fontId="15" fillId="23" borderId="36" applyNumberFormat="0" applyFont="0" applyAlignment="0" applyProtection="0"/>
    <xf numFmtId="0" fontId="4" fillId="3" borderId="2" applyNumberFormat="0" applyFont="0" applyAlignment="0" applyProtection="0"/>
    <xf numFmtId="0" fontId="15" fillId="23" borderId="36" applyNumberFormat="0" applyFont="0" applyAlignment="0" applyProtection="0"/>
    <xf numFmtId="0" fontId="4" fillId="3" borderId="2" applyNumberFormat="0" applyFont="0" applyAlignment="0" applyProtection="0"/>
    <xf numFmtId="0" fontId="60" fillId="21" borderId="33" applyNumberFormat="0" applyAlignment="0" applyProtection="0"/>
    <xf numFmtId="0" fontId="78" fillId="67" borderId="45" applyNumberFormat="0" applyAlignment="0" applyProtection="0"/>
    <xf numFmtId="0" fontId="78" fillId="67" borderId="45" applyNumberFormat="0" applyAlignment="0" applyProtection="0"/>
    <xf numFmtId="0" fontId="78" fillId="67" borderId="45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3" fillId="0" borderId="37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4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/>
    <xf numFmtId="164" fontId="4" fillId="0" borderId="1" applyBorder="0">
      <alignment wrapText="1"/>
    </xf>
    <xf numFmtId="0" fontId="84" fillId="0" borderId="0" applyNumberFormat="0" applyFill="0" applyBorder="0" applyAlignment="0" applyProtection="0">
      <alignment vertical="top"/>
      <protection locked="0"/>
    </xf>
    <xf numFmtId="9" fontId="4" fillId="0" borderId="0" applyFont="0" applyFill="0" applyBorder="0" applyAlignment="0" applyProtection="0"/>
    <xf numFmtId="0" fontId="15" fillId="0" borderId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59" fillId="20" borderId="48" applyNumberFormat="0" applyAlignment="0" applyProtection="0"/>
    <xf numFmtId="43" fontId="2" fillId="0" borderId="0" applyFont="0" applyFill="0" applyBorder="0" applyAlignment="0" applyProtection="0"/>
    <xf numFmtId="17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5" fillId="0" borderId="0"/>
    <xf numFmtId="9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1" fillId="72" borderId="51" applyNumberFormat="0" applyAlignment="0" applyProtection="0"/>
    <xf numFmtId="0" fontId="4" fillId="0" borderId="0"/>
    <xf numFmtId="0" fontId="85" fillId="0" borderId="0"/>
    <xf numFmtId="0" fontId="86" fillId="73" borderId="0" applyNumberFormat="0" applyBorder="0" applyAlignment="0" applyProtection="0"/>
    <xf numFmtId="0" fontId="87" fillId="20" borderId="32" applyNumberFormat="0" applyAlignment="0" applyProtection="0"/>
    <xf numFmtId="0" fontId="88" fillId="21" borderId="32" applyNumberFormat="0" applyAlignment="0" applyProtection="0"/>
    <xf numFmtId="0" fontId="14" fillId="0" borderId="0"/>
    <xf numFmtId="0" fontId="4" fillId="0" borderId="0"/>
    <xf numFmtId="170" fontId="9" fillId="0" borderId="50" applyBorder="0"/>
    <xf numFmtId="164" fontId="10" fillId="0" borderId="64" applyBorder="0">
      <alignment wrapText="1"/>
    </xf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/>
    <xf numFmtId="166" fontId="15" fillId="0" borderId="0"/>
    <xf numFmtId="0" fontId="15" fillId="23" borderId="36" applyNumberFormat="0" applyFont="0" applyAlignment="0" applyProtection="0"/>
    <xf numFmtId="0" fontId="15" fillId="23" borderId="36" applyNumberFormat="0" applyFont="0" applyAlignment="0" applyProtection="0"/>
    <xf numFmtId="0" fontId="15" fillId="23" borderId="36" applyNumberFormat="0" applyFont="0" applyAlignment="0" applyProtection="0"/>
    <xf numFmtId="0" fontId="15" fillId="23" borderId="36" applyNumberFormat="0" applyFont="0" applyAlignment="0" applyProtection="0"/>
    <xf numFmtId="0" fontId="15" fillId="23" borderId="36" applyNumberFormat="0" applyFont="0" applyAlignment="0" applyProtection="0"/>
    <xf numFmtId="0" fontId="15" fillId="23" borderId="36" applyNumberFormat="0" applyFont="0" applyAlignment="0" applyProtection="0"/>
    <xf numFmtId="0" fontId="15" fillId="23" borderId="36" applyNumberFormat="0" applyFont="0" applyAlignment="0" applyProtection="0"/>
    <xf numFmtId="0" fontId="15" fillId="23" borderId="36" applyNumberFormat="0" applyFont="0" applyAlignment="0" applyProtection="0"/>
    <xf numFmtId="0" fontId="15" fillId="23" borderId="36" applyNumberFormat="0" applyFont="0" applyAlignment="0" applyProtection="0"/>
    <xf numFmtId="0" fontId="15" fillId="23" borderId="36" applyNumberFormat="0" applyFont="0" applyAlignment="0" applyProtection="0"/>
    <xf numFmtId="0" fontId="15" fillId="23" borderId="36" applyNumberFormat="0" applyFont="0" applyAlignment="0" applyProtection="0"/>
    <xf numFmtId="9" fontId="1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3" fillId="0" borderId="0"/>
    <xf numFmtId="0" fontId="69" fillId="67" borderId="81" applyNumberFormat="0" applyAlignment="0" applyProtection="0"/>
    <xf numFmtId="177" fontId="153" fillId="0" borderId="0" applyFont="0" applyFill="0" applyBorder="0" applyAlignment="0" applyProtection="0"/>
    <xf numFmtId="0" fontId="75" fillId="0" borderId="82" applyNumberFormat="0" applyFill="0" applyAlignment="0" applyProtection="0"/>
    <xf numFmtId="0" fontId="76" fillId="54" borderId="81" applyNumberFormat="0" applyAlignment="0" applyProtection="0"/>
    <xf numFmtId="0" fontId="153" fillId="3" borderId="83" applyNumberFormat="0" applyFont="0" applyAlignment="0" applyProtection="0"/>
    <xf numFmtId="0" fontId="78" fillId="67" borderId="84" applyNumberFormat="0" applyAlignment="0" applyProtection="0"/>
    <xf numFmtId="0" fontId="80" fillId="0" borderId="85" applyNumberFormat="0" applyFill="0" applyAlignment="0" applyProtection="0"/>
    <xf numFmtId="0" fontId="4" fillId="3" borderId="83" applyNumberFormat="0" applyFont="0" applyAlignment="0" applyProtection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" fillId="0" borderId="0"/>
    <xf numFmtId="0" fontId="1" fillId="0" borderId="0"/>
  </cellStyleXfs>
  <cellXfs count="1606">
    <xf numFmtId="0" fontId="0" fillId="0" borderId="0" xfId="0"/>
    <xf numFmtId="0" fontId="8" fillId="0" borderId="0" xfId="0" applyFont="1"/>
    <xf numFmtId="0" fontId="8" fillId="0" borderId="0" xfId="1" applyFont="1"/>
    <xf numFmtId="0" fontId="9" fillId="0" borderId="0" xfId="0" applyFont="1"/>
    <xf numFmtId="164" fontId="10" fillId="0" borderId="0" xfId="3" applyBorder="1">
      <alignment wrapText="1"/>
    </xf>
    <xf numFmtId="0" fontId="0" fillId="0" borderId="3" xfId="0" applyBorder="1"/>
    <xf numFmtId="164" fontId="10" fillId="0" borderId="3" xfId="3" applyBorder="1">
      <alignment wrapText="1"/>
    </xf>
    <xf numFmtId="0" fontId="9" fillId="0" borderId="3" xfId="0" applyFont="1" applyBorder="1"/>
    <xf numFmtId="164" fontId="10" fillId="0" borderId="5" xfId="3" applyBorder="1">
      <alignment wrapText="1"/>
    </xf>
    <xf numFmtId="0" fontId="11" fillId="0" borderId="0" xfId="1" applyFont="1"/>
    <xf numFmtId="0" fontId="12" fillId="2" borderId="0" xfId="1" applyFont="1" applyFill="1" applyAlignment="1">
      <alignment horizontal="center"/>
    </xf>
    <xf numFmtId="0" fontId="9" fillId="0" borderId="0" xfId="1" applyFont="1"/>
    <xf numFmtId="0" fontId="12" fillId="0" borderId="0" xfId="1" applyFont="1" applyAlignment="1">
      <alignment horizontal="center"/>
    </xf>
    <xf numFmtId="0" fontId="12" fillId="0" borderId="0" xfId="1" applyFont="1"/>
    <xf numFmtId="164" fontId="9" fillId="0" borderId="0" xfId="1" applyNumberFormat="1" applyFont="1"/>
    <xf numFmtId="0" fontId="9" fillId="0" borderId="3" xfId="1" applyFont="1" applyBorder="1"/>
    <xf numFmtId="164" fontId="9" fillId="0" borderId="3" xfId="1" applyNumberFormat="1" applyFont="1" applyBorder="1"/>
    <xf numFmtId="0" fontId="0" fillId="0" borderId="0" xfId="0" applyAlignment="1">
      <alignment horizontal="center"/>
    </xf>
    <xf numFmtId="0" fontId="3" fillId="2" borderId="0" xfId="0" applyFont="1" applyFill="1" applyAlignment="1"/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wrapText="1"/>
    </xf>
    <xf numFmtId="0" fontId="9" fillId="0" borderId="0" xfId="1" applyFont="1" applyBorder="1"/>
    <xf numFmtId="0" fontId="3" fillId="0" borderId="0" xfId="0" applyFont="1" applyFill="1" applyAlignment="1"/>
    <xf numFmtId="0" fontId="3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center"/>
    </xf>
    <xf numFmtId="0" fontId="0" fillId="0" borderId="0" xfId="0" applyFill="1"/>
    <xf numFmtId="0" fontId="14" fillId="0" borderId="0" xfId="0" applyFont="1"/>
    <xf numFmtId="164" fontId="13" fillId="0" borderId="0" xfId="3" applyFont="1" applyBorder="1">
      <alignment wrapText="1"/>
    </xf>
    <xf numFmtId="164" fontId="0" fillId="0" borderId="0" xfId="0" applyNumberFormat="1"/>
    <xf numFmtId="0" fontId="17" fillId="0" borderId="0" xfId="1" applyFont="1"/>
    <xf numFmtId="0" fontId="18" fillId="0" borderId="0" xfId="1" applyFont="1"/>
    <xf numFmtId="164" fontId="17" fillId="0" borderId="4" xfId="1" applyNumberFormat="1" applyFont="1" applyBorder="1"/>
    <xf numFmtId="0" fontId="19" fillId="0" borderId="0" xfId="1" applyFont="1"/>
    <xf numFmtId="164" fontId="17" fillId="0" borderId="0" xfId="1" applyNumberFormat="1" applyFont="1"/>
    <xf numFmtId="164" fontId="17" fillId="0" borderId="5" xfId="1" applyNumberFormat="1" applyFont="1" applyBorder="1"/>
    <xf numFmtId="164" fontId="20" fillId="0" borderId="0" xfId="3" applyFont="1" applyBorder="1">
      <alignment wrapText="1"/>
    </xf>
    <xf numFmtId="0" fontId="21" fillId="0" borderId="0" xfId="0" applyFont="1"/>
    <xf numFmtId="164" fontId="21" fillId="0" borderId="0" xfId="1" applyNumberFormat="1" applyFont="1"/>
    <xf numFmtId="0" fontId="22" fillId="0" borderId="0" xfId="1" applyFont="1"/>
    <xf numFmtId="0" fontId="17" fillId="0" borderId="0" xfId="1" applyFont="1" applyAlignment="1">
      <alignment wrapText="1"/>
    </xf>
    <xf numFmtId="0" fontId="17" fillId="0" borderId="0" xfId="0" applyFont="1"/>
    <xf numFmtId="0" fontId="23" fillId="0" borderId="0" xfId="0" applyFont="1"/>
    <xf numFmtId="0" fontId="17" fillId="0" borderId="0" xfId="0" applyFont="1" applyFill="1" applyBorder="1"/>
    <xf numFmtId="164" fontId="24" fillId="0" borderId="4" xfId="3" applyFont="1" applyBorder="1">
      <alignment wrapText="1"/>
    </xf>
    <xf numFmtId="0" fontId="19" fillId="0" borderId="0" xfId="0" applyFont="1"/>
    <xf numFmtId="164" fontId="24" fillId="0" borderId="0" xfId="3" applyFont="1" applyBorder="1">
      <alignment wrapText="1"/>
    </xf>
    <xf numFmtId="164" fontId="24" fillId="0" borderId="9" xfId="3" applyFont="1" applyBorder="1">
      <alignment wrapText="1"/>
    </xf>
    <xf numFmtId="164" fontId="24" fillId="0" borderId="8" xfId="3" applyFont="1" applyBorder="1">
      <alignment wrapText="1"/>
    </xf>
    <xf numFmtId="164" fontId="24" fillId="0" borderId="5" xfId="3" applyFont="1" applyBorder="1">
      <alignment wrapText="1"/>
    </xf>
    <xf numFmtId="164" fontId="25" fillId="0" borderId="6" xfId="3" applyFont="1" applyBorder="1">
      <alignment wrapText="1"/>
    </xf>
    <xf numFmtId="0" fontId="22" fillId="0" borderId="0" xfId="0" applyFont="1"/>
    <xf numFmtId="0" fontId="27" fillId="0" borderId="1" xfId="11" applyFont="1" applyBorder="1" applyAlignment="1"/>
    <xf numFmtId="0" fontId="0" fillId="0" borderId="0" xfId="0" applyAlignment="1">
      <alignment wrapText="1"/>
    </xf>
    <xf numFmtId="0" fontId="5" fillId="0" borderId="0" xfId="13"/>
    <xf numFmtId="164" fontId="5" fillId="0" borderId="0" xfId="14" applyBorder="1">
      <alignment wrapText="1"/>
    </xf>
    <xf numFmtId="0" fontId="17" fillId="0" borderId="0" xfId="0" applyFont="1" applyFill="1" applyAlignment="1"/>
    <xf numFmtId="0" fontId="17" fillId="0" borderId="0" xfId="0" applyFont="1" applyFill="1" applyAlignment="1">
      <alignment horizontal="center" wrapText="1"/>
    </xf>
    <xf numFmtId="0" fontId="17" fillId="0" borderId="0" xfId="0" applyFont="1" applyFill="1" applyAlignment="1">
      <alignment horizontal="center"/>
    </xf>
    <xf numFmtId="0" fontId="19" fillId="0" borderId="0" xfId="0" applyFont="1" applyFill="1"/>
    <xf numFmtId="0" fontId="28" fillId="0" borderId="0" xfId="13" applyFont="1"/>
    <xf numFmtId="164" fontId="25" fillId="0" borderId="5" xfId="3" applyFont="1" applyBorder="1">
      <alignment wrapText="1"/>
    </xf>
    <xf numFmtId="0" fontId="21" fillId="0" borderId="0" xfId="1" applyFont="1"/>
    <xf numFmtId="0" fontId="9" fillId="0" borderId="0" xfId="13" applyFont="1"/>
    <xf numFmtId="164" fontId="9" fillId="0" borderId="0" xfId="14" applyFont="1" applyBorder="1">
      <alignment wrapText="1"/>
    </xf>
    <xf numFmtId="164" fontId="9" fillId="0" borderId="0" xfId="3" applyFont="1" applyBorder="1">
      <alignment wrapText="1"/>
    </xf>
    <xf numFmtId="0" fontId="17" fillId="0" borderId="0" xfId="13" applyFont="1"/>
    <xf numFmtId="0" fontId="21" fillId="0" borderId="0" xfId="13" applyFont="1"/>
    <xf numFmtId="0" fontId="9" fillId="0" borderId="3" xfId="13" applyFont="1" applyBorder="1"/>
    <xf numFmtId="164" fontId="9" fillId="0" borderId="3" xfId="14" applyFont="1" applyBorder="1">
      <alignment wrapText="1"/>
    </xf>
    <xf numFmtId="164" fontId="9" fillId="0" borderId="3" xfId="3" applyFont="1" applyBorder="1">
      <alignment wrapText="1"/>
    </xf>
    <xf numFmtId="164" fontId="9" fillId="0" borderId="5" xfId="14" applyFont="1" applyBorder="1">
      <alignment wrapText="1"/>
    </xf>
    <xf numFmtId="0" fontId="9" fillId="0" borderId="5" xfId="13" applyFont="1" applyBorder="1"/>
    <xf numFmtId="0" fontId="5" fillId="0" borderId="5" xfId="13" applyBorder="1"/>
    <xf numFmtId="164" fontId="21" fillId="0" borderId="7" xfId="14" applyFont="1" applyBorder="1">
      <alignment wrapText="1"/>
    </xf>
    <xf numFmtId="0" fontId="26" fillId="0" borderId="0" xfId="1" applyFont="1"/>
    <xf numFmtId="0" fontId="4" fillId="0" borderId="0" xfId="1"/>
    <xf numFmtId="166" fontId="26" fillId="0" borderId="0" xfId="1" applyNumberFormat="1" applyFont="1" applyAlignment="1">
      <alignment horizontal="right"/>
    </xf>
    <xf numFmtId="164" fontId="26" fillId="0" borderId="14" xfId="15" applyNumberFormat="1" applyFont="1" applyBorder="1" applyAlignment="1">
      <alignment horizontal="right"/>
    </xf>
    <xf numFmtId="166" fontId="26" fillId="0" borderId="0" xfId="1" applyNumberFormat="1" applyFont="1"/>
    <xf numFmtId="166" fontId="26" fillId="0" borderId="0" xfId="1" quotePrefix="1" applyNumberFormat="1" applyFont="1" applyAlignment="1">
      <alignment horizontal="center"/>
    </xf>
    <xf numFmtId="164" fontId="26" fillId="0" borderId="14" xfId="15" applyNumberFormat="1" applyFont="1" applyBorder="1" applyAlignment="1">
      <alignment horizontal="center"/>
    </xf>
    <xf numFmtId="0" fontId="26" fillId="0" borderId="0" xfId="1" applyFont="1" applyAlignment="1">
      <alignment horizontal="center"/>
    </xf>
    <xf numFmtId="166" fontId="31" fillId="0" borderId="0" xfId="1" applyNumberFormat="1" applyFont="1" applyProtection="1">
      <protection locked="0"/>
    </xf>
    <xf numFmtId="167" fontId="4" fillId="0" borderId="0" xfId="1" applyNumberFormat="1"/>
    <xf numFmtId="167" fontId="4" fillId="0" borderId="14" xfId="1" applyNumberFormat="1" applyBorder="1"/>
    <xf numFmtId="167" fontId="26" fillId="0" borderId="15" xfId="15" applyNumberFormat="1" applyFont="1" applyBorder="1"/>
    <xf numFmtId="164" fontId="26" fillId="0" borderId="15" xfId="14" applyFont="1" applyBorder="1">
      <alignment wrapText="1"/>
    </xf>
    <xf numFmtId="166" fontId="32" fillId="0" borderId="0" xfId="1" quotePrefix="1" applyNumberFormat="1" applyFont="1"/>
    <xf numFmtId="167" fontId="5" fillId="0" borderId="14" xfId="15" applyNumberFormat="1" applyFont="1" applyBorder="1"/>
    <xf numFmtId="166" fontId="4" fillId="0" borderId="0" xfId="1" applyNumberFormat="1"/>
    <xf numFmtId="167" fontId="26" fillId="0" borderId="0" xfId="1" applyNumberFormat="1" applyFont="1"/>
    <xf numFmtId="167" fontId="26" fillId="0" borderId="14" xfId="1" applyNumberFormat="1" applyFont="1" applyBorder="1"/>
    <xf numFmtId="167" fontId="26" fillId="0" borderId="9" xfId="15" applyNumberFormat="1" applyFont="1" applyFill="1" applyBorder="1" applyAlignment="1" applyProtection="1">
      <protection locked="0"/>
    </xf>
    <xf numFmtId="164" fontId="26" fillId="0" borderId="9" xfId="14" applyFont="1" applyBorder="1" applyAlignment="1">
      <alignment wrapText="1"/>
    </xf>
    <xf numFmtId="9" fontId="0" fillId="0" borderId="0" xfId="8" applyFont="1"/>
    <xf numFmtId="164" fontId="26" fillId="0" borderId="1" xfId="0" applyNumberFormat="1" applyFont="1" applyBorder="1" applyAlignment="1">
      <alignment horizontal="center" vertical="center" wrapText="1"/>
    </xf>
    <xf numFmtId="0" fontId="27" fillId="0" borderId="12" xfId="11" applyFont="1" applyBorder="1" applyAlignment="1"/>
    <xf numFmtId="0" fontId="27" fillId="0" borderId="11" xfId="11" applyFont="1" applyBorder="1" applyAlignment="1"/>
    <xf numFmtId="164" fontId="0" fillId="0" borderId="1" xfId="0" applyNumberFormat="1" applyBorder="1" applyAlignment="1">
      <alignment wrapText="1"/>
    </xf>
    <xf numFmtId="0" fontId="26" fillId="0" borderId="1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164" fontId="26" fillId="0" borderId="1" xfId="0" applyNumberFormat="1" applyFont="1" applyBorder="1" applyAlignment="1">
      <alignment horizontal="center" vertical="center"/>
    </xf>
    <xf numFmtId="0" fontId="33" fillId="4" borderId="1" xfId="9" applyFont="1" applyBorder="1" applyAlignment="1"/>
    <xf numFmtId="0" fontId="0" fillId="0" borderId="1" xfId="0" applyBorder="1" applyAlignment="1"/>
    <xf numFmtId="0" fontId="0" fillId="0" borderId="13" xfId="0" applyBorder="1" applyAlignment="1"/>
    <xf numFmtId="164" fontId="0" fillId="0" borderId="1" xfId="0" applyNumberFormat="1" applyBorder="1" applyAlignment="1"/>
    <xf numFmtId="8" fontId="0" fillId="0" borderId="1" xfId="0" applyNumberFormat="1" applyBorder="1" applyAlignment="1"/>
    <xf numFmtId="164" fontId="0" fillId="3" borderId="2" xfId="4" applyNumberFormat="1" applyFont="1" applyAlignment="1">
      <alignment wrapText="1"/>
    </xf>
    <xf numFmtId="168" fontId="0" fillId="0" borderId="0" xfId="16" applyNumberFormat="1" applyFont="1"/>
    <xf numFmtId="164" fontId="10" fillId="0" borderId="0" xfId="3" applyNumberFormat="1" applyBorder="1">
      <alignment wrapText="1"/>
    </xf>
    <xf numFmtId="0" fontId="5" fillId="0" borderId="0" xfId="2"/>
    <xf numFmtId="10" fontId="5" fillId="0" borderId="0" xfId="2" applyNumberFormat="1"/>
    <xf numFmtId="0" fontId="35" fillId="6" borderId="0" xfId="18" applyAlignment="1"/>
    <xf numFmtId="0" fontId="34" fillId="5" borderId="0" xfId="17" applyAlignment="1"/>
    <xf numFmtId="0" fontId="3" fillId="0" borderId="0" xfId="0" applyFont="1"/>
    <xf numFmtId="0" fontId="16" fillId="4" borderId="0" xfId="9"/>
    <xf numFmtId="170" fontId="9" fillId="0" borderId="0" xfId="19" applyBorder="1"/>
    <xf numFmtId="170" fontId="9" fillId="0" borderId="5" xfId="19" applyBorder="1"/>
    <xf numFmtId="170" fontId="9" fillId="0" borderId="3" xfId="19" applyBorder="1"/>
    <xf numFmtId="170" fontId="9" fillId="0" borderId="7" xfId="19" applyBorder="1"/>
    <xf numFmtId="170" fontId="12" fillId="0" borderId="0" xfId="19" applyFont="1" applyBorder="1"/>
    <xf numFmtId="170" fontId="12" fillId="0" borderId="5" xfId="19" applyFont="1" applyBorder="1"/>
    <xf numFmtId="170" fontId="38" fillId="0" borderId="0" xfId="19" applyFont="1" applyBorder="1"/>
    <xf numFmtId="170" fontId="12" fillId="0" borderId="4" xfId="19" applyFont="1" applyBorder="1"/>
    <xf numFmtId="170" fontId="12" fillId="0" borderId="8" xfId="19" applyFont="1" applyBorder="1"/>
    <xf numFmtId="170" fontId="12" fillId="0" borderId="9" xfId="19" applyFont="1" applyBorder="1"/>
    <xf numFmtId="170" fontId="38" fillId="0" borderId="5" xfId="19" applyFont="1" applyBorder="1"/>
    <xf numFmtId="170" fontId="39" fillId="0" borderId="7" xfId="19" applyFont="1" applyBorder="1"/>
    <xf numFmtId="9" fontId="3" fillId="0" borderId="0" xfId="8" applyNumberFormat="1" applyFont="1" applyFill="1"/>
    <xf numFmtId="0" fontId="40" fillId="0" borderId="0" xfId="0" applyFont="1"/>
    <xf numFmtId="170" fontId="21" fillId="0" borderId="7" xfId="19" applyFont="1" applyBorder="1"/>
    <xf numFmtId="9" fontId="0" fillId="0" borderId="0" xfId="8" applyFont="1" applyFill="1"/>
    <xf numFmtId="0" fontId="0" fillId="0" borderId="0" xfId="0" applyFill="1" applyAlignment="1"/>
    <xf numFmtId="9" fontId="0" fillId="0" borderId="0" xfId="8" applyNumberFormat="1" applyFont="1" applyFill="1"/>
    <xf numFmtId="168" fontId="0" fillId="0" borderId="0" xfId="16" applyNumberFormat="1" applyFont="1" applyFill="1"/>
    <xf numFmtId="0" fontId="3" fillId="0" borderId="0" xfId="0" applyFont="1" applyFill="1"/>
    <xf numFmtId="170" fontId="9" fillId="0" borderId="0" xfId="19" applyFill="1" applyBorder="1"/>
    <xf numFmtId="165" fontId="0" fillId="0" borderId="8" xfId="16" applyNumberFormat="1" applyFont="1" applyBorder="1"/>
    <xf numFmtId="165" fontId="3" fillId="0" borderId="0" xfId="16" applyNumberFormat="1" applyFont="1" applyAlignment="1">
      <alignment horizontal="center" wrapText="1"/>
    </xf>
    <xf numFmtId="165" fontId="0" fillId="0" borderId="0" xfId="16" applyNumberFormat="1" applyFont="1"/>
    <xf numFmtId="165" fontId="41" fillId="0" borderId="8" xfId="16" applyNumberFormat="1" applyFont="1" applyBorder="1"/>
    <xf numFmtId="170" fontId="9" fillId="0" borderId="0" xfId="19" applyBorder="1"/>
    <xf numFmtId="0" fontId="3" fillId="0" borderId="0" xfId="0" applyFont="1"/>
    <xf numFmtId="173" fontId="10" fillId="0" borderId="0" xfId="3" applyNumberFormat="1" applyBorder="1">
      <alignment wrapText="1"/>
    </xf>
    <xf numFmtId="170" fontId="12" fillId="0" borderId="0" xfId="1" applyNumberFormat="1" applyFont="1"/>
    <xf numFmtId="164" fontId="12" fillId="0" borderId="0" xfId="1" applyNumberFormat="1" applyFont="1"/>
    <xf numFmtId="173" fontId="10" fillId="0" borderId="3" xfId="3" applyNumberFormat="1" applyBorder="1">
      <alignment wrapText="1"/>
    </xf>
    <xf numFmtId="0" fontId="0" fillId="0" borderId="0" xfId="0"/>
    <xf numFmtId="0" fontId="8" fillId="0" borderId="0" xfId="1" applyFont="1"/>
    <xf numFmtId="164" fontId="10" fillId="0" borderId="5" xfId="3" applyBorder="1">
      <alignment wrapText="1"/>
    </xf>
    <xf numFmtId="0" fontId="11" fillId="0" borderId="0" xfId="1" applyFont="1"/>
    <xf numFmtId="0" fontId="12" fillId="2" borderId="0" xfId="1" applyFont="1" applyFill="1" applyAlignment="1">
      <alignment horizontal="center"/>
    </xf>
    <xf numFmtId="0" fontId="9" fillId="0" borderId="0" xfId="1" applyFont="1"/>
    <xf numFmtId="0" fontId="12" fillId="0" borderId="0" xfId="1" applyFont="1"/>
    <xf numFmtId="164" fontId="9" fillId="0" borderId="0" xfId="1" applyNumberFormat="1" applyFont="1"/>
    <xf numFmtId="164" fontId="9" fillId="0" borderId="3" xfId="1" applyNumberFormat="1" applyFont="1" applyBorder="1"/>
    <xf numFmtId="0" fontId="0" fillId="0" borderId="0" xfId="0" applyAlignment="1">
      <alignment horizontal="center"/>
    </xf>
    <xf numFmtId="0" fontId="3" fillId="2" borderId="0" xfId="0" applyFont="1" applyFill="1" applyAlignment="1"/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wrapText="1"/>
    </xf>
    <xf numFmtId="0" fontId="3" fillId="0" borderId="0" xfId="0" applyFont="1" applyFill="1" applyAlignment="1"/>
    <xf numFmtId="0" fontId="3" fillId="0" borderId="0" xfId="0" applyFont="1" applyFill="1" applyAlignment="1">
      <alignment horizontal="center" wrapText="1"/>
    </xf>
    <xf numFmtId="0" fontId="14" fillId="0" borderId="0" xfId="0" applyFont="1"/>
    <xf numFmtId="164" fontId="13" fillId="0" borderId="0" xfId="3" applyFont="1" applyBorder="1">
      <alignment wrapText="1"/>
    </xf>
    <xf numFmtId="0" fontId="17" fillId="0" borderId="0" xfId="1" applyFont="1"/>
    <xf numFmtId="164" fontId="17" fillId="0" borderId="4" xfId="1" applyNumberFormat="1" applyFont="1" applyBorder="1"/>
    <xf numFmtId="0" fontId="19" fillId="0" borderId="0" xfId="1" applyFont="1"/>
    <xf numFmtId="164" fontId="24" fillId="0" borderId="4" xfId="3" applyFont="1" applyBorder="1">
      <alignment wrapText="1"/>
    </xf>
    <xf numFmtId="164" fontId="24" fillId="0" borderId="0" xfId="3" applyFont="1" applyBorder="1">
      <alignment wrapText="1"/>
    </xf>
    <xf numFmtId="164" fontId="24" fillId="0" borderId="9" xfId="3" applyFont="1" applyBorder="1">
      <alignment wrapText="1"/>
    </xf>
    <xf numFmtId="164" fontId="24" fillId="0" borderId="8" xfId="3" applyFont="1" applyBorder="1">
      <alignment wrapText="1"/>
    </xf>
    <xf numFmtId="164" fontId="24" fillId="0" borderId="5" xfId="3" applyFont="1" applyBorder="1">
      <alignment wrapText="1"/>
    </xf>
    <xf numFmtId="164" fontId="25" fillId="0" borderId="6" xfId="3" applyFont="1" applyBorder="1">
      <alignment wrapText="1"/>
    </xf>
    <xf numFmtId="0" fontId="27" fillId="0" borderId="1" xfId="11" applyFont="1" applyBorder="1" applyAlignment="1"/>
    <xf numFmtId="0" fontId="5" fillId="0" borderId="0" xfId="13"/>
    <xf numFmtId="164" fontId="5" fillId="0" borderId="0" xfId="14" applyBorder="1">
      <alignment wrapText="1"/>
    </xf>
    <xf numFmtId="0" fontId="17" fillId="0" borderId="0" xfId="0" applyFont="1" applyFill="1" applyAlignment="1"/>
    <xf numFmtId="0" fontId="17" fillId="0" borderId="0" xfId="0" applyFont="1" applyFill="1" applyAlignment="1">
      <alignment horizontal="center" wrapText="1"/>
    </xf>
    <xf numFmtId="0" fontId="17" fillId="0" borderId="0" xfId="0" applyFont="1" applyFill="1" applyAlignment="1">
      <alignment horizontal="center"/>
    </xf>
    <xf numFmtId="0" fontId="19" fillId="0" borderId="0" xfId="0" applyFont="1" applyFill="1"/>
    <xf numFmtId="0" fontId="28" fillId="0" borderId="0" xfId="13" applyFont="1"/>
    <xf numFmtId="0" fontId="21" fillId="0" borderId="0" xfId="1" applyFont="1"/>
    <xf numFmtId="0" fontId="9" fillId="0" borderId="0" xfId="13" applyFont="1"/>
    <xf numFmtId="164" fontId="9" fillId="0" borderId="0" xfId="14" applyFont="1" applyBorder="1">
      <alignment wrapText="1"/>
    </xf>
    <xf numFmtId="164" fontId="9" fillId="0" borderId="0" xfId="3" applyFont="1" applyBorder="1">
      <alignment wrapText="1"/>
    </xf>
    <xf numFmtId="0" fontId="17" fillId="0" borderId="0" xfId="13" applyFont="1"/>
    <xf numFmtId="0" fontId="21" fillId="0" borderId="0" xfId="13" applyFont="1"/>
    <xf numFmtId="0" fontId="9" fillId="0" borderId="3" xfId="13" applyFont="1" applyBorder="1"/>
    <xf numFmtId="164" fontId="9" fillId="0" borderId="3" xfId="14" applyFont="1" applyBorder="1">
      <alignment wrapText="1"/>
    </xf>
    <xf numFmtId="164" fontId="9" fillId="0" borderId="3" xfId="3" applyFont="1" applyBorder="1">
      <alignment wrapText="1"/>
    </xf>
    <xf numFmtId="164" fontId="9" fillId="0" borderId="5" xfId="14" applyFont="1" applyBorder="1">
      <alignment wrapText="1"/>
    </xf>
    <xf numFmtId="0" fontId="9" fillId="0" borderId="5" xfId="13" applyFont="1" applyBorder="1"/>
    <xf numFmtId="0" fontId="5" fillId="0" borderId="5" xfId="13" applyBorder="1"/>
    <xf numFmtId="164" fontId="21" fillId="0" borderId="7" xfId="14" applyFont="1" applyBorder="1">
      <alignment wrapText="1"/>
    </xf>
    <xf numFmtId="0" fontId="4" fillId="0" borderId="0" xfId="1"/>
    <xf numFmtId="166" fontId="31" fillId="0" borderId="0" xfId="1" applyNumberFormat="1" applyFont="1" applyProtection="1">
      <protection locked="0"/>
    </xf>
    <xf numFmtId="167" fontId="4" fillId="0" borderId="0" xfId="1" applyNumberFormat="1"/>
    <xf numFmtId="167" fontId="4" fillId="0" borderId="14" xfId="1" applyNumberFormat="1" applyBorder="1"/>
    <xf numFmtId="166" fontId="32" fillId="0" borderId="0" xfId="1" quotePrefix="1" applyNumberFormat="1" applyFont="1"/>
    <xf numFmtId="167" fontId="5" fillId="0" borderId="14" xfId="15" applyNumberFormat="1" applyFont="1" applyBorder="1"/>
    <xf numFmtId="9" fontId="0" fillId="0" borderId="0" xfId="8" applyFont="1"/>
    <xf numFmtId="164" fontId="10" fillId="0" borderId="0" xfId="3" applyNumberFormat="1" applyBorder="1">
      <alignment wrapText="1"/>
    </xf>
    <xf numFmtId="0" fontId="3" fillId="0" borderId="0" xfId="0" applyFont="1"/>
    <xf numFmtId="170" fontId="9" fillId="0" borderId="5" xfId="19"/>
    <xf numFmtId="170" fontId="9" fillId="0" borderId="0" xfId="19" applyBorder="1"/>
    <xf numFmtId="170" fontId="9" fillId="0" borderId="5" xfId="19" applyBorder="1"/>
    <xf numFmtId="170" fontId="17" fillId="0" borderId="5" xfId="19" applyFont="1" applyBorder="1"/>
    <xf numFmtId="170" fontId="21" fillId="0" borderId="0" xfId="19" applyFont="1" applyBorder="1"/>
    <xf numFmtId="9" fontId="0" fillId="0" borderId="0" xfId="8" applyFont="1" applyFill="1"/>
    <xf numFmtId="0" fontId="44" fillId="0" borderId="0" xfId="13" applyFont="1"/>
    <xf numFmtId="0" fontId="43" fillId="0" borderId="0" xfId="13" applyFont="1"/>
    <xf numFmtId="0" fontId="0" fillId="0" borderId="0" xfId="0"/>
    <xf numFmtId="0" fontId="3" fillId="2" borderId="0" xfId="0" applyFont="1" applyFill="1" applyAlignment="1"/>
    <xf numFmtId="0" fontId="3" fillId="2" borderId="0" xfId="0" applyFont="1" applyFill="1" applyAlignment="1">
      <alignment horizontal="center"/>
    </xf>
    <xf numFmtId="164" fontId="10" fillId="0" borderId="0" xfId="3" applyBorder="1">
      <alignment wrapText="1"/>
    </xf>
    <xf numFmtId="164" fontId="10" fillId="0" borderId="3" xfId="3" applyBorder="1">
      <alignment wrapText="1"/>
    </xf>
    <xf numFmtId="170" fontId="9" fillId="0" borderId="3" xfId="19" applyBorder="1"/>
    <xf numFmtId="170" fontId="9" fillId="0" borderId="0" xfId="19" applyBorder="1"/>
    <xf numFmtId="170" fontId="9" fillId="0" borderId="7" xfId="19" applyBorder="1"/>
    <xf numFmtId="170" fontId="12" fillId="0" borderId="0" xfId="20" applyNumberFormat="1" applyFont="1"/>
    <xf numFmtId="170" fontId="12" fillId="0" borderId="0" xfId="19" applyFont="1" applyBorder="1"/>
    <xf numFmtId="0" fontId="0" fillId="0" borderId="0" xfId="0"/>
    <xf numFmtId="0" fontId="26" fillId="0" borderId="0" xfId="0" applyFont="1"/>
    <xf numFmtId="0" fontId="5" fillId="0" borderId="0" xfId="0" applyFont="1"/>
    <xf numFmtId="9" fontId="5" fillId="0" borderId="0" xfId="8" applyFont="1" applyAlignment="1">
      <alignment horizontal="center"/>
    </xf>
    <xf numFmtId="0" fontId="5" fillId="7" borderId="18" xfId="0" applyFont="1" applyFill="1" applyBorder="1" applyAlignment="1">
      <alignment horizontal="right" vertical="center"/>
    </xf>
    <xf numFmtId="0" fontId="5" fillId="7" borderId="20" xfId="0" applyFont="1" applyFill="1" applyBorder="1" applyAlignment="1">
      <alignment horizontal="center" vertical="center"/>
    </xf>
    <xf numFmtId="171" fontId="5" fillId="0" borderId="0" xfId="21" applyNumberFormat="1" applyFont="1"/>
    <xf numFmtId="43" fontId="0" fillId="0" borderId="0" xfId="15" applyFont="1"/>
    <xf numFmtId="43" fontId="5" fillId="0" borderId="0" xfId="0" applyNumberFormat="1" applyFont="1"/>
    <xf numFmtId="169" fontId="5" fillId="0" borderId="0" xfId="8" applyNumberFormat="1" applyFont="1"/>
    <xf numFmtId="171" fontId="26" fillId="0" borderId="0" xfId="21" applyNumberFormat="1" applyFont="1" applyAlignment="1">
      <alignment horizontal="right"/>
    </xf>
    <xf numFmtId="9" fontId="26" fillId="0" borderId="0" xfId="8" applyFont="1"/>
    <xf numFmtId="0" fontId="5" fillId="8" borderId="18" xfId="0" applyFont="1" applyFill="1" applyBorder="1" applyAlignment="1">
      <alignment horizontal="right" vertical="center"/>
    </xf>
    <xf numFmtId="0" fontId="5" fillId="8" borderId="20" xfId="0" applyFont="1" applyFill="1" applyBorder="1" applyAlignment="1">
      <alignment horizontal="center" vertical="center"/>
    </xf>
    <xf numFmtId="43" fontId="0" fillId="0" borderId="0" xfId="0" applyNumberFormat="1"/>
    <xf numFmtId="0" fontId="5" fillId="0" borderId="0" xfId="0" applyFont="1" applyFill="1"/>
    <xf numFmtId="0" fontId="26" fillId="0" borderId="0" xfId="0" applyFont="1" applyFill="1"/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9" fontId="5" fillId="0" borderId="0" xfId="8" applyFont="1" applyFill="1" applyAlignment="1">
      <alignment horizontal="center"/>
    </xf>
    <xf numFmtId="6" fontId="5" fillId="0" borderId="0" xfId="0" applyNumberFormat="1" applyFont="1"/>
    <xf numFmtId="6" fontId="26" fillId="0" borderId="0" xfId="0" applyNumberFormat="1" applyFont="1"/>
    <xf numFmtId="8" fontId="5" fillId="0" borderId="0" xfId="0" applyNumberFormat="1" applyFont="1"/>
    <xf numFmtId="8" fontId="26" fillId="0" borderId="0" xfId="0" applyNumberFormat="1" applyFont="1"/>
    <xf numFmtId="0" fontId="26" fillId="8" borderId="0" xfId="0" applyFont="1" applyFill="1"/>
    <xf numFmtId="0" fontId="5" fillId="8" borderId="0" xfId="0" applyFont="1" applyFill="1"/>
    <xf numFmtId="8" fontId="26" fillId="8" borderId="0" xfId="0" applyNumberFormat="1" applyFont="1" applyFill="1"/>
    <xf numFmtId="0" fontId="26" fillId="9" borderId="0" xfId="0" applyFont="1" applyFill="1"/>
    <xf numFmtId="0" fontId="5" fillId="9" borderId="0" xfId="0" applyFont="1" applyFill="1"/>
    <xf numFmtId="8" fontId="5" fillId="9" borderId="0" xfId="0" applyNumberFormat="1" applyFont="1" applyFill="1"/>
    <xf numFmtId="172" fontId="0" fillId="0" borderId="0" xfId="15" applyNumberFormat="1" applyFont="1"/>
    <xf numFmtId="172" fontId="5" fillId="0" borderId="0" xfId="15" applyNumberFormat="1" applyFont="1"/>
    <xf numFmtId="171" fontId="42" fillId="0" borderId="0" xfId="21" applyNumberFormat="1" applyFont="1" applyFill="1" applyAlignment="1">
      <alignment horizontal="right"/>
    </xf>
    <xf numFmtId="172" fontId="12" fillId="0" borderId="0" xfId="15" applyNumberFormat="1" applyFont="1" applyFill="1" applyBorder="1" applyAlignment="1">
      <alignment wrapText="1"/>
    </xf>
    <xf numFmtId="172" fontId="26" fillId="0" borderId="0" xfId="15" applyNumberFormat="1" applyFont="1" applyFill="1"/>
    <xf numFmtId="172" fontId="5" fillId="0" borderId="0" xfId="15" applyNumberFormat="1" applyFont="1" applyFill="1"/>
    <xf numFmtId="172" fontId="0" fillId="0" borderId="0" xfId="15" applyNumberFormat="1" applyFont="1" applyFill="1"/>
    <xf numFmtId="172" fontId="26" fillId="0" borderId="0" xfId="15" applyNumberFormat="1" applyFont="1"/>
    <xf numFmtId="0" fontId="3" fillId="10" borderId="0" xfId="0" applyFont="1" applyFill="1"/>
    <xf numFmtId="0" fontId="5" fillId="10" borderId="0" xfId="0" applyFont="1" applyFill="1"/>
    <xf numFmtId="0" fontId="26" fillId="10" borderId="0" xfId="0" applyFont="1" applyFill="1" applyAlignment="1">
      <alignment horizontal="center"/>
    </xf>
    <xf numFmtId="164" fontId="9" fillId="0" borderId="0" xfId="14" applyFont="1" applyBorder="1">
      <alignment wrapText="1"/>
    </xf>
    <xf numFmtId="164" fontId="0" fillId="0" borderId="0" xfId="0" applyNumberFormat="1"/>
    <xf numFmtId="0" fontId="26" fillId="11" borderId="0" xfId="0" applyFont="1" applyFill="1"/>
    <xf numFmtId="164" fontId="12" fillId="11" borderId="0" xfId="14" applyFont="1" applyFill="1" applyBorder="1">
      <alignment wrapText="1"/>
    </xf>
    <xf numFmtId="164" fontId="26" fillId="11" borderId="0" xfId="0" applyNumberFormat="1" applyFont="1" applyFill="1"/>
    <xf numFmtId="164" fontId="12" fillId="0" borderId="0" xfId="14" applyFont="1" applyBorder="1">
      <alignment wrapText="1"/>
    </xf>
    <xf numFmtId="164" fontId="26" fillId="0" borderId="0" xfId="0" applyNumberFormat="1" applyFont="1"/>
    <xf numFmtId="0" fontId="26" fillId="0" borderId="19" xfId="0" applyFont="1" applyBorder="1"/>
    <xf numFmtId="0" fontId="5" fillId="0" borderId="15" xfId="0" applyFont="1" applyBorder="1"/>
    <xf numFmtId="9" fontId="5" fillId="0" borderId="22" xfId="8" applyFont="1" applyBorder="1"/>
    <xf numFmtId="0" fontId="5" fillId="0" borderId="23" xfId="0" applyFont="1" applyBorder="1"/>
    <xf numFmtId="9" fontId="5" fillId="0" borderId="24" xfId="8" applyFont="1" applyBorder="1"/>
    <xf numFmtId="0" fontId="5" fillId="7" borderId="0" xfId="0" applyFont="1" applyFill="1" applyBorder="1" applyAlignment="1">
      <alignment horizontal="center" wrapText="1"/>
    </xf>
    <xf numFmtId="0" fontId="5" fillId="7" borderId="0" xfId="0" applyFont="1" applyFill="1" applyBorder="1" applyAlignment="1">
      <alignment horizontal="center"/>
    </xf>
    <xf numFmtId="44" fontId="5" fillId="0" borderId="0" xfId="21" applyFont="1" applyBorder="1"/>
    <xf numFmtId="0" fontId="5" fillId="0" borderId="21" xfId="0" applyFont="1" applyBorder="1"/>
    <xf numFmtId="0" fontId="5" fillId="0" borderId="3" xfId="0" applyFont="1" applyBorder="1"/>
    <xf numFmtId="9" fontId="5" fillId="0" borderId="25" xfId="8" applyFont="1" applyBorder="1"/>
    <xf numFmtId="170" fontId="0" fillId="0" borderId="0" xfId="0" applyNumberFormat="1"/>
    <xf numFmtId="170" fontId="40" fillId="0" borderId="8" xfId="0" applyNumberFormat="1" applyFont="1" applyBorder="1"/>
    <xf numFmtId="164" fontId="38" fillId="0" borderId="8" xfId="1" applyNumberFormat="1" applyFont="1" applyBorder="1"/>
    <xf numFmtId="164" fontId="9" fillId="0" borderId="0" xfId="20" applyNumberFormat="1" applyFont="1"/>
    <xf numFmtId="172" fontId="4" fillId="0" borderId="0" xfId="16" applyNumberFormat="1" applyFont="1"/>
    <xf numFmtId="172" fontId="4" fillId="0" borderId="0" xfId="1" applyNumberFormat="1"/>
    <xf numFmtId="0" fontId="46" fillId="0" borderId="0" xfId="1" applyFont="1"/>
    <xf numFmtId="164" fontId="21" fillId="0" borderId="0" xfId="14" applyFont="1" applyBorder="1">
      <alignment wrapText="1"/>
    </xf>
    <xf numFmtId="164" fontId="38" fillId="0" borderId="0" xfId="14" applyFont="1" applyBorder="1">
      <alignment wrapText="1"/>
    </xf>
    <xf numFmtId="0" fontId="4" fillId="0" borderId="0" xfId="13" applyFont="1"/>
    <xf numFmtId="164" fontId="26" fillId="0" borderId="8" xfId="14" applyFont="1" applyBorder="1">
      <alignment wrapText="1"/>
    </xf>
    <xf numFmtId="172" fontId="5" fillId="0" borderId="0" xfId="16" applyNumberFormat="1" applyFont="1" applyBorder="1" applyAlignment="1">
      <alignment wrapText="1"/>
    </xf>
    <xf numFmtId="172" fontId="5" fillId="0" borderId="0" xfId="16" applyNumberFormat="1" applyFont="1"/>
    <xf numFmtId="0" fontId="45" fillId="12" borderId="0" xfId="0" applyFont="1" applyFill="1" applyAlignment="1"/>
    <xf numFmtId="0" fontId="3" fillId="12" borderId="0" xfId="0" applyFont="1" applyFill="1" applyAlignment="1">
      <alignment horizontal="center"/>
    </xf>
    <xf numFmtId="0" fontId="3" fillId="12" borderId="0" xfId="0" applyFont="1" applyFill="1" applyAlignment="1"/>
    <xf numFmtId="0" fontId="3" fillId="12" borderId="0" xfId="0" applyFont="1" applyFill="1" applyAlignment="1">
      <alignment horizontal="center" wrapText="1"/>
    </xf>
    <xf numFmtId="0" fontId="0" fillId="13" borderId="0" xfId="0" applyFill="1"/>
    <xf numFmtId="0" fontId="3" fillId="13" borderId="0" xfId="0" applyFont="1" applyFill="1" applyAlignment="1"/>
    <xf numFmtId="0" fontId="3" fillId="13" borderId="0" xfId="0" applyFont="1" applyFill="1" applyAlignment="1">
      <alignment horizontal="center" wrapText="1"/>
    </xf>
    <xf numFmtId="0" fontId="3" fillId="13" borderId="0" xfId="0" applyFont="1" applyFill="1" applyAlignment="1">
      <alignment horizontal="center"/>
    </xf>
    <xf numFmtId="170" fontId="9" fillId="13" borderId="0" xfId="19" applyFill="1" applyBorder="1"/>
    <xf numFmtId="170" fontId="0" fillId="13" borderId="0" xfId="0" applyNumberFormat="1" applyFill="1"/>
    <xf numFmtId="9" fontId="0" fillId="0" borderId="0" xfId="8" applyFont="1" applyAlignment="1">
      <alignment horizontal="center"/>
    </xf>
    <xf numFmtId="168" fontId="0" fillId="0" borderId="0" xfId="16" applyNumberFormat="1" applyFont="1" applyAlignment="1">
      <alignment horizontal="center"/>
    </xf>
    <xf numFmtId="0" fontId="26" fillId="12" borderId="0" xfId="13" applyFont="1" applyFill="1"/>
    <xf numFmtId="164" fontId="26" fillId="12" borderId="0" xfId="14" applyFont="1" applyFill="1" applyBorder="1">
      <alignment wrapText="1"/>
    </xf>
    <xf numFmtId="0" fontId="26" fillId="12" borderId="0" xfId="13" applyFont="1" applyFill="1" applyAlignment="1">
      <alignment wrapText="1"/>
    </xf>
    <xf numFmtId="0" fontId="26" fillId="0" borderId="0" xfId="13" applyFont="1"/>
    <xf numFmtId="164" fontId="9" fillId="0" borderId="15" xfId="14" applyFont="1" applyBorder="1">
      <alignment wrapText="1"/>
    </xf>
    <xf numFmtId="0" fontId="4" fillId="0" borderId="0" xfId="2" applyFont="1"/>
    <xf numFmtId="0" fontId="26" fillId="0" borderId="0" xfId="2" applyFont="1"/>
    <xf numFmtId="0" fontId="49" fillId="0" borderId="0" xfId="2" applyFont="1"/>
    <xf numFmtId="0" fontId="50" fillId="0" borderId="0" xfId="0" applyFont="1"/>
    <xf numFmtId="0" fontId="3" fillId="15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51" fillId="15" borderId="0" xfId="0" applyFont="1" applyFill="1" applyAlignment="1">
      <alignment horizontal="center"/>
    </xf>
    <xf numFmtId="1" fontId="0" fillId="0" borderId="0" xfId="0" applyNumberFormat="1"/>
    <xf numFmtId="1" fontId="0" fillId="15" borderId="0" xfId="0" applyNumberFormat="1" applyFill="1"/>
    <xf numFmtId="0" fontId="0" fillId="16" borderId="0" xfId="0" applyFill="1"/>
    <xf numFmtId="1" fontId="0" fillId="16" borderId="0" xfId="0" applyNumberFormat="1" applyFill="1"/>
    <xf numFmtId="10" fontId="0" fillId="13" borderId="0" xfId="8" applyNumberFormat="1" applyFont="1" applyFill="1"/>
    <xf numFmtId="10" fontId="0" fillId="17" borderId="0" xfId="8" applyNumberFormat="1" applyFont="1" applyFill="1"/>
    <xf numFmtId="10" fontId="0" fillId="0" borderId="0" xfId="8" applyNumberFormat="1" applyFont="1"/>
    <xf numFmtId="0" fontId="0" fillId="15" borderId="0" xfId="0" applyFill="1"/>
    <xf numFmtId="0" fontId="0" fillId="18" borderId="0" xfId="0" applyFill="1"/>
    <xf numFmtId="0" fontId="0" fillId="17" borderId="0" xfId="0" applyFill="1"/>
    <xf numFmtId="0" fontId="3" fillId="18" borderId="0" xfId="0" applyFont="1" applyFill="1"/>
    <xf numFmtId="0" fontId="3" fillId="15" borderId="0" xfId="0" applyFont="1" applyFill="1"/>
    <xf numFmtId="0" fontId="52" fillId="0" borderId="0" xfId="0" applyFont="1"/>
    <xf numFmtId="6" fontId="0" fillId="0" borderId="0" xfId="0" applyNumberFormat="1"/>
    <xf numFmtId="6" fontId="3" fillId="15" borderId="0" xfId="0" applyNumberFormat="1" applyFont="1" applyFill="1"/>
    <xf numFmtId="6" fontId="3" fillId="0" borderId="0" xfId="0" applyNumberFormat="1" applyFont="1"/>
    <xf numFmtId="9" fontId="0" fillId="0" borderId="0" xfId="0" applyNumberFormat="1"/>
    <xf numFmtId="0" fontId="45" fillId="0" borderId="0" xfId="0" applyFont="1"/>
    <xf numFmtId="172" fontId="0" fillId="0" borderId="0" xfId="16" applyNumberFormat="1" applyFont="1"/>
    <xf numFmtId="172" fontId="0" fillId="0" borderId="0" xfId="0" applyNumberFormat="1"/>
    <xf numFmtId="0" fontId="51" fillId="0" borderId="0" xfId="0" applyFont="1"/>
    <xf numFmtId="0" fontId="5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26" xfId="0" applyBorder="1" applyAlignment="1">
      <alignment horizontal="left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172" fontId="0" fillId="0" borderId="0" xfId="16" applyNumberFormat="1" applyFont="1" applyAlignment="1">
      <alignment horizontal="center"/>
    </xf>
    <xf numFmtId="8" fontId="0" fillId="0" borderId="0" xfId="0" applyNumberFormat="1"/>
    <xf numFmtId="44" fontId="0" fillId="0" borderId="0" xfId="21" applyFont="1"/>
    <xf numFmtId="171" fontId="0" fillId="0" borderId="0" xfId="21" applyNumberFormat="1" applyFont="1"/>
    <xf numFmtId="172" fontId="3" fillId="15" borderId="0" xfId="0" applyNumberFormat="1" applyFont="1" applyFill="1"/>
    <xf numFmtId="10" fontId="0" fillId="0" borderId="0" xfId="0" applyNumberFormat="1"/>
    <xf numFmtId="172" fontId="5" fillId="16" borderId="0" xfId="16" applyNumberFormat="1" applyFont="1" applyFill="1"/>
    <xf numFmtId="164" fontId="26" fillId="0" borderId="9" xfId="14" applyFont="1" applyBorder="1">
      <alignment wrapText="1"/>
    </xf>
    <xf numFmtId="0" fontId="5" fillId="13" borderId="0" xfId="13" applyFill="1"/>
    <xf numFmtId="164" fontId="4" fillId="0" borderId="0" xfId="14" applyFont="1" applyBorder="1" applyAlignment="1"/>
    <xf numFmtId="9" fontId="5" fillId="0" borderId="0" xfId="8" applyFont="1" applyBorder="1" applyAlignment="1">
      <alignment wrapText="1"/>
    </xf>
    <xf numFmtId="172" fontId="5" fillId="0" borderId="0" xfId="16" applyNumberFormat="1" applyFont="1" applyFill="1"/>
    <xf numFmtId="172" fontId="5" fillId="17" borderId="0" xfId="16" applyNumberFormat="1" applyFont="1" applyFill="1"/>
    <xf numFmtId="0" fontId="0" fillId="0" borderId="0" xfId="0" applyAlignment="1">
      <alignment horizontal="left" indent="2"/>
    </xf>
    <xf numFmtId="172" fontId="5" fillId="11" borderId="0" xfId="16" applyNumberFormat="1" applyFont="1" applyFill="1"/>
    <xf numFmtId="0" fontId="4" fillId="16" borderId="0" xfId="13" applyFont="1" applyFill="1"/>
    <xf numFmtId="0" fontId="5" fillId="16" borderId="0" xfId="13" applyFill="1"/>
    <xf numFmtId="164" fontId="5" fillId="16" borderId="0" xfId="14" applyFill="1" applyBorder="1">
      <alignment wrapText="1"/>
    </xf>
    <xf numFmtId="0" fontId="4" fillId="11" borderId="0" xfId="13" applyFont="1" applyFill="1"/>
    <xf numFmtId="164" fontId="5" fillId="11" borderId="0" xfId="14" applyFill="1" applyBorder="1">
      <alignment wrapText="1"/>
    </xf>
    <xf numFmtId="0" fontId="3" fillId="13" borderId="0" xfId="0" applyFont="1" applyFill="1"/>
    <xf numFmtId="9" fontId="3" fillId="13" borderId="0" xfId="8" applyFont="1" applyFill="1"/>
    <xf numFmtId="172" fontId="3" fillId="0" borderId="9" xfId="16" applyNumberFormat="1" applyFont="1" applyBorder="1"/>
    <xf numFmtId="172" fontId="3" fillId="0" borderId="9" xfId="0" applyNumberFormat="1" applyFont="1" applyBorder="1"/>
    <xf numFmtId="172" fontId="0" fillId="8" borderId="0" xfId="0" applyNumberFormat="1" applyFill="1"/>
    <xf numFmtId="164" fontId="5" fillId="8" borderId="0" xfId="14" applyFill="1" applyBorder="1">
      <alignment wrapText="1"/>
    </xf>
    <xf numFmtId="164" fontId="82" fillId="8" borderId="0" xfId="14" applyFont="1" applyFill="1" applyBorder="1" applyAlignment="1"/>
    <xf numFmtId="0" fontId="0" fillId="70" borderId="0" xfId="0" applyFill="1"/>
    <xf numFmtId="0" fontId="3" fillId="71" borderId="0" xfId="0" applyFont="1" applyFill="1" applyAlignment="1">
      <alignment wrapText="1"/>
    </xf>
    <xf numFmtId="0" fontId="0" fillId="8" borderId="0" xfId="0" applyFill="1"/>
    <xf numFmtId="172" fontId="0" fillId="8" borderId="0" xfId="16" applyNumberFormat="1" applyFont="1" applyFill="1"/>
    <xf numFmtId="169" fontId="0" fillId="8" borderId="0" xfId="8" applyNumberFormat="1" applyFont="1" applyFill="1"/>
    <xf numFmtId="43" fontId="0" fillId="8" borderId="0" xfId="0" applyNumberFormat="1" applyFill="1"/>
    <xf numFmtId="0" fontId="0" fillId="48" borderId="57" xfId="0" applyFill="1" applyBorder="1"/>
    <xf numFmtId="0" fontId="0" fillId="48" borderId="5" xfId="0" applyFill="1" applyBorder="1"/>
    <xf numFmtId="0" fontId="0" fillId="48" borderId="56" xfId="0" applyFill="1" applyBorder="1"/>
    <xf numFmtId="178" fontId="38" fillId="48" borderId="54" xfId="0" quotePrefix="1" applyNumberFormat="1" applyFont="1" applyFill="1" applyBorder="1" applyAlignment="1"/>
    <xf numFmtId="43" fontId="2" fillId="48" borderId="54" xfId="16" applyFont="1" applyFill="1" applyBorder="1" applyAlignment="1">
      <alignment horizontal="right"/>
    </xf>
    <xf numFmtId="43" fontId="83" fillId="48" borderId="54" xfId="16" applyFont="1" applyFill="1" applyBorder="1" applyAlignment="1">
      <alignment horizontal="right"/>
    </xf>
    <xf numFmtId="0" fontId="0" fillId="48" borderId="0" xfId="0" applyFill="1" applyBorder="1"/>
    <xf numFmtId="0" fontId="0" fillId="48" borderId="49" xfId="0" applyFill="1" applyBorder="1"/>
    <xf numFmtId="175" fontId="0" fillId="48" borderId="55" xfId="0" applyNumberFormat="1" applyFill="1" applyBorder="1"/>
    <xf numFmtId="175" fontId="0" fillId="48" borderId="53" xfId="0" applyNumberFormat="1" applyFill="1" applyBorder="1"/>
    <xf numFmtId="175" fontId="89" fillId="48" borderId="53" xfId="0" applyNumberFormat="1" applyFont="1" applyFill="1" applyBorder="1"/>
    <xf numFmtId="0" fontId="0" fillId="48" borderId="53" xfId="0" applyFill="1" applyBorder="1"/>
    <xf numFmtId="0" fontId="0" fillId="48" borderId="52" xfId="0" applyFill="1" applyBorder="1"/>
    <xf numFmtId="0" fontId="89" fillId="0" borderId="0" xfId="0" applyFont="1" applyBorder="1"/>
    <xf numFmtId="0" fontId="90" fillId="0" borderId="0" xfId="0" applyFont="1" applyBorder="1"/>
    <xf numFmtId="40" fontId="89" fillId="0" borderId="0" xfId="0" applyNumberFormat="1" applyFont="1"/>
    <xf numFmtId="40" fontId="89" fillId="0" borderId="0" xfId="0" applyNumberFormat="1" applyFont="1" applyFill="1"/>
    <xf numFmtId="0" fontId="66" fillId="7" borderId="38" xfId="0" applyFont="1" applyFill="1" applyBorder="1" applyAlignment="1">
      <alignment horizontal="center" vertical="center" wrapText="1"/>
    </xf>
    <xf numFmtId="40" fontId="66" fillId="74" borderId="38" xfId="0" applyNumberFormat="1" applyFont="1" applyFill="1" applyBorder="1" applyAlignment="1">
      <alignment horizontal="center" vertical="center" wrapText="1"/>
    </xf>
    <xf numFmtId="40" fontId="66" fillId="71" borderId="38" xfId="0" applyNumberFormat="1" applyFont="1" applyFill="1" applyBorder="1" applyAlignment="1">
      <alignment horizontal="center" vertical="center" wrapText="1"/>
    </xf>
    <xf numFmtId="0" fontId="89" fillId="0" borderId="38" xfId="0" applyFont="1" applyFill="1" applyBorder="1" applyAlignment="1"/>
    <xf numFmtId="40" fontId="89" fillId="0" borderId="38" xfId="0" applyNumberFormat="1" applyFont="1" applyFill="1" applyBorder="1" applyAlignment="1"/>
    <xf numFmtId="0" fontId="89" fillId="75" borderId="38" xfId="0" applyFont="1" applyFill="1" applyBorder="1" applyAlignment="1"/>
    <xf numFmtId="0" fontId="89" fillId="48" borderId="38" xfId="0" applyFont="1" applyFill="1" applyBorder="1" applyAlignment="1"/>
    <xf numFmtId="0" fontId="89" fillId="0" borderId="0" xfId="0" applyFont="1" applyFill="1" applyBorder="1" applyAlignment="1"/>
    <xf numFmtId="0" fontId="3" fillId="9" borderId="0" xfId="0" applyFont="1" applyFill="1"/>
    <xf numFmtId="43" fontId="3" fillId="9" borderId="0" xfId="16" applyFont="1" applyFill="1"/>
    <xf numFmtId="0" fontId="3" fillId="70" borderId="0" xfId="0" applyFont="1" applyFill="1" applyBorder="1"/>
    <xf numFmtId="43" fontId="90" fillId="70" borderId="0" xfId="16" applyFont="1" applyFill="1"/>
    <xf numFmtId="0" fontId="90" fillId="11" borderId="0" xfId="0" applyFont="1" applyFill="1" applyBorder="1"/>
    <xf numFmtId="0" fontId="3" fillId="11" borderId="0" xfId="0" applyFont="1" applyFill="1"/>
    <xf numFmtId="40" fontId="90" fillId="11" borderId="0" xfId="0" applyNumberFormat="1" applyFont="1" applyFill="1"/>
    <xf numFmtId="0" fontId="89" fillId="19" borderId="38" xfId="0" applyFont="1" applyFill="1" applyBorder="1" applyAlignment="1"/>
    <xf numFmtId="40" fontId="89" fillId="19" borderId="38" xfId="0" applyNumberFormat="1" applyFont="1" applyFill="1" applyBorder="1" applyAlignment="1"/>
    <xf numFmtId="0" fontId="5" fillId="0" borderId="58" xfId="2" applyBorder="1"/>
    <xf numFmtId="169" fontId="5" fillId="0" borderId="58" xfId="2" applyNumberFormat="1" applyBorder="1"/>
    <xf numFmtId="0" fontId="4" fillId="0" borderId="58" xfId="2" applyFont="1" applyBorder="1"/>
    <xf numFmtId="0" fontId="54" fillId="0" borderId="58" xfId="2" applyFont="1" applyBorder="1" applyAlignment="1">
      <alignment wrapText="1"/>
    </xf>
    <xf numFmtId="0" fontId="5" fillId="0" borderId="58" xfId="2" applyFill="1" applyBorder="1"/>
    <xf numFmtId="10" fontId="5" fillId="0" borderId="58" xfId="2" applyNumberFormat="1" applyFill="1" applyBorder="1"/>
    <xf numFmtId="0" fontId="26" fillId="0" borderId="58" xfId="2" applyFont="1" applyBorder="1" applyAlignment="1">
      <alignment wrapText="1"/>
    </xf>
    <xf numFmtId="0" fontId="49" fillId="0" borderId="58" xfId="2" applyFont="1" applyBorder="1"/>
    <xf numFmtId="0" fontId="0" fillId="0" borderId="0" xfId="0" applyFont="1" applyFill="1" applyBorder="1"/>
    <xf numFmtId="0" fontId="91" fillId="13" borderId="59" xfId="0" applyFont="1" applyFill="1" applyBorder="1" applyAlignment="1" applyProtection="1">
      <alignment wrapText="1"/>
    </xf>
    <xf numFmtId="0" fontId="91" fillId="0" borderId="59" xfId="0" applyFont="1" applyFill="1" applyBorder="1" applyAlignment="1" applyProtection="1">
      <alignment horizontal="center"/>
    </xf>
    <xf numFmtId="0" fontId="2" fillId="0" borderId="0" xfId="0" applyFont="1" applyProtection="1"/>
    <xf numFmtId="0" fontId="91" fillId="76" borderId="60" xfId="0" applyFont="1" applyFill="1" applyBorder="1" applyAlignment="1" applyProtection="1">
      <alignment wrapText="1"/>
    </xf>
    <xf numFmtId="0" fontId="91" fillId="76" borderId="48" xfId="0" applyFont="1" applyFill="1" applyBorder="1" applyAlignment="1" applyProtection="1">
      <alignment wrapText="1"/>
    </xf>
    <xf numFmtId="0" fontId="91" fillId="0" borderId="61" xfId="0" applyFont="1" applyFill="1" applyBorder="1" applyAlignment="1" applyProtection="1">
      <alignment horizontal="center"/>
    </xf>
    <xf numFmtId="0" fontId="2" fillId="0" borderId="48" xfId="0" applyFont="1" applyBorder="1" applyAlignment="1" applyProtection="1">
      <alignment wrapText="1"/>
    </xf>
    <xf numFmtId="0" fontId="2" fillId="0" borderId="48" xfId="0" applyFont="1" applyFill="1" applyBorder="1" applyAlignment="1" applyProtection="1">
      <alignment horizontal="right"/>
    </xf>
    <xf numFmtId="0" fontId="91" fillId="0" borderId="61" xfId="0" applyFont="1" applyFill="1" applyBorder="1" applyAlignment="1" applyProtection="1">
      <alignment horizontal="right"/>
    </xf>
    <xf numFmtId="0" fontId="91" fillId="16" borderId="54" xfId="0" applyFont="1" applyFill="1" applyBorder="1" applyAlignment="1" applyProtection="1">
      <alignment wrapText="1"/>
    </xf>
    <xf numFmtId="43" fontId="2" fillId="16" borderId="54" xfId="16" applyFont="1" applyFill="1" applyBorder="1" applyAlignment="1" applyProtection="1">
      <alignment horizontal="right"/>
    </xf>
    <xf numFmtId="0" fontId="2" fillId="0" borderId="0" xfId="0" applyFont="1" applyFill="1" applyProtection="1"/>
    <xf numFmtId="179" fontId="2" fillId="16" borderId="54" xfId="0" applyNumberFormat="1" applyFont="1" applyFill="1" applyBorder="1" applyAlignment="1" applyProtection="1">
      <alignment horizontal="right"/>
    </xf>
    <xf numFmtId="178" fontId="47" fillId="16" borderId="54" xfId="0" quotePrefix="1" applyNumberFormat="1" applyFont="1" applyFill="1" applyBorder="1" applyAlignment="1" applyProtection="1"/>
    <xf numFmtId="0" fontId="2" fillId="0" borderId="54" xfId="0" applyFont="1" applyFill="1" applyBorder="1" applyAlignment="1" applyProtection="1">
      <alignment wrapText="1"/>
    </xf>
    <xf numFmtId="3" fontId="92" fillId="72" borderId="48" xfId="433" applyNumberFormat="1" applyFont="1" applyBorder="1" applyAlignment="1" applyProtection="1">
      <alignment horizontal="right"/>
    </xf>
    <xf numFmtId="10" fontId="2" fillId="16" borderId="54" xfId="8" applyNumberFormat="1" applyFont="1" applyFill="1" applyBorder="1" applyAlignment="1" applyProtection="1">
      <alignment horizontal="right"/>
    </xf>
    <xf numFmtId="169" fontId="93" fillId="16" borderId="54" xfId="8" quotePrefix="1" applyNumberFormat="1" applyFont="1" applyFill="1" applyBorder="1" applyAlignment="1" applyProtection="1"/>
    <xf numFmtId="169" fontId="2" fillId="16" borderId="54" xfId="8" applyNumberFormat="1" applyFont="1" applyFill="1" applyBorder="1" applyAlignment="1" applyProtection="1">
      <alignment horizontal="right"/>
    </xf>
    <xf numFmtId="4" fontId="2" fillId="16" borderId="54" xfId="0" applyNumberFormat="1" applyFont="1" applyFill="1" applyBorder="1" applyAlignment="1" applyProtection="1">
      <alignment horizontal="right"/>
    </xf>
    <xf numFmtId="0" fontId="2" fillId="0" borderId="48" xfId="0" applyFont="1" applyBorder="1" applyProtection="1"/>
    <xf numFmtId="0" fontId="2" fillId="16" borderId="62" xfId="0" applyFont="1" applyFill="1" applyBorder="1" applyAlignment="1" applyProtection="1">
      <alignment wrapText="1"/>
    </xf>
    <xf numFmtId="0" fontId="2" fillId="16" borderId="59" xfId="0" applyFont="1" applyFill="1" applyBorder="1" applyAlignment="1" applyProtection="1">
      <alignment wrapText="1"/>
    </xf>
    <xf numFmtId="172" fontId="2" fillId="16" borderId="59" xfId="16" applyNumberFormat="1" applyFont="1" applyFill="1" applyBorder="1" applyAlignment="1" applyProtection="1">
      <alignment horizontal="right"/>
    </xf>
    <xf numFmtId="0" fontId="2" fillId="16" borderId="48" xfId="0" applyFont="1" applyFill="1" applyBorder="1" applyAlignment="1" applyProtection="1">
      <alignment wrapText="1"/>
    </xf>
    <xf numFmtId="172" fontId="2" fillId="0" borderId="48" xfId="16" applyNumberFormat="1" applyFont="1" applyBorder="1" applyAlignment="1" applyProtection="1">
      <alignment horizontal="right"/>
    </xf>
    <xf numFmtId="168" fontId="93" fillId="16" borderId="54" xfId="16" quotePrefix="1" applyNumberFormat="1" applyFont="1" applyFill="1" applyBorder="1" applyAlignment="1" applyProtection="1"/>
    <xf numFmtId="0" fontId="2" fillId="0" borderId="48" xfId="0" applyFont="1" applyFill="1" applyBorder="1" applyAlignment="1" applyProtection="1">
      <alignment wrapText="1"/>
    </xf>
    <xf numFmtId="172" fontId="92" fillId="72" borderId="48" xfId="433" applyNumberFormat="1" applyFont="1" applyBorder="1" applyAlignment="1" applyProtection="1">
      <alignment horizontal="right"/>
    </xf>
    <xf numFmtId="0" fontId="2" fillId="0" borderId="60" xfId="0" applyFont="1" applyFill="1" applyBorder="1" applyAlignment="1" applyProtection="1">
      <alignment wrapText="1"/>
    </xf>
    <xf numFmtId="10" fontId="2" fillId="13" borderId="48" xfId="0" applyNumberFormat="1" applyFont="1" applyFill="1" applyBorder="1" applyAlignment="1" applyProtection="1">
      <alignment wrapText="1"/>
    </xf>
    <xf numFmtId="169" fontId="2" fillId="13" borderId="48" xfId="8" applyNumberFormat="1" applyFont="1" applyFill="1" applyBorder="1" applyAlignment="1" applyProtection="1">
      <alignment horizontal="right"/>
    </xf>
    <xf numFmtId="169" fontId="92" fillId="13" borderId="48" xfId="433" applyNumberFormat="1" applyFont="1" applyFill="1" applyBorder="1" applyAlignment="1" applyProtection="1">
      <alignment horizontal="right"/>
    </xf>
    <xf numFmtId="0" fontId="91" fillId="0" borderId="48" xfId="0" applyFont="1" applyFill="1" applyBorder="1" applyAlignment="1" applyProtection="1">
      <alignment wrapText="1"/>
    </xf>
    <xf numFmtId="172" fontId="91" fillId="0" borderId="63" xfId="16" applyNumberFormat="1" applyFont="1" applyBorder="1" applyAlignment="1" applyProtection="1">
      <alignment horizontal="right"/>
    </xf>
    <xf numFmtId="0" fontId="91" fillId="0" borderId="60" xfId="0" applyFont="1" applyFill="1" applyBorder="1" applyAlignment="1" applyProtection="1">
      <alignment wrapText="1"/>
    </xf>
    <xf numFmtId="172" fontId="2" fillId="0" borderId="60" xfId="16" applyNumberFormat="1" applyFont="1" applyBorder="1" applyAlignment="1" applyProtection="1">
      <alignment horizontal="right"/>
    </xf>
    <xf numFmtId="4" fontId="2" fillId="14" borderId="59" xfId="0" applyNumberFormat="1" applyFont="1" applyFill="1" applyBorder="1" applyAlignment="1" applyProtection="1">
      <alignment horizontal="right"/>
    </xf>
    <xf numFmtId="4" fontId="2" fillId="14" borderId="48" xfId="0" applyNumberFormat="1" applyFont="1" applyFill="1" applyBorder="1" applyAlignment="1" applyProtection="1">
      <alignment horizontal="right"/>
    </xf>
    <xf numFmtId="178" fontId="93" fillId="16" borderId="48" xfId="0" quotePrefix="1" applyNumberFormat="1" applyFont="1" applyFill="1" applyBorder="1" applyAlignment="1" applyProtection="1"/>
    <xf numFmtId="9" fontId="92" fillId="72" borderId="48" xfId="433" applyNumberFormat="1" applyFont="1" applyBorder="1" applyAlignment="1" applyProtection="1">
      <alignment horizontal="right"/>
    </xf>
    <xf numFmtId="0" fontId="2" fillId="16" borderId="60" xfId="0" applyFont="1" applyFill="1" applyBorder="1" applyAlignment="1" applyProtection="1">
      <alignment wrapText="1"/>
    </xf>
    <xf numFmtId="9" fontId="92" fillId="72" borderId="60" xfId="433" applyNumberFormat="1" applyFont="1" applyBorder="1" applyAlignment="1" applyProtection="1">
      <alignment horizontal="right"/>
    </xf>
    <xf numFmtId="164" fontId="10" fillId="0" borderId="0" xfId="442" applyNumberFormat="1" applyBorder="1">
      <alignment wrapText="1"/>
    </xf>
    <xf numFmtId="164" fontId="10" fillId="0" borderId="0" xfId="442" applyBorder="1">
      <alignment wrapText="1"/>
    </xf>
    <xf numFmtId="0" fontId="96" fillId="20" borderId="59" xfId="423" applyFont="1" applyBorder="1" applyAlignment="1" applyProtection="1">
      <alignment wrapText="1"/>
      <protection locked="0"/>
    </xf>
    <xf numFmtId="0" fontId="2" fillId="0" borderId="59" xfId="0" applyFont="1" applyBorder="1" applyAlignment="1" applyProtection="1">
      <alignment horizontal="right"/>
    </xf>
    <xf numFmtId="0" fontId="98" fillId="0" borderId="48" xfId="0" applyFont="1" applyFill="1" applyBorder="1" applyAlignment="1" applyProtection="1">
      <alignment wrapText="1"/>
    </xf>
    <xf numFmtId="0" fontId="2" fillId="0" borderId="48" xfId="0" applyFont="1" applyBorder="1" applyAlignment="1" applyProtection="1">
      <alignment horizontal="right"/>
    </xf>
    <xf numFmtId="180" fontId="4" fillId="0" borderId="48" xfId="28" applyNumberFormat="1" applyFont="1" applyBorder="1" applyProtection="1">
      <protection hidden="1"/>
    </xf>
    <xf numFmtId="0" fontId="91" fillId="17" borderId="48" xfId="0" applyFont="1" applyFill="1" applyBorder="1" applyAlignment="1" applyProtection="1">
      <alignment wrapText="1"/>
    </xf>
    <xf numFmtId="0" fontId="91" fillId="8" borderId="59" xfId="0" applyFont="1" applyFill="1" applyBorder="1" applyAlignment="1" applyProtection="1">
      <alignment wrapText="1"/>
    </xf>
    <xf numFmtId="0" fontId="91" fillId="70" borderId="59" xfId="0" applyFont="1" applyFill="1" applyBorder="1" applyAlignment="1" applyProtection="1">
      <alignment horizontal="center"/>
    </xf>
    <xf numFmtId="0" fontId="91" fillId="0" borderId="60" xfId="0" applyFont="1" applyFill="1" applyBorder="1" applyAlignment="1" applyProtection="1">
      <alignment horizontal="center"/>
    </xf>
    <xf numFmtId="3" fontId="2" fillId="0" borderId="48" xfId="0" applyNumberFormat="1" applyFont="1" applyBorder="1" applyAlignment="1" applyProtection="1">
      <alignment horizontal="right"/>
    </xf>
    <xf numFmtId="10" fontId="2" fillId="0" borderId="48" xfId="8" applyNumberFormat="1" applyFont="1" applyBorder="1" applyAlignment="1" applyProtection="1">
      <alignment horizontal="right"/>
    </xf>
    <xf numFmtId="0" fontId="91" fillId="0" borderId="48" xfId="0" applyFont="1" applyBorder="1" applyAlignment="1" applyProtection="1">
      <alignment wrapText="1"/>
    </xf>
    <xf numFmtId="0" fontId="99" fillId="76" borderId="60" xfId="0" applyFont="1" applyFill="1" applyBorder="1" applyAlignment="1" applyProtection="1">
      <alignment wrapText="1"/>
    </xf>
    <xf numFmtId="0" fontId="2" fillId="0" borderId="59" xfId="0" applyFont="1" applyBorder="1" applyAlignment="1" applyProtection="1">
      <alignment wrapText="1"/>
    </xf>
    <xf numFmtId="172" fontId="59" fillId="20" borderId="48" xfId="423" applyNumberFormat="1" applyAlignment="1">
      <alignment horizontal="right"/>
    </xf>
    <xf numFmtId="0" fontId="91" fillId="0" borderId="48" xfId="0" applyFont="1" applyBorder="1" applyAlignment="1" applyProtection="1">
      <alignment horizontal="left" wrapText="1"/>
    </xf>
    <xf numFmtId="172" fontId="91" fillId="70" borderId="63" xfId="16" applyNumberFormat="1" applyFont="1" applyFill="1" applyBorder="1" applyAlignment="1">
      <alignment horizontal="right"/>
    </xf>
    <xf numFmtId="181" fontId="91" fillId="70" borderId="63" xfId="16" applyNumberFormat="1" applyFont="1" applyFill="1" applyBorder="1" applyAlignment="1">
      <alignment horizontal="right"/>
    </xf>
    <xf numFmtId="3" fontId="2" fillId="0" borderId="0" xfId="0" applyNumberFormat="1" applyFont="1" applyProtection="1"/>
    <xf numFmtId="172" fontId="92" fillId="72" borderId="48" xfId="433" applyNumberFormat="1" applyFont="1" applyBorder="1" applyAlignment="1">
      <alignment horizontal="right"/>
    </xf>
    <xf numFmtId="181" fontId="92" fillId="72" borderId="48" xfId="433" applyNumberFormat="1" applyFont="1" applyBorder="1" applyAlignment="1">
      <alignment horizontal="right"/>
    </xf>
    <xf numFmtId="172" fontId="2" fillId="0" borderId="48" xfId="16" applyNumberFormat="1" applyFont="1" applyBorder="1" applyAlignment="1">
      <alignment horizontal="right"/>
    </xf>
    <xf numFmtId="181" fontId="2" fillId="0" borderId="48" xfId="16" applyNumberFormat="1" applyFont="1" applyBorder="1" applyAlignment="1">
      <alignment horizontal="right"/>
    </xf>
    <xf numFmtId="0" fontId="100" fillId="0" borderId="48" xfId="0" applyFont="1" applyBorder="1" applyAlignment="1" applyProtection="1">
      <alignment wrapText="1"/>
    </xf>
    <xf numFmtId="172" fontId="91" fillId="70" borderId="63" xfId="16" applyNumberFormat="1" applyFont="1" applyFill="1" applyBorder="1" applyAlignment="1" applyProtection="1">
      <alignment horizontal="right"/>
    </xf>
    <xf numFmtId="181" fontId="91" fillId="70" borderId="63" xfId="16" applyNumberFormat="1" applyFont="1" applyFill="1" applyBorder="1" applyAlignment="1" applyProtection="1">
      <alignment horizontal="right"/>
    </xf>
    <xf numFmtId="0" fontId="2" fillId="0" borderId="60" xfId="0" applyFont="1" applyBorder="1" applyAlignment="1" applyProtection="1">
      <alignment wrapText="1"/>
    </xf>
    <xf numFmtId="172" fontId="97" fillId="20" borderId="63" xfId="423" applyNumberFormat="1" applyFont="1" applyBorder="1" applyAlignment="1">
      <alignment horizontal="right"/>
    </xf>
    <xf numFmtId="172" fontId="97" fillId="20" borderId="48" xfId="423" applyNumberFormat="1" applyFont="1" applyBorder="1" applyAlignment="1" applyProtection="1">
      <alignment horizontal="right"/>
      <protection locked="0"/>
    </xf>
    <xf numFmtId="172" fontId="59" fillId="20" borderId="48" xfId="423" applyNumberFormat="1" applyAlignment="1" applyProtection="1">
      <alignment horizontal="right"/>
      <protection locked="0"/>
    </xf>
    <xf numFmtId="172" fontId="91" fillId="0" borderId="48" xfId="16" applyNumberFormat="1" applyFont="1" applyBorder="1" applyAlignment="1">
      <alignment horizontal="right"/>
    </xf>
    <xf numFmtId="0" fontId="91" fillId="0" borderId="60" xfId="0" applyFont="1" applyBorder="1" applyAlignment="1" applyProtection="1">
      <alignment wrapText="1"/>
    </xf>
    <xf numFmtId="172" fontId="91" fillId="0" borderId="48" xfId="16" applyNumberFormat="1" applyFont="1" applyBorder="1" applyAlignment="1" applyProtection="1">
      <alignment horizontal="right"/>
    </xf>
    <xf numFmtId="0" fontId="91" fillId="77" borderId="48" xfId="0" applyFont="1" applyFill="1" applyBorder="1" applyAlignment="1" applyProtection="1">
      <alignment wrapText="1"/>
    </xf>
    <xf numFmtId="3" fontId="59" fillId="20" borderId="48" xfId="423" applyNumberFormat="1" applyAlignment="1" applyProtection="1">
      <alignment horizontal="right"/>
      <protection locked="0"/>
    </xf>
    <xf numFmtId="3" fontId="97" fillId="20" borderId="48" xfId="423" applyNumberFormat="1" applyFont="1" applyBorder="1" applyAlignment="1" applyProtection="1">
      <alignment horizontal="right"/>
      <protection locked="0"/>
    </xf>
    <xf numFmtId="0" fontId="2" fillId="11" borderId="48" xfId="0" applyFont="1" applyFill="1" applyBorder="1" applyAlignment="1" applyProtection="1">
      <alignment wrapText="1"/>
    </xf>
    <xf numFmtId="3" fontId="92" fillId="72" borderId="60" xfId="433" applyNumberFormat="1" applyFont="1" applyBorder="1" applyAlignment="1" applyProtection="1">
      <alignment horizontal="right"/>
    </xf>
    <xf numFmtId="3" fontId="97" fillId="20" borderId="48" xfId="423" applyNumberFormat="1" applyFont="1" applyAlignment="1" applyProtection="1">
      <alignment horizontal="right"/>
      <protection locked="0"/>
    </xf>
    <xf numFmtId="0" fontId="2" fillId="0" borderId="0" xfId="0" applyFont="1"/>
    <xf numFmtId="172" fontId="2" fillId="0" borderId="0" xfId="0" applyNumberFormat="1" applyFont="1"/>
    <xf numFmtId="3" fontId="2" fillId="0" borderId="59" xfId="0" applyNumberFormat="1" applyFont="1" applyBorder="1" applyAlignment="1" applyProtection="1">
      <alignment horizontal="right"/>
      <protection locked="0"/>
    </xf>
    <xf numFmtId="10" fontId="2" fillId="13" borderId="59" xfId="8" applyNumberFormat="1" applyFont="1" applyFill="1" applyBorder="1" applyAlignment="1" applyProtection="1">
      <alignment horizontal="right"/>
      <protection locked="0"/>
    </xf>
    <xf numFmtId="0" fontId="2" fillId="0" borderId="60" xfId="0" applyFont="1" applyBorder="1" applyProtection="1"/>
    <xf numFmtId="182" fontId="2" fillId="0" borderId="0" xfId="8" applyNumberFormat="1" applyFont="1" applyProtection="1"/>
    <xf numFmtId="0" fontId="91" fillId="13" borderId="59" xfId="0" applyFont="1" applyFill="1" applyBorder="1" applyAlignment="1" applyProtection="1"/>
    <xf numFmtId="3" fontId="0" fillId="0" borderId="0" xfId="0" applyNumberFormat="1"/>
    <xf numFmtId="1" fontId="91" fillId="0" borderId="0" xfId="0" applyNumberFormat="1" applyFont="1" applyAlignment="1">
      <alignment horizontal="center" vertical="center"/>
    </xf>
    <xf numFmtId="3" fontId="2" fillId="0" borderId="0" xfId="0" applyNumberFormat="1" applyFont="1"/>
    <xf numFmtId="1" fontId="59" fillId="20" borderId="48" xfId="423" applyNumberFormat="1" applyProtection="1">
      <protection locked="0"/>
    </xf>
    <xf numFmtId="0" fontId="101" fillId="76" borderId="60" xfId="0" applyFont="1" applyFill="1" applyBorder="1" applyAlignment="1" applyProtection="1">
      <alignment wrapText="1"/>
    </xf>
    <xf numFmtId="0" fontId="2" fillId="17" borderId="59" xfId="0" applyFont="1" applyFill="1" applyBorder="1" applyAlignment="1" applyProtection="1">
      <alignment wrapText="1"/>
    </xf>
    <xf numFmtId="43" fontId="92" fillId="72" borderId="48" xfId="433" applyNumberFormat="1" applyFont="1" applyBorder="1" applyAlignment="1" applyProtection="1">
      <alignment horizontal="right"/>
    </xf>
    <xf numFmtId="172" fontId="61" fillId="72" borderId="51" xfId="433" applyNumberFormat="1" applyAlignment="1">
      <alignment horizontal="right"/>
    </xf>
    <xf numFmtId="0" fontId="91" fillId="0" borderId="59" xfId="0" applyFont="1" applyBorder="1" applyAlignment="1" applyProtection="1">
      <alignment wrapText="1"/>
    </xf>
    <xf numFmtId="172" fontId="92" fillId="72" borderId="60" xfId="433" applyNumberFormat="1" applyFont="1" applyBorder="1" applyAlignment="1" applyProtection="1">
      <alignment horizontal="right"/>
    </xf>
    <xf numFmtId="0" fontId="91" fillId="0" borderId="48" xfId="0" applyFont="1" applyBorder="1" applyProtection="1"/>
    <xf numFmtId="0" fontId="102" fillId="0" borderId="48" xfId="0" applyFont="1" applyBorder="1" applyProtection="1"/>
    <xf numFmtId="3" fontId="92" fillId="72" borderId="48" xfId="433" applyNumberFormat="1" applyFont="1" applyBorder="1" applyProtection="1"/>
    <xf numFmtId="3" fontId="92" fillId="72" borderId="48" xfId="16" applyNumberFormat="1" applyFont="1" applyFill="1" applyBorder="1" applyProtection="1"/>
    <xf numFmtId="0" fontId="2" fillId="78" borderId="0" xfId="0" applyFont="1" applyFill="1" applyProtection="1"/>
    <xf numFmtId="0" fontId="102" fillId="0" borderId="60" xfId="0" applyFont="1" applyBorder="1" applyProtection="1"/>
    <xf numFmtId="3" fontId="92" fillId="72" borderId="60" xfId="433" applyNumberFormat="1" applyFont="1" applyBorder="1" applyProtection="1"/>
    <xf numFmtId="3" fontId="92" fillId="72" borderId="60" xfId="16" applyNumberFormat="1" applyFont="1" applyFill="1" applyBorder="1" applyProtection="1"/>
    <xf numFmtId="0" fontId="102" fillId="0" borderId="0" xfId="0" applyFont="1" applyProtection="1"/>
    <xf numFmtId="172" fontId="92" fillId="72" borderId="0" xfId="16" applyNumberFormat="1" applyFont="1" applyFill="1" applyBorder="1" applyProtection="1"/>
    <xf numFmtId="0" fontId="91" fillId="77" borderId="59" xfId="0" applyFont="1" applyFill="1" applyBorder="1" applyAlignment="1" applyProtection="1">
      <alignment wrapText="1"/>
    </xf>
    <xf numFmtId="0" fontId="2" fillId="0" borderId="59" xfId="0" applyFont="1" applyBorder="1" applyProtection="1"/>
    <xf numFmtId="0" fontId="103" fillId="0" borderId="0" xfId="0" applyFont="1" applyAlignment="1" applyProtection="1">
      <alignment horizontal="center"/>
    </xf>
    <xf numFmtId="0" fontId="91" fillId="0" borderId="59" xfId="0" applyFont="1" applyFill="1" applyBorder="1" applyAlignment="1" applyProtection="1">
      <alignment wrapText="1"/>
    </xf>
    <xf numFmtId="0" fontId="91" fillId="70" borderId="65" xfId="0" applyFont="1" applyFill="1" applyBorder="1" applyAlignment="1" applyProtection="1">
      <alignment horizontal="center"/>
    </xf>
    <xf numFmtId="0" fontId="104" fillId="17" borderId="48" xfId="0" applyFont="1" applyFill="1" applyBorder="1" applyProtection="1"/>
    <xf numFmtId="0" fontId="105" fillId="17" borderId="48" xfId="0" quotePrefix="1" applyFont="1" applyFill="1" applyBorder="1" applyAlignment="1" applyProtection="1">
      <alignment horizontal="left" wrapText="1"/>
    </xf>
    <xf numFmtId="169" fontId="92" fillId="72" borderId="48" xfId="8" applyNumberFormat="1" applyFont="1" applyFill="1" applyBorder="1" applyAlignment="1" applyProtection="1">
      <alignment horizontal="right"/>
    </xf>
    <xf numFmtId="169" fontId="92" fillId="72" borderId="48" xfId="433" applyNumberFormat="1" applyFont="1" applyBorder="1" applyAlignment="1" applyProtection="1">
      <alignment horizontal="right"/>
    </xf>
    <xf numFmtId="9" fontId="92" fillId="72" borderId="48" xfId="8" applyFont="1" applyFill="1" applyBorder="1" applyAlignment="1" applyProtection="1">
      <alignment horizontal="right"/>
    </xf>
    <xf numFmtId="171" fontId="92" fillId="72" borderId="48" xfId="21" applyNumberFormat="1" applyFont="1" applyFill="1" applyBorder="1" applyAlignment="1" applyProtection="1">
      <alignment horizontal="right"/>
    </xf>
    <xf numFmtId="3" fontId="2" fillId="0" borderId="60" xfId="0" applyNumberFormat="1" applyFont="1" applyBorder="1" applyAlignment="1" applyProtection="1">
      <alignment horizontal="right"/>
    </xf>
    <xf numFmtId="9" fontId="2" fillId="0" borderId="0" xfId="0" applyNumberFormat="1" applyFont="1" applyProtection="1"/>
    <xf numFmtId="2" fontId="2" fillId="0" borderId="0" xfId="0" applyNumberFormat="1" applyFont="1" applyProtection="1"/>
    <xf numFmtId="43" fontId="0" fillId="0" borderId="0" xfId="16" applyFont="1"/>
    <xf numFmtId="0" fontId="95" fillId="0" borderId="0" xfId="2" applyFont="1"/>
    <xf numFmtId="169" fontId="26" fillId="0" borderId="0" xfId="2" applyNumberFormat="1" applyFont="1"/>
    <xf numFmtId="169" fontId="26" fillId="0" borderId="0" xfId="8" applyNumberFormat="1" applyFont="1"/>
    <xf numFmtId="10" fontId="26" fillId="0" borderId="0" xfId="8" applyNumberFormat="1" applyFont="1"/>
    <xf numFmtId="172" fontId="2" fillId="0" borderId="48" xfId="0" applyNumberFormat="1" applyFont="1" applyBorder="1" applyProtection="1"/>
    <xf numFmtId="43" fontId="2" fillId="0" borderId="48" xfId="0" applyNumberFormat="1" applyFont="1" applyBorder="1" applyProtection="1"/>
    <xf numFmtId="169" fontId="47" fillId="16" borderId="54" xfId="8" quotePrefix="1" applyNumberFormat="1" applyFont="1" applyFill="1" applyBorder="1" applyAlignment="1" applyProtection="1"/>
    <xf numFmtId="0" fontId="91" fillId="0" borderId="0" xfId="0" applyFont="1" applyFill="1" applyBorder="1" applyAlignment="1">
      <alignment wrapText="1"/>
    </xf>
    <xf numFmtId="0" fontId="0" fillId="70" borderId="26" xfId="0" applyFill="1" applyBorder="1"/>
    <xf numFmtId="0" fontId="0" fillId="70" borderId="28" xfId="0" applyFill="1" applyBorder="1"/>
    <xf numFmtId="0" fontId="91" fillId="0" borderId="50" xfId="0" applyFont="1" applyFill="1" applyBorder="1" applyAlignment="1">
      <alignment wrapText="1"/>
    </xf>
    <xf numFmtId="0" fontId="50" fillId="17" borderId="26" xfId="0" applyFont="1" applyFill="1" applyBorder="1"/>
    <xf numFmtId="0" fontId="91" fillId="70" borderId="65" xfId="0" applyFont="1" applyFill="1" applyBorder="1" applyAlignment="1">
      <alignment horizontal="center"/>
    </xf>
    <xf numFmtId="0" fontId="0" fillId="70" borderId="52" xfId="0" applyFill="1" applyBorder="1"/>
    <xf numFmtId="0" fontId="0" fillId="70" borderId="53" xfId="0" applyFill="1" applyBorder="1"/>
    <xf numFmtId="0" fontId="0" fillId="70" borderId="55" xfId="0" applyFill="1" applyBorder="1"/>
    <xf numFmtId="0" fontId="106" fillId="17" borderId="67" xfId="0" quotePrefix="1" applyFont="1" applyFill="1" applyBorder="1" applyAlignment="1">
      <alignment horizontal="left" wrapText="1"/>
    </xf>
    <xf numFmtId="169" fontId="61" fillId="72" borderId="61" xfId="8" applyNumberFormat="1" applyFont="1" applyFill="1" applyBorder="1" applyAlignment="1">
      <alignment horizontal="right"/>
    </xf>
    <xf numFmtId="0" fontId="0" fillId="70" borderId="49" xfId="0" applyFill="1" applyBorder="1"/>
    <xf numFmtId="0" fontId="0" fillId="70" borderId="0" xfId="0" applyFill="1" applyBorder="1"/>
    <xf numFmtId="0" fontId="0" fillId="70" borderId="0" xfId="0" applyFill="1" applyBorder="1" applyAlignment="1">
      <alignment horizontal="center"/>
    </xf>
    <xf numFmtId="0" fontId="0" fillId="70" borderId="68" xfId="0" applyFill="1" applyBorder="1"/>
    <xf numFmtId="0" fontId="106" fillId="17" borderId="69" xfId="0" quotePrefix="1" applyFont="1" applyFill="1" applyBorder="1" applyAlignment="1">
      <alignment horizontal="left" wrapText="1"/>
    </xf>
    <xf numFmtId="169" fontId="61" fillId="72" borderId="54" xfId="433" applyNumberFormat="1" applyBorder="1" applyAlignment="1">
      <alignment horizontal="right"/>
    </xf>
    <xf numFmtId="0" fontId="0" fillId="70" borderId="0" xfId="0" applyFill="1" applyBorder="1" applyAlignment="1">
      <alignment horizontal="right"/>
    </xf>
    <xf numFmtId="0" fontId="107" fillId="70" borderId="0" xfId="0" applyFont="1" applyFill="1" applyBorder="1"/>
    <xf numFmtId="0" fontId="0" fillId="48" borderId="68" xfId="0" applyFill="1" applyBorder="1" applyAlignment="1">
      <alignment horizontal="center"/>
    </xf>
    <xf numFmtId="0" fontId="0" fillId="70" borderId="56" xfId="0" applyFill="1" applyBorder="1"/>
    <xf numFmtId="0" fontId="0" fillId="70" borderId="50" xfId="0" applyFill="1" applyBorder="1" applyAlignment="1">
      <alignment horizontal="right"/>
    </xf>
    <xf numFmtId="0" fontId="107" fillId="70" borderId="50" xfId="0" applyFont="1" applyFill="1" applyBorder="1"/>
    <xf numFmtId="169" fontId="61" fillId="72" borderId="54" xfId="8" applyNumberFormat="1" applyFont="1" applyFill="1" applyBorder="1" applyAlignment="1">
      <alignment horizontal="right"/>
    </xf>
    <xf numFmtId="9" fontId="61" fillId="72" borderId="54" xfId="8" applyFont="1" applyFill="1" applyBorder="1" applyAlignment="1">
      <alignment horizontal="right"/>
    </xf>
    <xf numFmtId="0" fontId="0" fillId="70" borderId="68" xfId="0" applyFill="1" applyBorder="1" applyAlignment="1">
      <alignment horizontal="center"/>
    </xf>
    <xf numFmtId="0" fontId="106" fillId="17" borderId="70" xfId="0" quotePrefix="1" applyFont="1" applyFill="1" applyBorder="1" applyAlignment="1">
      <alignment horizontal="left" wrapText="1"/>
    </xf>
    <xf numFmtId="43" fontId="61" fillId="72" borderId="71" xfId="16" applyFont="1" applyFill="1" applyBorder="1" applyAlignment="1">
      <alignment horizontal="right"/>
    </xf>
    <xf numFmtId="0" fontId="0" fillId="70" borderId="50" xfId="0" applyFill="1" applyBorder="1"/>
    <xf numFmtId="0" fontId="0" fillId="48" borderId="57" xfId="0" applyFill="1" applyBorder="1" applyAlignment="1">
      <alignment horizontal="center"/>
    </xf>
    <xf numFmtId="0" fontId="66" fillId="2" borderId="0" xfId="0" applyFont="1" applyFill="1" applyAlignment="1"/>
    <xf numFmtId="0" fontId="66" fillId="2" borderId="0" xfId="0" applyFont="1" applyFill="1" applyAlignment="1">
      <alignment horizontal="center"/>
    </xf>
    <xf numFmtId="0" fontId="108" fillId="0" borderId="0" xfId="1" applyFont="1" applyFill="1"/>
    <xf numFmtId="0" fontId="109" fillId="0" borderId="0" xfId="1" applyFont="1" applyFill="1"/>
    <xf numFmtId="0" fontId="109" fillId="0" borderId="0" xfId="1" applyFont="1" applyFill="1" applyAlignment="1">
      <alignment horizontal="center"/>
    </xf>
    <xf numFmtId="164" fontId="111" fillId="0" borderId="0" xfId="3" applyFont="1" applyBorder="1">
      <alignment wrapText="1"/>
    </xf>
    <xf numFmtId="170" fontId="108" fillId="0" borderId="3" xfId="19" applyFont="1" applyBorder="1"/>
    <xf numFmtId="0" fontId="110" fillId="0" borderId="0" xfId="0" applyFont="1"/>
    <xf numFmtId="170" fontId="109" fillId="0" borderId="0" xfId="19" applyFont="1" applyBorder="1"/>
    <xf numFmtId="170" fontId="108" fillId="0" borderId="0" xfId="19" applyFont="1" applyBorder="1"/>
    <xf numFmtId="170" fontId="109" fillId="0" borderId="8" xfId="19" applyFont="1" applyBorder="1"/>
    <xf numFmtId="0" fontId="113" fillId="6" borderId="0" xfId="18" applyFont="1" applyAlignment="1"/>
    <xf numFmtId="0" fontId="114" fillId="5" borderId="0" xfId="17" applyFont="1" applyAlignment="1"/>
    <xf numFmtId="0" fontId="115" fillId="2" borderId="0" xfId="0" applyFont="1" applyFill="1" applyAlignment="1">
      <alignment wrapText="1"/>
    </xf>
    <xf numFmtId="0" fontId="116" fillId="0" borderId="0" xfId="1" applyFont="1"/>
    <xf numFmtId="0" fontId="116" fillId="0" borderId="0" xfId="1" applyFont="1" applyAlignment="1">
      <alignment wrapText="1"/>
    </xf>
    <xf numFmtId="0" fontId="117" fillId="0" borderId="0" xfId="1" applyFont="1"/>
    <xf numFmtId="0" fontId="117" fillId="0" borderId="0" xfId="1" applyFont="1" applyFill="1"/>
    <xf numFmtId="0" fontId="116" fillId="0" borderId="0" xfId="1" applyFont="1" applyFill="1"/>
    <xf numFmtId="0" fontId="118" fillId="0" borderId="0" xfId="1" applyFont="1" applyAlignment="1">
      <alignment wrapText="1"/>
    </xf>
    <xf numFmtId="164" fontId="116" fillId="0" borderId="0" xfId="1" applyNumberFormat="1" applyFont="1" applyFill="1"/>
    <xf numFmtId="164" fontId="116" fillId="0" borderId="0" xfId="1" applyNumberFormat="1" applyFont="1"/>
    <xf numFmtId="0" fontId="120" fillId="0" borderId="0" xfId="1" applyFont="1" applyAlignment="1">
      <alignment wrapText="1"/>
    </xf>
    <xf numFmtId="164" fontId="121" fillId="0" borderId="0" xfId="3" applyFont="1" applyBorder="1">
      <alignment wrapText="1"/>
    </xf>
    <xf numFmtId="0" fontId="116" fillId="0" borderId="0" xfId="1" applyFont="1" applyBorder="1"/>
    <xf numFmtId="164" fontId="118" fillId="0" borderId="4" xfId="1" applyNumberFormat="1" applyFont="1" applyBorder="1"/>
    <xf numFmtId="0" fontId="122" fillId="0" borderId="0" xfId="1" applyFont="1"/>
    <xf numFmtId="0" fontId="118" fillId="0" borderId="0" xfId="1" applyFont="1"/>
    <xf numFmtId="164" fontId="118" fillId="0" borderId="0" xfId="1" applyNumberFormat="1" applyFont="1"/>
    <xf numFmtId="0" fontId="116" fillId="0" borderId="3" xfId="1" applyFont="1" applyBorder="1" applyAlignment="1">
      <alignment wrapText="1"/>
    </xf>
    <xf numFmtId="164" fontId="121" fillId="0" borderId="3" xfId="3" applyFont="1" applyBorder="1">
      <alignment wrapText="1"/>
    </xf>
    <xf numFmtId="0" fontId="119" fillId="0" borderId="0" xfId="1" applyFont="1" applyAlignment="1">
      <alignment wrapText="1"/>
    </xf>
    <xf numFmtId="170" fontId="116" fillId="0" borderId="3" xfId="19" applyFont="1" applyBorder="1"/>
    <xf numFmtId="0" fontId="118" fillId="0" borderId="0" xfId="0" applyFont="1" applyAlignment="1">
      <alignment wrapText="1"/>
    </xf>
    <xf numFmtId="170" fontId="117" fillId="0" borderId="0" xfId="19" applyFont="1" applyBorder="1"/>
    <xf numFmtId="0" fontId="117" fillId="0" borderId="0" xfId="1" applyFont="1" applyAlignment="1">
      <alignment wrapText="1"/>
    </xf>
    <xf numFmtId="170" fontId="116" fillId="0" borderId="0" xfId="19" applyFont="1" applyBorder="1"/>
    <xf numFmtId="170" fontId="116" fillId="17" borderId="0" xfId="19" applyFont="1" applyFill="1" applyBorder="1"/>
    <xf numFmtId="164" fontId="121" fillId="0" borderId="0" xfId="3" applyFont="1" applyBorder="1" applyAlignment="1">
      <alignment wrapText="1"/>
    </xf>
    <xf numFmtId="170" fontId="116" fillId="0" borderId="0" xfId="19" applyFont="1" applyFill="1" applyBorder="1"/>
    <xf numFmtId="170" fontId="116" fillId="0" borderId="0" xfId="19" applyNumberFormat="1" applyFont="1" applyBorder="1"/>
    <xf numFmtId="164" fontId="117" fillId="0" borderId="0" xfId="1" applyNumberFormat="1" applyFont="1"/>
    <xf numFmtId="170" fontId="117" fillId="0" borderId="0" xfId="1" applyNumberFormat="1" applyFont="1"/>
    <xf numFmtId="0" fontId="117" fillId="19" borderId="0" xfId="1" applyFont="1" applyFill="1" applyAlignment="1">
      <alignment wrapText="1"/>
    </xf>
    <xf numFmtId="164" fontId="117" fillId="19" borderId="0" xfId="1" applyNumberFormat="1" applyFont="1" applyFill="1"/>
    <xf numFmtId="170" fontId="117" fillId="19" borderId="0" xfId="1" applyNumberFormat="1" applyFont="1" applyFill="1"/>
    <xf numFmtId="0" fontId="116" fillId="19" borderId="0" xfId="1" applyFont="1" applyFill="1"/>
    <xf numFmtId="0" fontId="123" fillId="6" borderId="0" xfId="18" applyFont="1" applyAlignment="1">
      <alignment wrapText="1"/>
    </xf>
    <xf numFmtId="170" fontId="116" fillId="0" borderId="5" xfId="19" applyFont="1" applyBorder="1"/>
    <xf numFmtId="170" fontId="118" fillId="0" borderId="0" xfId="19" applyFont="1" applyBorder="1"/>
    <xf numFmtId="0" fontId="124" fillId="5" borderId="0" xfId="17" applyFont="1" applyAlignment="1">
      <alignment wrapText="1"/>
    </xf>
    <xf numFmtId="170" fontId="118" fillId="0" borderId="5" xfId="19" applyFont="1" applyBorder="1"/>
    <xf numFmtId="0" fontId="125" fillId="0" borderId="0" xfId="0" applyFont="1" applyAlignment="1">
      <alignment horizontal="center"/>
    </xf>
    <xf numFmtId="0" fontId="66" fillId="2" borderId="0" xfId="0" applyFont="1" applyFill="1" applyAlignment="1">
      <alignment horizontal="center" wrapText="1"/>
    </xf>
    <xf numFmtId="0" fontId="125" fillId="0" borderId="0" xfId="0" applyFont="1"/>
    <xf numFmtId="0" fontId="126" fillId="0" borderId="0" xfId="0" applyFont="1"/>
    <xf numFmtId="0" fontId="125" fillId="0" borderId="3" xfId="0" applyFont="1" applyBorder="1"/>
    <xf numFmtId="0" fontId="110" fillId="0" borderId="0" xfId="0" applyFont="1" applyFill="1" applyBorder="1"/>
    <xf numFmtId="164" fontId="127" fillId="0" borderId="4" xfId="3" applyFont="1" applyBorder="1">
      <alignment wrapText="1"/>
    </xf>
    <xf numFmtId="0" fontId="112" fillId="0" borderId="0" xfId="0" applyFont="1"/>
    <xf numFmtId="164" fontId="127" fillId="0" borderId="9" xfId="3" applyFont="1" applyBorder="1">
      <alignment wrapText="1"/>
    </xf>
    <xf numFmtId="164" fontId="127" fillId="0" borderId="8" xfId="3" applyFont="1" applyBorder="1">
      <alignment wrapText="1"/>
    </xf>
    <xf numFmtId="170" fontId="109" fillId="0" borderId="4" xfId="19" applyFont="1" applyBorder="1"/>
    <xf numFmtId="173" fontId="111" fillId="0" borderId="0" xfId="3" applyNumberFormat="1" applyFont="1" applyBorder="1">
      <alignment wrapText="1"/>
    </xf>
    <xf numFmtId="173" fontId="111" fillId="0" borderId="3" xfId="3" applyNumberFormat="1" applyFont="1" applyBorder="1">
      <alignment wrapText="1"/>
    </xf>
    <xf numFmtId="170" fontId="108" fillId="0" borderId="9" xfId="19" applyFont="1" applyBorder="1"/>
    <xf numFmtId="170" fontId="109" fillId="0" borderId="9" xfId="19" applyFont="1" applyBorder="1"/>
    <xf numFmtId="0" fontId="115" fillId="2" borderId="0" xfId="0" applyFont="1" applyFill="1" applyAlignment="1"/>
    <xf numFmtId="0" fontId="128" fillId="0" borderId="0" xfId="0" applyFont="1"/>
    <xf numFmtId="0" fontId="118" fillId="0" borderId="0" xfId="0" applyFont="1"/>
    <xf numFmtId="0" fontId="128" fillId="0" borderId="3" xfId="0" applyFont="1" applyBorder="1"/>
    <xf numFmtId="164" fontId="129" fillId="0" borderId="4" xfId="3" applyFont="1" applyBorder="1">
      <alignment wrapText="1"/>
    </xf>
    <xf numFmtId="0" fontId="122" fillId="0" borderId="0" xfId="0" applyFont="1"/>
    <xf numFmtId="164" fontId="129" fillId="0" borderId="9" xfId="3" applyFont="1" applyBorder="1">
      <alignment wrapText="1"/>
    </xf>
    <xf numFmtId="0" fontId="125" fillId="0" borderId="0" xfId="0" applyFont="1" applyFill="1"/>
    <xf numFmtId="0" fontId="128" fillId="0" borderId="0" xfId="0" applyFont="1" applyAlignment="1">
      <alignment horizontal="center"/>
    </xf>
    <xf numFmtId="0" fontId="115" fillId="0" borderId="0" xfId="0" applyFont="1" applyFill="1" applyAlignment="1"/>
    <xf numFmtId="0" fontId="115" fillId="0" borderId="0" xfId="0" applyFont="1" applyFill="1" applyAlignment="1">
      <alignment horizontal="center" wrapText="1"/>
    </xf>
    <xf numFmtId="0" fontId="115" fillId="0" borderId="0" xfId="0" applyFont="1" applyFill="1" applyAlignment="1">
      <alignment horizontal="center"/>
    </xf>
    <xf numFmtId="0" fontId="128" fillId="0" borderId="0" xfId="0" applyFont="1" applyFill="1"/>
    <xf numFmtId="164" fontId="129" fillId="0" borderId="5" xfId="3" applyFont="1" applyBorder="1">
      <alignment wrapText="1"/>
    </xf>
    <xf numFmtId="0" fontId="116" fillId="0" borderId="0" xfId="0" applyFont="1"/>
    <xf numFmtId="0" fontId="116" fillId="0" borderId="3" xfId="0" applyFont="1" applyBorder="1"/>
    <xf numFmtId="164" fontId="129" fillId="0" borderId="6" xfId="3" applyFont="1" applyBorder="1">
      <alignment wrapText="1"/>
    </xf>
    <xf numFmtId="164" fontId="121" fillId="0" borderId="5" xfId="3" applyFont="1" applyBorder="1">
      <alignment wrapText="1"/>
    </xf>
    <xf numFmtId="164" fontId="128" fillId="0" borderId="0" xfId="0" applyNumberFormat="1" applyFont="1"/>
    <xf numFmtId="0" fontId="123" fillId="6" borderId="0" xfId="18" applyFont="1" applyAlignment="1"/>
    <xf numFmtId="170" fontId="117" fillId="0" borderId="4" xfId="19" applyFont="1" applyBorder="1"/>
    <xf numFmtId="0" fontId="124" fillId="5" borderId="0" xfId="17" applyFont="1" applyAlignment="1"/>
    <xf numFmtId="164" fontId="129" fillId="0" borderId="0" xfId="3" applyFont="1" applyBorder="1">
      <alignment wrapText="1"/>
    </xf>
    <xf numFmtId="164" fontId="130" fillId="0" borderId="0" xfId="3" applyFont="1" applyBorder="1">
      <alignment wrapText="1"/>
    </xf>
    <xf numFmtId="0" fontId="119" fillId="0" borderId="0" xfId="0" applyFont="1"/>
    <xf numFmtId="0" fontId="66" fillId="0" borderId="0" xfId="0" applyFont="1" applyFill="1"/>
    <xf numFmtId="0" fontId="125" fillId="0" borderId="0" xfId="0" applyFont="1" applyFill="1" applyAlignment="1">
      <alignment horizontal="left"/>
    </xf>
    <xf numFmtId="172" fontId="125" fillId="0" borderId="0" xfId="0" applyNumberFormat="1" applyFont="1" applyFill="1"/>
    <xf numFmtId="0" fontId="125" fillId="0" borderId="0" xfId="0" applyFont="1" applyFill="1" applyBorder="1" applyAlignment="1">
      <alignment horizontal="left"/>
    </xf>
    <xf numFmtId="172" fontId="125" fillId="0" borderId="0" xfId="0" applyNumberFormat="1" applyFont="1" applyFill="1" applyBorder="1"/>
    <xf numFmtId="0" fontId="66" fillId="0" borderId="0" xfId="0" applyFont="1" applyFill="1" applyAlignment="1">
      <alignment horizontal="left"/>
    </xf>
    <xf numFmtId="172" fontId="66" fillId="0" borderId="9" xfId="0" applyNumberFormat="1" applyFont="1" applyFill="1" applyBorder="1"/>
    <xf numFmtId="0" fontId="109" fillId="2" borderId="0" xfId="312" applyFont="1" applyFill="1" applyAlignment="1">
      <alignment horizontal="center"/>
    </xf>
    <xf numFmtId="0" fontId="131" fillId="0" borderId="0" xfId="0" applyFont="1"/>
    <xf numFmtId="172" fontId="125" fillId="0" borderId="0" xfId="16" applyNumberFormat="1" applyFont="1"/>
    <xf numFmtId="0" fontId="66" fillId="0" borderId="0" xfId="0" applyFont="1"/>
    <xf numFmtId="172" fontId="66" fillId="0" borderId="9" xfId="16" applyNumberFormat="1" applyFont="1" applyBorder="1"/>
    <xf numFmtId="172" fontId="66" fillId="0" borderId="9" xfId="0" applyNumberFormat="1" applyFont="1" applyBorder="1"/>
    <xf numFmtId="0" fontId="66" fillId="13" borderId="0" xfId="0" applyFont="1" applyFill="1"/>
    <xf numFmtId="9" fontId="66" fillId="13" borderId="0" xfId="8" applyFont="1" applyFill="1"/>
    <xf numFmtId="0" fontId="66" fillId="7" borderId="47" xfId="0" applyFont="1" applyFill="1" applyBorder="1" applyAlignment="1">
      <alignment horizontal="center" wrapText="1"/>
    </xf>
    <xf numFmtId="0" fontId="132" fillId="2" borderId="0" xfId="0" applyFont="1" applyFill="1" applyAlignment="1">
      <alignment wrapText="1"/>
    </xf>
    <xf numFmtId="0" fontId="132" fillId="2" borderId="0" xfId="0" applyFont="1" applyFill="1" applyAlignment="1">
      <alignment horizontal="center"/>
    </xf>
    <xf numFmtId="0" fontId="134" fillId="0" borderId="0" xfId="1" applyFont="1" applyAlignment="1">
      <alignment wrapText="1"/>
    </xf>
    <xf numFmtId="0" fontId="133" fillId="8" borderId="0" xfId="1" applyFont="1" applyFill="1"/>
    <xf numFmtId="0" fontId="134" fillId="8" borderId="0" xfId="1" applyFont="1" applyFill="1"/>
    <xf numFmtId="0" fontId="133" fillId="8" borderId="0" xfId="1" applyFont="1" applyFill="1" applyAlignment="1">
      <alignment horizontal="center"/>
    </xf>
    <xf numFmtId="0" fontId="133" fillId="0" borderId="0" xfId="1" applyFont="1" applyAlignment="1">
      <alignment horizontal="center"/>
    </xf>
    <xf numFmtId="0" fontId="134" fillId="0" borderId="0" xfId="1" applyFont="1" applyFill="1" applyAlignment="1">
      <alignment wrapText="1"/>
    </xf>
    <xf numFmtId="0" fontId="133" fillId="0" borderId="0" xfId="1" applyFont="1" applyFill="1"/>
    <xf numFmtId="0" fontId="134" fillId="0" borderId="0" xfId="1" applyFont="1" applyFill="1"/>
    <xf numFmtId="0" fontId="133" fillId="0" borderId="0" xfId="1" applyFont="1" applyFill="1" applyAlignment="1">
      <alignment horizontal="center"/>
    </xf>
    <xf numFmtId="0" fontId="133" fillId="0" borderId="0" xfId="1" applyFont="1" applyFill="1" applyAlignment="1">
      <alignment horizontal="left"/>
    </xf>
    <xf numFmtId="0" fontId="135" fillId="0" borderId="0" xfId="1" applyFont="1" applyAlignment="1">
      <alignment wrapText="1"/>
    </xf>
    <xf numFmtId="0" fontId="136" fillId="0" borderId="0" xfId="1" applyFont="1"/>
    <xf numFmtId="164" fontId="134" fillId="0" borderId="0" xfId="1" applyNumberFormat="1" applyFont="1" applyFill="1"/>
    <xf numFmtId="0" fontId="137" fillId="0" borderId="0" xfId="1" applyFont="1" applyAlignment="1">
      <alignment wrapText="1"/>
    </xf>
    <xf numFmtId="0" fontId="138" fillId="0" borderId="0" xfId="1" applyFont="1"/>
    <xf numFmtId="0" fontId="134" fillId="0" borderId="0" xfId="1" applyFont="1"/>
    <xf numFmtId="172" fontId="134" fillId="0" borderId="0" xfId="16" applyNumberFormat="1" applyFont="1"/>
    <xf numFmtId="164" fontId="139" fillId="0" borderId="0" xfId="3" applyFont="1" applyFill="1" applyBorder="1">
      <alignment wrapText="1"/>
    </xf>
    <xf numFmtId="172" fontId="134" fillId="0" borderId="0" xfId="16" applyNumberFormat="1" applyFont="1" applyFill="1" applyAlignment="1">
      <alignment horizontal="right"/>
    </xf>
    <xf numFmtId="164" fontId="139" fillId="0" borderId="0" xfId="3" applyFont="1" applyBorder="1">
      <alignment wrapText="1"/>
    </xf>
    <xf numFmtId="164" fontId="134" fillId="0" borderId="0" xfId="1" applyNumberFormat="1" applyFont="1"/>
    <xf numFmtId="172" fontId="134" fillId="0" borderId="0" xfId="16" applyNumberFormat="1" applyFont="1" applyFill="1"/>
    <xf numFmtId="164" fontId="134" fillId="17" borderId="0" xfId="1" applyNumberFormat="1" applyFont="1" applyFill="1"/>
    <xf numFmtId="164" fontId="139" fillId="0" borderId="3" xfId="3" applyFont="1" applyFill="1" applyBorder="1">
      <alignment wrapText="1"/>
    </xf>
    <xf numFmtId="164" fontId="135" fillId="0" borderId="4" xfId="1" applyNumberFormat="1" applyFont="1" applyBorder="1"/>
    <xf numFmtId="164" fontId="134" fillId="0" borderId="0" xfId="1" applyNumberFormat="1" applyFont="1" applyBorder="1"/>
    <xf numFmtId="0" fontId="134" fillId="0" borderId="3" xfId="1" applyFont="1" applyBorder="1" applyAlignment="1">
      <alignment wrapText="1"/>
    </xf>
    <xf numFmtId="164" fontId="139" fillId="0" borderId="3" xfId="3" applyFont="1" applyBorder="1">
      <alignment wrapText="1"/>
    </xf>
    <xf numFmtId="164" fontId="134" fillId="0" borderId="3" xfId="1" applyNumberFormat="1" applyFont="1" applyBorder="1"/>
    <xf numFmtId="164" fontId="135" fillId="0" borderId="5" xfId="1" applyNumberFormat="1" applyFont="1" applyBorder="1"/>
    <xf numFmtId="170" fontId="134" fillId="0" borderId="5" xfId="19" applyFont="1"/>
    <xf numFmtId="0" fontId="136" fillId="0" borderId="0" xfId="1" applyFont="1" applyAlignment="1">
      <alignment wrapText="1"/>
    </xf>
    <xf numFmtId="164" fontId="140" fillId="0" borderId="0" xfId="3" applyFont="1" applyBorder="1">
      <alignment wrapText="1"/>
    </xf>
    <xf numFmtId="0" fontId="141" fillId="0" borderId="0" xfId="1" applyFont="1"/>
    <xf numFmtId="170" fontId="134" fillId="0" borderId="3" xfId="19" applyFont="1" applyBorder="1"/>
    <xf numFmtId="0" fontId="135" fillId="0" borderId="0" xfId="0" applyFont="1" applyAlignment="1">
      <alignment wrapText="1"/>
    </xf>
    <xf numFmtId="164" fontId="135" fillId="0" borderId="0" xfId="1" applyNumberFormat="1" applyFont="1"/>
    <xf numFmtId="170" fontId="133" fillId="0" borderId="0" xfId="19" applyFont="1" applyBorder="1"/>
    <xf numFmtId="0" fontId="133" fillId="0" borderId="0" xfId="1" applyFont="1" applyAlignment="1">
      <alignment wrapText="1"/>
    </xf>
    <xf numFmtId="170" fontId="134" fillId="0" borderId="0" xfId="19" applyFont="1" applyBorder="1"/>
    <xf numFmtId="170" fontId="134" fillId="0" borderId="7" xfId="19" applyFont="1" applyBorder="1"/>
    <xf numFmtId="170" fontId="134" fillId="0" borderId="66" xfId="19" applyFont="1" applyBorder="1"/>
    <xf numFmtId="0" fontId="141" fillId="0" borderId="0" xfId="1" applyFont="1" applyAlignment="1"/>
    <xf numFmtId="170" fontId="133" fillId="0" borderId="8" xfId="19" applyFont="1" applyBorder="1"/>
    <xf numFmtId="0" fontId="133" fillId="0" borderId="0" xfId="1" applyFont="1" applyAlignment="1"/>
    <xf numFmtId="172" fontId="135" fillId="0" borderId="4" xfId="16" applyNumberFormat="1" applyFont="1" applyBorder="1"/>
    <xf numFmtId="0" fontId="132" fillId="2" borderId="0" xfId="0" applyFont="1" applyFill="1" applyAlignment="1">
      <alignment horizontal="center" wrapText="1"/>
    </xf>
    <xf numFmtId="0" fontId="4" fillId="0" borderId="0" xfId="28"/>
    <xf numFmtId="3" fontId="92" fillId="13" borderId="48" xfId="16" applyNumberFormat="1" applyFont="1" applyFill="1" applyBorder="1" applyProtection="1"/>
    <xf numFmtId="10" fontId="0" fillId="8" borderId="0" xfId="0" applyNumberFormat="1" applyFill="1"/>
    <xf numFmtId="169" fontId="134" fillId="0" borderId="0" xfId="8" applyNumberFormat="1" applyFont="1" applyFill="1"/>
    <xf numFmtId="172" fontId="134" fillId="13" borderId="0" xfId="16" applyNumberFormat="1" applyFont="1" applyFill="1"/>
    <xf numFmtId="172" fontId="89" fillId="0" borderId="0" xfId="16" applyNumberFormat="1" applyFont="1"/>
    <xf numFmtId="172" fontId="89" fillId="0" borderId="0" xfId="16" applyNumberFormat="1" applyFont="1" applyBorder="1"/>
    <xf numFmtId="172" fontId="89" fillId="0" borderId="0" xfId="16" applyNumberFormat="1" applyFont="1" applyFill="1"/>
    <xf numFmtId="182" fontId="89" fillId="0" borderId="0" xfId="8" applyNumberFormat="1" applyFont="1" applyBorder="1"/>
    <xf numFmtId="38" fontId="90" fillId="0" borderId="0" xfId="0" applyNumberFormat="1" applyFont="1"/>
    <xf numFmtId="38" fontId="0" fillId="0" borderId="0" xfId="0" applyNumberFormat="1"/>
    <xf numFmtId="38" fontId="90" fillId="70" borderId="0" xfId="0" applyNumberFormat="1" applyFont="1" applyFill="1"/>
    <xf numFmtId="38" fontId="90" fillId="11" borderId="0" xfId="0" applyNumberFormat="1" applyFont="1" applyFill="1"/>
    <xf numFmtId="172" fontId="125" fillId="0" borderId="0" xfId="0" applyNumberFormat="1" applyFont="1"/>
    <xf numFmtId="172" fontId="89" fillId="0" borderId="0" xfId="0" applyNumberFormat="1" applyFont="1"/>
    <xf numFmtId="169" fontId="133" fillId="0" borderId="0" xfId="8" applyNumberFormat="1" applyFont="1" applyAlignment="1">
      <alignment horizontal="center"/>
    </xf>
    <xf numFmtId="0" fontId="134" fillId="0" borderId="0" xfId="1" applyFont="1" applyFill="1" applyBorder="1" applyAlignment="1">
      <alignment wrapText="1"/>
    </xf>
    <xf numFmtId="0" fontId="135" fillId="0" borderId="72" xfId="1" applyFont="1" applyBorder="1" applyAlignment="1">
      <alignment wrapText="1"/>
    </xf>
    <xf numFmtId="0" fontId="128" fillId="0" borderId="0" xfId="0" applyFont="1" applyBorder="1"/>
    <xf numFmtId="0" fontId="118" fillId="0" borderId="72" xfId="0" applyFont="1" applyBorder="1"/>
    <xf numFmtId="164" fontId="129" fillId="0" borderId="73" xfId="3" applyFont="1" applyBorder="1">
      <alignment wrapText="1"/>
    </xf>
    <xf numFmtId="0" fontId="117" fillId="0" borderId="0" xfId="0" applyFont="1"/>
    <xf numFmtId="0" fontId="116" fillId="0" borderId="0" xfId="1" applyFont="1" applyBorder="1" applyAlignment="1">
      <alignment wrapText="1"/>
    </xf>
    <xf numFmtId="164" fontId="116" fillId="0" borderId="0" xfId="1" applyNumberFormat="1" applyFont="1" applyBorder="1"/>
    <xf numFmtId="164" fontId="118" fillId="0" borderId="3" xfId="1" applyNumberFormat="1" applyFont="1" applyBorder="1"/>
    <xf numFmtId="164" fontId="118" fillId="0" borderId="73" xfId="1" applyNumberFormat="1" applyFont="1" applyBorder="1"/>
    <xf numFmtId="0" fontId="118" fillId="0" borderId="72" xfId="1" applyFont="1" applyBorder="1" applyAlignment="1">
      <alignment wrapText="1"/>
    </xf>
    <xf numFmtId="0" fontId="108" fillId="0" borderId="0" xfId="1" applyFont="1" applyAlignment="1">
      <alignment wrapText="1"/>
    </xf>
    <xf numFmtId="0" fontId="110" fillId="0" borderId="72" xfId="0" applyFont="1" applyFill="1" applyBorder="1"/>
    <xf numFmtId="170" fontId="117" fillId="0" borderId="72" xfId="19" applyFont="1" applyBorder="1"/>
    <xf numFmtId="170" fontId="109" fillId="0" borderId="72" xfId="19" applyFont="1" applyBorder="1"/>
    <xf numFmtId="170" fontId="116" fillId="0" borderId="72" xfId="19" applyFont="1" applyBorder="1"/>
    <xf numFmtId="164" fontId="121" fillId="0" borderId="72" xfId="3" applyFont="1" applyBorder="1">
      <alignment wrapText="1"/>
    </xf>
    <xf numFmtId="164" fontId="130" fillId="0" borderId="72" xfId="3" applyFont="1" applyBorder="1">
      <alignment wrapText="1"/>
    </xf>
    <xf numFmtId="0" fontId="134" fillId="0" borderId="0" xfId="1" applyFont="1" applyFill="1" applyAlignment="1">
      <alignment horizontal="center"/>
    </xf>
    <xf numFmtId="43" fontId="133" fillId="0" borderId="0" xfId="16" applyFont="1" applyAlignment="1">
      <alignment horizontal="center"/>
    </xf>
    <xf numFmtId="169" fontId="0" fillId="0" borderId="0" xfId="8" applyNumberFormat="1" applyFont="1"/>
    <xf numFmtId="3" fontId="26" fillId="0" borderId="0" xfId="28" applyNumberFormat="1" applyFont="1" applyAlignment="1">
      <alignment horizontal="center"/>
    </xf>
    <xf numFmtId="184" fontId="4" fillId="0" borderId="0" xfId="28" applyNumberFormat="1"/>
    <xf numFmtId="3" fontId="26" fillId="0" borderId="0" xfId="28" applyNumberFormat="1" applyFont="1"/>
    <xf numFmtId="3" fontId="4" fillId="0" borderId="0" xfId="28" applyNumberFormat="1"/>
    <xf numFmtId="3" fontId="26" fillId="0" borderId="0" xfId="28" applyNumberFormat="1" applyFont="1" applyAlignment="1">
      <alignment horizontal="center" wrapText="1"/>
    </xf>
    <xf numFmtId="184" fontId="26" fillId="0" borderId="3" xfId="28" applyNumberFormat="1" applyFont="1" applyBorder="1" applyAlignment="1">
      <alignment horizontal="center" wrapText="1"/>
    </xf>
    <xf numFmtId="184" fontId="26" fillId="0" borderId="3" xfId="28" applyNumberFormat="1" applyFont="1" applyBorder="1" applyAlignment="1">
      <alignment horizontal="center"/>
    </xf>
    <xf numFmtId="184" fontId="26" fillId="0" borderId="0" xfId="28" applyNumberFormat="1" applyFont="1" applyBorder="1" applyAlignment="1">
      <alignment horizontal="center"/>
    </xf>
    <xf numFmtId="0" fontId="4" fillId="0" borderId="58" xfId="28" applyBorder="1"/>
    <xf numFmtId="184" fontId="4" fillId="0" borderId="58" xfId="28" applyNumberFormat="1" applyBorder="1"/>
    <xf numFmtId="184" fontId="4" fillId="0" borderId="74" xfId="28" applyNumberFormat="1" applyFill="1" applyBorder="1"/>
    <xf numFmtId="184" fontId="4" fillId="0" borderId="74" xfId="28" applyNumberFormat="1" applyBorder="1"/>
    <xf numFmtId="184" fontId="4" fillId="0" borderId="58" xfId="28" applyNumberFormat="1" applyFill="1" applyBorder="1"/>
    <xf numFmtId="184" fontId="4" fillId="0" borderId="0" xfId="28" applyNumberFormat="1" applyBorder="1"/>
    <xf numFmtId="184" fontId="4" fillId="0" borderId="0" xfId="28" applyNumberFormat="1" applyFont="1" applyBorder="1"/>
    <xf numFmtId="0" fontId="26" fillId="0" borderId="58" xfId="28" applyFont="1" applyBorder="1"/>
    <xf numFmtId="184" fontId="26" fillId="0" borderId="58" xfId="28" applyNumberFormat="1" applyFont="1" applyBorder="1"/>
    <xf numFmtId="184" fontId="26" fillId="0" borderId="74" xfId="28" applyNumberFormat="1" applyFont="1" applyBorder="1"/>
    <xf numFmtId="184" fontId="4" fillId="0" borderId="74" xfId="28" applyNumberFormat="1" applyFont="1" applyBorder="1"/>
    <xf numFmtId="184" fontId="4" fillId="0" borderId="58" xfId="28" applyNumberFormat="1" applyFont="1" applyBorder="1"/>
    <xf numFmtId="0" fontId="4" fillId="0" borderId="58" xfId="28" applyFill="1" applyBorder="1"/>
    <xf numFmtId="0" fontId="26" fillId="0" borderId="74" xfId="28" applyFont="1" applyBorder="1"/>
    <xf numFmtId="184" fontId="26" fillId="0" borderId="58" xfId="28" applyNumberFormat="1" applyFont="1" applyFill="1" applyBorder="1"/>
    <xf numFmtId="184" fontId="26" fillId="0" borderId="74" xfId="28" applyNumberFormat="1" applyFont="1" applyFill="1" applyBorder="1"/>
    <xf numFmtId="0" fontId="4" fillId="0" borderId="0" xfId="28" applyBorder="1"/>
    <xf numFmtId="0" fontId="47" fillId="0" borderId="0" xfId="28" applyFont="1"/>
    <xf numFmtId="184" fontId="26" fillId="0" borderId="74" xfId="28" applyNumberFormat="1" applyFont="1" applyFill="1" applyBorder="1" applyAlignment="1">
      <alignment wrapText="1"/>
    </xf>
    <xf numFmtId="184" fontId="26" fillId="0" borderId="58" xfId="28" applyNumberFormat="1" applyFont="1" applyFill="1" applyBorder="1" applyAlignment="1">
      <alignment wrapText="1"/>
    </xf>
    <xf numFmtId="0" fontId="26" fillId="0" borderId="0" xfId="28" applyFont="1"/>
    <xf numFmtId="184" fontId="26" fillId="0" borderId="3" xfId="28" applyNumberFormat="1" applyFont="1" applyBorder="1" applyAlignment="1">
      <alignment horizontal="right" wrapText="1"/>
    </xf>
    <xf numFmtId="0" fontId="44" fillId="0" borderId="58" xfId="28" applyFont="1" applyBorder="1"/>
    <xf numFmtId="184" fontId="26" fillId="0" borderId="74" xfId="28" applyNumberFormat="1" applyFont="1" applyFill="1" applyBorder="1" applyAlignment="1">
      <alignment horizontal="right"/>
    </xf>
    <xf numFmtId="1" fontId="116" fillId="0" borderId="0" xfId="1" applyNumberFormat="1" applyFont="1"/>
    <xf numFmtId="172" fontId="133" fillId="0" borderId="0" xfId="16" applyNumberFormat="1" applyFont="1" applyFill="1" applyAlignment="1">
      <alignment horizontal="left"/>
    </xf>
    <xf numFmtId="172" fontId="116" fillId="0" borderId="0" xfId="16" applyNumberFormat="1" applyFont="1" applyFill="1"/>
    <xf numFmtId="0" fontId="4" fillId="0" borderId="75" xfId="2" applyFont="1" applyBorder="1" applyAlignment="1">
      <alignment vertical="center" wrapText="1"/>
    </xf>
    <xf numFmtId="0" fontId="4" fillId="0" borderId="58" xfId="2" applyFont="1" applyFill="1" applyBorder="1"/>
    <xf numFmtId="170" fontId="108" fillId="0" borderId="0" xfId="19" applyNumberFormat="1" applyFont="1" applyBorder="1"/>
    <xf numFmtId="0" fontId="118" fillId="0" borderId="0" xfId="1" applyFont="1" applyAlignment="1"/>
    <xf numFmtId="10" fontId="134" fillId="13" borderId="0" xfId="8" applyNumberFormat="1" applyFont="1" applyFill="1"/>
    <xf numFmtId="0" fontId="3" fillId="0" borderId="0" xfId="0" applyFont="1" applyAlignment="1">
      <alignment horizontal="right"/>
    </xf>
    <xf numFmtId="181" fontId="0" fillId="13" borderId="0" xfId="0" applyNumberFormat="1" applyFont="1" applyFill="1" applyBorder="1"/>
    <xf numFmtId="181" fontId="0" fillId="13" borderId="0" xfId="0" applyNumberFormat="1" applyFont="1" applyFill="1"/>
    <xf numFmtId="169" fontId="1" fillId="13" borderId="59" xfId="8" applyNumberFormat="1" applyFont="1" applyFill="1" applyBorder="1" applyAlignment="1" applyProtection="1">
      <alignment horizontal="right"/>
      <protection locked="0"/>
    </xf>
    <xf numFmtId="184" fontId="26" fillId="0" borderId="74" xfId="28" applyNumberFormat="1" applyFont="1" applyBorder="1" applyAlignment="1">
      <alignment wrapText="1"/>
    </xf>
    <xf numFmtId="0" fontId="47" fillId="0" borderId="58" xfId="28" applyFont="1" applyBorder="1"/>
    <xf numFmtId="0" fontId="1" fillId="0" borderId="0" xfId="615" applyFont="1"/>
    <xf numFmtId="184" fontId="1" fillId="0" borderId="0" xfId="615" applyNumberFormat="1" applyFont="1"/>
    <xf numFmtId="184" fontId="44" fillId="0" borderId="58" xfId="615" applyNumberFormat="1" applyFont="1" applyBorder="1" applyAlignment="1">
      <alignment horizontal="center" wrapText="1"/>
    </xf>
    <xf numFmtId="0" fontId="44" fillId="0" borderId="58" xfId="615" applyFont="1" applyBorder="1" applyAlignment="1">
      <alignment horizontal="center" wrapText="1"/>
    </xf>
    <xf numFmtId="0" fontId="143" fillId="0" borderId="75" xfId="615" applyFont="1" applyBorder="1"/>
    <xf numFmtId="184" fontId="143" fillId="0" borderId="75" xfId="615" applyNumberFormat="1" applyFont="1" applyBorder="1"/>
    <xf numFmtId="184" fontId="1" fillId="0" borderId="75" xfId="615" applyNumberFormat="1" applyFont="1" applyBorder="1"/>
    <xf numFmtId="0" fontId="1" fillId="0" borderId="75" xfId="615" applyFont="1" applyBorder="1"/>
    <xf numFmtId="184" fontId="1" fillId="0" borderId="75" xfId="615" applyNumberFormat="1" applyFont="1" applyFill="1" applyBorder="1"/>
    <xf numFmtId="0" fontId="143" fillId="0" borderId="75" xfId="615" applyFont="1" applyBorder="1" applyAlignment="1">
      <alignment wrapText="1"/>
    </xf>
    <xf numFmtId="184" fontId="143" fillId="0" borderId="75" xfId="615" applyNumberFormat="1" applyFont="1" applyBorder="1" applyAlignment="1">
      <alignment wrapText="1"/>
    </xf>
    <xf numFmtId="0" fontId="1" fillId="0" borderId="20" xfId="615" applyFont="1" applyBorder="1"/>
    <xf numFmtId="184" fontId="1" fillId="0" borderId="20" xfId="615" applyNumberFormat="1" applyFont="1" applyBorder="1"/>
    <xf numFmtId="184" fontId="1" fillId="0" borderId="20" xfId="615" applyNumberFormat="1" applyFont="1" applyFill="1" applyBorder="1"/>
    <xf numFmtId="0" fontId="1" fillId="0" borderId="58" xfId="615" applyFont="1" applyBorder="1"/>
    <xf numFmtId="184" fontId="1" fillId="0" borderId="58" xfId="615" applyNumberFormat="1" applyFont="1" applyBorder="1"/>
    <xf numFmtId="184" fontId="1" fillId="0" borderId="76" xfId="615" applyNumberFormat="1" applyFont="1" applyBorder="1"/>
    <xf numFmtId="0" fontId="1" fillId="0" borderId="0" xfId="615"/>
    <xf numFmtId="184" fontId="1" fillId="0" borderId="58" xfId="615" applyNumberFormat="1" applyBorder="1"/>
    <xf numFmtId="0" fontId="1" fillId="0" borderId="58" xfId="615" applyBorder="1"/>
    <xf numFmtId="184" fontId="143" fillId="0" borderId="76" xfId="615" applyNumberFormat="1" applyFont="1" applyBorder="1"/>
    <xf numFmtId="0" fontId="1" fillId="0" borderId="75" xfId="615" applyBorder="1"/>
    <xf numFmtId="184" fontId="1" fillId="0" borderId="0" xfId="615" applyNumberFormat="1"/>
    <xf numFmtId="0" fontId="4" fillId="0" borderId="0" xfId="28" applyFill="1" applyBorder="1"/>
    <xf numFmtId="0" fontId="26" fillId="0" borderId="0" xfId="28" applyFont="1" applyBorder="1"/>
    <xf numFmtId="0" fontId="26" fillId="0" borderId="0" xfId="28" applyFont="1" applyBorder="1" applyAlignment="1">
      <alignment horizontal="center" wrapText="1"/>
    </xf>
    <xf numFmtId="0" fontId="26" fillId="0" borderId="0" xfId="28" applyFont="1" applyBorder="1" applyAlignment="1">
      <alignment horizontal="center"/>
    </xf>
    <xf numFmtId="0" fontId="4" fillId="0" borderId="0" xfId="28" quotePrefix="1" applyBorder="1"/>
    <xf numFmtId="183" fontId="4" fillId="0" borderId="0" xfId="28" applyNumberFormat="1" applyBorder="1"/>
    <xf numFmtId="183" fontId="4" fillId="0" borderId="3" xfId="28" applyNumberFormat="1" applyBorder="1"/>
    <xf numFmtId="183" fontId="26" fillId="0" borderId="0" xfId="28" applyNumberFormat="1" applyFont="1" applyBorder="1"/>
    <xf numFmtId="0" fontId="26" fillId="0" borderId="52" xfId="28" applyFont="1" applyBorder="1"/>
    <xf numFmtId="0" fontId="26" fillId="0" borderId="53" xfId="28" applyFont="1" applyBorder="1"/>
    <xf numFmtId="0" fontId="4" fillId="0" borderId="53" xfId="28" applyBorder="1"/>
    <xf numFmtId="0" fontId="4" fillId="0" borderId="55" xfId="28" applyBorder="1"/>
    <xf numFmtId="0" fontId="26" fillId="0" borderId="49" xfId="28" applyFont="1" applyBorder="1"/>
    <xf numFmtId="0" fontId="4" fillId="0" borderId="68" xfId="28" applyBorder="1"/>
    <xf numFmtId="0" fontId="4" fillId="0" borderId="49" xfId="28" applyBorder="1"/>
    <xf numFmtId="0" fontId="26" fillId="0" borderId="68" xfId="28" applyFont="1" applyBorder="1" applyAlignment="1">
      <alignment horizontal="center"/>
    </xf>
    <xf numFmtId="0" fontId="4" fillId="0" borderId="49" xfId="28" quotePrefix="1" applyBorder="1"/>
    <xf numFmtId="183" fontId="4" fillId="0" borderId="68" xfId="28" applyNumberFormat="1" applyBorder="1"/>
    <xf numFmtId="183" fontId="4" fillId="0" borderId="77" xfId="28" applyNumberFormat="1" applyBorder="1"/>
    <xf numFmtId="183" fontId="26" fillId="0" borderId="68" xfId="28" applyNumberFormat="1" applyFont="1" applyBorder="1"/>
    <xf numFmtId="0" fontId="26" fillId="0" borderId="56" xfId="28" applyFont="1" applyBorder="1"/>
    <xf numFmtId="0" fontId="4" fillId="0" borderId="50" xfId="28" applyBorder="1"/>
    <xf numFmtId="183" fontId="26" fillId="0" borderId="50" xfId="28" applyNumberFormat="1" applyFont="1" applyBorder="1"/>
    <xf numFmtId="183" fontId="26" fillId="0" borderId="57" xfId="28" applyNumberFormat="1" applyFont="1" applyBorder="1"/>
    <xf numFmtId="0" fontId="95" fillId="0" borderId="0" xfId="28" applyFont="1" applyBorder="1"/>
    <xf numFmtId="0" fontId="144" fillId="0" borderId="0" xfId="28" applyFont="1" applyBorder="1"/>
    <xf numFmtId="0" fontId="26" fillId="0" borderId="0" xfId="28" quotePrefix="1" applyFont="1" applyBorder="1"/>
    <xf numFmtId="0" fontId="4" fillId="0" borderId="0" xfId="28" quotePrefix="1" applyFont="1" applyBorder="1"/>
    <xf numFmtId="183" fontId="4" fillId="0" borderId="0" xfId="28" applyNumberFormat="1" applyFont="1" applyBorder="1"/>
    <xf numFmtId="0" fontId="26" fillId="0" borderId="0" xfId="28" applyFont="1" applyFill="1" applyBorder="1" applyAlignment="1">
      <alignment horizontal="center" wrapText="1"/>
    </xf>
    <xf numFmtId="0" fontId="26" fillId="0" borderId="0" xfId="28" applyFont="1" applyFill="1" applyBorder="1" applyAlignment="1">
      <alignment horizontal="center"/>
    </xf>
    <xf numFmtId="183" fontId="4" fillId="0" borderId="0" xfId="28" applyNumberFormat="1" applyFill="1" applyBorder="1"/>
    <xf numFmtId="183" fontId="4" fillId="0" borderId="3" xfId="28" applyNumberFormat="1" applyFill="1" applyBorder="1"/>
    <xf numFmtId="183" fontId="26" fillId="0" borderId="0" xfId="28" applyNumberFormat="1" applyFont="1" applyFill="1" applyBorder="1"/>
    <xf numFmtId="0" fontId="49" fillId="0" borderId="0" xfId="28" applyFont="1" applyBorder="1"/>
    <xf numFmtId="0" fontId="4" fillId="11" borderId="0" xfId="28" quotePrefix="1" applyFont="1" applyFill="1" applyBorder="1"/>
    <xf numFmtId="0" fontId="4" fillId="11" borderId="0" xfId="28" applyFill="1" applyBorder="1"/>
    <xf numFmtId="183" fontId="4" fillId="11" borderId="0" xfId="28" applyNumberFormat="1" applyFill="1" applyBorder="1"/>
    <xf numFmtId="183" fontId="4" fillId="0" borderId="72" xfId="28" applyNumberFormat="1" applyBorder="1"/>
    <xf numFmtId="169" fontId="26" fillId="0" borderId="0" xfId="419" applyNumberFormat="1" applyFont="1" applyBorder="1" applyAlignment="1">
      <alignment horizontal="center"/>
    </xf>
    <xf numFmtId="183" fontId="4" fillId="0" borderId="0" xfId="28" applyNumberFormat="1" applyFont="1" applyFill="1" applyBorder="1"/>
    <xf numFmtId="0" fontId="4" fillId="0" borderId="23" xfId="28" applyBorder="1"/>
    <xf numFmtId="0" fontId="91" fillId="0" borderId="0" xfId="615" applyFont="1"/>
    <xf numFmtId="0" fontId="100" fillId="0" borderId="0" xfId="615" applyFont="1"/>
    <xf numFmtId="184" fontId="91" fillId="0" borderId="78" xfId="615" applyNumberFormat="1" applyFont="1" applyBorder="1"/>
    <xf numFmtId="0" fontId="100" fillId="0" borderId="0" xfId="615" applyFont="1" applyAlignment="1">
      <alignment horizontal="center"/>
    </xf>
    <xf numFmtId="0" fontId="91" fillId="0" borderId="0" xfId="616" applyFont="1" applyFill="1" applyBorder="1"/>
    <xf numFmtId="0" fontId="45" fillId="0" borderId="0" xfId="0" applyFont="1" applyAlignment="1">
      <alignment horizontal="center"/>
    </xf>
    <xf numFmtId="0" fontId="145" fillId="0" borderId="48" xfId="0" applyFont="1" applyBorder="1" applyAlignment="1" applyProtection="1">
      <alignment wrapText="1"/>
    </xf>
    <xf numFmtId="0" fontId="91" fillId="0" borderId="48" xfId="0" applyFont="1" applyFill="1" applyBorder="1" applyProtection="1"/>
    <xf numFmtId="0" fontId="2" fillId="0" borderId="48" xfId="0" applyFont="1" applyFill="1" applyBorder="1" applyProtection="1"/>
    <xf numFmtId="0" fontId="38" fillId="0" borderId="0" xfId="0" applyFont="1"/>
    <xf numFmtId="0" fontId="1" fillId="0" borderId="0" xfId="0" applyFont="1" applyProtection="1"/>
    <xf numFmtId="0" fontId="142" fillId="0" borderId="0" xfId="0" applyFont="1" applyAlignment="1"/>
    <xf numFmtId="0" fontId="52" fillId="0" borderId="0" xfId="0" applyFont="1" applyAlignment="1"/>
    <xf numFmtId="0" fontId="146" fillId="17" borderId="48" xfId="0" applyFont="1" applyFill="1" applyBorder="1" applyAlignment="1" applyProtection="1">
      <alignment wrapText="1"/>
    </xf>
    <xf numFmtId="0" fontId="3" fillId="0" borderId="52" xfId="0" applyFont="1" applyBorder="1" applyAlignment="1">
      <alignment horizontal="center" wrapText="1"/>
    </xf>
    <xf numFmtId="0" fontId="3" fillId="0" borderId="53" xfId="0" applyFont="1" applyBorder="1" applyAlignment="1">
      <alignment horizontal="center" wrapText="1"/>
    </xf>
    <xf numFmtId="169" fontId="3" fillId="0" borderId="53" xfId="8" applyNumberFormat="1" applyFont="1" applyBorder="1" applyAlignment="1">
      <alignment horizontal="center" wrapText="1"/>
    </xf>
    <xf numFmtId="0" fontId="51" fillId="0" borderId="53" xfId="0" applyFont="1" applyBorder="1" applyAlignment="1">
      <alignment horizontal="center" wrapText="1"/>
    </xf>
    <xf numFmtId="169" fontId="3" fillId="0" borderId="55" xfId="8" applyNumberFormat="1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0" fillId="0" borderId="49" xfId="0" applyBorder="1"/>
    <xf numFmtId="0" fontId="0" fillId="0" borderId="0" xfId="0" applyBorder="1"/>
    <xf numFmtId="169" fontId="0" fillId="0" borderId="0" xfId="8" applyNumberFormat="1" applyFont="1" applyBorder="1"/>
    <xf numFmtId="9" fontId="0" fillId="0" borderId="0" xfId="0" applyNumberFormat="1" applyBorder="1"/>
    <xf numFmtId="10" fontId="0" fillId="0" borderId="68" xfId="8" applyNumberFormat="1" applyFont="1" applyBorder="1"/>
    <xf numFmtId="10" fontId="0" fillId="0" borderId="0" xfId="0" applyNumberFormat="1" applyBorder="1"/>
    <xf numFmtId="0" fontId="41" fillId="0" borderId="49" xfId="0" applyFont="1" applyBorder="1"/>
    <xf numFmtId="0" fontId="41" fillId="0" borderId="0" xfId="0" applyFont="1" applyBorder="1"/>
    <xf numFmtId="169" fontId="41" fillId="0" borderId="0" xfId="8" applyNumberFormat="1" applyFont="1" applyBorder="1"/>
    <xf numFmtId="10" fontId="41" fillId="0" borderId="0" xfId="0" applyNumberFormat="1" applyFont="1" applyBorder="1"/>
    <xf numFmtId="10" fontId="41" fillId="0" borderId="68" xfId="8" applyNumberFormat="1" applyFont="1" applyBorder="1"/>
    <xf numFmtId="169" fontId="0" fillId="0" borderId="68" xfId="8" applyNumberFormat="1" applyFont="1" applyBorder="1"/>
    <xf numFmtId="169" fontId="0" fillId="0" borderId="8" xfId="8" applyNumberFormat="1" applyFont="1" applyBorder="1"/>
    <xf numFmtId="10" fontId="0" fillId="0" borderId="80" xfId="8" applyNumberFormat="1" applyFont="1" applyBorder="1"/>
    <xf numFmtId="0" fontId="0" fillId="0" borderId="56" xfId="0" applyBorder="1"/>
    <xf numFmtId="0" fontId="0" fillId="0" borderId="50" xfId="0" applyBorder="1"/>
    <xf numFmtId="169" fontId="0" fillId="0" borderId="50" xfId="8" applyNumberFormat="1" applyFont="1" applyBorder="1"/>
    <xf numFmtId="169" fontId="0" fillId="0" borderId="57" xfId="8" applyNumberFormat="1" applyFont="1" applyBorder="1"/>
    <xf numFmtId="185" fontId="0" fillId="0" borderId="68" xfId="8" applyNumberFormat="1" applyFont="1" applyBorder="1"/>
    <xf numFmtId="0" fontId="148" fillId="0" borderId="48" xfId="0" applyFont="1" applyBorder="1" applyAlignment="1" applyProtection="1">
      <alignment wrapText="1"/>
    </xf>
    <xf numFmtId="0" fontId="149" fillId="0" borderId="0" xfId="0" applyFont="1"/>
    <xf numFmtId="0" fontId="150" fillId="0" borderId="0" xfId="0" applyFont="1"/>
    <xf numFmtId="0" fontId="151" fillId="0" borderId="0" xfId="0" applyFont="1"/>
    <xf numFmtId="0" fontId="125" fillId="13" borderId="0" xfId="0" applyFont="1" applyFill="1"/>
    <xf numFmtId="0" fontId="116" fillId="13" borderId="0" xfId="1" applyFont="1" applyFill="1"/>
    <xf numFmtId="0" fontId="0" fillId="0" borderId="0" xfId="0" applyFont="1"/>
    <xf numFmtId="9" fontId="0" fillId="0" borderId="0" xfId="0" applyNumberFormat="1" applyFont="1" applyFill="1" applyAlignment="1">
      <alignment horizontal="center"/>
    </xf>
    <xf numFmtId="9" fontId="0" fillId="0" borderId="0" xfId="8" applyFont="1" applyFill="1" applyAlignment="1">
      <alignment horizontal="center"/>
    </xf>
    <xf numFmtId="0" fontId="152" fillId="0" borderId="0" xfId="615" applyFont="1"/>
    <xf numFmtId="0" fontId="91" fillId="0" borderId="0" xfId="615" applyFont="1" applyAlignment="1">
      <alignment horizontal="center"/>
    </xf>
    <xf numFmtId="169" fontId="4" fillId="0" borderId="0" xfId="25" applyNumberFormat="1" applyBorder="1"/>
    <xf numFmtId="10" fontId="1" fillId="0" borderId="0" xfId="615" applyNumberFormat="1"/>
    <xf numFmtId="169" fontId="1" fillId="0" borderId="0" xfId="615" applyNumberFormat="1"/>
    <xf numFmtId="10" fontId="0" fillId="0" borderId="0" xfId="617" applyNumberFormat="1" applyFont="1"/>
    <xf numFmtId="0" fontId="1" fillId="70" borderId="0" xfId="615" applyFill="1"/>
    <xf numFmtId="172" fontId="0" fillId="70" borderId="0" xfId="618" applyNumberFormat="1" applyFont="1" applyFill="1"/>
    <xf numFmtId="0" fontId="100" fillId="0" borderId="55" xfId="615" applyFont="1" applyBorder="1" applyAlignment="1">
      <alignment horizontal="center"/>
    </xf>
    <xf numFmtId="0" fontId="1" fillId="0" borderId="49" xfId="616" applyFont="1" applyFill="1" applyBorder="1"/>
    <xf numFmtId="184" fontId="1" fillId="0" borderId="0" xfId="615" applyNumberFormat="1" applyFont="1" applyBorder="1" applyAlignment="1">
      <alignment horizontal="right"/>
    </xf>
    <xf numFmtId="184" fontId="1" fillId="0" borderId="68" xfId="615" applyNumberFormat="1" applyFont="1" applyBorder="1" applyAlignment="1">
      <alignment horizontal="right"/>
    </xf>
    <xf numFmtId="184" fontId="1" fillId="0" borderId="68" xfId="616" applyNumberFormat="1" applyFont="1" applyBorder="1"/>
    <xf numFmtId="0" fontId="1" fillId="0" borderId="68" xfId="616" applyFont="1" applyBorder="1"/>
    <xf numFmtId="0" fontId="91" fillId="0" borderId="49" xfId="616" applyFont="1" applyFill="1" applyBorder="1"/>
    <xf numFmtId="184" fontId="91" fillId="0" borderId="87" xfId="616" applyNumberFormat="1" applyFont="1" applyBorder="1"/>
    <xf numFmtId="0" fontId="1" fillId="0" borderId="49" xfId="615" applyBorder="1"/>
    <xf numFmtId="0" fontId="1" fillId="0" borderId="68" xfId="615" applyBorder="1"/>
    <xf numFmtId="0" fontId="91" fillId="0" borderId="49" xfId="615" applyFont="1" applyBorder="1"/>
    <xf numFmtId="184" fontId="1" fillId="0" borderId="0" xfId="615" applyNumberFormat="1" applyBorder="1"/>
    <xf numFmtId="184" fontId="1" fillId="0" borderId="68" xfId="615" applyNumberFormat="1" applyBorder="1"/>
    <xf numFmtId="184" fontId="91" fillId="0" borderId="87" xfId="615" applyNumberFormat="1" applyFont="1" applyBorder="1"/>
    <xf numFmtId="0" fontId="1" fillId="0" borderId="88" xfId="615" applyBorder="1"/>
    <xf numFmtId="0" fontId="1" fillId="0" borderId="89" xfId="615" applyBorder="1"/>
    <xf numFmtId="0" fontId="1" fillId="0" borderId="90" xfId="615" applyBorder="1"/>
    <xf numFmtId="0" fontId="91" fillId="0" borderId="0" xfId="615" applyFont="1" applyBorder="1"/>
    <xf numFmtId="0" fontId="91" fillId="19" borderId="0" xfId="615" applyFont="1" applyFill="1" applyAlignment="1">
      <alignment horizontal="center"/>
    </xf>
    <xf numFmtId="184" fontId="91" fillId="19" borderId="78" xfId="615" applyNumberFormat="1" applyFont="1" applyFill="1" applyBorder="1"/>
    <xf numFmtId="0" fontId="1" fillId="0" borderId="0" xfId="616" applyFont="1" applyBorder="1"/>
    <xf numFmtId="0" fontId="153" fillId="0" borderId="0" xfId="619"/>
    <xf numFmtId="0" fontId="153" fillId="0" borderId="58" xfId="619" applyBorder="1"/>
    <xf numFmtId="3" fontId="26" fillId="0" borderId="0" xfId="619" applyNumberFormat="1" applyFont="1" applyAlignment="1">
      <alignment horizontal="center"/>
    </xf>
    <xf numFmtId="3" fontId="26" fillId="0" borderId="0" xfId="619" applyNumberFormat="1" applyFont="1"/>
    <xf numFmtId="0" fontId="26" fillId="0" borderId="58" xfId="619" applyFont="1" applyBorder="1"/>
    <xf numFmtId="0" fontId="153" fillId="0" borderId="58" xfId="619" applyFill="1" applyBorder="1"/>
    <xf numFmtId="0" fontId="26" fillId="0" borderId="74" xfId="619" applyFont="1" applyBorder="1"/>
    <xf numFmtId="184" fontId="153" fillId="0" borderId="58" xfId="619" applyNumberFormat="1" applyFill="1" applyBorder="1"/>
    <xf numFmtId="184" fontId="26" fillId="0" borderId="58" xfId="619" applyNumberFormat="1" applyFont="1" applyFill="1" applyBorder="1"/>
    <xf numFmtId="184" fontId="153" fillId="0" borderId="0" xfId="619" applyNumberFormat="1"/>
    <xf numFmtId="184" fontId="153" fillId="0" borderId="0" xfId="619" applyNumberFormat="1" applyBorder="1"/>
    <xf numFmtId="184" fontId="153" fillId="0" borderId="58" xfId="619" applyNumberFormat="1" applyBorder="1"/>
    <xf numFmtId="184" fontId="153" fillId="0" borderId="74" xfId="619" applyNumberFormat="1" applyFill="1" applyBorder="1"/>
    <xf numFmtId="184" fontId="26" fillId="0" borderId="74" xfId="619" applyNumberFormat="1" applyFont="1" applyFill="1" applyBorder="1"/>
    <xf numFmtId="184" fontId="4" fillId="0" borderId="58" xfId="619" applyNumberFormat="1" applyFont="1" applyBorder="1"/>
    <xf numFmtId="184" fontId="153" fillId="0" borderId="74" xfId="619" applyNumberFormat="1" applyBorder="1"/>
    <xf numFmtId="184" fontId="26" fillId="0" borderId="58" xfId="619" applyNumberFormat="1" applyFont="1" applyBorder="1"/>
    <xf numFmtId="184" fontId="26" fillId="0" borderId="74" xfId="619" applyNumberFormat="1" applyFont="1" applyBorder="1"/>
    <xf numFmtId="184" fontId="26" fillId="0" borderId="3" xfId="619" applyNumberFormat="1" applyFont="1" applyBorder="1" applyAlignment="1">
      <alignment horizontal="center" wrapText="1"/>
    </xf>
    <xf numFmtId="184" fontId="4" fillId="0" borderId="0" xfId="619" applyNumberFormat="1" applyFont="1" applyBorder="1"/>
    <xf numFmtId="184" fontId="4" fillId="0" borderId="74" xfId="619" applyNumberFormat="1" applyFont="1" applyBorder="1"/>
    <xf numFmtId="184" fontId="26" fillId="0" borderId="3" xfId="619" applyNumberFormat="1" applyFont="1" applyBorder="1" applyAlignment="1">
      <alignment horizontal="center"/>
    </xf>
    <xf numFmtId="184" fontId="26" fillId="0" borderId="0" xfId="619" applyNumberFormat="1" applyFont="1" applyBorder="1" applyAlignment="1">
      <alignment horizontal="center"/>
    </xf>
    <xf numFmtId="0" fontId="100" fillId="0" borderId="53" xfId="615" applyFont="1" applyBorder="1" applyAlignment="1">
      <alignment horizontal="center"/>
    </xf>
    <xf numFmtId="0" fontId="91" fillId="0" borderId="53" xfId="616" applyFont="1" applyFill="1" applyBorder="1"/>
    <xf numFmtId="0" fontId="91" fillId="0" borderId="52" xfId="616" applyFont="1" applyFill="1" applyBorder="1"/>
    <xf numFmtId="184" fontId="91" fillId="0" borderId="78" xfId="616" applyNumberFormat="1" applyFont="1" applyBorder="1"/>
    <xf numFmtId="0" fontId="91" fillId="0" borderId="78" xfId="616" applyFont="1" applyFill="1" applyBorder="1"/>
    <xf numFmtId="184" fontId="1" fillId="0" borderId="0" xfId="616" applyNumberFormat="1" applyFont="1" applyBorder="1"/>
    <xf numFmtId="0" fontId="1" fillId="0" borderId="0" xfId="616" applyFont="1" applyFill="1" applyBorder="1"/>
    <xf numFmtId="0" fontId="153" fillId="0" borderId="74" xfId="619" applyFill="1" applyBorder="1"/>
    <xf numFmtId="0" fontId="153" fillId="0" borderId="74" xfId="619" applyBorder="1"/>
    <xf numFmtId="0" fontId="1" fillId="0" borderId="0" xfId="615" applyBorder="1"/>
    <xf numFmtId="0" fontId="4" fillId="0" borderId="0" xfId="28"/>
    <xf numFmtId="0" fontId="47" fillId="0" borderId="0" xfId="28" applyFont="1"/>
    <xf numFmtId="0" fontId="26" fillId="0" borderId="0" xfId="28" quotePrefix="1" applyFont="1" applyAlignment="1">
      <alignment horizontal="left" wrapText="1"/>
    </xf>
    <xf numFmtId="0" fontId="26" fillId="0" borderId="0" xfId="28" quotePrefix="1" applyFont="1"/>
    <xf numFmtId="0" fontId="4" fillId="0" borderId="0" xfId="28" applyBorder="1"/>
    <xf numFmtId="0" fontId="4" fillId="0" borderId="0" xfId="28" quotePrefix="1"/>
    <xf numFmtId="0" fontId="26" fillId="0" borderId="0" xfId="28" quotePrefix="1" applyFont="1" applyAlignment="1">
      <alignment horizontal="left"/>
    </xf>
    <xf numFmtId="186" fontId="4" fillId="0" borderId="0" xfId="387" applyNumberFormat="1"/>
    <xf numFmtId="49" fontId="47" fillId="0" borderId="0" xfId="28" applyNumberFormat="1" applyFont="1"/>
    <xf numFmtId="186" fontId="26" fillId="0" borderId="0" xfId="387" applyNumberFormat="1" applyFont="1"/>
    <xf numFmtId="0" fontId="4" fillId="0" borderId="0" xfId="28" applyFont="1"/>
    <xf numFmtId="186" fontId="26" fillId="0" borderId="0" xfId="387" applyNumberFormat="1" applyFont="1" applyBorder="1"/>
    <xf numFmtId="186" fontId="4" fillId="0" borderId="58" xfId="387" applyNumberFormat="1" applyFont="1" applyBorder="1"/>
    <xf numFmtId="184" fontId="4" fillId="0" borderId="0" xfId="28" applyNumberFormat="1" applyBorder="1"/>
    <xf numFmtId="184" fontId="4" fillId="0" borderId="58" xfId="28" applyNumberFormat="1" applyBorder="1"/>
    <xf numFmtId="186" fontId="4" fillId="0" borderId="58" xfId="387" applyNumberFormat="1" applyBorder="1"/>
    <xf numFmtId="186" fontId="4" fillId="0" borderId="74" xfId="387" applyNumberFormat="1" applyFont="1" applyBorder="1"/>
    <xf numFmtId="184" fontId="4" fillId="0" borderId="74" xfId="387" applyNumberFormat="1" applyBorder="1"/>
    <xf numFmtId="184" fontId="4" fillId="0" borderId="58" xfId="28" applyNumberFormat="1" applyFont="1" applyBorder="1"/>
    <xf numFmtId="184" fontId="26" fillId="0" borderId="3" xfId="28" applyNumberFormat="1" applyFont="1" applyBorder="1" applyAlignment="1">
      <alignment horizontal="center" wrapText="1"/>
    </xf>
    <xf numFmtId="184" fontId="26" fillId="0" borderId="3" xfId="28" applyNumberFormat="1" applyFont="1" applyBorder="1" applyAlignment="1">
      <alignment horizontal="center"/>
    </xf>
    <xf numFmtId="184" fontId="1" fillId="79" borderId="75" xfId="615" applyNumberFormat="1" applyFont="1" applyFill="1" applyBorder="1"/>
    <xf numFmtId="9" fontId="1" fillId="0" borderId="0" xfId="615" applyNumberFormat="1"/>
    <xf numFmtId="0" fontId="1" fillId="0" borderId="0" xfId="615" applyFont="1" applyFill="1" applyBorder="1"/>
    <xf numFmtId="0" fontId="44" fillId="0" borderId="74" xfId="615" applyFont="1" applyBorder="1"/>
    <xf numFmtId="0" fontId="143" fillId="0" borderId="23" xfId="615" applyFont="1" applyBorder="1"/>
    <xf numFmtId="0" fontId="1" fillId="0" borderId="23" xfId="615" applyFont="1" applyBorder="1"/>
    <xf numFmtId="0" fontId="1" fillId="0" borderId="21" xfId="615" applyFont="1" applyBorder="1"/>
    <xf numFmtId="0" fontId="1" fillId="0" borderId="74" xfId="615" applyFont="1" applyBorder="1"/>
    <xf numFmtId="0" fontId="1" fillId="0" borderId="74" xfId="615" applyFont="1" applyFill="1" applyBorder="1"/>
    <xf numFmtId="0" fontId="143" fillId="0" borderId="79" xfId="615" applyFont="1" applyBorder="1"/>
    <xf numFmtId="0" fontId="44" fillId="0" borderId="0" xfId="615" applyFont="1" applyBorder="1"/>
    <xf numFmtId="0" fontId="1" fillId="0" borderId="0" xfId="615" applyFont="1" applyBorder="1"/>
    <xf numFmtId="0" fontId="143" fillId="0" borderId="0" xfId="615" applyFont="1" applyBorder="1"/>
    <xf numFmtId="0" fontId="143" fillId="0" borderId="0" xfId="615" applyFont="1" applyBorder="1" applyAlignment="1">
      <alignment wrapText="1"/>
    </xf>
    <xf numFmtId="0" fontId="4" fillId="0" borderId="86" xfId="28" applyBorder="1"/>
    <xf numFmtId="0" fontId="4" fillId="0" borderId="73" xfId="28" applyBorder="1"/>
    <xf numFmtId="0" fontId="1" fillId="19" borderId="0" xfId="615" applyFill="1"/>
    <xf numFmtId="184" fontId="1" fillId="19" borderId="75" xfId="615" applyNumberFormat="1" applyFont="1" applyFill="1" applyBorder="1"/>
    <xf numFmtId="0" fontId="4" fillId="0" borderId="0" xfId="28"/>
    <xf numFmtId="0" fontId="47" fillId="0" borderId="0" xfId="28" applyFont="1"/>
    <xf numFmtId="0" fontId="26" fillId="0" borderId="0" xfId="28" quotePrefix="1" applyFont="1" applyAlignment="1">
      <alignment horizontal="left" wrapText="1"/>
    </xf>
    <xf numFmtId="0" fontId="26" fillId="0" borderId="0" xfId="28" quotePrefix="1" applyFont="1"/>
    <xf numFmtId="0" fontId="4" fillId="0" borderId="0" xfId="28" quotePrefix="1"/>
    <xf numFmtId="0" fontId="26" fillId="0" borderId="0" xfId="28" quotePrefix="1" applyFont="1" applyAlignment="1">
      <alignment horizontal="left"/>
    </xf>
    <xf numFmtId="49" fontId="47" fillId="0" borderId="0" xfId="28" applyNumberFormat="1" applyFont="1"/>
    <xf numFmtId="0" fontId="4" fillId="0" borderId="0" xfId="28" applyFont="1"/>
    <xf numFmtId="3" fontId="26" fillId="0" borderId="3" xfId="28" applyNumberFormat="1" applyFont="1" applyBorder="1" applyAlignment="1">
      <alignment horizontal="center" wrapText="1"/>
    </xf>
    <xf numFmtId="184" fontId="4" fillId="0" borderId="0" xfId="28" applyNumberFormat="1" applyAlignment="1">
      <alignment wrapText="1"/>
    </xf>
    <xf numFmtId="3" fontId="4" fillId="0" borderId="0" xfId="28" applyNumberFormat="1" applyAlignment="1">
      <alignment wrapText="1"/>
    </xf>
    <xf numFmtId="184" fontId="26" fillId="0" borderId="0" xfId="28" applyNumberFormat="1" applyFont="1" applyBorder="1" applyAlignment="1">
      <alignment wrapText="1"/>
    </xf>
    <xf numFmtId="184" fontId="4" fillId="0" borderId="58" xfId="28" applyNumberFormat="1" applyBorder="1" applyAlignment="1">
      <alignment wrapText="1"/>
    </xf>
    <xf numFmtId="0" fontId="4" fillId="0" borderId="0" xfId="28" applyBorder="1" applyAlignment="1">
      <alignment wrapText="1"/>
    </xf>
    <xf numFmtId="184" fontId="4" fillId="0" borderId="74" xfId="28" applyNumberFormat="1" applyBorder="1" applyAlignment="1">
      <alignment wrapText="1"/>
    </xf>
    <xf numFmtId="184" fontId="4" fillId="0" borderId="0" xfId="28" applyNumberFormat="1" applyBorder="1" applyAlignment="1">
      <alignment wrapText="1"/>
    </xf>
    <xf numFmtId="184" fontId="4" fillId="0" borderId="58" xfId="28" applyNumberFormat="1" applyFont="1" applyBorder="1" applyAlignment="1">
      <alignment wrapText="1"/>
    </xf>
    <xf numFmtId="184" fontId="26" fillId="0" borderId="3" xfId="28" applyNumberFormat="1" applyFont="1" applyBorder="1" applyAlignment="1">
      <alignment horizontal="center" wrapText="1"/>
    </xf>
    <xf numFmtId="184" fontId="26" fillId="0" borderId="3" xfId="28" applyNumberFormat="1" applyFont="1" applyBorder="1" applyAlignment="1">
      <alignment horizontal="center"/>
    </xf>
    <xf numFmtId="0" fontId="4" fillId="0" borderId="0" xfId="28"/>
    <xf numFmtId="0" fontId="26" fillId="0" borderId="0" xfId="28" applyFont="1"/>
    <xf numFmtId="0" fontId="47" fillId="0" borderId="0" xfId="28" applyFont="1"/>
    <xf numFmtId="0" fontId="26" fillId="0" borderId="0" xfId="28" quotePrefix="1" applyFont="1"/>
    <xf numFmtId="0" fontId="4" fillId="0" borderId="0" xfId="28" applyBorder="1"/>
    <xf numFmtId="0" fontId="4" fillId="0" borderId="0" xfId="28" quotePrefix="1"/>
    <xf numFmtId="0" fontId="26" fillId="0" borderId="0" xfId="28" quotePrefix="1" applyFont="1" applyAlignment="1">
      <alignment horizontal="left"/>
    </xf>
    <xf numFmtId="0" fontId="26" fillId="0" borderId="3" xfId="28" quotePrefix="1" applyFont="1" applyBorder="1" applyAlignment="1">
      <alignment horizontal="left" wrapText="1"/>
    </xf>
    <xf numFmtId="186" fontId="4" fillId="0" borderId="0" xfId="387" applyNumberFormat="1"/>
    <xf numFmtId="49" fontId="47" fillId="0" borderId="0" xfId="28" applyNumberFormat="1" applyFont="1"/>
    <xf numFmtId="0" fontId="4" fillId="0" borderId="0" xfId="28" applyFont="1"/>
    <xf numFmtId="186" fontId="26" fillId="0" borderId="0" xfId="387" applyNumberFormat="1" applyFont="1" applyBorder="1"/>
    <xf numFmtId="186" fontId="4" fillId="0" borderId="58" xfId="387" applyNumberFormat="1" applyFont="1" applyBorder="1"/>
    <xf numFmtId="3" fontId="26" fillId="0" borderId="3" xfId="28" applyNumberFormat="1" applyFont="1" applyBorder="1" applyAlignment="1">
      <alignment horizontal="center" wrapText="1"/>
    </xf>
    <xf numFmtId="0" fontId="4" fillId="0" borderId="0" xfId="28" quotePrefix="1" applyFont="1"/>
    <xf numFmtId="184" fontId="4" fillId="0" borderId="0" xfId="28" applyNumberFormat="1" applyBorder="1"/>
    <xf numFmtId="184" fontId="4" fillId="0" borderId="58" xfId="28" applyNumberFormat="1" applyBorder="1"/>
    <xf numFmtId="186" fontId="4" fillId="0" borderId="58" xfId="387" applyNumberFormat="1" applyBorder="1"/>
    <xf numFmtId="186" fontId="4" fillId="0" borderId="74" xfId="387" applyNumberFormat="1" applyBorder="1"/>
    <xf numFmtId="186" fontId="4" fillId="0" borderId="74" xfId="387" applyNumberFormat="1" applyFont="1" applyBorder="1"/>
    <xf numFmtId="186" fontId="4" fillId="0" borderId="21" xfId="387" applyNumberFormat="1" applyBorder="1"/>
    <xf numFmtId="184" fontId="4" fillId="0" borderId="74" xfId="28" applyNumberFormat="1" applyBorder="1"/>
    <xf numFmtId="184" fontId="26" fillId="0" borderId="0" xfId="28" applyNumberFormat="1" applyFont="1"/>
    <xf numFmtId="184" fontId="26" fillId="0" borderId="3" xfId="28" applyNumberFormat="1" applyFont="1" applyBorder="1" applyAlignment="1">
      <alignment horizontal="center" wrapText="1"/>
    </xf>
    <xf numFmtId="186" fontId="4" fillId="0" borderId="21" xfId="387" applyNumberFormat="1" applyFont="1" applyBorder="1"/>
    <xf numFmtId="184" fontId="26" fillId="0" borderId="3" xfId="28" applyNumberFormat="1" applyFont="1" applyBorder="1" applyAlignment="1">
      <alignment horizontal="center"/>
    </xf>
    <xf numFmtId="186" fontId="4" fillId="0" borderId="74" xfId="387" applyNumberFormat="1" applyBorder="1" applyAlignment="1">
      <alignment horizontal="right"/>
    </xf>
    <xf numFmtId="184" fontId="1" fillId="0" borderId="73" xfId="615" applyNumberFormat="1" applyFont="1" applyBorder="1"/>
    <xf numFmtId="184" fontId="4" fillId="0" borderId="74" xfId="28" applyNumberFormat="1" applyBorder="1" applyAlignment="1">
      <alignment horizontal="right"/>
    </xf>
    <xf numFmtId="0" fontId="115" fillId="0" borderId="0" xfId="0" applyFont="1" applyFill="1" applyAlignment="1">
      <alignment wrapText="1"/>
    </xf>
    <xf numFmtId="0" fontId="132" fillId="0" borderId="0" xfId="0" applyFont="1" applyFill="1" applyAlignment="1">
      <alignment horizontal="center" wrapText="1"/>
    </xf>
    <xf numFmtId="0" fontId="132" fillId="0" borderId="0" xfId="0" applyFont="1" applyFill="1" applyAlignment="1">
      <alignment horizontal="center"/>
    </xf>
    <xf numFmtId="169" fontId="132" fillId="0" borderId="0" xfId="8" applyNumberFormat="1" applyFont="1" applyFill="1" applyAlignment="1">
      <alignment horizontal="center"/>
    </xf>
    <xf numFmtId="0" fontId="90" fillId="0" borderId="0" xfId="0" applyFont="1"/>
    <xf numFmtId="0" fontId="4" fillId="0" borderId="0" xfId="28"/>
    <xf numFmtId="0" fontId="4" fillId="0" borderId="0" xfId="28" applyBorder="1"/>
    <xf numFmtId="0" fontId="4" fillId="0" borderId="0" xfId="28" quotePrefix="1" applyFill="1" applyBorder="1"/>
    <xf numFmtId="0" fontId="26" fillId="0" borderId="0" xfId="28" applyFont="1" applyFill="1" applyBorder="1"/>
    <xf numFmtId="0" fontId="26" fillId="0" borderId="0" xfId="28" applyFont="1" applyFill="1" applyBorder="1" applyAlignment="1">
      <alignment horizontal="center"/>
    </xf>
    <xf numFmtId="183" fontId="26" fillId="0" borderId="0" xfId="28" applyNumberFormat="1" applyFont="1" applyFill="1" applyBorder="1"/>
    <xf numFmtId="0" fontId="4" fillId="0" borderId="0" xfId="28" applyFill="1"/>
    <xf numFmtId="0" fontId="4" fillId="0" borderId="0" xfId="28"/>
    <xf numFmtId="0" fontId="4" fillId="0" borderId="0" xfId="28" applyBorder="1"/>
    <xf numFmtId="0" fontId="4" fillId="0" borderId="0" xfId="28" quotePrefix="1" applyFill="1" applyBorder="1"/>
    <xf numFmtId="0" fontId="26" fillId="0" borderId="0" xfId="28" applyFont="1" applyFill="1" applyBorder="1"/>
    <xf numFmtId="0" fontId="26" fillId="0" borderId="0" xfId="28" applyFont="1" applyFill="1" applyBorder="1" applyAlignment="1">
      <alignment horizontal="center"/>
    </xf>
    <xf numFmtId="183" fontId="26" fillId="0" borderId="0" xfId="28" applyNumberFormat="1" applyFont="1" applyFill="1" applyBorder="1"/>
    <xf numFmtId="0" fontId="4" fillId="0" borderId="0" xfId="28" applyFill="1"/>
    <xf numFmtId="0" fontId="4" fillId="0" borderId="0" xfId="28"/>
    <xf numFmtId="0" fontId="4" fillId="0" borderId="0" xfId="28" quotePrefix="1" applyFill="1" applyBorder="1"/>
    <xf numFmtId="0" fontId="26" fillId="0" borderId="0" xfId="28" applyFont="1" applyFill="1" applyBorder="1"/>
    <xf numFmtId="0" fontId="26" fillId="0" borderId="0" xfId="28" applyFont="1" applyFill="1" applyBorder="1" applyAlignment="1">
      <alignment horizontal="center"/>
    </xf>
    <xf numFmtId="183" fontId="4" fillId="0" borderId="0" xfId="28" applyNumberFormat="1" applyFill="1" applyBorder="1"/>
    <xf numFmtId="183" fontId="26" fillId="0" borderId="0" xfId="28" applyNumberFormat="1" applyFont="1" applyFill="1" applyBorder="1"/>
    <xf numFmtId="0" fontId="26" fillId="0" borderId="0" xfId="28" applyFont="1" applyFill="1" applyBorder="1" applyAlignment="1">
      <alignment horizontal="center" wrapText="1"/>
    </xf>
    <xf numFmtId="0" fontId="95" fillId="0" borderId="0" xfId="28" applyFont="1" applyFill="1" applyBorder="1" applyAlignment="1">
      <alignment horizontal="center"/>
    </xf>
    <xf numFmtId="0" fontId="26" fillId="0" borderId="0" xfId="1" applyFont="1" applyFill="1" applyBorder="1"/>
    <xf numFmtId="0" fontId="4" fillId="0" borderId="0" xfId="1" applyBorder="1"/>
    <xf numFmtId="183" fontId="4" fillId="0" borderId="3" xfId="28" applyNumberFormat="1" applyFill="1" applyBorder="1"/>
    <xf numFmtId="0" fontId="4" fillId="0" borderId="0" xfId="28"/>
    <xf numFmtId="0" fontId="4" fillId="0" borderId="0" xfId="28" applyBorder="1"/>
    <xf numFmtId="0" fontId="4" fillId="0" borderId="0" xfId="28" applyFill="1" applyBorder="1"/>
    <xf numFmtId="0" fontId="4" fillId="0" borderId="0" xfId="28" quotePrefix="1" applyFill="1" applyBorder="1"/>
    <xf numFmtId="0" fontId="26" fillId="0" borderId="0" xfId="28" applyFont="1" applyFill="1" applyBorder="1"/>
    <xf numFmtId="0" fontId="26" fillId="0" borderId="0" xfId="28" applyFont="1" applyFill="1" applyBorder="1" applyAlignment="1">
      <alignment horizontal="center"/>
    </xf>
    <xf numFmtId="183" fontId="4" fillId="0" borderId="0" xfId="28" applyNumberFormat="1" applyFill="1" applyBorder="1"/>
    <xf numFmtId="183" fontId="26" fillId="0" borderId="0" xfId="28" applyNumberFormat="1" applyFont="1" applyFill="1" applyBorder="1"/>
    <xf numFmtId="0" fontId="26" fillId="0" borderId="0" xfId="28" applyFont="1" applyFill="1" applyBorder="1" applyAlignment="1">
      <alignment horizontal="center" wrapText="1"/>
    </xf>
    <xf numFmtId="183" fontId="4" fillId="0" borderId="3" xfId="28" applyNumberFormat="1" applyFill="1" applyBorder="1"/>
    <xf numFmtId="0" fontId="4" fillId="0" borderId="0" xfId="28" applyFill="1"/>
    <xf numFmtId="0" fontId="4" fillId="0" borderId="0" xfId="28"/>
    <xf numFmtId="0" fontId="4" fillId="0" borderId="0" xfId="28" applyBorder="1"/>
    <xf numFmtId="0" fontId="4" fillId="0" borderId="0" xfId="28" applyFill="1" applyBorder="1"/>
    <xf numFmtId="0" fontId="4" fillId="0" borderId="0" xfId="28" quotePrefix="1" applyFill="1" applyBorder="1"/>
    <xf numFmtId="0" fontId="26" fillId="0" borderId="0" xfId="28" applyFont="1" applyFill="1" applyBorder="1"/>
    <xf numFmtId="0" fontId="26" fillId="0" borderId="0" xfId="28" applyFont="1" applyFill="1" applyBorder="1" applyAlignment="1">
      <alignment horizontal="center"/>
    </xf>
    <xf numFmtId="183" fontId="4" fillId="0" borderId="0" xfId="28" applyNumberFormat="1" applyFill="1" applyBorder="1"/>
    <xf numFmtId="183" fontId="26" fillId="0" borderId="0" xfId="28" applyNumberFormat="1" applyFont="1" applyFill="1" applyBorder="1"/>
    <xf numFmtId="0" fontId="26" fillId="0" borderId="0" xfId="28" applyFont="1" applyFill="1" applyBorder="1" applyAlignment="1">
      <alignment horizontal="center" wrapText="1"/>
    </xf>
    <xf numFmtId="0" fontId="26" fillId="0" borderId="0" xfId="1" applyFont="1" applyFill="1" applyBorder="1"/>
    <xf numFmtId="0" fontId="26" fillId="0" borderId="0" xfId="1" applyFont="1" applyFill="1" applyBorder="1" applyAlignment="1">
      <alignment horizontal="center" wrapText="1"/>
    </xf>
    <xf numFmtId="0" fontId="26" fillId="0" borderId="0" xfId="1" applyFont="1" applyFill="1" applyBorder="1" applyAlignment="1">
      <alignment horizontal="center"/>
    </xf>
    <xf numFmtId="183" fontId="4" fillId="0" borderId="0" xfId="1" applyNumberFormat="1" applyFill="1" applyBorder="1"/>
    <xf numFmtId="0" fontId="4" fillId="0" borderId="0" xfId="1" quotePrefix="1" applyFill="1" applyBorder="1"/>
    <xf numFmtId="0" fontId="4" fillId="0" borderId="0" xfId="1" applyBorder="1"/>
    <xf numFmtId="0" fontId="4" fillId="0" borderId="0" xfId="1" applyFill="1" applyBorder="1"/>
    <xf numFmtId="0" fontId="4" fillId="0" borderId="0" xfId="28" applyFill="1"/>
    <xf numFmtId="183" fontId="4" fillId="0" borderId="3" xfId="28" applyNumberFormat="1" applyFill="1" applyBorder="1"/>
    <xf numFmtId="0" fontId="95" fillId="0" borderId="0" xfId="28" applyFont="1" applyBorder="1" applyAlignment="1"/>
    <xf numFmtId="0" fontId="95" fillId="0" borderId="0" xfId="28" applyFont="1" applyFill="1" applyBorder="1" applyAlignment="1"/>
    <xf numFmtId="0" fontId="4" fillId="0" borderId="0" xfId="28"/>
    <xf numFmtId="0" fontId="116" fillId="0" borderId="0" xfId="28" quotePrefix="1" applyFont="1" applyBorder="1"/>
    <xf numFmtId="184" fontId="26" fillId="0" borderId="58" xfId="0" applyNumberFormat="1" applyFont="1" applyFill="1" applyBorder="1"/>
    <xf numFmtId="184" fontId="0" fillId="0" borderId="0" xfId="0" applyNumberFormat="1" applyFill="1"/>
    <xf numFmtId="172" fontId="134" fillId="0" borderId="0" xfId="16" applyNumberFormat="1" applyFont="1" applyFill="1" applyAlignment="1">
      <alignment horizontal="center"/>
    </xf>
    <xf numFmtId="172" fontId="134" fillId="0" borderId="0" xfId="16" applyNumberFormat="1" applyFont="1" applyFill="1" applyAlignment="1">
      <alignment horizontal="left"/>
    </xf>
    <xf numFmtId="172" fontId="116" fillId="0" borderId="0" xfId="16" applyNumberFormat="1" applyFont="1"/>
    <xf numFmtId="3" fontId="26" fillId="0" borderId="0" xfId="0" applyNumberFormat="1" applyFont="1" applyAlignment="1">
      <alignment horizontal="center"/>
    </xf>
    <xf numFmtId="184" fontId="26" fillId="0" borderId="0" xfId="0" applyNumberFormat="1" applyFont="1" applyAlignment="1">
      <alignment horizontal="center"/>
    </xf>
    <xf numFmtId="184" fontId="0" fillId="0" borderId="0" xfId="0" applyNumberFormat="1"/>
    <xf numFmtId="3" fontId="26" fillId="0" borderId="0" xfId="0" applyNumberFormat="1" applyFont="1"/>
    <xf numFmtId="184" fontId="26" fillId="0" borderId="0" xfId="0" applyNumberFormat="1" applyFont="1"/>
    <xf numFmtId="184" fontId="0" fillId="0" borderId="0" xfId="0" applyNumberFormat="1" applyBorder="1"/>
    <xf numFmtId="3" fontId="26" fillId="0" borderId="3" xfId="0" applyNumberFormat="1" applyFont="1" applyBorder="1" applyAlignment="1">
      <alignment horizontal="center" wrapText="1"/>
    </xf>
    <xf numFmtId="184" fontId="26" fillId="0" borderId="3" xfId="0" applyNumberFormat="1" applyFont="1" applyBorder="1" applyAlignment="1">
      <alignment horizontal="center" wrapText="1"/>
    </xf>
    <xf numFmtId="184" fontId="26" fillId="0" borderId="3" xfId="0" applyNumberFormat="1" applyFont="1" applyBorder="1" applyAlignment="1">
      <alignment horizontal="center"/>
    </xf>
    <xf numFmtId="184" fontId="26" fillId="0" borderId="0" xfId="0" applyNumberFormat="1" applyFont="1" applyBorder="1" applyAlignment="1">
      <alignment horizontal="center"/>
    </xf>
    <xf numFmtId="0" fontId="0" fillId="0" borderId="58" xfId="0" applyBorder="1"/>
    <xf numFmtId="3" fontId="0" fillId="0" borderId="58" xfId="0" applyNumberFormat="1" applyFill="1" applyBorder="1"/>
    <xf numFmtId="184" fontId="0" fillId="0" borderId="74" xfId="0" applyNumberFormat="1" applyFill="1" applyBorder="1"/>
    <xf numFmtId="184" fontId="0" fillId="0" borderId="58" xfId="0" applyNumberFormat="1" applyFill="1" applyBorder="1"/>
    <xf numFmtId="3" fontId="0" fillId="0" borderId="0" xfId="0" applyNumberFormat="1" applyFill="1"/>
    <xf numFmtId="3" fontId="26" fillId="0" borderId="58" xfId="0" applyNumberFormat="1" applyFont="1" applyFill="1" applyBorder="1"/>
    <xf numFmtId="184" fontId="26" fillId="0" borderId="74" xfId="0" applyNumberFormat="1" applyFont="1" applyFill="1" applyBorder="1"/>
    <xf numFmtId="3" fontId="26" fillId="0" borderId="0" xfId="0" applyNumberFormat="1" applyFont="1" applyAlignment="1">
      <alignment horizontal="center" wrapText="1"/>
    </xf>
    <xf numFmtId="0" fontId="0" fillId="0" borderId="58" xfId="0" applyFill="1" applyBorder="1"/>
    <xf numFmtId="0" fontId="4" fillId="0" borderId="0" xfId="28"/>
    <xf numFmtId="0" fontId="26" fillId="0" borderId="0" xfId="28" applyFont="1"/>
    <xf numFmtId="0" fontId="47" fillId="0" borderId="0" xfId="28" applyFont="1"/>
    <xf numFmtId="0" fontId="26" fillId="0" borderId="0" xfId="28" quotePrefix="1" applyFont="1"/>
    <xf numFmtId="0" fontId="4" fillId="0" borderId="0" xfId="28" applyBorder="1"/>
    <xf numFmtId="0" fontId="4" fillId="0" borderId="0" xfId="28" quotePrefix="1"/>
    <xf numFmtId="0" fontId="26" fillId="0" borderId="0" xfId="28" quotePrefix="1" applyFont="1" applyAlignment="1">
      <alignment horizontal="left"/>
    </xf>
    <xf numFmtId="0" fontId="26" fillId="0" borderId="3" xfId="28" quotePrefix="1" applyFont="1" applyBorder="1" applyAlignment="1">
      <alignment horizontal="left" wrapText="1"/>
    </xf>
    <xf numFmtId="186" fontId="4" fillId="0" borderId="0" xfId="387" applyNumberFormat="1"/>
    <xf numFmtId="49" fontId="47" fillId="0" borderId="0" xfId="28" applyNumberFormat="1" applyFont="1"/>
    <xf numFmtId="0" fontId="4" fillId="0" borderId="0" xfId="28" applyFont="1"/>
    <xf numFmtId="186" fontId="26" fillId="0" borderId="0" xfId="387" applyNumberFormat="1" applyFont="1" applyBorder="1"/>
    <xf numFmtId="186" fontId="4" fillId="0" borderId="58" xfId="387" applyNumberFormat="1" applyFont="1" applyBorder="1"/>
    <xf numFmtId="3" fontId="26" fillId="0" borderId="3" xfId="28" applyNumberFormat="1" applyFont="1" applyBorder="1" applyAlignment="1">
      <alignment horizontal="center" wrapText="1"/>
    </xf>
    <xf numFmtId="0" fontId="4" fillId="0" borderId="0" xfId="28" quotePrefix="1" applyFont="1"/>
    <xf numFmtId="184" fontId="4" fillId="0" borderId="0" xfId="28" applyNumberFormat="1" applyBorder="1"/>
    <xf numFmtId="184" fontId="4" fillId="0" borderId="58" xfId="28" applyNumberFormat="1" applyBorder="1"/>
    <xf numFmtId="186" fontId="4" fillId="0" borderId="58" xfId="387" applyNumberFormat="1" applyBorder="1"/>
    <xf numFmtId="186" fontId="4" fillId="0" borderId="74" xfId="387" applyNumberFormat="1" applyBorder="1"/>
    <xf numFmtId="186" fontId="4" fillId="0" borderId="74" xfId="387" applyNumberFormat="1" applyFont="1" applyBorder="1"/>
    <xf numFmtId="186" fontId="4" fillId="0" borderId="21" xfId="387" applyNumberFormat="1" applyBorder="1"/>
    <xf numFmtId="184" fontId="26" fillId="0" borderId="0" xfId="28" applyNumberFormat="1" applyFont="1"/>
    <xf numFmtId="184" fontId="26" fillId="0" borderId="3" xfId="28" applyNumberFormat="1" applyFont="1" applyBorder="1" applyAlignment="1">
      <alignment horizontal="center" wrapText="1"/>
    </xf>
    <xf numFmtId="186" fontId="4" fillId="0" borderId="21" xfId="387" applyNumberFormat="1" applyFont="1" applyBorder="1"/>
    <xf numFmtId="184" fontId="26" fillId="0" borderId="3" xfId="28" applyNumberFormat="1" applyFont="1" applyBorder="1" applyAlignment="1">
      <alignment horizontal="center"/>
    </xf>
    <xf numFmtId="186" fontId="4" fillId="0" borderId="74" xfId="387" applyNumberFormat="1" applyBorder="1" applyAlignment="1">
      <alignment horizontal="right"/>
    </xf>
    <xf numFmtId="0" fontId="26" fillId="0" borderId="58" xfId="0" applyFont="1" applyBorder="1"/>
    <xf numFmtId="0" fontId="4" fillId="0" borderId="0" xfId="28"/>
    <xf numFmtId="184" fontId="4" fillId="0" borderId="0" xfId="28" applyNumberFormat="1"/>
    <xf numFmtId="0" fontId="4" fillId="0" borderId="0" xfId="28"/>
    <xf numFmtId="0" fontId="47" fillId="0" borderId="0" xfId="28" applyFont="1"/>
    <xf numFmtId="0" fontId="26" fillId="0" borderId="0" xfId="28" quotePrefix="1" applyFont="1" applyAlignment="1">
      <alignment horizontal="left" wrapText="1"/>
    </xf>
    <xf numFmtId="0" fontId="26" fillId="0" borderId="0" xfId="28" quotePrefix="1" applyFont="1"/>
    <xf numFmtId="0" fontId="4" fillId="0" borderId="0" xfId="28" quotePrefix="1"/>
    <xf numFmtId="0" fontId="26" fillId="0" borderId="0" xfId="28" quotePrefix="1" applyFont="1" applyAlignment="1">
      <alignment horizontal="left"/>
    </xf>
    <xf numFmtId="184" fontId="4" fillId="0" borderId="0" xfId="28" applyNumberFormat="1"/>
    <xf numFmtId="49" fontId="47" fillId="0" borderId="0" xfId="28" applyNumberFormat="1" applyFont="1"/>
    <xf numFmtId="0" fontId="4" fillId="0" borderId="0" xfId="28" applyFont="1"/>
    <xf numFmtId="3" fontId="26" fillId="0" borderId="3" xfId="28" applyNumberFormat="1" applyFont="1" applyBorder="1" applyAlignment="1">
      <alignment horizontal="center" wrapText="1"/>
    </xf>
    <xf numFmtId="184" fontId="4" fillId="0" borderId="0" xfId="28" applyNumberFormat="1" applyAlignment="1">
      <alignment wrapText="1"/>
    </xf>
    <xf numFmtId="184" fontId="26" fillId="0" borderId="0" xfId="28" applyNumberFormat="1" applyFont="1" applyBorder="1" applyAlignment="1">
      <alignment wrapText="1"/>
    </xf>
    <xf numFmtId="184" fontId="4" fillId="0" borderId="58" xfId="28" applyNumberFormat="1" applyBorder="1" applyAlignment="1">
      <alignment wrapText="1"/>
    </xf>
    <xf numFmtId="0" fontId="4" fillId="0" borderId="0" xfId="28" applyBorder="1" applyAlignment="1">
      <alignment wrapText="1"/>
    </xf>
    <xf numFmtId="184" fontId="4" fillId="0" borderId="74" xfId="28" applyNumberFormat="1" applyBorder="1" applyAlignment="1">
      <alignment wrapText="1"/>
    </xf>
    <xf numFmtId="184" fontId="4" fillId="0" borderId="0" xfId="28" applyNumberFormat="1" applyBorder="1" applyAlignment="1">
      <alignment wrapText="1"/>
    </xf>
    <xf numFmtId="184" fontId="4" fillId="0" borderId="58" xfId="28" applyNumberFormat="1" applyFont="1" applyBorder="1" applyAlignment="1">
      <alignment wrapText="1"/>
    </xf>
    <xf numFmtId="184" fontId="26" fillId="0" borderId="3" xfId="28" applyNumberFormat="1" applyFont="1" applyBorder="1" applyAlignment="1">
      <alignment horizontal="center" wrapText="1"/>
    </xf>
    <xf numFmtId="184" fontId="26" fillId="0" borderId="3" xfId="28" applyNumberFormat="1" applyFont="1" applyBorder="1" applyAlignment="1">
      <alignment horizontal="center"/>
    </xf>
    <xf numFmtId="0" fontId="4" fillId="0" borderId="0" xfId="28"/>
    <xf numFmtId="0" fontId="47" fillId="0" borderId="0" xfId="28" applyFont="1"/>
    <xf numFmtId="0" fontId="26" fillId="0" borderId="0" xfId="28" quotePrefix="1" applyFont="1" applyAlignment="1">
      <alignment horizontal="left" wrapText="1"/>
    </xf>
    <xf numFmtId="0" fontId="26" fillId="0" borderId="0" xfId="28" quotePrefix="1" applyFont="1"/>
    <xf numFmtId="0" fontId="4" fillId="0" borderId="0" xfId="28" applyBorder="1"/>
    <xf numFmtId="0" fontId="4" fillId="0" borderId="0" xfId="28" quotePrefix="1"/>
    <xf numFmtId="0" fontId="26" fillId="0" borderId="0" xfId="28" quotePrefix="1" applyFont="1" applyAlignment="1">
      <alignment horizontal="left"/>
    </xf>
    <xf numFmtId="186" fontId="4" fillId="0" borderId="0" xfId="387" applyNumberFormat="1"/>
    <xf numFmtId="49" fontId="47" fillId="0" borderId="0" xfId="28" applyNumberFormat="1" applyFont="1"/>
    <xf numFmtId="186" fontId="26" fillId="0" borderId="0" xfId="387" applyNumberFormat="1" applyFont="1"/>
    <xf numFmtId="0" fontId="4" fillId="0" borderId="0" xfId="28" applyFont="1"/>
    <xf numFmtId="186" fontId="26" fillId="0" borderId="0" xfId="387" applyNumberFormat="1" applyFont="1" applyBorder="1"/>
    <xf numFmtId="186" fontId="4" fillId="0" borderId="58" xfId="387" applyNumberFormat="1" applyFont="1" applyBorder="1"/>
    <xf numFmtId="3" fontId="26" fillId="0" borderId="0" xfId="28" applyNumberFormat="1" applyFont="1" applyAlignment="1">
      <alignment horizontal="center" wrapText="1"/>
    </xf>
    <xf numFmtId="184" fontId="4" fillId="0" borderId="0" xfId="28" applyNumberFormat="1" applyBorder="1"/>
    <xf numFmtId="184" fontId="4" fillId="0" borderId="58" xfId="28" applyNumberFormat="1" applyBorder="1"/>
    <xf numFmtId="186" fontId="4" fillId="0" borderId="58" xfId="387" applyNumberFormat="1" applyBorder="1"/>
    <xf numFmtId="186" fontId="4" fillId="0" borderId="74" xfId="387" applyNumberFormat="1" applyBorder="1"/>
    <xf numFmtId="184" fontId="26" fillId="0" borderId="0" xfId="28" applyNumberFormat="1" applyFont="1" applyBorder="1" applyAlignment="1">
      <alignment wrapText="1"/>
    </xf>
    <xf numFmtId="186" fontId="4" fillId="0" borderId="74" xfId="387" applyNumberFormat="1" applyFont="1" applyBorder="1"/>
    <xf numFmtId="186" fontId="26" fillId="0" borderId="0" xfId="387" quotePrefix="1" applyNumberFormat="1" applyFont="1" applyBorder="1"/>
    <xf numFmtId="184" fontId="4" fillId="0" borderId="74" xfId="387" applyNumberFormat="1" applyBorder="1"/>
    <xf numFmtId="184" fontId="4" fillId="0" borderId="58" xfId="28" applyNumberFormat="1" applyFont="1" applyBorder="1"/>
    <xf numFmtId="184" fontId="26" fillId="0" borderId="3" xfId="28" applyNumberFormat="1" applyFont="1" applyBorder="1" applyAlignment="1">
      <alignment horizontal="center" wrapText="1"/>
    </xf>
    <xf numFmtId="184" fontId="26" fillId="0" borderId="3" xfId="28" applyNumberFormat="1" applyFont="1" applyBorder="1" applyAlignment="1">
      <alignment horizontal="center"/>
    </xf>
    <xf numFmtId="0" fontId="26" fillId="0" borderId="74" xfId="0" applyFont="1" applyBorder="1"/>
    <xf numFmtId="3" fontId="26" fillId="0" borderId="0" xfId="0" applyNumberFormat="1" applyFont="1" applyAlignment="1">
      <alignment horizontal="left"/>
    </xf>
    <xf numFmtId="0" fontId="26" fillId="0" borderId="0" xfId="629" applyFont="1" applyFill="1" applyBorder="1" applyAlignment="1">
      <alignment horizontal="center"/>
    </xf>
    <xf numFmtId="183" fontId="153" fillId="0" borderId="0" xfId="629" applyNumberFormat="1" applyFill="1" applyBorder="1"/>
    <xf numFmtId="183" fontId="26" fillId="0" borderId="0" xfId="629" applyNumberFormat="1" applyFont="1" applyFill="1" applyBorder="1"/>
    <xf numFmtId="0" fontId="26" fillId="0" borderId="0" xfId="629" applyFont="1" applyFill="1" applyBorder="1" applyAlignment="1">
      <alignment horizontal="center" wrapText="1"/>
    </xf>
    <xf numFmtId="183" fontId="153" fillId="0" borderId="3" xfId="629" applyNumberFormat="1" applyFill="1" applyBorder="1"/>
    <xf numFmtId="0" fontId="26" fillId="0" borderId="0" xfId="631" applyFont="1" applyFill="1" applyBorder="1" applyAlignment="1">
      <alignment horizontal="center"/>
    </xf>
    <xf numFmtId="183" fontId="153" fillId="0" borderId="0" xfId="631" applyNumberFormat="1" applyFill="1" applyBorder="1"/>
    <xf numFmtId="183" fontId="26" fillId="0" borderId="0" xfId="631" applyNumberFormat="1" applyFont="1" applyFill="1" applyBorder="1"/>
    <xf numFmtId="0" fontId="26" fillId="0" borderId="0" xfId="631" applyFont="1" applyFill="1" applyBorder="1" applyAlignment="1">
      <alignment horizontal="center" wrapText="1"/>
    </xf>
    <xf numFmtId="183" fontId="153" fillId="0" borderId="3" xfId="631" applyNumberFormat="1" applyFill="1" applyBorder="1"/>
    <xf numFmtId="183" fontId="153" fillId="0" borderId="0" xfId="634" applyNumberFormat="1" applyBorder="1"/>
    <xf numFmtId="0" fontId="26" fillId="0" borderId="0" xfId="634" applyFont="1" applyFill="1" applyBorder="1" applyAlignment="1">
      <alignment horizontal="center"/>
    </xf>
    <xf numFmtId="183" fontId="153" fillId="0" borderId="0" xfId="634" applyNumberFormat="1" applyFill="1" applyBorder="1"/>
    <xf numFmtId="183" fontId="26" fillId="0" borderId="0" xfId="634" applyNumberFormat="1" applyFont="1" applyFill="1" applyBorder="1"/>
    <xf numFmtId="0" fontId="26" fillId="0" borderId="0" xfId="634" applyFont="1" applyFill="1" applyBorder="1" applyAlignment="1">
      <alignment horizontal="center" wrapText="1"/>
    </xf>
    <xf numFmtId="0" fontId="26" fillId="0" borderId="0" xfId="634" applyFont="1" applyBorder="1" applyAlignment="1">
      <alignment horizontal="center" wrapText="1"/>
    </xf>
    <xf numFmtId="0" fontId="26" fillId="0" borderId="0" xfId="634" applyFont="1" applyBorder="1" applyAlignment="1">
      <alignment horizontal="center"/>
    </xf>
    <xf numFmtId="183" fontId="153" fillId="0" borderId="3" xfId="634" applyNumberFormat="1" applyFill="1" applyBorder="1"/>
    <xf numFmtId="183" fontId="26" fillId="0" borderId="0" xfId="634" applyNumberFormat="1" applyFont="1" applyBorder="1"/>
    <xf numFmtId="183" fontId="153" fillId="0" borderId="3" xfId="634" applyNumberFormat="1" applyBorder="1"/>
    <xf numFmtId="0" fontId="153" fillId="0" borderId="0" xfId="636"/>
    <xf numFmtId="183" fontId="153" fillId="0" borderId="0" xfId="636" applyNumberFormat="1" applyBorder="1"/>
    <xf numFmtId="0" fontId="26" fillId="0" borderId="0" xfId="636" applyFont="1" applyFill="1" applyBorder="1" applyAlignment="1">
      <alignment horizontal="center"/>
    </xf>
    <xf numFmtId="183" fontId="153" fillId="0" borderId="0" xfId="636" applyNumberFormat="1" applyFill="1" applyBorder="1"/>
    <xf numFmtId="183" fontId="26" fillId="0" borderId="0" xfId="636" applyNumberFormat="1" applyFont="1" applyFill="1" applyBorder="1"/>
    <xf numFmtId="0" fontId="26" fillId="0" borderId="0" xfId="636" applyFont="1" applyFill="1" applyBorder="1" applyAlignment="1">
      <alignment horizontal="center" wrapText="1"/>
    </xf>
    <xf numFmtId="0" fontId="26" fillId="0" borderId="0" xfId="636" applyFont="1" applyBorder="1" applyAlignment="1">
      <alignment horizontal="center" wrapText="1"/>
    </xf>
    <xf numFmtId="0" fontId="26" fillId="0" borderId="0" xfId="636" applyFont="1" applyBorder="1" applyAlignment="1">
      <alignment horizontal="center"/>
    </xf>
    <xf numFmtId="183" fontId="153" fillId="0" borderId="3" xfId="636" applyNumberFormat="1" applyFill="1" applyBorder="1"/>
    <xf numFmtId="183" fontId="26" fillId="0" borderId="0" xfId="636" applyNumberFormat="1" applyFont="1" applyBorder="1"/>
    <xf numFmtId="183" fontId="153" fillId="0" borderId="3" xfId="636" applyNumberFormat="1" applyBorder="1"/>
    <xf numFmtId="183" fontId="153" fillId="0" borderId="0" xfId="638" applyNumberFormat="1" applyBorder="1"/>
    <xf numFmtId="0" fontId="26" fillId="0" borderId="0" xfId="638" applyFont="1" applyFill="1" applyBorder="1" applyAlignment="1">
      <alignment horizontal="center"/>
    </xf>
    <xf numFmtId="183" fontId="153" fillId="0" borderId="0" xfId="638" applyNumberFormat="1" applyFill="1" applyBorder="1"/>
    <xf numFmtId="183" fontId="26" fillId="0" borderId="0" xfId="638" applyNumberFormat="1" applyFont="1" applyFill="1" applyBorder="1"/>
    <xf numFmtId="0" fontId="26" fillId="0" borderId="0" xfId="638" applyFont="1" applyFill="1" applyBorder="1" applyAlignment="1">
      <alignment horizontal="center" wrapText="1"/>
    </xf>
    <xf numFmtId="0" fontId="26" fillId="0" borderId="0" xfId="638" applyFont="1" applyBorder="1" applyAlignment="1">
      <alignment horizontal="center" wrapText="1"/>
    </xf>
    <xf numFmtId="0" fontId="26" fillId="0" borderId="0" xfId="638" applyFont="1" applyBorder="1" applyAlignment="1">
      <alignment horizontal="center"/>
    </xf>
    <xf numFmtId="183" fontId="153" fillId="0" borderId="3" xfId="638" applyNumberFormat="1" applyFill="1" applyBorder="1"/>
    <xf numFmtId="183" fontId="26" fillId="0" borderId="0" xfId="638" applyNumberFormat="1" applyFont="1" applyBorder="1"/>
    <xf numFmtId="183" fontId="153" fillId="0" borderId="3" xfId="638" applyNumberFormat="1" applyBorder="1"/>
    <xf numFmtId="183" fontId="153" fillId="0" borderId="0" xfId="640" applyNumberFormat="1" applyBorder="1"/>
    <xf numFmtId="0" fontId="26" fillId="0" borderId="0" xfId="640" applyFont="1" applyFill="1" applyBorder="1" applyAlignment="1">
      <alignment horizontal="center"/>
    </xf>
    <xf numFmtId="183" fontId="153" fillId="0" borderId="0" xfId="640" applyNumberFormat="1" applyFill="1" applyBorder="1"/>
    <xf numFmtId="183" fontId="26" fillId="0" borderId="0" xfId="640" applyNumberFormat="1" applyFont="1" applyFill="1" applyBorder="1"/>
    <xf numFmtId="0" fontId="26" fillId="0" borderId="0" xfId="640" applyFont="1" applyFill="1" applyBorder="1" applyAlignment="1">
      <alignment horizontal="center" wrapText="1"/>
    </xf>
    <xf numFmtId="0" fontId="26" fillId="0" borderId="0" xfId="640" applyFont="1" applyBorder="1" applyAlignment="1">
      <alignment horizontal="center" wrapText="1"/>
    </xf>
    <xf numFmtId="0" fontId="26" fillId="0" borderId="0" xfId="640" applyFont="1" applyBorder="1" applyAlignment="1">
      <alignment horizontal="center"/>
    </xf>
    <xf numFmtId="183" fontId="153" fillId="0" borderId="3" xfId="640" applyNumberFormat="1" applyFill="1" applyBorder="1"/>
    <xf numFmtId="183" fontId="26" fillId="0" borderId="0" xfId="640" applyNumberFormat="1" applyFont="1" applyBorder="1"/>
    <xf numFmtId="183" fontId="153" fillId="0" borderId="3" xfId="640" applyNumberFormat="1" applyBorder="1"/>
    <xf numFmtId="183" fontId="153" fillId="0" borderId="0" xfId="642" applyNumberFormat="1" applyBorder="1"/>
    <xf numFmtId="0" fontId="26" fillId="0" borderId="0" xfId="642" applyFont="1" applyFill="1" applyBorder="1" applyAlignment="1">
      <alignment horizontal="center"/>
    </xf>
    <xf numFmtId="183" fontId="153" fillId="0" borderId="0" xfId="642" applyNumberFormat="1" applyFill="1" applyBorder="1"/>
    <xf numFmtId="183" fontId="26" fillId="0" borderId="0" xfId="642" applyNumberFormat="1" applyFont="1" applyFill="1" applyBorder="1"/>
    <xf numFmtId="0" fontId="26" fillId="0" borderId="0" xfId="642" applyFont="1" applyFill="1" applyBorder="1" applyAlignment="1">
      <alignment horizontal="center" wrapText="1"/>
    </xf>
    <xf numFmtId="0" fontId="26" fillId="0" borderId="0" xfId="642" applyFont="1" applyBorder="1" applyAlignment="1">
      <alignment horizontal="center" wrapText="1"/>
    </xf>
    <xf numFmtId="0" fontId="26" fillId="0" borderId="0" xfId="642" applyFont="1" applyBorder="1" applyAlignment="1">
      <alignment horizontal="center"/>
    </xf>
    <xf numFmtId="183" fontId="153" fillId="0" borderId="3" xfId="642" applyNumberFormat="1" applyFill="1" applyBorder="1"/>
    <xf numFmtId="183" fontId="26" fillId="0" borderId="0" xfId="642" applyNumberFormat="1" applyFont="1" applyBorder="1"/>
    <xf numFmtId="183" fontId="153" fillId="0" borderId="3" xfId="642" applyNumberFormat="1" applyBorder="1"/>
    <xf numFmtId="164" fontId="134" fillId="17" borderId="0" xfId="1" applyNumberFormat="1" applyFont="1" applyFill="1" applyBorder="1"/>
    <xf numFmtId="0" fontId="153" fillId="0" borderId="0" xfId="644"/>
    <xf numFmtId="183" fontId="153" fillId="0" borderId="0" xfId="644" applyNumberFormat="1" applyBorder="1"/>
    <xf numFmtId="0" fontId="26" fillId="0" borderId="0" xfId="644" applyFont="1" applyFill="1" applyBorder="1" applyAlignment="1">
      <alignment horizontal="center"/>
    </xf>
    <xf numFmtId="183" fontId="153" fillId="0" borderId="0" xfId="644" applyNumberFormat="1" applyFill="1" applyBorder="1"/>
    <xf numFmtId="183" fontId="26" fillId="0" borderId="0" xfId="644" applyNumberFormat="1" applyFont="1" applyFill="1" applyBorder="1"/>
    <xf numFmtId="0" fontId="26" fillId="0" borderId="0" xfId="644" applyFont="1" applyFill="1" applyBorder="1" applyAlignment="1">
      <alignment horizontal="center" wrapText="1"/>
    </xf>
    <xf numFmtId="0" fontId="26" fillId="0" borderId="0" xfId="644" applyFont="1" applyBorder="1" applyAlignment="1">
      <alignment horizontal="center" wrapText="1"/>
    </xf>
    <xf numFmtId="0" fontId="26" fillId="0" borderId="0" xfId="644" applyFont="1" applyBorder="1" applyAlignment="1">
      <alignment horizontal="center"/>
    </xf>
    <xf numFmtId="183" fontId="153" fillId="0" borderId="3" xfId="644" applyNumberFormat="1" applyFill="1" applyBorder="1"/>
    <xf numFmtId="183" fontId="26" fillId="0" borderId="0" xfId="644" applyNumberFormat="1" applyFont="1" applyBorder="1"/>
    <xf numFmtId="183" fontId="153" fillId="0" borderId="3" xfId="644" applyNumberFormat="1" applyBorder="1"/>
    <xf numFmtId="0" fontId="1" fillId="0" borderId="48" xfId="0" applyFont="1" applyBorder="1" applyAlignment="1" applyProtection="1">
      <alignment wrapText="1"/>
    </xf>
    <xf numFmtId="169" fontId="132" fillId="0" borderId="0" xfId="0" applyNumberFormat="1" applyFont="1" applyFill="1" applyAlignment="1">
      <alignment horizontal="center"/>
    </xf>
    <xf numFmtId="0" fontId="1" fillId="0" borderId="0" xfId="645"/>
    <xf numFmtId="184" fontId="1" fillId="0" borderId="0" xfId="645" applyNumberFormat="1"/>
    <xf numFmtId="172" fontId="1" fillId="0" borderId="0" xfId="16" applyNumberFormat="1" applyFont="1"/>
    <xf numFmtId="172" fontId="1" fillId="0" borderId="0" xfId="615" applyNumberFormat="1"/>
    <xf numFmtId="187" fontId="134" fillId="0" borderId="0" xfId="1" applyNumberFormat="1" applyFont="1" applyFill="1" applyAlignment="1">
      <alignment wrapText="1"/>
    </xf>
    <xf numFmtId="187" fontId="139" fillId="0" borderId="0" xfId="3" applyNumberFormat="1" applyFont="1" applyFill="1" applyBorder="1">
      <alignment wrapText="1"/>
    </xf>
    <xf numFmtId="187" fontId="134" fillId="0" borderId="0" xfId="1" applyNumberFormat="1" applyFont="1" applyFill="1"/>
    <xf numFmtId="187" fontId="134" fillId="0" borderId="0" xfId="16" applyNumberFormat="1" applyFont="1" applyFill="1"/>
    <xf numFmtId="187" fontId="116" fillId="0" borderId="0" xfId="1" applyNumberFormat="1" applyFont="1" applyFill="1"/>
    <xf numFmtId="183" fontId="4" fillId="13" borderId="0" xfId="28" applyNumberFormat="1" applyFill="1" applyBorder="1"/>
    <xf numFmtId="170" fontId="116" fillId="13" borderId="0" xfId="19" applyFont="1" applyFill="1" applyBorder="1"/>
    <xf numFmtId="164" fontId="116" fillId="0" borderId="78" xfId="1" applyNumberFormat="1" applyFont="1" applyBorder="1"/>
    <xf numFmtId="0" fontId="38" fillId="0" borderId="0" xfId="1" applyFont="1" applyAlignment="1">
      <alignment horizontal="center"/>
    </xf>
    <xf numFmtId="0" fontId="4" fillId="48" borderId="0" xfId="28" quotePrefix="1" applyFill="1" applyBorder="1"/>
    <xf numFmtId="0" fontId="4" fillId="48" borderId="0" xfId="28" applyFill="1" applyBorder="1"/>
    <xf numFmtId="183" fontId="4" fillId="48" borderId="0" xfId="28" applyNumberFormat="1" applyFill="1" applyBorder="1"/>
    <xf numFmtId="49" fontId="1" fillId="0" borderId="0" xfId="615" applyNumberFormat="1"/>
    <xf numFmtId="184" fontId="1" fillId="0" borderId="3" xfId="615" applyNumberFormat="1" applyBorder="1"/>
    <xf numFmtId="184" fontId="91" fillId="0" borderId="0" xfId="615" applyNumberFormat="1" applyFont="1"/>
    <xf numFmtId="6" fontId="1" fillId="0" borderId="0" xfId="615" applyNumberFormat="1"/>
    <xf numFmtId="184" fontId="1" fillId="0" borderId="78" xfId="615" applyNumberFormat="1" applyBorder="1"/>
    <xf numFmtId="0" fontId="143" fillId="13" borderId="75" xfId="615" applyFont="1" applyFill="1" applyBorder="1"/>
    <xf numFmtId="184" fontId="143" fillId="13" borderId="75" xfId="615" applyNumberFormat="1" applyFont="1" applyFill="1" applyBorder="1"/>
    <xf numFmtId="184" fontId="1" fillId="13" borderId="75" xfId="615" applyNumberFormat="1" applyFont="1" applyFill="1" applyBorder="1"/>
    <xf numFmtId="0" fontId="143" fillId="13" borderId="23" xfId="615" applyFont="1" applyFill="1" applyBorder="1"/>
    <xf numFmtId="0" fontId="44" fillId="13" borderId="0" xfId="615" applyFont="1" applyFill="1" applyBorder="1"/>
    <xf numFmtId="0" fontId="4" fillId="13" borderId="0" xfId="28" applyFill="1"/>
    <xf numFmtId="0" fontId="4" fillId="13" borderId="0" xfId="28" applyFill="1" applyAlignment="1">
      <alignment wrapText="1"/>
    </xf>
    <xf numFmtId="0" fontId="44" fillId="0" borderId="58" xfId="615" quotePrefix="1" applyFont="1" applyBorder="1" applyAlignment="1">
      <alignment horizontal="center" wrapText="1"/>
    </xf>
    <xf numFmtId="0" fontId="1" fillId="13" borderId="0" xfId="615" applyFill="1"/>
    <xf numFmtId="0" fontId="91" fillId="0" borderId="91" xfId="615" applyFont="1" applyBorder="1" applyAlignment="1">
      <alignment horizontal="center"/>
    </xf>
    <xf numFmtId="0" fontId="91" fillId="0" borderId="92" xfId="615" applyFont="1" applyBorder="1" applyAlignment="1">
      <alignment horizontal="center"/>
    </xf>
    <xf numFmtId="0" fontId="1" fillId="0" borderId="23" xfId="615" applyBorder="1"/>
    <xf numFmtId="0" fontId="1" fillId="0" borderId="24" xfId="615" applyBorder="1"/>
    <xf numFmtId="184" fontId="1" fillId="13" borderId="68" xfId="615" applyNumberFormat="1" applyFill="1" applyBorder="1"/>
    <xf numFmtId="184" fontId="83" fillId="0" borderId="0" xfId="615" applyNumberFormat="1" applyFont="1"/>
    <xf numFmtId="0" fontId="1" fillId="0" borderId="25" xfId="615" applyBorder="1"/>
    <xf numFmtId="0" fontId="100" fillId="0" borderId="58" xfId="615" applyFont="1" applyBorder="1" applyAlignment="1">
      <alignment horizontal="center"/>
    </xf>
    <xf numFmtId="0" fontId="1" fillId="0" borderId="76" xfId="615" applyBorder="1"/>
    <xf numFmtId="169" fontId="116" fillId="0" borderId="0" xfId="8" applyNumberFormat="1" applyFont="1"/>
    <xf numFmtId="169" fontId="116" fillId="13" borderId="0" xfId="8" applyNumberFormat="1" applyFont="1" applyFill="1"/>
    <xf numFmtId="0" fontId="134" fillId="13" borderId="0" xfId="1" applyFont="1" applyFill="1" applyAlignment="1">
      <alignment wrapText="1"/>
    </xf>
    <xf numFmtId="0" fontId="133" fillId="13" borderId="0" xfId="1" applyFont="1" applyFill="1"/>
    <xf numFmtId="0" fontId="134" fillId="13" borderId="0" xfId="1" applyFont="1" applyFill="1"/>
    <xf numFmtId="0" fontId="133" fillId="13" borderId="0" xfId="1" applyFont="1" applyFill="1" applyAlignment="1">
      <alignment horizontal="center"/>
    </xf>
    <xf numFmtId="0" fontId="134" fillId="13" borderId="0" xfId="1" applyFont="1" applyFill="1" applyAlignment="1">
      <alignment horizontal="center"/>
    </xf>
    <xf numFmtId="0" fontId="38" fillId="0" borderId="0" xfId="1" applyFont="1" applyAlignment="1">
      <alignment horizontal="left"/>
    </xf>
    <xf numFmtId="0" fontId="132" fillId="13" borderId="0" xfId="0" applyFont="1" applyFill="1" applyAlignment="1">
      <alignment horizontal="center"/>
    </xf>
    <xf numFmtId="172" fontId="134" fillId="13" borderId="0" xfId="16" applyNumberFormat="1" applyFont="1" applyFill="1" applyAlignment="1">
      <alignment horizontal="left"/>
    </xf>
    <xf numFmtId="172" fontId="154" fillId="13" borderId="0" xfId="0" applyNumberFormat="1" applyFont="1" applyFill="1" applyAlignment="1">
      <alignment horizontal="center"/>
    </xf>
    <xf numFmtId="184" fontId="4" fillId="0" borderId="78" xfId="28" applyNumberFormat="1" applyBorder="1"/>
    <xf numFmtId="184" fontId="4" fillId="13" borderId="74" xfId="28" applyNumberFormat="1" applyFill="1" applyBorder="1"/>
    <xf numFmtId="0" fontId="53" fillId="0" borderId="0" xfId="0" applyFont="1"/>
    <xf numFmtId="0" fontId="155" fillId="0" borderId="0" xfId="0" applyFont="1"/>
    <xf numFmtId="0" fontId="41" fillId="0" borderId="0" xfId="0" applyFont="1"/>
    <xf numFmtId="0" fontId="156" fillId="0" borderId="0" xfId="0" applyFont="1"/>
    <xf numFmtId="0" fontId="0" fillId="0" borderId="0" xfId="0" applyAlignment="1">
      <alignment vertical="center"/>
    </xf>
    <xf numFmtId="0" fontId="50" fillId="0" borderId="93" xfId="0" applyFont="1" applyBorder="1"/>
    <xf numFmtId="0" fontId="0" fillId="0" borderId="94" xfId="0" applyBorder="1"/>
    <xf numFmtId="0" fontId="0" fillId="0" borderId="92" xfId="0" applyBorder="1"/>
    <xf numFmtId="0" fontId="0" fillId="0" borderId="69" xfId="0" applyBorder="1"/>
    <xf numFmtId="0" fontId="3" fillId="0" borderId="69" xfId="0" applyFont="1" applyBorder="1"/>
    <xf numFmtId="0" fontId="3" fillId="0" borderId="73" xfId="0" applyFont="1" applyBorder="1"/>
    <xf numFmtId="0" fontId="3" fillId="0" borderId="95" xfId="0" applyFont="1" applyBorder="1"/>
    <xf numFmtId="0" fontId="0" fillId="0" borderId="69" xfId="0" applyBorder="1" applyAlignment="1">
      <alignment vertical="center"/>
    </xf>
    <xf numFmtId="0" fontId="0" fillId="0" borderId="73" xfId="0" applyBorder="1" applyAlignment="1">
      <alignment vertical="center"/>
    </xf>
    <xf numFmtId="0" fontId="0" fillId="0" borderId="95" xfId="0" applyBorder="1" applyAlignment="1">
      <alignment vertical="center"/>
    </xf>
    <xf numFmtId="0" fontId="0" fillId="0" borderId="70" xfId="0" applyBorder="1"/>
    <xf numFmtId="0" fontId="3" fillId="0" borderId="58" xfId="0" applyFont="1" applyBorder="1" applyAlignment="1">
      <alignment horizontal="center"/>
    </xf>
    <xf numFmtId="14" fontId="0" fillId="0" borderId="58" xfId="0" applyNumberFormat="1" applyBorder="1" applyAlignment="1">
      <alignment vertical="center"/>
    </xf>
    <xf numFmtId="0" fontId="0" fillId="0" borderId="96" xfId="0" applyBorder="1"/>
    <xf numFmtId="0" fontId="4" fillId="13" borderId="0" xfId="28" quotePrefix="1" applyFill="1" applyBorder="1"/>
    <xf numFmtId="183" fontId="26" fillId="13" borderId="0" xfId="28" applyNumberFormat="1" applyFont="1" applyFill="1" applyBorder="1"/>
    <xf numFmtId="183" fontId="153" fillId="13" borderId="0" xfId="636" applyNumberFormat="1" applyFill="1" applyBorder="1"/>
    <xf numFmtId="0" fontId="4" fillId="13" borderId="0" xfId="28" applyFill="1" applyBorder="1"/>
    <xf numFmtId="1" fontId="116" fillId="13" borderId="0" xfId="1" applyNumberFormat="1" applyFont="1" applyFill="1"/>
    <xf numFmtId="0" fontId="4" fillId="13" borderId="0" xfId="28" quotePrefix="1" applyFill="1"/>
    <xf numFmtId="186" fontId="4" fillId="13" borderId="58" xfId="387" applyNumberFormat="1" applyFill="1" applyBorder="1"/>
    <xf numFmtId="184" fontId="4" fillId="13" borderId="74" xfId="387" applyNumberFormat="1" applyFill="1" applyBorder="1"/>
    <xf numFmtId="184" fontId="4" fillId="13" borderId="58" xfId="28" applyNumberFormat="1" applyFont="1" applyFill="1" applyBorder="1"/>
    <xf numFmtId="184" fontId="4" fillId="13" borderId="58" xfId="28" applyNumberFormat="1" applyFill="1" applyBorder="1"/>
    <xf numFmtId="186" fontId="4" fillId="13" borderId="74" xfId="387" applyNumberFormat="1" applyFont="1" applyFill="1" applyBorder="1"/>
    <xf numFmtId="172" fontId="0" fillId="0" borderId="78" xfId="16" applyNumberFormat="1" applyFont="1" applyBorder="1"/>
    <xf numFmtId="0" fontId="66" fillId="80" borderId="0" xfId="0" applyFont="1" applyFill="1" applyAlignment="1">
      <alignment horizontal="center"/>
    </xf>
    <xf numFmtId="0" fontId="132" fillId="80" borderId="0" xfId="0" applyFont="1" applyFill="1" applyAlignment="1">
      <alignment horizontal="center"/>
    </xf>
    <xf numFmtId="0" fontId="0" fillId="80" borderId="0" xfId="0" applyFill="1"/>
    <xf numFmtId="172" fontId="0" fillId="80" borderId="0" xfId="16" applyNumberFormat="1" applyFont="1" applyFill="1"/>
    <xf numFmtId="172" fontId="0" fillId="80" borderId="78" xfId="16" applyNumberFormat="1" applyFont="1" applyFill="1" applyBorder="1"/>
    <xf numFmtId="0" fontId="116" fillId="80" borderId="0" xfId="1" applyFont="1" applyFill="1"/>
    <xf numFmtId="0" fontId="134" fillId="0" borderId="0" xfId="1" applyFont="1" applyFill="1" applyAlignment="1">
      <alignment horizontal="left"/>
    </xf>
    <xf numFmtId="0" fontId="115" fillId="13" borderId="0" xfId="0" applyFont="1" applyFill="1" applyAlignment="1">
      <alignment wrapText="1"/>
    </xf>
    <xf numFmtId="1" fontId="115" fillId="13" borderId="0" xfId="0" applyNumberFormat="1" applyFont="1" applyFill="1" applyAlignment="1">
      <alignment wrapText="1"/>
    </xf>
    <xf numFmtId="0" fontId="4" fillId="70" borderId="0" xfId="28" applyFill="1"/>
    <xf numFmtId="0" fontId="1" fillId="70" borderId="23" xfId="615" applyFont="1" applyFill="1" applyBorder="1"/>
    <xf numFmtId="0" fontId="1" fillId="70" borderId="0" xfId="615" applyFont="1" applyFill="1" applyBorder="1"/>
    <xf numFmtId="184" fontId="1" fillId="70" borderId="75" xfId="615" applyNumberFormat="1" applyFont="1" applyFill="1" applyBorder="1"/>
    <xf numFmtId="0" fontId="1" fillId="70" borderId="75" xfId="615" applyFont="1" applyFill="1" applyBorder="1"/>
    <xf numFmtId="0" fontId="66" fillId="70" borderId="0" xfId="0" applyFont="1" applyFill="1" applyAlignment="1">
      <alignment horizontal="center"/>
    </xf>
    <xf numFmtId="0" fontId="132" fillId="70" borderId="0" xfId="0" applyFont="1" applyFill="1" applyAlignment="1">
      <alignment horizontal="center"/>
    </xf>
    <xf numFmtId="172" fontId="0" fillId="70" borderId="0" xfId="16" applyNumberFormat="1" applyFont="1" applyFill="1"/>
    <xf numFmtId="172" fontId="0" fillId="70" borderId="78" xfId="16" applyNumberFormat="1" applyFont="1" applyFill="1" applyBorder="1"/>
    <xf numFmtId="172" fontId="0" fillId="70" borderId="0" xfId="0" applyNumberFormat="1" applyFill="1"/>
    <xf numFmtId="0" fontId="91" fillId="48" borderId="0" xfId="615" applyFont="1" applyFill="1" applyBorder="1"/>
    <xf numFmtId="0" fontId="4" fillId="48" borderId="0" xfId="28" applyFill="1"/>
    <xf numFmtId="184" fontId="1" fillId="48" borderId="75" xfId="615" applyNumberFormat="1" applyFont="1" applyFill="1" applyBorder="1"/>
    <xf numFmtId="0" fontId="1" fillId="76" borderId="21" xfId="615" applyFont="1" applyFill="1" applyBorder="1"/>
    <xf numFmtId="0" fontId="91" fillId="76" borderId="0" xfId="615" applyFont="1" applyFill="1" applyBorder="1"/>
    <xf numFmtId="0" fontId="4" fillId="76" borderId="0" xfId="28" applyFill="1"/>
    <xf numFmtId="184" fontId="1" fillId="76" borderId="20" xfId="615" applyNumberFormat="1" applyFont="1" applyFill="1" applyBorder="1"/>
    <xf numFmtId="184" fontId="1" fillId="76" borderId="75" xfId="615" applyNumberFormat="1" applyFont="1" applyFill="1" applyBorder="1"/>
    <xf numFmtId="0" fontId="143" fillId="76" borderId="23" xfId="615" applyFont="1" applyFill="1" applyBorder="1"/>
    <xf numFmtId="0" fontId="44" fillId="76" borderId="0" xfId="615" applyFont="1" applyFill="1" applyBorder="1"/>
    <xf numFmtId="184" fontId="143" fillId="76" borderId="75" xfId="615" applyNumberFormat="1" applyFont="1" applyFill="1" applyBorder="1"/>
    <xf numFmtId="0" fontId="1" fillId="76" borderId="23" xfId="615" applyFont="1" applyFill="1" applyBorder="1"/>
    <xf numFmtId="0" fontId="1" fillId="48" borderId="23" xfId="615" applyFont="1" applyFill="1" applyBorder="1"/>
    <xf numFmtId="0" fontId="44" fillId="48" borderId="0" xfId="615" applyFont="1" applyFill="1" applyBorder="1" applyAlignment="1">
      <alignment wrapText="1"/>
    </xf>
    <xf numFmtId="184" fontId="143" fillId="48" borderId="75" xfId="615" applyNumberFormat="1" applyFont="1" applyFill="1" applyBorder="1" applyAlignment="1">
      <alignment wrapText="1"/>
    </xf>
    <xf numFmtId="0" fontId="1" fillId="0" borderId="23" xfId="615" applyFont="1" applyFill="1" applyBorder="1"/>
    <xf numFmtId="0" fontId="91" fillId="0" borderId="0" xfId="615" applyFont="1" applyFill="1" applyBorder="1"/>
    <xf numFmtId="0" fontId="143" fillId="48" borderId="23" xfId="615" applyFont="1" applyFill="1" applyBorder="1" applyAlignment="1"/>
    <xf numFmtId="0" fontId="143" fillId="0" borderId="23" xfId="615" applyFont="1" applyBorder="1" applyAlignment="1"/>
    <xf numFmtId="184" fontId="1" fillId="0" borderId="24" xfId="615" applyNumberFormat="1" applyBorder="1"/>
    <xf numFmtId="3" fontId="26" fillId="0" borderId="0" xfId="615" applyNumberFormat="1" applyFont="1" applyAlignment="1">
      <alignment horizontal="left"/>
    </xf>
    <xf numFmtId="3" fontId="26" fillId="0" borderId="0" xfId="615" applyNumberFormat="1" applyFont="1" applyAlignment="1">
      <alignment horizontal="center"/>
    </xf>
    <xf numFmtId="3" fontId="26" fillId="0" borderId="0" xfId="615" applyNumberFormat="1" applyFont="1"/>
    <xf numFmtId="3" fontId="1" fillId="0" borderId="0" xfId="615" applyNumberFormat="1"/>
    <xf numFmtId="184" fontId="26" fillId="0" borderId="3" xfId="615" applyNumberFormat="1" applyFont="1" applyBorder="1" applyAlignment="1">
      <alignment horizontal="center" wrapText="1"/>
    </xf>
    <xf numFmtId="184" fontId="26" fillId="0" borderId="0" xfId="615" applyNumberFormat="1" applyFont="1" applyBorder="1" applyAlignment="1">
      <alignment horizontal="center" wrapText="1"/>
    </xf>
    <xf numFmtId="184" fontId="1" fillId="0" borderId="74" xfId="615" applyNumberFormat="1" applyFill="1" applyBorder="1"/>
    <xf numFmtId="184" fontId="1" fillId="0" borderId="74" xfId="615" applyNumberFormat="1" applyBorder="1"/>
    <xf numFmtId="184" fontId="1" fillId="0" borderId="58" xfId="615" applyNumberFormat="1" applyFill="1" applyBorder="1"/>
    <xf numFmtId="184" fontId="4" fillId="0" borderId="0" xfId="615" applyNumberFormat="1" applyFont="1" applyBorder="1"/>
    <xf numFmtId="0" fontId="26" fillId="0" borderId="58" xfId="615" applyFont="1" applyBorder="1"/>
    <xf numFmtId="184" fontId="26" fillId="0" borderId="74" xfId="615" applyNumberFormat="1" applyFont="1" applyBorder="1"/>
    <xf numFmtId="184" fontId="26" fillId="0" borderId="58" xfId="615" applyNumberFormat="1" applyFont="1" applyBorder="1"/>
    <xf numFmtId="184" fontId="26" fillId="0" borderId="3" xfId="615" applyNumberFormat="1" applyFont="1" applyBorder="1" applyAlignment="1">
      <alignment horizontal="center"/>
    </xf>
    <xf numFmtId="184" fontId="26" fillId="0" borderId="0" xfId="615" applyNumberFormat="1" applyFont="1" applyBorder="1" applyAlignment="1">
      <alignment horizontal="center"/>
    </xf>
    <xf numFmtId="184" fontId="4" fillId="0" borderId="74" xfId="615" applyNumberFormat="1" applyFont="1" applyBorder="1"/>
    <xf numFmtId="184" fontId="4" fillId="0" borderId="58" xfId="615" applyNumberFormat="1" applyFont="1" applyBorder="1"/>
    <xf numFmtId="0" fontId="1" fillId="0" borderId="58" xfId="615" applyFill="1" applyBorder="1"/>
    <xf numFmtId="184" fontId="26" fillId="0" borderId="74" xfId="615" applyNumberFormat="1" applyFont="1" applyFill="1" applyBorder="1"/>
    <xf numFmtId="184" fontId="26" fillId="0" borderId="58" xfId="615" applyNumberFormat="1" applyFont="1" applyFill="1" applyBorder="1"/>
    <xf numFmtId="0" fontId="91" fillId="0" borderId="0" xfId="615" applyFont="1" applyAlignment="1">
      <alignment horizontal="center" vertical="center"/>
    </xf>
    <xf numFmtId="184" fontId="91" fillId="0" borderId="0" xfId="615" applyNumberFormat="1" applyFont="1" applyAlignment="1">
      <alignment horizontal="center" vertical="center"/>
    </xf>
    <xf numFmtId="3" fontId="1" fillId="0" borderId="58" xfId="615" applyNumberFormat="1" applyFont="1" applyBorder="1"/>
    <xf numFmtId="3" fontId="1" fillId="0" borderId="74" xfId="615" applyNumberFormat="1" applyFont="1" applyBorder="1"/>
    <xf numFmtId="184" fontId="1" fillId="0" borderId="74" xfId="615" applyNumberFormat="1" applyFont="1" applyFill="1" applyBorder="1"/>
    <xf numFmtId="184" fontId="1" fillId="0" borderId="74" xfId="615" applyNumberFormat="1" applyFont="1" applyBorder="1"/>
    <xf numFmtId="3" fontId="1" fillId="0" borderId="0" xfId="615" applyNumberFormat="1" applyFont="1" applyBorder="1"/>
    <xf numFmtId="184" fontId="1" fillId="0" borderId="0" xfId="615" applyNumberFormat="1" applyFont="1" applyFill="1" applyBorder="1"/>
    <xf numFmtId="3" fontId="143" fillId="0" borderId="58" xfId="615" applyNumberFormat="1" applyFont="1" applyBorder="1"/>
    <xf numFmtId="3" fontId="143" fillId="0" borderId="58" xfId="615" applyNumberFormat="1" applyFont="1" applyBorder="1" applyAlignment="1">
      <alignment wrapText="1"/>
    </xf>
    <xf numFmtId="184" fontId="1" fillId="0" borderId="79" xfId="615" applyNumberFormat="1" applyFont="1" applyBorder="1"/>
    <xf numFmtId="3" fontId="143" fillId="0" borderId="20" xfId="615" applyNumberFormat="1" applyFont="1" applyBorder="1"/>
    <xf numFmtId="3" fontId="1" fillId="0" borderId="58" xfId="615" applyNumberFormat="1" applyFont="1" applyFill="1" applyBorder="1"/>
    <xf numFmtId="184" fontId="91" fillId="0" borderId="0" xfId="615" applyNumberFormat="1" applyFont="1" applyAlignment="1">
      <alignment horizontal="center"/>
    </xf>
    <xf numFmtId="9" fontId="1" fillId="0" borderId="0" xfId="615" applyNumberFormat="1" applyFont="1"/>
    <xf numFmtId="0" fontId="1" fillId="78" borderId="0" xfId="615" applyFont="1" applyFill="1"/>
    <xf numFmtId="184" fontId="1" fillId="78" borderId="0" xfId="615" applyNumberFormat="1" applyFont="1" applyFill="1"/>
    <xf numFmtId="0" fontId="1" fillId="13" borderId="0" xfId="615" applyFont="1" applyFill="1"/>
    <xf numFmtId="43" fontId="1" fillId="13" borderId="0" xfId="16" applyFont="1" applyFill="1"/>
    <xf numFmtId="184" fontId="1" fillId="0" borderId="72" xfId="615" applyNumberFormat="1" applyFont="1" applyBorder="1"/>
    <xf numFmtId="184" fontId="1" fillId="13" borderId="0" xfId="615" applyNumberFormat="1" applyFont="1" applyFill="1"/>
    <xf numFmtId="14" fontId="0" fillId="0" borderId="58" xfId="0" applyNumberFormat="1" applyBorder="1"/>
    <xf numFmtId="3" fontId="26" fillId="0" borderId="0" xfId="615" applyNumberFormat="1" applyFont="1" applyAlignment="1"/>
    <xf numFmtId="0" fontId="26" fillId="0" borderId="74" xfId="615" applyFont="1" applyBorder="1"/>
    <xf numFmtId="0" fontId="158" fillId="0" borderId="0" xfId="615" applyFont="1"/>
    <xf numFmtId="184" fontId="1" fillId="0" borderId="86" xfId="615" applyNumberFormat="1" applyBorder="1"/>
    <xf numFmtId="3" fontId="1" fillId="0" borderId="0" xfId="615" applyNumberFormat="1" applyFont="1" applyFill="1" applyBorder="1"/>
    <xf numFmtId="184" fontId="1" fillId="0" borderId="20" xfId="615" applyNumberFormat="1" applyBorder="1"/>
    <xf numFmtId="3" fontId="152" fillId="0" borderId="0" xfId="615" applyNumberFormat="1" applyFont="1" applyFill="1" applyBorder="1"/>
    <xf numFmtId="0" fontId="1" fillId="0" borderId="3" xfId="615" applyFont="1" applyBorder="1"/>
    <xf numFmtId="184" fontId="91" fillId="0" borderId="3" xfId="615" applyNumberFormat="1" applyFont="1" applyBorder="1" applyAlignment="1">
      <alignment horizontal="center"/>
    </xf>
    <xf numFmtId="184" fontId="1" fillId="0" borderId="75" xfId="615" applyNumberFormat="1" applyBorder="1"/>
    <xf numFmtId="184" fontId="1" fillId="0" borderId="23" xfId="615" applyNumberFormat="1" applyBorder="1"/>
    <xf numFmtId="184" fontId="1" fillId="0" borderId="76" xfId="615" applyNumberFormat="1" applyBorder="1"/>
    <xf numFmtId="184" fontId="1" fillId="0" borderId="75" xfId="615" applyNumberFormat="1" applyFill="1" applyBorder="1"/>
    <xf numFmtId="184" fontId="1" fillId="0" borderId="20" xfId="615" applyNumberFormat="1" applyFill="1" applyBorder="1"/>
    <xf numFmtId="184" fontId="1" fillId="0" borderId="21" xfId="615" applyNumberFormat="1" applyBorder="1"/>
    <xf numFmtId="0" fontId="159" fillId="0" borderId="23" xfId="615" applyFont="1" applyFill="1" applyBorder="1"/>
    <xf numFmtId="184" fontId="1" fillId="0" borderId="0" xfId="615" applyNumberFormat="1" applyFill="1" applyBorder="1"/>
    <xf numFmtId="0" fontId="1" fillId="13" borderId="0" xfId="615" applyFont="1" applyFill="1" applyBorder="1"/>
    <xf numFmtId="184" fontId="1" fillId="13" borderId="0" xfId="615" applyNumberFormat="1" applyFill="1" applyBorder="1"/>
    <xf numFmtId="0" fontId="1" fillId="13" borderId="0" xfId="615" applyFill="1" applyBorder="1"/>
    <xf numFmtId="0" fontId="1" fillId="13" borderId="75" xfId="615" applyFont="1" applyFill="1" applyBorder="1"/>
    <xf numFmtId="184" fontId="1" fillId="13" borderId="78" xfId="615" applyNumberFormat="1" applyFill="1" applyBorder="1"/>
    <xf numFmtId="0" fontId="152" fillId="0" borderId="0" xfId="615" applyFont="1" applyFill="1" applyBorder="1"/>
    <xf numFmtId="0" fontId="143" fillId="0" borderId="24" xfId="615" applyFont="1" applyBorder="1"/>
    <xf numFmtId="184" fontId="143" fillId="0" borderId="24" xfId="615" applyNumberFormat="1" applyFont="1" applyBorder="1"/>
    <xf numFmtId="0" fontId="1" fillId="0" borderId="24" xfId="615" applyFont="1" applyBorder="1"/>
    <xf numFmtId="184" fontId="1" fillId="0" borderId="24" xfId="615" applyNumberFormat="1" applyFill="1" applyBorder="1"/>
    <xf numFmtId="184" fontId="1" fillId="0" borderId="25" xfId="615" applyNumberFormat="1" applyFill="1" applyBorder="1"/>
    <xf numFmtId="184" fontId="1" fillId="0" borderId="25" xfId="615" applyNumberFormat="1" applyBorder="1"/>
    <xf numFmtId="9" fontId="1" fillId="0" borderId="0" xfId="615" applyNumberFormat="1" applyBorder="1"/>
    <xf numFmtId="184" fontId="1" fillId="0" borderId="98" xfId="615" applyNumberFormat="1" applyBorder="1"/>
    <xf numFmtId="184" fontId="1" fillId="13" borderId="24" xfId="615" applyNumberFormat="1" applyFill="1" applyBorder="1"/>
    <xf numFmtId="0" fontId="1" fillId="0" borderId="76" xfId="615" applyFont="1" applyBorder="1"/>
    <xf numFmtId="184" fontId="1" fillId="0" borderId="23" xfId="615" applyNumberFormat="1" applyFill="1" applyBorder="1"/>
    <xf numFmtId="184" fontId="4" fillId="0" borderId="75" xfId="615" applyNumberFormat="1" applyFont="1" applyFill="1" applyBorder="1"/>
    <xf numFmtId="184" fontId="1" fillId="0" borderId="21" xfId="615" applyNumberFormat="1" applyFill="1" applyBorder="1"/>
    <xf numFmtId="184" fontId="1" fillId="13" borderId="0" xfId="615" applyNumberFormat="1" applyFill="1"/>
    <xf numFmtId="172" fontId="41" fillId="0" borderId="0" xfId="16" applyNumberFormat="1" applyFont="1"/>
    <xf numFmtId="184" fontId="1" fillId="13" borderId="58" xfId="615" applyNumberFormat="1" applyFill="1" applyBorder="1"/>
    <xf numFmtId="14" fontId="0" fillId="0" borderId="0" xfId="0" applyNumberFormat="1"/>
    <xf numFmtId="172" fontId="0" fillId="0" borderId="0" xfId="16" applyNumberFormat="1" applyFont="1" applyFill="1"/>
    <xf numFmtId="0" fontId="0" fillId="0" borderId="0" xfId="0" applyAlignment="1">
      <alignment vertical="center" wrapText="1"/>
    </xf>
    <xf numFmtId="0" fontId="143" fillId="80" borderId="75" xfId="615" applyFont="1" applyFill="1" applyBorder="1"/>
    <xf numFmtId="0" fontId="143" fillId="80" borderId="0" xfId="615" applyFont="1" applyFill="1" applyBorder="1"/>
    <xf numFmtId="184" fontId="1" fillId="80" borderId="0" xfId="615" applyNumberFormat="1" applyFill="1"/>
    <xf numFmtId="184" fontId="1" fillId="80" borderId="75" xfId="615" applyNumberFormat="1" applyFill="1" applyBorder="1"/>
    <xf numFmtId="184" fontId="1" fillId="80" borderId="23" xfId="615" applyNumberFormat="1" applyFill="1" applyBorder="1"/>
    <xf numFmtId="0" fontId="1" fillId="80" borderId="75" xfId="615" applyFont="1" applyFill="1" applyBorder="1"/>
    <xf numFmtId="0" fontId="1" fillId="80" borderId="0" xfId="615" applyFont="1" applyFill="1" applyBorder="1"/>
    <xf numFmtId="188" fontId="111" fillId="0" borderId="0" xfId="3" applyNumberFormat="1" applyFont="1" applyBorder="1">
      <alignment wrapText="1"/>
    </xf>
    <xf numFmtId="188" fontId="108" fillId="0" borderId="0" xfId="19" applyNumberFormat="1" applyFont="1" applyBorder="1"/>
    <xf numFmtId="170" fontId="111" fillId="0" borderId="0" xfId="3" applyNumberFormat="1" applyFont="1" applyBorder="1">
      <alignment wrapText="1"/>
    </xf>
    <xf numFmtId="170" fontId="108" fillId="0" borderId="0" xfId="19" applyFont="1" applyFill="1" applyBorder="1"/>
    <xf numFmtId="172" fontId="41" fillId="0" borderId="0" xfId="0" applyNumberFormat="1" applyFont="1"/>
    <xf numFmtId="172" fontId="9" fillId="0" borderId="0" xfId="0" applyNumberFormat="1" applyFont="1"/>
    <xf numFmtId="172" fontId="132" fillId="0" borderId="0" xfId="16" applyNumberFormat="1" applyFont="1" applyFill="1" applyAlignment="1">
      <alignment horizontal="center"/>
    </xf>
    <xf numFmtId="0" fontId="143" fillId="13" borderId="24" xfId="615" applyFont="1" applyFill="1" applyBorder="1"/>
    <xf numFmtId="0" fontId="0" fillId="0" borderId="74" xfId="0" applyBorder="1" applyAlignment="1">
      <alignment horizontal="left" vertical="center" wrapText="1"/>
    </xf>
    <xf numFmtId="0" fontId="0" fillId="0" borderId="73" xfId="0" applyBorder="1" applyAlignment="1">
      <alignment horizontal="left" vertical="center" wrapText="1"/>
    </xf>
    <xf numFmtId="0" fontId="0" fillId="0" borderId="97" xfId="0" applyBorder="1" applyAlignment="1">
      <alignment horizontal="left" vertical="center" wrapText="1"/>
    </xf>
    <xf numFmtId="0" fontId="0" fillId="0" borderId="73" xfId="0" applyBorder="1" applyAlignment="1">
      <alignment horizontal="left" vertical="center"/>
    </xf>
    <xf numFmtId="0" fontId="0" fillId="0" borderId="95" xfId="0" applyBorder="1" applyAlignment="1">
      <alignment horizontal="left" vertical="center"/>
    </xf>
    <xf numFmtId="0" fontId="0" fillId="0" borderId="95" xfId="0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78" xfId="0" applyBorder="1" applyAlignment="1">
      <alignment horizontal="left" vertical="center"/>
    </xf>
    <xf numFmtId="0" fontId="0" fillId="0" borderId="87" xfId="0" applyBorder="1" applyAlignment="1">
      <alignment horizontal="left" vertical="center"/>
    </xf>
    <xf numFmtId="0" fontId="0" fillId="70" borderId="0" xfId="0" applyFill="1" applyAlignment="1">
      <alignment horizontal="left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6" fillId="4" borderId="0" xfId="9" applyAlignment="1">
      <alignment horizontal="center"/>
    </xf>
    <xf numFmtId="0" fontId="95" fillId="0" borderId="0" xfId="28" applyFont="1" applyBorder="1" applyAlignment="1">
      <alignment horizontal="center"/>
    </xf>
    <xf numFmtId="0" fontId="4" fillId="0" borderId="23" xfId="28" applyBorder="1" applyAlignment="1">
      <alignment horizontal="center" vertical="center" wrapText="1"/>
    </xf>
    <xf numFmtId="0" fontId="26" fillId="0" borderId="16" xfId="0" applyFont="1" applyBorder="1" applyAlignment="1">
      <alignment horizontal="center"/>
    </xf>
    <xf numFmtId="0" fontId="3" fillId="0" borderId="4" xfId="0" applyFont="1" applyBorder="1" applyAlignment="1"/>
    <xf numFmtId="0" fontId="3" fillId="0" borderId="17" xfId="0" applyFont="1" applyBorder="1" applyAlignment="1"/>
    <xf numFmtId="0" fontId="26" fillId="8" borderId="16" xfId="0" applyFont="1" applyFill="1" applyBorder="1" applyAlignment="1">
      <alignment horizontal="center" vertical="center"/>
    </xf>
    <xf numFmtId="0" fontId="26" fillId="8" borderId="4" xfId="0" applyFont="1" applyFill="1" applyBorder="1" applyAlignment="1">
      <alignment horizontal="center" vertical="center"/>
    </xf>
    <xf numFmtId="0" fontId="26" fillId="8" borderId="4" xfId="0" applyFont="1" applyFill="1" applyBorder="1" applyAlignment="1"/>
    <xf numFmtId="0" fontId="26" fillId="8" borderId="17" xfId="0" applyFont="1" applyFill="1" applyBorder="1" applyAlignment="1"/>
    <xf numFmtId="0" fontId="5" fillId="8" borderId="19" xfId="0" applyFont="1" applyFill="1" applyBorder="1" applyAlignment="1">
      <alignment horizontal="center" vertical="center" wrapText="1"/>
    </xf>
    <xf numFmtId="0" fontId="5" fillId="8" borderId="21" xfId="0" applyFont="1" applyFill="1" applyBorder="1" applyAlignment="1">
      <alignment horizontal="center" vertical="center" wrapText="1"/>
    </xf>
    <xf numFmtId="0" fontId="5" fillId="8" borderId="18" xfId="0" applyFont="1" applyFill="1" applyBorder="1" applyAlignment="1">
      <alignment horizontal="center" wrapText="1"/>
    </xf>
    <xf numFmtId="0" fontId="5" fillId="8" borderId="20" xfId="0" applyFont="1" applyFill="1" applyBorder="1" applyAlignment="1">
      <alignment horizontal="center" wrapText="1"/>
    </xf>
    <xf numFmtId="0" fontId="5" fillId="8" borderId="18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26" fillId="7" borderId="16" xfId="0" applyFont="1" applyFill="1" applyBorder="1" applyAlignment="1">
      <alignment horizontal="center" vertical="center"/>
    </xf>
    <xf numFmtId="0" fontId="26" fillId="7" borderId="4" xfId="0" applyFont="1" applyFill="1" applyBorder="1" applyAlignment="1">
      <alignment horizontal="center" vertical="center"/>
    </xf>
    <xf numFmtId="0" fontId="26" fillId="0" borderId="4" xfId="0" applyFont="1" applyBorder="1" applyAlignment="1"/>
    <xf numFmtId="0" fontId="26" fillId="0" borderId="17" xfId="0" applyFont="1" applyBorder="1" applyAlignment="1"/>
    <xf numFmtId="0" fontId="5" fillId="7" borderId="19" xfId="0" applyFont="1" applyFill="1" applyBorder="1" applyAlignment="1">
      <alignment horizontal="center" vertical="center" wrapText="1"/>
    </xf>
    <xf numFmtId="0" fontId="5" fillId="7" borderId="21" xfId="0" applyFont="1" applyFill="1" applyBorder="1" applyAlignment="1">
      <alignment horizontal="center" vertical="center" wrapText="1"/>
    </xf>
    <xf numFmtId="0" fontId="5" fillId="7" borderId="18" xfId="0" applyFont="1" applyFill="1" applyBorder="1" applyAlignment="1">
      <alignment horizontal="center" wrapText="1"/>
    </xf>
    <xf numFmtId="0" fontId="5" fillId="7" borderId="20" xfId="0" applyFont="1" applyFill="1" applyBorder="1" applyAlignment="1">
      <alignment horizontal="center" wrapText="1"/>
    </xf>
    <xf numFmtId="0" fontId="26" fillId="7" borderId="18" xfId="0" applyFont="1" applyFill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9" fontId="26" fillId="7" borderId="18" xfId="8" applyFont="1" applyFill="1" applyBorder="1" applyAlignment="1">
      <alignment horizontal="center" vertical="center"/>
    </xf>
    <xf numFmtId="9" fontId="26" fillId="7" borderId="20" xfId="8" applyFont="1" applyFill="1" applyBorder="1" applyAlignment="1">
      <alignment horizontal="center" vertical="center"/>
    </xf>
    <xf numFmtId="0" fontId="4" fillId="0" borderId="0" xfId="28" applyBorder="1" applyAlignment="1">
      <alignment horizontal="center" wrapText="1"/>
    </xf>
    <xf numFmtId="0" fontId="147" fillId="0" borderId="0" xfId="0" applyFont="1" applyAlignment="1">
      <alignment horizontal="center"/>
    </xf>
    <xf numFmtId="0" fontId="40" fillId="0" borderId="50" xfId="0" applyFont="1" applyBorder="1" applyAlignment="1">
      <alignment horizontal="center"/>
    </xf>
    <xf numFmtId="0" fontId="0" fillId="0" borderId="0" xfId="0" applyAlignment="1">
      <alignment horizontal="left" vertical="top" wrapText="1"/>
    </xf>
    <xf numFmtId="0" fontId="44" fillId="0" borderId="0" xfId="615" applyFont="1" applyAlignment="1">
      <alignment horizontal="center"/>
    </xf>
    <xf numFmtId="3" fontId="26" fillId="0" borderId="0" xfId="619" applyNumberFormat="1" applyFont="1" applyAlignment="1">
      <alignment horizontal="center"/>
    </xf>
    <xf numFmtId="3" fontId="47" fillId="0" borderId="0" xfId="619" applyNumberFormat="1" applyFont="1" applyAlignment="1">
      <alignment horizontal="center"/>
    </xf>
    <xf numFmtId="3" fontId="26" fillId="0" borderId="0" xfId="28" applyNumberFormat="1" applyFont="1" applyAlignment="1">
      <alignment horizontal="center"/>
    </xf>
    <xf numFmtId="0" fontId="3" fillId="70" borderId="0" xfId="0" applyFont="1" applyFill="1" applyAlignment="1">
      <alignment horizontal="left" wrapText="1"/>
    </xf>
    <xf numFmtId="40" fontId="90" fillId="9" borderId="52" xfId="0" applyNumberFormat="1" applyFont="1" applyFill="1" applyBorder="1" applyAlignment="1">
      <alignment horizontal="center" vertical="center" wrapText="1"/>
    </xf>
    <xf numFmtId="40" fontId="90" fillId="9" borderId="53" xfId="0" applyNumberFormat="1" applyFont="1" applyFill="1" applyBorder="1" applyAlignment="1">
      <alignment horizontal="center" vertical="center" wrapText="1"/>
    </xf>
    <xf numFmtId="40" fontId="90" fillId="9" borderId="55" xfId="0" applyNumberFormat="1" applyFont="1" applyFill="1" applyBorder="1" applyAlignment="1">
      <alignment horizontal="center" vertical="center" wrapText="1"/>
    </xf>
    <xf numFmtId="40" fontId="90" fillId="9" borderId="49" xfId="0" applyNumberFormat="1" applyFont="1" applyFill="1" applyBorder="1" applyAlignment="1">
      <alignment horizontal="center" vertical="center" wrapText="1"/>
    </xf>
    <xf numFmtId="40" fontId="90" fillId="9" borderId="0" xfId="0" applyNumberFormat="1" applyFont="1" applyFill="1" applyBorder="1" applyAlignment="1">
      <alignment horizontal="center" vertical="center" wrapText="1"/>
    </xf>
    <xf numFmtId="40" fontId="90" fillId="9" borderId="68" xfId="0" applyNumberFormat="1" applyFont="1" applyFill="1" applyBorder="1" applyAlignment="1">
      <alignment horizontal="center" vertical="center" wrapText="1"/>
    </xf>
    <xf numFmtId="40" fontId="90" fillId="9" borderId="56" xfId="0" applyNumberFormat="1" applyFont="1" applyFill="1" applyBorder="1" applyAlignment="1">
      <alignment horizontal="center" vertical="center" wrapText="1"/>
    </xf>
    <xf numFmtId="40" fontId="90" fillId="9" borderId="50" xfId="0" applyNumberFormat="1" applyFont="1" applyFill="1" applyBorder="1" applyAlignment="1">
      <alignment horizontal="center" vertical="center" wrapText="1"/>
    </xf>
    <xf numFmtId="40" fontId="90" fillId="9" borderId="57" xfId="0" applyNumberFormat="1" applyFont="1" applyFill="1" applyBorder="1" applyAlignment="1">
      <alignment horizontal="center" vertical="center" wrapText="1"/>
    </xf>
  </cellXfs>
  <cellStyles count="647">
    <cellStyle name="20% - Accent1 2" xfId="30"/>
    <cellStyle name="20% - Accent1 2 2" xfId="31"/>
    <cellStyle name="20% - Accent1 2 2 2" xfId="32"/>
    <cellStyle name="20% - Accent1 2 2 2 2" xfId="443"/>
    <cellStyle name="20% - Accent1 2 2 3" xfId="444"/>
    <cellStyle name="20% - Accent1 2 3" xfId="33"/>
    <cellStyle name="20% - Accent1 2 3 2" xfId="34"/>
    <cellStyle name="20% - Accent1 2 3 2 2" xfId="445"/>
    <cellStyle name="20% - Accent1 2 3 3" xfId="446"/>
    <cellStyle name="20% - Accent1 2 4" xfId="35"/>
    <cellStyle name="20% - Accent1 2 4 2" xfId="447"/>
    <cellStyle name="20% - Accent1 2 5" xfId="448"/>
    <cellStyle name="20% - Accent1 3" xfId="36"/>
    <cellStyle name="20% - Accent1 3 2" xfId="37"/>
    <cellStyle name="20% - Accent1 3 2 2" xfId="449"/>
    <cellStyle name="20% - Accent1 3 3" xfId="450"/>
    <cellStyle name="20% - Accent1 4" xfId="38"/>
    <cellStyle name="20% - Accent1 5" xfId="39"/>
    <cellStyle name="20% - Accent1 5 2" xfId="40"/>
    <cellStyle name="20% - Accent1 5 2 2" xfId="451"/>
    <cellStyle name="20% - Accent1 5 3" xfId="452"/>
    <cellStyle name="20% - Accent1 6" xfId="41"/>
    <cellStyle name="20% - Accent1 7" xfId="42"/>
    <cellStyle name="20% - Accent1 7 2" xfId="453"/>
    <cellStyle name="20% - Accent1 8" xfId="43"/>
    <cellStyle name="20% - Accent2 2" xfId="44"/>
    <cellStyle name="20% - Accent2 2 2" xfId="45"/>
    <cellStyle name="20% - Accent2 2 2 2" xfId="46"/>
    <cellStyle name="20% - Accent2 2 2 2 2" xfId="454"/>
    <cellStyle name="20% - Accent2 2 2 3" xfId="455"/>
    <cellStyle name="20% - Accent2 2 3" xfId="47"/>
    <cellStyle name="20% - Accent2 2 3 2" xfId="48"/>
    <cellStyle name="20% - Accent2 2 3 2 2" xfId="456"/>
    <cellStyle name="20% - Accent2 2 3 3" xfId="457"/>
    <cellStyle name="20% - Accent2 2 4" xfId="49"/>
    <cellStyle name="20% - Accent2 2 4 2" xfId="458"/>
    <cellStyle name="20% - Accent2 2 5" xfId="459"/>
    <cellStyle name="20% - Accent2 3" xfId="50"/>
    <cellStyle name="20% - Accent2 3 2" xfId="51"/>
    <cellStyle name="20% - Accent2 3 2 2" xfId="460"/>
    <cellStyle name="20% - Accent2 3 3" xfId="461"/>
    <cellStyle name="20% - Accent2 4" xfId="52"/>
    <cellStyle name="20% - Accent2 5" xfId="53"/>
    <cellStyle name="20% - Accent2 5 2" xfId="54"/>
    <cellStyle name="20% - Accent2 5 2 2" xfId="462"/>
    <cellStyle name="20% - Accent2 5 3" xfId="463"/>
    <cellStyle name="20% - Accent2 6" xfId="55"/>
    <cellStyle name="20% - Accent2 7" xfId="56"/>
    <cellStyle name="20% - Accent2 7 2" xfId="464"/>
    <cellStyle name="20% - Accent2 8" xfId="57"/>
    <cellStyle name="20% - Accent3 2" xfId="58"/>
    <cellStyle name="20% - Accent3 2 2" xfId="59"/>
    <cellStyle name="20% - Accent3 2 2 2" xfId="60"/>
    <cellStyle name="20% - Accent3 2 2 2 2" xfId="465"/>
    <cellStyle name="20% - Accent3 2 2 3" xfId="466"/>
    <cellStyle name="20% - Accent3 2 3" xfId="61"/>
    <cellStyle name="20% - Accent3 2 3 2" xfId="62"/>
    <cellStyle name="20% - Accent3 2 3 2 2" xfId="467"/>
    <cellStyle name="20% - Accent3 2 3 3" xfId="468"/>
    <cellStyle name="20% - Accent3 2 4" xfId="63"/>
    <cellStyle name="20% - Accent3 2 4 2" xfId="469"/>
    <cellStyle name="20% - Accent3 2 5" xfId="436"/>
    <cellStyle name="20% - Accent3 2 6" xfId="470"/>
    <cellStyle name="20% - Accent3 3" xfId="64"/>
    <cellStyle name="20% - Accent3 3 2" xfId="65"/>
    <cellStyle name="20% - Accent3 3 2 2" xfId="471"/>
    <cellStyle name="20% - Accent3 3 3" xfId="472"/>
    <cellStyle name="20% - Accent3 4" xfId="66"/>
    <cellStyle name="20% - Accent3 5" xfId="67"/>
    <cellStyle name="20% - Accent3 5 2" xfId="68"/>
    <cellStyle name="20% - Accent3 5 2 2" xfId="473"/>
    <cellStyle name="20% - Accent3 5 3" xfId="474"/>
    <cellStyle name="20% - Accent3 6" xfId="69"/>
    <cellStyle name="20% - Accent3 7" xfId="70"/>
    <cellStyle name="20% - Accent3 7 2" xfId="475"/>
    <cellStyle name="20% - Accent3 8" xfId="71"/>
    <cellStyle name="20% - Accent4 2" xfId="72"/>
    <cellStyle name="20% - Accent4 2 2" xfId="73"/>
    <cellStyle name="20% - Accent4 2 2 2" xfId="74"/>
    <cellStyle name="20% - Accent4 2 2 2 2" xfId="476"/>
    <cellStyle name="20% - Accent4 2 2 3" xfId="477"/>
    <cellStyle name="20% - Accent4 2 3" xfId="75"/>
    <cellStyle name="20% - Accent4 2 3 2" xfId="76"/>
    <cellStyle name="20% - Accent4 2 3 2 2" xfId="478"/>
    <cellStyle name="20% - Accent4 2 3 3" xfId="479"/>
    <cellStyle name="20% - Accent4 2 4" xfId="77"/>
    <cellStyle name="20% - Accent4 2 4 2" xfId="480"/>
    <cellStyle name="20% - Accent4 2 5" xfId="481"/>
    <cellStyle name="20% - Accent4 3" xfId="78"/>
    <cellStyle name="20% - Accent4 3 2" xfId="79"/>
    <cellStyle name="20% - Accent4 3 2 2" xfId="482"/>
    <cellStyle name="20% - Accent4 3 3" xfId="483"/>
    <cellStyle name="20% - Accent4 4" xfId="80"/>
    <cellStyle name="20% - Accent4 5" xfId="81"/>
    <cellStyle name="20% - Accent4 5 2" xfId="82"/>
    <cellStyle name="20% - Accent4 5 2 2" xfId="484"/>
    <cellStyle name="20% - Accent4 5 3" xfId="485"/>
    <cellStyle name="20% - Accent4 6" xfId="83"/>
    <cellStyle name="20% - Accent4 7" xfId="84"/>
    <cellStyle name="20% - Accent4 7 2" xfId="486"/>
    <cellStyle name="20% - Accent4 8" xfId="85"/>
    <cellStyle name="20% - Accent5 2" xfId="86"/>
    <cellStyle name="20% - Accent5 2 2" xfId="87"/>
    <cellStyle name="20% - Accent5 2 2 2" xfId="88"/>
    <cellStyle name="20% - Accent5 2 2 2 2" xfId="487"/>
    <cellStyle name="20% - Accent5 2 2 3" xfId="488"/>
    <cellStyle name="20% - Accent5 2 3" xfId="89"/>
    <cellStyle name="20% - Accent5 2 3 2" xfId="90"/>
    <cellStyle name="20% - Accent5 2 3 2 2" xfId="489"/>
    <cellStyle name="20% - Accent5 2 3 3" xfId="490"/>
    <cellStyle name="20% - Accent5 2 4" xfId="91"/>
    <cellStyle name="20% - Accent5 2 4 2" xfId="491"/>
    <cellStyle name="20% - Accent5 2 5" xfId="492"/>
    <cellStyle name="20% - Accent5 3" xfId="92"/>
    <cellStyle name="20% - Accent5 3 2" xfId="93"/>
    <cellStyle name="20% - Accent5 3 2 2" xfId="493"/>
    <cellStyle name="20% - Accent5 3 3" xfId="494"/>
    <cellStyle name="20% - Accent5 4" xfId="94"/>
    <cellStyle name="20% - Accent5 5" xfId="95"/>
    <cellStyle name="20% - Accent5 5 2" xfId="96"/>
    <cellStyle name="20% - Accent5 5 2 2" xfId="495"/>
    <cellStyle name="20% - Accent5 5 3" xfId="496"/>
    <cellStyle name="20% - Accent5 6" xfId="97"/>
    <cellStyle name="20% - Accent5 7" xfId="98"/>
    <cellStyle name="20% - Accent5 7 2" xfId="497"/>
    <cellStyle name="20% - Accent5 8" xfId="99"/>
    <cellStyle name="20% - Accent6 2" xfId="100"/>
    <cellStyle name="20% - Accent6 2 2" xfId="101"/>
    <cellStyle name="20% - Accent6 2 2 2" xfId="102"/>
    <cellStyle name="20% - Accent6 2 2 2 2" xfId="498"/>
    <cellStyle name="20% - Accent6 2 2 3" xfId="499"/>
    <cellStyle name="20% - Accent6 2 3" xfId="103"/>
    <cellStyle name="20% - Accent6 2 3 2" xfId="104"/>
    <cellStyle name="20% - Accent6 2 3 2 2" xfId="500"/>
    <cellStyle name="20% - Accent6 2 3 3" xfId="501"/>
    <cellStyle name="20% - Accent6 2 4" xfId="105"/>
    <cellStyle name="20% - Accent6 2 4 2" xfId="502"/>
    <cellStyle name="20% - Accent6 2 5" xfId="503"/>
    <cellStyle name="20% - Accent6 3" xfId="106"/>
    <cellStyle name="20% - Accent6 3 2" xfId="107"/>
    <cellStyle name="20% - Accent6 3 2 2" xfId="504"/>
    <cellStyle name="20% - Accent6 3 3" xfId="505"/>
    <cellStyle name="20% - Accent6 4" xfId="108"/>
    <cellStyle name="20% - Accent6 5" xfId="109"/>
    <cellStyle name="20% - Accent6 5 2" xfId="110"/>
    <cellStyle name="20% - Accent6 5 2 2" xfId="506"/>
    <cellStyle name="20% - Accent6 5 3" xfId="507"/>
    <cellStyle name="20% - Accent6 6" xfId="111"/>
    <cellStyle name="20% - Accent6 7" xfId="112"/>
    <cellStyle name="20% - Accent6 7 2" xfId="508"/>
    <cellStyle name="20% - Accent6 8" xfId="113"/>
    <cellStyle name="40% - Accent1 2" xfId="114"/>
    <cellStyle name="40% - Accent1 2 2" xfId="115"/>
    <cellStyle name="40% - Accent1 2 2 2" xfId="116"/>
    <cellStyle name="40% - Accent1 2 2 2 2" xfId="509"/>
    <cellStyle name="40% - Accent1 2 2 3" xfId="510"/>
    <cellStyle name="40% - Accent1 2 3" xfId="117"/>
    <cellStyle name="40% - Accent1 2 3 2" xfId="118"/>
    <cellStyle name="40% - Accent1 2 3 2 2" xfId="511"/>
    <cellStyle name="40% - Accent1 2 3 3" xfId="512"/>
    <cellStyle name="40% - Accent1 2 4" xfId="119"/>
    <cellStyle name="40% - Accent1 2 4 2" xfId="513"/>
    <cellStyle name="40% - Accent1 2 5" xfId="514"/>
    <cellStyle name="40% - Accent1 3" xfId="120"/>
    <cellStyle name="40% - Accent1 3 2" xfId="121"/>
    <cellStyle name="40% - Accent1 3 2 2" xfId="515"/>
    <cellStyle name="40% - Accent1 3 3" xfId="516"/>
    <cellStyle name="40% - Accent1 4" xfId="122"/>
    <cellStyle name="40% - Accent1 5" xfId="123"/>
    <cellStyle name="40% - Accent1 5 2" xfId="124"/>
    <cellStyle name="40% - Accent1 5 2 2" xfId="517"/>
    <cellStyle name="40% - Accent1 5 3" xfId="518"/>
    <cellStyle name="40% - Accent1 6" xfId="125"/>
    <cellStyle name="40% - Accent1 7" xfId="126"/>
    <cellStyle name="40% - Accent1 7 2" xfId="519"/>
    <cellStyle name="40% - Accent1 8" xfId="127"/>
    <cellStyle name="40% - Accent2 2" xfId="128"/>
    <cellStyle name="40% - Accent2 2 2" xfId="129"/>
    <cellStyle name="40% - Accent2 2 2 2" xfId="130"/>
    <cellStyle name="40% - Accent2 2 2 2 2" xfId="520"/>
    <cellStyle name="40% - Accent2 2 2 3" xfId="521"/>
    <cellStyle name="40% - Accent2 2 3" xfId="131"/>
    <cellStyle name="40% - Accent2 2 3 2" xfId="132"/>
    <cellStyle name="40% - Accent2 2 3 2 2" xfId="522"/>
    <cellStyle name="40% - Accent2 2 3 3" xfId="523"/>
    <cellStyle name="40% - Accent2 2 4" xfId="133"/>
    <cellStyle name="40% - Accent2 2 4 2" xfId="524"/>
    <cellStyle name="40% - Accent2 2 5" xfId="525"/>
    <cellStyle name="40% - Accent2 3" xfId="134"/>
    <cellStyle name="40% - Accent2 3 2" xfId="135"/>
    <cellStyle name="40% - Accent2 3 2 2" xfId="526"/>
    <cellStyle name="40% - Accent2 3 3" xfId="527"/>
    <cellStyle name="40% - Accent2 4" xfId="136"/>
    <cellStyle name="40% - Accent2 5" xfId="137"/>
    <cellStyle name="40% - Accent2 5 2" xfId="138"/>
    <cellStyle name="40% - Accent2 5 2 2" xfId="528"/>
    <cellStyle name="40% - Accent2 5 3" xfId="529"/>
    <cellStyle name="40% - Accent2 6" xfId="139"/>
    <cellStyle name="40% - Accent2 7" xfId="140"/>
    <cellStyle name="40% - Accent2 7 2" xfId="530"/>
    <cellStyle name="40% - Accent2 8" xfId="141"/>
    <cellStyle name="40% - Accent3 2" xfId="142"/>
    <cellStyle name="40% - Accent3 2 2" xfId="143"/>
    <cellStyle name="40% - Accent3 2 2 2" xfId="144"/>
    <cellStyle name="40% - Accent3 2 2 2 2" xfId="531"/>
    <cellStyle name="40% - Accent3 2 2 3" xfId="532"/>
    <cellStyle name="40% - Accent3 2 3" xfId="145"/>
    <cellStyle name="40% - Accent3 2 3 2" xfId="146"/>
    <cellStyle name="40% - Accent3 2 3 2 2" xfId="533"/>
    <cellStyle name="40% - Accent3 2 3 3" xfId="534"/>
    <cellStyle name="40% - Accent3 2 4" xfId="147"/>
    <cellStyle name="40% - Accent3 2 4 2" xfId="535"/>
    <cellStyle name="40% - Accent3 2 5" xfId="536"/>
    <cellStyle name="40% - Accent3 3" xfId="148"/>
    <cellStyle name="40% - Accent3 3 2" xfId="149"/>
    <cellStyle name="40% - Accent3 3 2 2" xfId="537"/>
    <cellStyle name="40% - Accent3 3 3" xfId="538"/>
    <cellStyle name="40% - Accent3 4" xfId="150"/>
    <cellStyle name="40% - Accent3 5" xfId="151"/>
    <cellStyle name="40% - Accent3 5 2" xfId="152"/>
    <cellStyle name="40% - Accent3 5 2 2" xfId="539"/>
    <cellStyle name="40% - Accent3 5 3" xfId="540"/>
    <cellStyle name="40% - Accent3 6" xfId="153"/>
    <cellStyle name="40% - Accent3 7" xfId="154"/>
    <cellStyle name="40% - Accent3 7 2" xfId="541"/>
    <cellStyle name="40% - Accent3 8" xfId="155"/>
    <cellStyle name="40% - Accent4 2" xfId="156"/>
    <cellStyle name="40% - Accent4 2 2" xfId="157"/>
    <cellStyle name="40% - Accent4 2 2 2" xfId="158"/>
    <cellStyle name="40% - Accent4 2 2 2 2" xfId="542"/>
    <cellStyle name="40% - Accent4 2 2 3" xfId="543"/>
    <cellStyle name="40% - Accent4 2 3" xfId="159"/>
    <cellStyle name="40% - Accent4 2 3 2" xfId="160"/>
    <cellStyle name="40% - Accent4 2 3 2 2" xfId="544"/>
    <cellStyle name="40% - Accent4 2 3 3" xfId="545"/>
    <cellStyle name="40% - Accent4 2 4" xfId="161"/>
    <cellStyle name="40% - Accent4 2 4 2" xfId="546"/>
    <cellStyle name="40% - Accent4 2 5" xfId="547"/>
    <cellStyle name="40% - Accent4 3" xfId="162"/>
    <cellStyle name="40% - Accent4 3 2" xfId="163"/>
    <cellStyle name="40% - Accent4 3 2 2" xfId="548"/>
    <cellStyle name="40% - Accent4 3 3" xfId="549"/>
    <cellStyle name="40% - Accent4 4" xfId="164"/>
    <cellStyle name="40% - Accent4 5" xfId="165"/>
    <cellStyle name="40% - Accent4 5 2" xfId="166"/>
    <cellStyle name="40% - Accent4 5 2 2" xfId="550"/>
    <cellStyle name="40% - Accent4 5 3" xfId="551"/>
    <cellStyle name="40% - Accent4 6" xfId="167"/>
    <cellStyle name="40% - Accent4 7" xfId="168"/>
    <cellStyle name="40% - Accent4 7 2" xfId="552"/>
    <cellStyle name="40% - Accent4 8" xfId="169"/>
    <cellStyle name="40% - Accent5 2" xfId="170"/>
    <cellStyle name="40% - Accent5 2 2" xfId="171"/>
    <cellStyle name="40% - Accent5 2 2 2" xfId="172"/>
    <cellStyle name="40% - Accent5 2 2 2 2" xfId="553"/>
    <cellStyle name="40% - Accent5 2 2 3" xfId="554"/>
    <cellStyle name="40% - Accent5 2 3" xfId="173"/>
    <cellStyle name="40% - Accent5 2 3 2" xfId="174"/>
    <cellStyle name="40% - Accent5 2 3 2 2" xfId="555"/>
    <cellStyle name="40% - Accent5 2 3 3" xfId="556"/>
    <cellStyle name="40% - Accent5 2 4" xfId="175"/>
    <cellStyle name="40% - Accent5 2 4 2" xfId="557"/>
    <cellStyle name="40% - Accent5 2 5" xfId="558"/>
    <cellStyle name="40% - Accent5 3" xfId="176"/>
    <cellStyle name="40% - Accent5 3 2" xfId="177"/>
    <cellStyle name="40% - Accent5 3 2 2" xfId="559"/>
    <cellStyle name="40% - Accent5 3 3" xfId="560"/>
    <cellStyle name="40% - Accent5 4" xfId="178"/>
    <cellStyle name="40% - Accent5 5" xfId="179"/>
    <cellStyle name="40% - Accent5 5 2" xfId="180"/>
    <cellStyle name="40% - Accent5 5 2 2" xfId="561"/>
    <cellStyle name="40% - Accent5 5 3" xfId="562"/>
    <cellStyle name="40% - Accent5 6" xfId="181"/>
    <cellStyle name="40% - Accent5 7" xfId="182"/>
    <cellStyle name="40% - Accent5 7 2" xfId="563"/>
    <cellStyle name="40% - Accent5 8" xfId="183"/>
    <cellStyle name="40% - Accent6 2" xfId="184"/>
    <cellStyle name="40% - Accent6 2 2" xfId="185"/>
    <cellStyle name="40% - Accent6 2 2 2" xfId="186"/>
    <cellStyle name="40% - Accent6 2 2 2 2" xfId="564"/>
    <cellStyle name="40% - Accent6 2 2 3" xfId="565"/>
    <cellStyle name="40% - Accent6 2 3" xfId="187"/>
    <cellStyle name="40% - Accent6 2 3 2" xfId="188"/>
    <cellStyle name="40% - Accent6 2 3 2 2" xfId="566"/>
    <cellStyle name="40% - Accent6 2 3 3" xfId="567"/>
    <cellStyle name="40% - Accent6 2 4" xfId="189"/>
    <cellStyle name="40% - Accent6 2 4 2" xfId="568"/>
    <cellStyle name="40% - Accent6 2 5" xfId="569"/>
    <cellStyle name="40% - Accent6 3" xfId="190"/>
    <cellStyle name="40% - Accent6 3 2" xfId="191"/>
    <cellStyle name="40% - Accent6 3 2 2" xfId="570"/>
    <cellStyle name="40% - Accent6 3 3" xfId="571"/>
    <cellStyle name="40% - Accent6 4" xfId="192"/>
    <cellStyle name="40% - Accent6 5" xfId="193"/>
    <cellStyle name="40% - Accent6 5 2" xfId="194"/>
    <cellStyle name="40% - Accent6 5 2 2" xfId="572"/>
    <cellStyle name="40% - Accent6 5 3" xfId="573"/>
    <cellStyle name="40% - Accent6 6" xfId="195"/>
    <cellStyle name="40% - Accent6 7" xfId="196"/>
    <cellStyle name="40% - Accent6 7 2" xfId="574"/>
    <cellStyle name="40% - Accent6 8" xfId="197"/>
    <cellStyle name="60% - Accent1 2" xfId="198"/>
    <cellStyle name="60% - Accent1 3" xfId="199"/>
    <cellStyle name="60% - Accent1 4" xfId="200"/>
    <cellStyle name="60% - Accent1 5" xfId="201"/>
    <cellStyle name="60% - Accent2 2" xfId="202"/>
    <cellStyle name="60% - Accent2 3" xfId="203"/>
    <cellStyle name="60% - Accent2 4" xfId="204"/>
    <cellStyle name="60% - Accent2 5" xfId="205"/>
    <cellStyle name="60% - Accent3 2" xfId="206"/>
    <cellStyle name="60% - Accent3 3" xfId="207"/>
    <cellStyle name="60% - Accent3 4" xfId="208"/>
    <cellStyle name="60% - Accent3 5" xfId="209"/>
    <cellStyle name="60% - Accent4 2" xfId="210"/>
    <cellStyle name="60% - Accent4 3" xfId="211"/>
    <cellStyle name="60% - Accent4 4" xfId="212"/>
    <cellStyle name="60% - Accent4 5" xfId="213"/>
    <cellStyle name="60% - Accent5 2" xfId="214"/>
    <cellStyle name="60% - Accent5 3" xfId="215"/>
    <cellStyle name="60% - Accent5 4" xfId="216"/>
    <cellStyle name="60% - Accent5 5" xfId="217"/>
    <cellStyle name="60% - Accent6 2" xfId="218"/>
    <cellStyle name="60% - Accent6 3" xfId="219"/>
    <cellStyle name="60% - Accent6 4" xfId="220"/>
    <cellStyle name="60% - Accent6 5" xfId="221"/>
    <cellStyle name="Accent1 2" xfId="222"/>
    <cellStyle name="Accent1 3" xfId="223"/>
    <cellStyle name="Accent1 4" xfId="224"/>
    <cellStyle name="Accent1 5" xfId="225"/>
    <cellStyle name="Accent2 2" xfId="226"/>
    <cellStyle name="Accent2 3" xfId="227"/>
    <cellStyle name="Accent2 4" xfId="228"/>
    <cellStyle name="Accent2 5" xfId="229"/>
    <cellStyle name="Accent3 2" xfId="230"/>
    <cellStyle name="Accent3 3" xfId="231"/>
    <cellStyle name="Accent3 4" xfId="232"/>
    <cellStyle name="Accent3 5" xfId="233"/>
    <cellStyle name="Accent4 2" xfId="234"/>
    <cellStyle name="Accent4 3" xfId="235"/>
    <cellStyle name="Accent4 4" xfId="236"/>
    <cellStyle name="Accent4 5" xfId="237"/>
    <cellStyle name="Accent5 2" xfId="238"/>
    <cellStyle name="Accent5 3" xfId="239"/>
    <cellStyle name="Accent5 4" xfId="240"/>
    <cellStyle name="Accent5 5" xfId="241"/>
    <cellStyle name="Accent6 2" xfId="242"/>
    <cellStyle name="Accent6 3" xfId="243"/>
    <cellStyle name="Accent6 4" xfId="244"/>
    <cellStyle name="Accent6 5" xfId="245"/>
    <cellStyle name="Bad" xfId="18" builtinId="27"/>
    <cellStyle name="Bad 2" xfId="246"/>
    <cellStyle name="Bad 3" xfId="247"/>
    <cellStyle name="Bad 4" xfId="248"/>
    <cellStyle name="Bad 5" xfId="249"/>
    <cellStyle name="Calculation 2" xfId="250"/>
    <cellStyle name="Calculation 2 2" xfId="438"/>
    <cellStyle name="Calculation 3" xfId="251"/>
    <cellStyle name="Calculation 4" xfId="252"/>
    <cellStyle name="Calculation 5" xfId="253"/>
    <cellStyle name="Calculation 6" xfId="433"/>
    <cellStyle name="Calculation 7" xfId="620"/>
    <cellStyle name="Check Cell 2" xfId="254"/>
    <cellStyle name="Check Cell 3" xfId="255"/>
    <cellStyle name="Check Cell 4" xfId="256"/>
    <cellStyle name="Check Cell 5" xfId="257"/>
    <cellStyle name="Comma" xfId="16" builtinId="3"/>
    <cellStyle name="Comma 10" xfId="376"/>
    <cellStyle name="Comma 11" xfId="377"/>
    <cellStyle name="Comma 12" xfId="378"/>
    <cellStyle name="Comma 13" xfId="379"/>
    <cellStyle name="Comma 14" xfId="424"/>
    <cellStyle name="Comma 15" xfId="618"/>
    <cellStyle name="Comma 2" xfId="12"/>
    <cellStyle name="Comma 2 2" xfId="29"/>
    <cellStyle name="Comma 2 2 2" xfId="368"/>
    <cellStyle name="Comma 2 3" xfId="380"/>
    <cellStyle name="Comma 3" xfId="15"/>
    <cellStyle name="Comma 3 2" xfId="258"/>
    <cellStyle name="Comma 3 2 2" xfId="259"/>
    <cellStyle name="Comma 3 2 2 2" xfId="575"/>
    <cellStyle name="Comma 3 2 3" xfId="425"/>
    <cellStyle name="Comma 3 2 4" xfId="576"/>
    <cellStyle name="Comma 3 3" xfId="260"/>
    <cellStyle name="Comma 3 3 2" xfId="577"/>
    <cellStyle name="Comma 3 4" xfId="369"/>
    <cellStyle name="Comma 3 5" xfId="578"/>
    <cellStyle name="Comma 4" xfId="261"/>
    <cellStyle name="Comma 4 2" xfId="262"/>
    <cellStyle name="Comma 4 2 2" xfId="579"/>
    <cellStyle name="Comma 4 3" xfId="381"/>
    <cellStyle name="Comma 4 4" xfId="580"/>
    <cellStyle name="Comma 5" xfId="263"/>
    <cellStyle name="Comma 5 2" xfId="264"/>
    <cellStyle name="Comma 5 2 2" xfId="375"/>
    <cellStyle name="Comma 5 3" xfId="382"/>
    <cellStyle name="Comma 6" xfId="265"/>
    <cellStyle name="Comma 7" xfId="266"/>
    <cellStyle name="Comma 7 2" xfId="383"/>
    <cellStyle name="Comma 7 3" xfId="581"/>
    <cellStyle name="Comma 8" xfId="267"/>
    <cellStyle name="Comma 9" xfId="384"/>
    <cellStyle name="Currency" xfId="21" builtinId="4"/>
    <cellStyle name="Currency 2" xfId="268"/>
    <cellStyle name="Currency 2 2" xfId="386"/>
    <cellStyle name="Currency 2 2 2" xfId="387"/>
    <cellStyle name="Currency 2 3" xfId="385"/>
    <cellStyle name="Currency 3" xfId="388"/>
    <cellStyle name="Currency 3 2" xfId="426"/>
    <cellStyle name="Currency 4" xfId="389"/>
    <cellStyle name="Currency 4 2" xfId="390"/>
    <cellStyle name="Currency 5" xfId="427"/>
    <cellStyle name="Currency 6" xfId="621"/>
    <cellStyle name="Explanatory Text 2" xfId="269"/>
    <cellStyle name="Explanatory Text 3" xfId="270"/>
    <cellStyle name="Explanatory Text 4" xfId="271"/>
    <cellStyle name="Explanatory Text 5" xfId="272"/>
    <cellStyle name="Good" xfId="17" builtinId="26"/>
    <cellStyle name="Good 2" xfId="273"/>
    <cellStyle name="Good 3" xfId="274"/>
    <cellStyle name="Good 4" xfId="275"/>
    <cellStyle name="Good 5" xfId="276"/>
    <cellStyle name="Heading 1 2" xfId="277"/>
    <cellStyle name="Heading 1 3" xfId="278"/>
    <cellStyle name="Heading 1 4" xfId="279"/>
    <cellStyle name="Heading 1 5" xfId="280"/>
    <cellStyle name="Heading 2 2" xfId="281"/>
    <cellStyle name="Heading 2 3" xfId="282"/>
    <cellStyle name="Heading 2 4" xfId="283"/>
    <cellStyle name="Heading 2 5" xfId="284"/>
    <cellStyle name="Heading 3 2" xfId="285"/>
    <cellStyle name="Heading 3 3" xfId="286"/>
    <cellStyle name="Heading 3 4" xfId="287"/>
    <cellStyle name="Heading 3 5" xfId="288"/>
    <cellStyle name="Heading 3 6" xfId="622"/>
    <cellStyle name="Heading 4 2" xfId="289"/>
    <cellStyle name="Heading 4 3" xfId="290"/>
    <cellStyle name="Heading 4 4" xfId="291"/>
    <cellStyle name="Heading 4 5" xfId="292"/>
    <cellStyle name="Hyperlink 2" xfId="372"/>
    <cellStyle name="Input 2" xfId="293"/>
    <cellStyle name="Input 2 2" xfId="437"/>
    <cellStyle name="Input 3" xfId="294"/>
    <cellStyle name="Input 4" xfId="295"/>
    <cellStyle name="Input 5" xfId="296"/>
    <cellStyle name="Input 6" xfId="423"/>
    <cellStyle name="Input 7" xfId="623"/>
    <cellStyle name="Linked Cell 2" xfId="297"/>
    <cellStyle name="Linked Cell 3" xfId="298"/>
    <cellStyle name="Linked Cell 4" xfId="299"/>
    <cellStyle name="Linked Cell 5" xfId="300"/>
    <cellStyle name="Neutral" xfId="9" builtinId="28"/>
    <cellStyle name="Neutral 2" xfId="301"/>
    <cellStyle name="Neutral 3" xfId="302"/>
    <cellStyle name="Neutral 4" xfId="303"/>
    <cellStyle name="Neutral 5" xfId="304"/>
    <cellStyle name="Normal" xfId="0" builtinId="0"/>
    <cellStyle name="Normal 10" xfId="28"/>
    <cellStyle name="Normal 10 2" xfId="391"/>
    <cellStyle name="Normal 11" xfId="305"/>
    <cellStyle name="Normal 11 2" xfId="306"/>
    <cellStyle name="Normal 11 2 2" xfId="393"/>
    <cellStyle name="Normal 11 2 3" xfId="582"/>
    <cellStyle name="Normal 11 3" xfId="392"/>
    <cellStyle name="Normal 11 4" xfId="583"/>
    <cellStyle name="Normal 12" xfId="307"/>
    <cellStyle name="Normal 12 2" xfId="308"/>
    <cellStyle name="Normal 12 2 2" xfId="395"/>
    <cellStyle name="Normal 12 2 3" xfId="584"/>
    <cellStyle name="Normal 12 3" xfId="394"/>
    <cellStyle name="Normal 12 4" xfId="585"/>
    <cellStyle name="Normal 13" xfId="309"/>
    <cellStyle name="Normal 13 2" xfId="396"/>
    <cellStyle name="Normal 14" xfId="310"/>
    <cellStyle name="Normal 14 2" xfId="397"/>
    <cellStyle name="Normal 14 2 2" xfId="398"/>
    <cellStyle name="Normal 14 3" xfId="586"/>
    <cellStyle name="Normal 15" xfId="311"/>
    <cellStyle name="Normal 15 2" xfId="400"/>
    <cellStyle name="Normal 15 3" xfId="399"/>
    <cellStyle name="Normal 16" xfId="374"/>
    <cellStyle name="Normal 16 2" xfId="401"/>
    <cellStyle name="Normal 17" xfId="402"/>
    <cellStyle name="Normal 18" xfId="403"/>
    <cellStyle name="Normal 19" xfId="404"/>
    <cellStyle name="Normal 2" xfId="1"/>
    <cellStyle name="Normal 2 2" xfId="20"/>
    <cellStyle name="Normal 2 2 2" xfId="312"/>
    <cellStyle name="Normal 2 3" xfId="24"/>
    <cellStyle name="Normal 2 3 2" xfId="405"/>
    <cellStyle name="Normal 2 4" xfId="313"/>
    <cellStyle name="Normal 2 4 2" xfId="314"/>
    <cellStyle name="Normal 2 4 2 2" xfId="587"/>
    <cellStyle name="Normal 2 4 3" xfId="588"/>
    <cellStyle name="Normal 2_Sheet2" xfId="406"/>
    <cellStyle name="Normal 2_TB 170412 - CURRENT" xfId="13"/>
    <cellStyle name="Normal 20" xfId="428"/>
    <cellStyle name="Normal 21" xfId="434"/>
    <cellStyle name="Normal 21 2" xfId="440"/>
    <cellStyle name="Normal 22" xfId="439"/>
    <cellStyle name="Normal 23" xfId="615"/>
    <cellStyle name="Normal 24" xfId="616"/>
    <cellStyle name="Normal 25" xfId="619"/>
    <cellStyle name="Normal 26" xfId="628"/>
    <cellStyle name="Normal 27" xfId="629"/>
    <cellStyle name="Normal 28" xfId="630"/>
    <cellStyle name="Normal 29" xfId="631"/>
    <cellStyle name="Normal 3" xfId="2"/>
    <cellStyle name="Normal 3 2" xfId="25"/>
    <cellStyle name="Normal 3 3" xfId="315"/>
    <cellStyle name="Normal 3 3 2" xfId="429"/>
    <cellStyle name="Normal 3 4" xfId="435"/>
    <cellStyle name="Normal 30" xfId="632"/>
    <cellStyle name="Normal 31" xfId="633"/>
    <cellStyle name="Normal 32" xfId="634"/>
    <cellStyle name="Normal 33" xfId="635"/>
    <cellStyle name="Normal 34" xfId="636"/>
    <cellStyle name="Normal 35" xfId="637"/>
    <cellStyle name="Normal 36" xfId="638"/>
    <cellStyle name="Normal 37" xfId="639"/>
    <cellStyle name="Normal 38" xfId="640"/>
    <cellStyle name="Normal 39" xfId="641"/>
    <cellStyle name="Normal 4" xfId="10"/>
    <cellStyle name="Normal 4 2" xfId="316"/>
    <cellStyle name="Normal 4 2 2" xfId="317"/>
    <cellStyle name="Normal 4 2 2 2" xfId="589"/>
    <cellStyle name="Normal 4 2 3" xfId="408"/>
    <cellStyle name="Normal 4 2 4" xfId="590"/>
    <cellStyle name="Normal 4 3" xfId="318"/>
    <cellStyle name="Normal 4 3 2" xfId="319"/>
    <cellStyle name="Normal 4 3 2 2" xfId="591"/>
    <cellStyle name="Normal 4 3 3" xfId="592"/>
    <cellStyle name="Normal 4 4" xfId="320"/>
    <cellStyle name="Normal 4 4 2" xfId="593"/>
    <cellStyle name="Normal 4 5" xfId="370"/>
    <cellStyle name="Normal 4 6" xfId="407"/>
    <cellStyle name="Normal 4 7" xfId="594"/>
    <cellStyle name="Normal 40" xfId="642"/>
    <cellStyle name="Normal 41" xfId="643"/>
    <cellStyle name="Normal 42" xfId="644"/>
    <cellStyle name="Normal 43" xfId="645"/>
    <cellStyle name="Normal 44" xfId="646"/>
    <cellStyle name="Normal 5" xfId="22"/>
    <cellStyle name="Normal 5 2" xfId="321"/>
    <cellStyle name="Normal 5 2 2" xfId="322"/>
    <cellStyle name="Normal 5 2 2 2" xfId="410"/>
    <cellStyle name="Normal 5 2 3" xfId="409"/>
    <cellStyle name="Normal 5 3" xfId="323"/>
    <cellStyle name="Normal 5 3 2" xfId="411"/>
    <cellStyle name="Normal 5 3 3" xfId="595"/>
    <cellStyle name="Normal 5 4" xfId="596"/>
    <cellStyle name="Normal 6" xfId="324"/>
    <cellStyle name="Normal 6 2" xfId="325"/>
    <cellStyle name="Normal 6 2 2" xfId="326"/>
    <cellStyle name="Normal 6 2 2 2" xfId="597"/>
    <cellStyle name="Normal 6 2 3" xfId="412"/>
    <cellStyle name="Normal 6 2 4" xfId="598"/>
    <cellStyle name="Normal 6 3" xfId="327"/>
    <cellStyle name="Normal 6 4" xfId="328"/>
    <cellStyle name="Normal 6 4 2" xfId="413"/>
    <cellStyle name="Normal 6 4 3" xfId="599"/>
    <cellStyle name="Normal 6 5" xfId="600"/>
    <cellStyle name="Normal 7" xfId="329"/>
    <cellStyle name="Normal 7 2" xfId="414"/>
    <cellStyle name="Normal 8" xfId="330"/>
    <cellStyle name="Normal 8 2" xfId="415"/>
    <cellStyle name="Normal 9" xfId="331"/>
    <cellStyle name="Normal 9 2" xfId="416"/>
    <cellStyle name="Normal JB" xfId="3"/>
    <cellStyle name="Normal JB 2" xfId="14"/>
    <cellStyle name="Normal JB 2 2" xfId="27"/>
    <cellStyle name="Normal JB 3" xfId="23"/>
    <cellStyle name="Normal JB 3 2" xfId="371"/>
    <cellStyle name="Normal JB 4" xfId="442"/>
    <cellStyle name="Normal_TB 170412 - CURRENT" xfId="11"/>
    <cellStyle name="NormalJB" xfId="332"/>
    <cellStyle name="NormalJB 2" xfId="333"/>
    <cellStyle name="NormalJB 2 2" xfId="601"/>
    <cellStyle name="NormalJB 3" xfId="602"/>
    <cellStyle name="Note 10" xfId="624"/>
    <cellStyle name="Note 11" xfId="627"/>
    <cellStyle name="Note 2" xfId="4"/>
    <cellStyle name="Note 2 2" xfId="334"/>
    <cellStyle name="Note 2 2 2" xfId="335"/>
    <cellStyle name="Note 2 2 2 2" xfId="603"/>
    <cellStyle name="Note 2 2 3" xfId="604"/>
    <cellStyle name="Note 3" xfId="336"/>
    <cellStyle name="Note 3 2" xfId="337"/>
    <cellStyle name="Note 3 2 2" xfId="338"/>
    <cellStyle name="Note 3 2 2 2" xfId="605"/>
    <cellStyle name="Note 3 2 3" xfId="606"/>
    <cellStyle name="Note 3 3" xfId="339"/>
    <cellStyle name="Note 3 3 2" xfId="607"/>
    <cellStyle name="Note 3 4" xfId="608"/>
    <cellStyle name="Note 4" xfId="340"/>
    <cellStyle name="Note 4 2" xfId="341"/>
    <cellStyle name="Note 4 2 2" xfId="609"/>
    <cellStyle name="Note 4 3" xfId="610"/>
    <cellStyle name="Note 5" xfId="342"/>
    <cellStyle name="Note 6" xfId="343"/>
    <cellStyle name="Note 6 2" xfId="344"/>
    <cellStyle name="Note 6 2 2" xfId="611"/>
    <cellStyle name="Note 6 3" xfId="612"/>
    <cellStyle name="Note 7" xfId="345"/>
    <cellStyle name="Note 8" xfId="346"/>
    <cellStyle name="Note 8 2" xfId="613"/>
    <cellStyle name="Note 9" xfId="347"/>
    <cellStyle name="Output 2" xfId="348"/>
    <cellStyle name="Output 3" xfId="349"/>
    <cellStyle name="Output 4" xfId="350"/>
    <cellStyle name="Output 5" xfId="351"/>
    <cellStyle name="Output 6" xfId="625"/>
    <cellStyle name="Percent" xfId="8" builtinId="5"/>
    <cellStyle name="Percent 2" xfId="5"/>
    <cellStyle name="Percent 2 2" xfId="417"/>
    <cellStyle name="Percent 2 3" xfId="418"/>
    <cellStyle name="Percent 2 4" xfId="419"/>
    <cellStyle name="Percent 2 5" xfId="430"/>
    <cellStyle name="Percent 2 6" xfId="373"/>
    <cellStyle name="Percent 3" xfId="352"/>
    <cellStyle name="Percent 3 2" xfId="431"/>
    <cellStyle name="Percent 3 3" xfId="420"/>
    <cellStyle name="Percent 4" xfId="353"/>
    <cellStyle name="Percent 4 2" xfId="422"/>
    <cellStyle name="Percent 4 3" xfId="421"/>
    <cellStyle name="Percent 5" xfId="354"/>
    <cellStyle name="Percent 5 2" xfId="432"/>
    <cellStyle name="Percent 5 3" xfId="614"/>
    <cellStyle name="Percent 6" xfId="355"/>
    <cellStyle name="Percent 7" xfId="617"/>
    <cellStyle name="Present JB" xfId="19"/>
    <cellStyle name="Present JB 2" xfId="441"/>
    <cellStyle name="StandardValue" xfId="6"/>
    <cellStyle name="StandardValue 2" xfId="26"/>
    <cellStyle name="Title 2" xfId="356"/>
    <cellStyle name="Title 3" xfId="357"/>
    <cellStyle name="Title 4" xfId="358"/>
    <cellStyle name="Title 5" xfId="359"/>
    <cellStyle name="Total 2" xfId="360"/>
    <cellStyle name="Total 3" xfId="361"/>
    <cellStyle name="Total 4" xfId="362"/>
    <cellStyle name="Total 5" xfId="363"/>
    <cellStyle name="Total 6" xfId="626"/>
    <cellStyle name="Warning Text 2" xfId="364"/>
    <cellStyle name="Warning Text 3" xfId="365"/>
    <cellStyle name="Warning Text 4" xfId="366"/>
    <cellStyle name="Warning Text 5" xfId="367"/>
    <cellStyle name="Year" xfId="7"/>
  </cellStyles>
  <dxfs count="0"/>
  <tableStyles count="0" defaultTableStyle="TableStyleMedium9" defaultPivotStyle="PivotStyleLight16"/>
  <colors>
    <mruColors>
      <color rgb="FFCC99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2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3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Operating Performance Ratio - Scenario 1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'Muswellbrook FFF Ratios'!$D$242:$O$242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xVal>
          <c:yVal>
            <c:numRef>
              <c:f>'Muswellbrook FFF Ratios'!$D$248:$O$248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-1.2625051997187818E-2</c:v>
                </c:pt>
                <c:pt idx="3">
                  <c:v>1.0398161787175448E-2</c:v>
                </c:pt>
                <c:pt idx="4">
                  <c:v>1.619835660923372E-2</c:v>
                </c:pt>
                <c:pt idx="5">
                  <c:v>1.5410001324382134E-2</c:v>
                </c:pt>
                <c:pt idx="6">
                  <c:v>1.2804372610127093E-2</c:v>
                </c:pt>
                <c:pt idx="7">
                  <c:v>8.6574295475843523E-3</c:v>
                </c:pt>
                <c:pt idx="8">
                  <c:v>5.8029353808200148E-3</c:v>
                </c:pt>
                <c:pt idx="9">
                  <c:v>5.2667481604024239E-3</c:v>
                </c:pt>
                <c:pt idx="10">
                  <c:v>4.6755603805826934E-3</c:v>
                </c:pt>
                <c:pt idx="11">
                  <c:v>4.0890819868293496E-3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334400"/>
        <c:axId val="159336320"/>
      </c:scatterChart>
      <c:valAx>
        <c:axId val="159334400"/>
        <c:scaling>
          <c:orientation val="minMax"/>
          <c:max val="2026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Year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9336320"/>
        <c:crosses val="autoZero"/>
        <c:crossBetween val="midCat"/>
      </c:valAx>
      <c:valAx>
        <c:axId val="15933632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1593344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Asset Renewal Ratio - Scenario 2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'Muswellbrook FFF Ratios'!$D$242:$O$242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xVal>
          <c:yVal>
            <c:numRef>
              <c:f>'Muswellbrook FFF Ratios'!$D$250:$O$250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0.71882981528158085</c:v>
                </c:pt>
                <c:pt idx="3">
                  <c:v>1.2526875977648806</c:v>
                </c:pt>
                <c:pt idx="4">
                  <c:v>1.2647632617226836</c:v>
                </c:pt>
                <c:pt idx="5">
                  <c:v>1.2395288167645289</c:v>
                </c:pt>
                <c:pt idx="6">
                  <c:v>1.0109582940059707</c:v>
                </c:pt>
                <c:pt idx="7">
                  <c:v>1.0085819344000608</c:v>
                </c:pt>
                <c:pt idx="8">
                  <c:v>1.007344765301398</c:v>
                </c:pt>
                <c:pt idx="9">
                  <c:v>1.0054813493376618</c:v>
                </c:pt>
                <c:pt idx="10">
                  <c:v>1.0056665579389272</c:v>
                </c:pt>
                <c:pt idx="11">
                  <c:v>1.0060454347123233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118528"/>
        <c:axId val="168120704"/>
      </c:scatterChart>
      <c:valAx>
        <c:axId val="168118528"/>
        <c:scaling>
          <c:orientation val="minMax"/>
          <c:max val="2026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Year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8120704"/>
        <c:crosses val="autoZero"/>
        <c:crossBetween val="midCat"/>
      </c:valAx>
      <c:valAx>
        <c:axId val="16812070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1681185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Backlog</a:t>
            </a:r>
            <a:r>
              <a:rPr lang="en-NZ" baseline="0"/>
              <a:t> </a:t>
            </a:r>
            <a:r>
              <a:rPr lang="en-NZ"/>
              <a:t>Ratio - Scenario 2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'Muswellbrook FFF Ratios'!$D$242:$O$242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xVal>
          <c:yVal>
            <c:numRef>
              <c:f>'Muswellbrook FFF Ratios'!$D$251:$O$251</c:f>
              <c:numCache>
                <c:formatCode>0.0%</c:formatCode>
                <c:ptCount val="12"/>
                <c:pt idx="0">
                  <c:v>2.0921636390210323E-2</c:v>
                </c:pt>
                <c:pt idx="1">
                  <c:v>2.1202333570640202E-2</c:v>
                </c:pt>
                <c:pt idx="2">
                  <c:v>2.1308459510721522E-2</c:v>
                </c:pt>
                <c:pt idx="3">
                  <c:v>2.0300319896555834E-2</c:v>
                </c:pt>
                <c:pt idx="4">
                  <c:v>9.4234301255619549E-3</c:v>
                </c:pt>
                <c:pt idx="5">
                  <c:v>9.2626657543320601E-3</c:v>
                </c:pt>
                <c:pt idx="6">
                  <c:v>9.1441558722497231E-3</c:v>
                </c:pt>
                <c:pt idx="7">
                  <c:v>8.9060321589522259E-3</c:v>
                </c:pt>
                <c:pt idx="8">
                  <c:v>8.8474109302820077E-3</c:v>
                </c:pt>
                <c:pt idx="9">
                  <c:v>8.7799463957723249E-3</c:v>
                </c:pt>
                <c:pt idx="10">
                  <c:v>8.6275377018121512E-3</c:v>
                </c:pt>
                <c:pt idx="11">
                  <c:v>8.5523479924291511E-3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157184"/>
        <c:axId val="168159104"/>
      </c:scatterChart>
      <c:valAx>
        <c:axId val="168157184"/>
        <c:scaling>
          <c:orientation val="minMax"/>
          <c:max val="2026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Year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8159104"/>
        <c:crosses val="autoZero"/>
        <c:crossBetween val="midCat"/>
      </c:valAx>
      <c:valAx>
        <c:axId val="16815910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1681571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Asset Maintenance</a:t>
            </a:r>
            <a:r>
              <a:rPr lang="en-NZ" baseline="0"/>
              <a:t> </a:t>
            </a:r>
            <a:r>
              <a:rPr lang="en-NZ"/>
              <a:t>Ratio - Scenario 2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'Muswellbrook FFF Ratios'!$D$242:$O$242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xVal>
          <c:yVal>
            <c:numRef>
              <c:f>'Muswellbrook FFF Ratios'!$D$252:$O$252</c:f>
              <c:numCache>
                <c:formatCode>0%</c:formatCode>
                <c:ptCount val="12"/>
                <c:pt idx="0">
                  <c:v>0.82606451612903231</c:v>
                </c:pt>
                <c:pt idx="1">
                  <c:v>0.91303225806451616</c:v>
                </c:pt>
                <c:pt idx="2">
                  <c:v>0.94202150537634421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191488"/>
        <c:axId val="168193408"/>
      </c:scatterChart>
      <c:valAx>
        <c:axId val="168191488"/>
        <c:scaling>
          <c:orientation val="minMax"/>
          <c:max val="2026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Year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8193408"/>
        <c:crosses val="autoZero"/>
        <c:crossBetween val="midCat"/>
      </c:valAx>
      <c:valAx>
        <c:axId val="168193408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1681914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Debt Services</a:t>
            </a:r>
            <a:r>
              <a:rPr lang="en-NZ" baseline="0"/>
              <a:t> </a:t>
            </a:r>
            <a:r>
              <a:rPr lang="en-NZ"/>
              <a:t>Ratio - Scenario 2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'Muswellbrook FFF Ratios'!$D$242:$L$242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xVal>
          <c:yVal>
            <c:numRef>
              <c:f>'Muswellbrook FFF Ratios'!$D$253:$L$253</c:f>
              <c:numCache>
                <c:formatCode>0.0%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3.4120049739244658E-2</c:v>
                </c:pt>
                <c:pt idx="3">
                  <c:v>3.8289345815390854E-2</c:v>
                </c:pt>
                <c:pt idx="4">
                  <c:v>3.7263672561705173E-2</c:v>
                </c:pt>
                <c:pt idx="5">
                  <c:v>3.6255310839704402E-2</c:v>
                </c:pt>
                <c:pt idx="6">
                  <c:v>3.5276419982969182E-2</c:v>
                </c:pt>
                <c:pt idx="7">
                  <c:v>3.4269283662219277E-2</c:v>
                </c:pt>
                <c:pt idx="8">
                  <c:v>3.3226864998111325E-2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242176"/>
        <c:axId val="168244352"/>
      </c:scatterChart>
      <c:valAx>
        <c:axId val="16824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Year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8244352"/>
        <c:crosses val="autoZero"/>
        <c:crossBetween val="midCat"/>
      </c:valAx>
      <c:valAx>
        <c:axId val="16824435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1682421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Operating Expenditure per Capita -  Scenario 2</a:t>
            </a:r>
            <a:endParaRPr lang="en-NZ">
              <a:effectLst/>
            </a:endParaRP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'Muswellbrook FFF Ratios'!$D$242:$O$242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xVal>
          <c:yVal>
            <c:numRef>
              <c:f>'Muswellbrook FFF Ratios'!$D$255:$O$255</c:f>
              <c:numCache>
                <c:formatCode>_-"$"* #,##0_-;\-"$"* #,##0_-;_-"$"* "-"??_-;_-@_-</c:formatCode>
                <c:ptCount val="12"/>
                <c:pt idx="0">
                  <c:v>1948.3505592524425</c:v>
                </c:pt>
                <c:pt idx="1">
                  <c:v>2093.0326906360388</c:v>
                </c:pt>
                <c:pt idx="2">
                  <c:v>2032.6667745911852</c:v>
                </c:pt>
                <c:pt idx="3">
                  <c:v>2021.5595042229556</c:v>
                </c:pt>
                <c:pt idx="4">
                  <c:v>2004.3045718564874</c:v>
                </c:pt>
                <c:pt idx="5">
                  <c:v>1999.96379708564</c:v>
                </c:pt>
                <c:pt idx="6">
                  <c:v>1978.5851857434325</c:v>
                </c:pt>
                <c:pt idx="7">
                  <c:v>1957.4985528890484</c:v>
                </c:pt>
                <c:pt idx="8">
                  <c:v>1937.2164338665013</c:v>
                </c:pt>
                <c:pt idx="9">
                  <c:v>1917.3781726862455</c:v>
                </c:pt>
                <c:pt idx="10">
                  <c:v>1900.3046476239467</c:v>
                </c:pt>
                <c:pt idx="11">
                  <c:v>1880.975396063626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280832"/>
        <c:axId val="168282752"/>
      </c:scatterChart>
      <c:valAx>
        <c:axId val="168280832"/>
        <c:scaling>
          <c:orientation val="minMax"/>
          <c:max val="2026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Year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8282752"/>
        <c:crosses val="autoZero"/>
        <c:crossBetween val="midCat"/>
      </c:valAx>
      <c:valAx>
        <c:axId val="168282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NZ" sz="1000" b="1" i="0" baseline="0">
                    <a:effectLst/>
                  </a:rPr>
                  <a:t>Expentditure / Capita</a:t>
                </a:r>
                <a:endParaRPr lang="en-NZ" sz="400">
                  <a:effectLst/>
                </a:endParaRP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1682808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Operating Performance Ratio - Scenario 3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'Muswellbrook FFF Ratios'!$D$242:$O$242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xVal>
          <c:yVal>
            <c:numRef>
              <c:f>'Muswellbrook FFF Ratios'!$D$248:$O$248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-1.2625051997187818E-2</c:v>
                </c:pt>
                <c:pt idx="3">
                  <c:v>1.0398161787175448E-2</c:v>
                </c:pt>
                <c:pt idx="4">
                  <c:v>1.619835660923372E-2</c:v>
                </c:pt>
                <c:pt idx="5">
                  <c:v>1.5410001324382134E-2</c:v>
                </c:pt>
                <c:pt idx="6">
                  <c:v>1.2804372610127093E-2</c:v>
                </c:pt>
                <c:pt idx="7">
                  <c:v>8.6574295475843523E-3</c:v>
                </c:pt>
                <c:pt idx="8">
                  <c:v>5.8029353808200148E-3</c:v>
                </c:pt>
                <c:pt idx="9">
                  <c:v>5.2667481604024239E-3</c:v>
                </c:pt>
                <c:pt idx="10">
                  <c:v>4.6755603805826934E-3</c:v>
                </c:pt>
                <c:pt idx="11">
                  <c:v>4.0890819868293496E-3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634432"/>
        <c:axId val="169636608"/>
      </c:scatterChart>
      <c:valAx>
        <c:axId val="169634432"/>
        <c:scaling>
          <c:orientation val="minMax"/>
          <c:max val="2026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Year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9636608"/>
        <c:crosses val="autoZero"/>
        <c:crossBetween val="midCat"/>
      </c:valAx>
      <c:valAx>
        <c:axId val="16963660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1696344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Own Source Revenue -  Scenario 3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'Muswellbrook FFF Ratios'!$D$242:$O$242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xVal>
          <c:yVal>
            <c:numRef>
              <c:f>'Muswellbrook FFF Ratios'!$D$249:$O$249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0.74135751938037875</c:v>
                </c:pt>
                <c:pt idx="3">
                  <c:v>0.78330332890749022</c:v>
                </c:pt>
                <c:pt idx="4">
                  <c:v>0.78628367390414611</c:v>
                </c:pt>
                <c:pt idx="5">
                  <c:v>0.78803446532289201</c:v>
                </c:pt>
                <c:pt idx="6">
                  <c:v>0.78853136528569923</c:v>
                </c:pt>
                <c:pt idx="7">
                  <c:v>0.78803930046675852</c:v>
                </c:pt>
                <c:pt idx="8">
                  <c:v>0.78710505630802108</c:v>
                </c:pt>
                <c:pt idx="9">
                  <c:v>0.78665215828739066</c:v>
                </c:pt>
                <c:pt idx="10">
                  <c:v>0.78621696552033993</c:v>
                </c:pt>
                <c:pt idx="11">
                  <c:v>0.78579431389126453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681664"/>
        <c:axId val="169683584"/>
      </c:scatterChart>
      <c:valAx>
        <c:axId val="169681664"/>
        <c:scaling>
          <c:orientation val="minMax"/>
          <c:max val="2030"/>
          <c:min val="201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Year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9683584"/>
        <c:crosses val="autoZero"/>
        <c:crossBetween val="midCat"/>
      </c:valAx>
      <c:valAx>
        <c:axId val="16968358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1696816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Asset Renewal Ratio - Scenario 3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'Muswellbrook FFF Ratios'!$D$242:$O$242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xVal>
          <c:yVal>
            <c:numRef>
              <c:f>'Muswellbrook FFF Ratios'!$D$250:$O$250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0.71882981528158085</c:v>
                </c:pt>
                <c:pt idx="3">
                  <c:v>1.2526875977648806</c:v>
                </c:pt>
                <c:pt idx="4">
                  <c:v>1.2647632617226836</c:v>
                </c:pt>
                <c:pt idx="5">
                  <c:v>1.2395288167645289</c:v>
                </c:pt>
                <c:pt idx="6">
                  <c:v>1.0109582940059707</c:v>
                </c:pt>
                <c:pt idx="7">
                  <c:v>1.0085819344000608</c:v>
                </c:pt>
                <c:pt idx="8">
                  <c:v>1.007344765301398</c:v>
                </c:pt>
                <c:pt idx="9">
                  <c:v>1.0054813493376618</c:v>
                </c:pt>
                <c:pt idx="10">
                  <c:v>1.0056665579389272</c:v>
                </c:pt>
                <c:pt idx="11">
                  <c:v>1.0060454347123233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699584"/>
        <c:axId val="169709952"/>
      </c:scatterChart>
      <c:valAx>
        <c:axId val="169699584"/>
        <c:scaling>
          <c:orientation val="minMax"/>
          <c:max val="2026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Year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9709952"/>
        <c:crosses val="autoZero"/>
        <c:crossBetween val="midCat"/>
      </c:valAx>
      <c:valAx>
        <c:axId val="16970995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1696995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Backlog</a:t>
            </a:r>
            <a:r>
              <a:rPr lang="en-NZ" baseline="0"/>
              <a:t> </a:t>
            </a:r>
            <a:r>
              <a:rPr lang="en-NZ"/>
              <a:t>Ratio - Scenario 3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'Muswellbrook FFF Ratios'!$D$242:$O$242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xVal>
          <c:yVal>
            <c:numRef>
              <c:f>'Muswellbrook FFF Ratios'!$D$251:$O$251</c:f>
              <c:numCache>
                <c:formatCode>0.0%</c:formatCode>
                <c:ptCount val="12"/>
                <c:pt idx="0">
                  <c:v>2.0921636390210323E-2</c:v>
                </c:pt>
                <c:pt idx="1">
                  <c:v>2.1202333570640202E-2</c:v>
                </c:pt>
                <c:pt idx="2">
                  <c:v>2.1308459510721522E-2</c:v>
                </c:pt>
                <c:pt idx="3">
                  <c:v>2.0300319896555834E-2</c:v>
                </c:pt>
                <c:pt idx="4">
                  <c:v>9.4234301255619549E-3</c:v>
                </c:pt>
                <c:pt idx="5">
                  <c:v>9.2626657543320601E-3</c:v>
                </c:pt>
                <c:pt idx="6">
                  <c:v>9.1441558722497231E-3</c:v>
                </c:pt>
                <c:pt idx="7">
                  <c:v>8.9060321589522259E-3</c:v>
                </c:pt>
                <c:pt idx="8">
                  <c:v>8.8474109302820077E-3</c:v>
                </c:pt>
                <c:pt idx="9">
                  <c:v>8.7799463957723249E-3</c:v>
                </c:pt>
                <c:pt idx="10">
                  <c:v>8.6275377018121512E-3</c:v>
                </c:pt>
                <c:pt idx="11">
                  <c:v>8.5523479924291511E-3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16064"/>
        <c:axId val="169817984"/>
      </c:scatterChart>
      <c:valAx>
        <c:axId val="169816064"/>
        <c:scaling>
          <c:orientation val="minMax"/>
          <c:max val="2026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Year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9817984"/>
        <c:crosses val="autoZero"/>
        <c:crossBetween val="midCat"/>
      </c:valAx>
      <c:valAx>
        <c:axId val="16981798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1698160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Asset Maintenance</a:t>
            </a:r>
            <a:r>
              <a:rPr lang="en-NZ" baseline="0"/>
              <a:t> </a:t>
            </a:r>
            <a:r>
              <a:rPr lang="en-NZ"/>
              <a:t>Ratio -  Scenario 3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'Muswellbrook FFF Ratios'!$D$242:$O$242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xVal>
          <c:yVal>
            <c:numRef>
              <c:f>'Muswellbrook FFF Ratios'!$D$252:$O$252</c:f>
              <c:numCache>
                <c:formatCode>0%</c:formatCode>
                <c:ptCount val="12"/>
                <c:pt idx="0">
                  <c:v>0.82606451612903231</c:v>
                </c:pt>
                <c:pt idx="1">
                  <c:v>0.91303225806451616</c:v>
                </c:pt>
                <c:pt idx="2">
                  <c:v>0.94202150537634421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29888"/>
        <c:axId val="169831808"/>
      </c:scatterChart>
      <c:valAx>
        <c:axId val="169829888"/>
        <c:scaling>
          <c:orientation val="minMax"/>
          <c:max val="2026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Year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9831808"/>
        <c:crosses val="autoZero"/>
        <c:crossBetween val="midCat"/>
      </c:valAx>
      <c:valAx>
        <c:axId val="169831808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1698298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Own Source Revenue - Scenario 1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'Muswellbrook FFF Ratios'!$D$242:$O$242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xVal>
          <c:yVal>
            <c:numRef>
              <c:f>'Muswellbrook FFF Ratios'!$D$249:$O$249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0.74135751938037875</c:v>
                </c:pt>
                <c:pt idx="3">
                  <c:v>0.78330332890749022</c:v>
                </c:pt>
                <c:pt idx="4">
                  <c:v>0.78628367390414611</c:v>
                </c:pt>
                <c:pt idx="5">
                  <c:v>0.78803446532289201</c:v>
                </c:pt>
                <c:pt idx="6">
                  <c:v>0.78853136528569923</c:v>
                </c:pt>
                <c:pt idx="7">
                  <c:v>0.78803930046675852</c:v>
                </c:pt>
                <c:pt idx="8">
                  <c:v>0.78710505630802108</c:v>
                </c:pt>
                <c:pt idx="9">
                  <c:v>0.78665215828739066</c:v>
                </c:pt>
                <c:pt idx="10">
                  <c:v>0.78621696552033993</c:v>
                </c:pt>
                <c:pt idx="11">
                  <c:v>0.78579431389126453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364608"/>
        <c:axId val="159366528"/>
      </c:scatterChart>
      <c:valAx>
        <c:axId val="159364608"/>
        <c:scaling>
          <c:orientation val="minMax"/>
          <c:max val="2030"/>
          <c:min val="201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Year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9366528"/>
        <c:crosses val="autoZero"/>
        <c:crossBetween val="midCat"/>
      </c:valAx>
      <c:valAx>
        <c:axId val="15936652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1593646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Debt Services</a:t>
            </a:r>
            <a:r>
              <a:rPr lang="en-NZ" baseline="0"/>
              <a:t> </a:t>
            </a:r>
            <a:r>
              <a:rPr lang="en-NZ"/>
              <a:t>Ratio -  Scenario 3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'Muswellbrook FFF Ratios'!$D$242:$L$242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xVal>
          <c:yVal>
            <c:numRef>
              <c:f>'Muswellbrook FFF Ratios'!$D$253:$L$253</c:f>
              <c:numCache>
                <c:formatCode>0.0%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3.4120049739244658E-2</c:v>
                </c:pt>
                <c:pt idx="3">
                  <c:v>3.8289345815390854E-2</c:v>
                </c:pt>
                <c:pt idx="4">
                  <c:v>3.7263672561705173E-2</c:v>
                </c:pt>
                <c:pt idx="5">
                  <c:v>3.6255310839704402E-2</c:v>
                </c:pt>
                <c:pt idx="6">
                  <c:v>3.5276419982969182E-2</c:v>
                </c:pt>
                <c:pt idx="7">
                  <c:v>3.4269283662219277E-2</c:v>
                </c:pt>
                <c:pt idx="8">
                  <c:v>3.3226864998111325E-2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60480"/>
        <c:axId val="169895424"/>
      </c:scatterChart>
      <c:valAx>
        <c:axId val="16986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Year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9895424"/>
        <c:crosses val="autoZero"/>
        <c:crossBetween val="midCat"/>
      </c:valAx>
      <c:valAx>
        <c:axId val="16989542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1698604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Operating Expenditure per Capita - Scenario 3</a:t>
            </a:r>
            <a:endParaRPr lang="en-NZ">
              <a:effectLst/>
            </a:endParaRP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'Muswellbrook FFF Ratios'!$D$242:$O$242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xVal>
          <c:yVal>
            <c:numRef>
              <c:f>'Muswellbrook FFF Ratios'!$D$255:$O$255</c:f>
              <c:numCache>
                <c:formatCode>_-"$"* #,##0_-;\-"$"* #,##0_-;_-"$"* "-"??_-;_-@_-</c:formatCode>
                <c:ptCount val="12"/>
                <c:pt idx="0">
                  <c:v>1948.3505592524425</c:v>
                </c:pt>
                <c:pt idx="1">
                  <c:v>2093.0326906360388</c:v>
                </c:pt>
                <c:pt idx="2">
                  <c:v>2032.6667745911852</c:v>
                </c:pt>
                <c:pt idx="3">
                  <c:v>2021.5595042229556</c:v>
                </c:pt>
                <c:pt idx="4">
                  <c:v>2004.3045718564874</c:v>
                </c:pt>
                <c:pt idx="5">
                  <c:v>1999.96379708564</c:v>
                </c:pt>
                <c:pt idx="6">
                  <c:v>1978.5851857434325</c:v>
                </c:pt>
                <c:pt idx="7">
                  <c:v>1957.4985528890484</c:v>
                </c:pt>
                <c:pt idx="8">
                  <c:v>1937.2164338665013</c:v>
                </c:pt>
                <c:pt idx="9">
                  <c:v>1917.3781726862455</c:v>
                </c:pt>
                <c:pt idx="10">
                  <c:v>1900.3046476239467</c:v>
                </c:pt>
                <c:pt idx="11">
                  <c:v>1880.975396063626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931904"/>
        <c:axId val="169933824"/>
      </c:scatterChart>
      <c:valAx>
        <c:axId val="169931904"/>
        <c:scaling>
          <c:orientation val="minMax"/>
          <c:max val="2026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Year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9933824"/>
        <c:crosses val="autoZero"/>
        <c:crossBetween val="midCat"/>
      </c:valAx>
      <c:valAx>
        <c:axId val="169933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NZ" sz="1000" b="1" i="0" baseline="0">
                    <a:effectLst/>
                  </a:rPr>
                  <a:t>Expentditure / Capita</a:t>
                </a:r>
                <a:endParaRPr lang="en-NZ" sz="400">
                  <a:effectLst/>
                </a:endParaRP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1699319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Operating Performance Ratio</a:t>
            </a:r>
          </a:p>
        </c:rich>
      </c:tx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Projected Performance</c:v>
          </c:tx>
          <c:spPr>
            <a:ln w="38100"/>
          </c:spPr>
          <c:marker>
            <c:symbol val="circle"/>
            <c:size val="7"/>
          </c:marker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'Muswellbrook FFF Ratios'!$D$208:$O$208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-1.2625051997187818E-2</c:v>
                </c:pt>
                <c:pt idx="3">
                  <c:v>1.0398161787175448E-2</c:v>
                </c:pt>
                <c:pt idx="4">
                  <c:v>1.619835660923372E-2</c:v>
                </c:pt>
                <c:pt idx="5">
                  <c:v>1.5410001324382134E-2</c:v>
                </c:pt>
                <c:pt idx="6">
                  <c:v>1.2804372610127093E-2</c:v>
                </c:pt>
                <c:pt idx="7">
                  <c:v>8.6574295475843523E-3</c:v>
                </c:pt>
                <c:pt idx="8">
                  <c:v>5.8029353808200148E-3</c:v>
                </c:pt>
                <c:pt idx="9">
                  <c:v>5.2667481604024239E-3</c:v>
                </c:pt>
                <c:pt idx="10">
                  <c:v>4.6755603805826934E-3</c:v>
                </c:pt>
                <c:pt idx="11">
                  <c:v>4.0890819868293496E-3</c:v>
                </c:pt>
              </c:numCache>
            </c:numRef>
          </c:val>
          <c:smooth val="0"/>
        </c:ser>
        <c:ser>
          <c:idx val="2"/>
          <c:order val="1"/>
          <c:tx>
            <c:v>Benchmark</c:v>
          </c:tx>
          <c:spPr>
            <a:ln w="38100">
              <a:solidFill>
                <a:srgbClr val="7030A0"/>
              </a:solidFill>
              <a:prstDash val="dash"/>
            </a:ln>
          </c:spPr>
          <c:marker>
            <c:symbol val="none"/>
          </c:marker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'Muswellbrook FFF Ratios'!$D$260:$O$260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52352"/>
        <c:axId val="167253888"/>
      </c:lineChart>
      <c:catAx>
        <c:axId val="16725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crossAx val="167253888"/>
        <c:crosses val="autoZero"/>
        <c:auto val="1"/>
        <c:lblAlgn val="ctr"/>
        <c:lblOffset val="100"/>
        <c:noMultiLvlLbl val="1"/>
      </c:catAx>
      <c:valAx>
        <c:axId val="167253888"/>
        <c:scaling>
          <c:orientation val="minMax"/>
          <c:max val="5.000000000000001E-2"/>
        </c:scaling>
        <c:delete val="0"/>
        <c:axPos val="l"/>
        <c:numFmt formatCode="0.0%" sourceLinked="1"/>
        <c:majorTickMark val="none"/>
        <c:minorTickMark val="none"/>
        <c:tickLblPos val="nextTo"/>
        <c:crossAx val="167252352"/>
        <c:crosses val="autoZero"/>
        <c:crossBetween val="between"/>
      </c:valAx>
      <c:spPr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19762134993504651"/>
          <c:y val="0.92405972222222232"/>
          <c:w val="0.49264335103082857"/>
          <c:h val="5.3160416666666668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Own Source</a:t>
            </a:r>
            <a:r>
              <a:rPr lang="en-NZ" baseline="0"/>
              <a:t> Revenue Ratio</a:t>
            </a:r>
            <a:endParaRPr lang="en-NZ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6.7498771463289628E-2"/>
          <c:y val="2.6759722222222223E-2"/>
          <c:w val="0.91310291506524122"/>
          <c:h val="0.82291412037037037"/>
        </c:manualLayout>
      </c:layout>
      <c:lineChart>
        <c:grouping val="standard"/>
        <c:varyColors val="0"/>
        <c:ser>
          <c:idx val="0"/>
          <c:order val="0"/>
          <c:tx>
            <c:v>Projected Performance</c:v>
          </c:tx>
          <c:marker>
            <c:symbol val="circle"/>
            <c:size val="7"/>
          </c:marker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'Muswellbrook FFF Ratios'!$D$212:$O$212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0.74135751938037875</c:v>
                </c:pt>
                <c:pt idx="3">
                  <c:v>0.78330332890749022</c:v>
                </c:pt>
                <c:pt idx="4">
                  <c:v>0.78628367390414611</c:v>
                </c:pt>
                <c:pt idx="5">
                  <c:v>0.78803446532289201</c:v>
                </c:pt>
                <c:pt idx="6">
                  <c:v>0.78853136528569923</c:v>
                </c:pt>
                <c:pt idx="7">
                  <c:v>0.78803930046675852</c:v>
                </c:pt>
                <c:pt idx="8">
                  <c:v>0.78710505630802108</c:v>
                </c:pt>
                <c:pt idx="9">
                  <c:v>0.78665215828739066</c:v>
                </c:pt>
                <c:pt idx="10">
                  <c:v>0.78621696552033993</c:v>
                </c:pt>
                <c:pt idx="11">
                  <c:v>0.78579431389126453</c:v>
                </c:pt>
              </c:numCache>
            </c:numRef>
          </c:val>
          <c:smooth val="0"/>
        </c:ser>
        <c:ser>
          <c:idx val="2"/>
          <c:order val="1"/>
          <c:tx>
            <c:v>Benchmark</c:v>
          </c:tx>
          <c:spPr>
            <a:ln w="38100">
              <a:solidFill>
                <a:srgbClr val="7030A0"/>
              </a:solidFill>
              <a:prstDash val="dash"/>
            </a:ln>
          </c:spPr>
          <c:marker>
            <c:symbol val="none"/>
          </c:marker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'Muswellbrook FFF Ratios'!$D$259:$O$259</c:f>
              <c:numCache>
                <c:formatCode>0%</c:formatCode>
                <c:ptCount val="12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03808"/>
        <c:axId val="167305600"/>
      </c:lineChart>
      <c:catAx>
        <c:axId val="16730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67305600"/>
        <c:crosses val="autoZero"/>
        <c:auto val="1"/>
        <c:lblAlgn val="ctr"/>
        <c:lblOffset val="100"/>
        <c:noMultiLvlLbl val="1"/>
      </c:catAx>
      <c:valAx>
        <c:axId val="167305600"/>
        <c:scaling>
          <c:orientation val="minMax"/>
          <c:max val="1"/>
          <c:min val="0.5"/>
        </c:scaling>
        <c:delete val="0"/>
        <c:axPos val="l"/>
        <c:numFmt formatCode="0%" sourceLinked="0"/>
        <c:majorTickMark val="none"/>
        <c:minorTickMark val="none"/>
        <c:tickLblPos val="nextTo"/>
        <c:crossAx val="167303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 sz="1800" b="1" i="0" baseline="0">
                <a:effectLst/>
              </a:rPr>
              <a:t>Building and Infrastructure Asset Renewal Ratio</a:t>
            </a:r>
            <a:endParaRPr lang="en-NZ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Projected Performance</c:v>
          </c:tx>
          <c:spPr>
            <a:ln w="38100"/>
          </c:spPr>
          <c:marker>
            <c:symbol val="circle"/>
            <c:size val="7"/>
          </c:marker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'Muswellbrook FFF Ratios'!$D$235:$O$235</c:f>
              <c:numCache>
                <c:formatCode>#,##0.000_ ;[Red]\-#,##0.000\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0.71882981528158085</c:v>
                </c:pt>
                <c:pt idx="3">
                  <c:v>1.2526875977648806</c:v>
                </c:pt>
                <c:pt idx="4">
                  <c:v>1.2647632617226836</c:v>
                </c:pt>
                <c:pt idx="5">
                  <c:v>1.2395288167645289</c:v>
                </c:pt>
                <c:pt idx="6">
                  <c:v>1.0109582940059707</c:v>
                </c:pt>
                <c:pt idx="7">
                  <c:v>1.0085819344000608</c:v>
                </c:pt>
                <c:pt idx="8">
                  <c:v>1.007344765301398</c:v>
                </c:pt>
                <c:pt idx="9">
                  <c:v>1.0054813493376618</c:v>
                </c:pt>
                <c:pt idx="10">
                  <c:v>1.0056665579389272</c:v>
                </c:pt>
                <c:pt idx="11">
                  <c:v>1.0060454347123233</c:v>
                </c:pt>
              </c:numCache>
            </c:numRef>
          </c:val>
          <c:smooth val="0"/>
        </c:ser>
        <c:ser>
          <c:idx val="2"/>
          <c:order val="1"/>
          <c:tx>
            <c:v>Benchmark</c:v>
          </c:tx>
          <c:spPr>
            <a:ln w="38100">
              <a:solidFill>
                <a:srgbClr val="7030A0"/>
              </a:solidFill>
              <a:prstDash val="dash"/>
            </a:ln>
          </c:spPr>
          <c:marker>
            <c:symbol val="none"/>
          </c:marker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'Muswellbrook FFF Ratios'!$D$258:$O$258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42848"/>
        <c:axId val="167344384"/>
      </c:lineChart>
      <c:catAx>
        <c:axId val="16734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67344384"/>
        <c:crosses val="autoZero"/>
        <c:auto val="1"/>
        <c:lblAlgn val="ctr"/>
        <c:lblOffset val="100"/>
        <c:noMultiLvlLbl val="1"/>
      </c:catAx>
      <c:valAx>
        <c:axId val="16734438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crossAx val="1673428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solidFill>
        <a:sysClr val="windowText" lastClr="000000">
          <a:lumMod val="50000"/>
          <a:lumOff val="50000"/>
        </a:sysClr>
      </a:solidFill>
    </a:ln>
  </c:spPr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 sz="1800" b="1" i="0" baseline="0">
                <a:effectLst/>
              </a:rPr>
              <a:t>Infrastructure Backlog Ratio</a:t>
            </a:r>
            <a:endParaRPr lang="en-NZ">
              <a:effectLst/>
            </a:endParaRPr>
          </a:p>
        </c:rich>
      </c:tx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Projected Performance</c:v>
          </c:tx>
          <c:spPr>
            <a:ln w="38100"/>
          </c:spPr>
          <c:marker>
            <c:symbol val="circle"/>
            <c:size val="7"/>
          </c:marker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'Muswellbrook FFF Ratios'!$D$239:$O$239</c:f>
              <c:numCache>
                <c:formatCode>0%</c:formatCode>
                <c:ptCount val="12"/>
                <c:pt idx="0">
                  <c:v>2.0921636390210323E-2</c:v>
                </c:pt>
                <c:pt idx="1">
                  <c:v>2.1202333570640202E-2</c:v>
                </c:pt>
                <c:pt idx="2">
                  <c:v>2.1308459510721522E-2</c:v>
                </c:pt>
                <c:pt idx="3">
                  <c:v>2.0300319896555834E-2</c:v>
                </c:pt>
                <c:pt idx="4">
                  <c:v>9.4234301255619549E-3</c:v>
                </c:pt>
                <c:pt idx="5">
                  <c:v>9.2626657543320601E-3</c:v>
                </c:pt>
                <c:pt idx="6">
                  <c:v>9.1441558722497231E-3</c:v>
                </c:pt>
                <c:pt idx="7">
                  <c:v>8.9060321589522259E-3</c:v>
                </c:pt>
                <c:pt idx="8">
                  <c:v>8.8474109302820077E-3</c:v>
                </c:pt>
                <c:pt idx="9">
                  <c:v>8.7799463957723249E-3</c:v>
                </c:pt>
                <c:pt idx="10">
                  <c:v>8.6275377018121512E-3</c:v>
                </c:pt>
                <c:pt idx="11">
                  <c:v>8.5523479924291511E-3</c:v>
                </c:pt>
              </c:numCache>
            </c:numRef>
          </c:val>
          <c:smooth val="0"/>
        </c:ser>
        <c:ser>
          <c:idx val="2"/>
          <c:order val="1"/>
          <c:tx>
            <c:v>Benchmark</c:v>
          </c:tx>
          <c:spPr>
            <a:ln w="38100">
              <a:solidFill>
                <a:srgbClr val="7030A0"/>
              </a:solidFill>
              <a:prstDash val="dash"/>
            </a:ln>
          </c:spPr>
          <c:marker>
            <c:symbol val="none"/>
          </c:marker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'Muswellbrook FFF Ratios'!$D$262:$O$262</c:f>
              <c:numCache>
                <c:formatCode>0%</c:formatCode>
                <c:ptCount val="12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61536"/>
        <c:axId val="170078976"/>
      </c:lineChart>
      <c:catAx>
        <c:axId val="1673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70078976"/>
        <c:crosses val="autoZero"/>
        <c:auto val="1"/>
        <c:lblAlgn val="ctr"/>
        <c:lblOffset val="100"/>
        <c:noMultiLvlLbl val="1"/>
      </c:catAx>
      <c:valAx>
        <c:axId val="17007897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crossAx val="1673615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solidFill>
        <a:sysClr val="windowText" lastClr="000000">
          <a:lumMod val="50000"/>
          <a:lumOff val="50000"/>
        </a:sysClr>
      </a:solidFill>
    </a:ln>
  </c:spPr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 sz="1800" b="1" i="0" baseline="0">
                <a:effectLst/>
              </a:rPr>
              <a:t>Asset Maintenance Ratio</a:t>
            </a:r>
            <a:endParaRPr lang="en-NZ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Projected Performance</c:v>
          </c:tx>
          <c:spPr>
            <a:ln w="38100"/>
          </c:spPr>
          <c:marker>
            <c:symbol val="circle"/>
            <c:size val="7"/>
          </c:marker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'Muswellbrook FFF Ratios'!$D$238:$O$238</c:f>
              <c:numCache>
                <c:formatCode>0%</c:formatCode>
                <c:ptCount val="12"/>
                <c:pt idx="0">
                  <c:v>0.82606451612903231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2"/>
          <c:order val="1"/>
          <c:tx>
            <c:v>Benchmark</c:v>
          </c:tx>
          <c:spPr>
            <a:ln w="38100">
              <a:solidFill>
                <a:srgbClr val="7030A0"/>
              </a:solidFill>
              <a:prstDash val="dash"/>
            </a:ln>
          </c:spPr>
          <c:marker>
            <c:symbol val="none"/>
          </c:marker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'Muswellbrook FFF Ratios'!$D$258:$O$258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104320"/>
        <c:axId val="170105856"/>
      </c:lineChart>
      <c:catAx>
        <c:axId val="17010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70105856"/>
        <c:crosses val="autoZero"/>
        <c:auto val="1"/>
        <c:lblAlgn val="ctr"/>
        <c:lblOffset val="100"/>
        <c:noMultiLvlLbl val="1"/>
      </c:catAx>
      <c:valAx>
        <c:axId val="17010585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crossAx val="170104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solidFill>
        <a:sysClr val="windowText" lastClr="000000">
          <a:lumMod val="50000"/>
          <a:lumOff val="50000"/>
        </a:sysClr>
      </a:solidFill>
    </a:ln>
  </c:spPr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 sz="1800" b="1" i="0" baseline="0">
                <a:effectLst/>
              </a:rPr>
              <a:t>Debt Service Ratio</a:t>
            </a:r>
            <a:endParaRPr lang="en-NZ">
              <a:effectLst/>
            </a:endParaRPr>
          </a:p>
        </c:rich>
      </c:tx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Projected Performance</c:v>
          </c:tx>
          <c:marker>
            <c:symbol val="circle"/>
            <c:size val="7"/>
          </c:marker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'Muswellbrook FFF Ratios'!$D$215:$O$215</c:f>
              <c:numCache>
                <c:formatCode>0.0%</c:formatCode>
                <c:ptCount val="12"/>
                <c:pt idx="0">
                  <c:v>2.2962573786197732E-2</c:v>
                </c:pt>
                <c:pt idx="1">
                  <c:v>3.9223696230032572E-2</c:v>
                </c:pt>
                <c:pt idx="2">
                  <c:v>3.8369149477125108E-2</c:v>
                </c:pt>
                <c:pt idx="3">
                  <c:v>3.7319006412328229E-2</c:v>
                </c:pt>
                <c:pt idx="4">
                  <c:v>3.6164090325945267E-2</c:v>
                </c:pt>
                <c:pt idx="5">
                  <c:v>3.5333629366345383E-2</c:v>
                </c:pt>
                <c:pt idx="6">
                  <c:v>3.4363986466925026E-2</c:v>
                </c:pt>
                <c:pt idx="7">
                  <c:v>3.3151188896415905E-2</c:v>
                </c:pt>
                <c:pt idx="8">
                  <c:v>3.2213222812726226E-2</c:v>
                </c:pt>
                <c:pt idx="9">
                  <c:v>3.1366356420996493E-2</c:v>
                </c:pt>
                <c:pt idx="10">
                  <c:v>3.0538796244066965E-2</c:v>
                </c:pt>
                <c:pt idx="11">
                  <c:v>2.9725822739763489E-2</c:v>
                </c:pt>
              </c:numCache>
            </c:numRef>
          </c:val>
          <c:smooth val="1"/>
        </c:ser>
        <c:ser>
          <c:idx val="2"/>
          <c:order val="1"/>
          <c:tx>
            <c:v>Benchmark</c:v>
          </c:tx>
          <c:spPr>
            <a:ln w="38100">
              <a:solidFill>
                <a:srgbClr val="7030A0"/>
              </a:solidFill>
              <a:prstDash val="dash"/>
            </a:ln>
          </c:spPr>
          <c:marker>
            <c:symbol val="none"/>
          </c:marker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'Muswellbrook FFF Ratios'!$D$261:$O$261</c:f>
              <c:numCache>
                <c:formatCode>0.00</c:formatCode>
                <c:ptCount val="12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30176"/>
        <c:axId val="170931712"/>
      </c:lineChart>
      <c:catAx>
        <c:axId val="1709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70931712"/>
        <c:crosses val="autoZero"/>
        <c:auto val="1"/>
        <c:lblAlgn val="ctr"/>
        <c:lblOffset val="100"/>
        <c:noMultiLvlLbl val="1"/>
      </c:catAx>
      <c:valAx>
        <c:axId val="170931712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crossAx val="1709301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Real Operating Expenditure per Capita</a:t>
            </a:r>
            <a:endParaRPr lang="en-NZ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76000"/>
        <c:axId val="170977536"/>
      </c:lineChart>
      <c:catAx>
        <c:axId val="17097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70977536"/>
        <c:crosses val="autoZero"/>
        <c:auto val="1"/>
        <c:lblAlgn val="ctr"/>
        <c:lblOffset val="100"/>
        <c:noMultiLvlLbl val="1"/>
      </c:catAx>
      <c:valAx>
        <c:axId val="170977536"/>
        <c:scaling>
          <c:orientation val="minMax"/>
          <c:min val="100"/>
        </c:scaling>
        <c:delete val="0"/>
        <c:axPos val="l"/>
        <c:numFmt formatCode="General" sourceLinked="1"/>
        <c:majorTickMark val="none"/>
        <c:minorTickMark val="none"/>
        <c:tickLblPos val="nextTo"/>
        <c:crossAx val="1709760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solidFill>
        <a:sysClr val="windowText" lastClr="000000">
          <a:lumMod val="50000"/>
          <a:lumOff val="50000"/>
        </a:sysClr>
      </a:solidFill>
    </a:ln>
  </c:spPr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Cash Reserves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Projected Performance</c:v>
          </c:tx>
          <c:spPr>
            <a:ln w="38100"/>
          </c:spPr>
          <c:marker>
            <c:symbol val="circle"/>
            <c:size val="7"/>
          </c:marker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'LTFP Chart Data'!$B$38:$M$38</c:f>
              <c:numCache>
                <c:formatCode>#,##0_ ;[Red]\-#,##0\ </c:formatCode>
                <c:ptCount val="12"/>
                <c:pt idx="0">
                  <c:v>19402000</c:v>
                </c:pt>
                <c:pt idx="1">
                  <c:v>19019944.000000007</c:v>
                </c:pt>
                <c:pt idx="2">
                  <c:v>19054475.960000008</c:v>
                </c:pt>
                <c:pt idx="3">
                  <c:v>13437458.644999996</c:v>
                </c:pt>
                <c:pt idx="4">
                  <c:v>13541702.540299995</c:v>
                </c:pt>
                <c:pt idx="5">
                  <c:v>13570780.853059003</c:v>
                </c:pt>
                <c:pt idx="6">
                  <c:v>13543836.666756215</c:v>
                </c:pt>
                <c:pt idx="7">
                  <c:v>13590024.712570688</c:v>
                </c:pt>
                <c:pt idx="8">
                  <c:v>13998423.891213944</c:v>
                </c:pt>
                <c:pt idx="9">
                  <c:v>14276483.682187466</c:v>
                </c:pt>
                <c:pt idx="10">
                  <c:v>14553763.540135266</c:v>
                </c:pt>
                <c:pt idx="11">
                  <c:v>15089096.803887706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60448"/>
        <c:axId val="170762240"/>
      </c:lineChart>
      <c:catAx>
        <c:axId val="17076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70762240"/>
        <c:crosses val="autoZero"/>
        <c:auto val="1"/>
        <c:lblAlgn val="ctr"/>
        <c:lblOffset val="100"/>
        <c:noMultiLvlLbl val="1"/>
      </c:catAx>
      <c:valAx>
        <c:axId val="170762240"/>
        <c:scaling>
          <c:orientation val="minMax"/>
          <c:min val="100"/>
        </c:scaling>
        <c:delete val="0"/>
        <c:axPos val="l"/>
        <c:numFmt formatCode="#,##0_ ;[Red]\-#,##0\ " sourceLinked="0"/>
        <c:majorTickMark val="none"/>
        <c:minorTickMark val="none"/>
        <c:tickLblPos val="nextTo"/>
        <c:crossAx val="170760448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solidFill>
        <a:sysClr val="windowText" lastClr="000000">
          <a:lumMod val="50000"/>
          <a:lumOff val="50000"/>
        </a:sysClr>
      </a:solidFill>
    </a:ln>
  </c:spPr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Asset Renewal Ratio - Scenario 1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'Muswellbrook FFF Ratios'!$D$242:$O$242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xVal>
          <c:yVal>
            <c:numRef>
              <c:f>'Muswellbrook FFF Ratios'!$D$250:$O$250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0.71882981528158085</c:v>
                </c:pt>
                <c:pt idx="3">
                  <c:v>1.2526875977648806</c:v>
                </c:pt>
                <c:pt idx="4">
                  <c:v>1.2647632617226836</c:v>
                </c:pt>
                <c:pt idx="5">
                  <c:v>1.2395288167645289</c:v>
                </c:pt>
                <c:pt idx="6">
                  <c:v>1.0109582940059707</c:v>
                </c:pt>
                <c:pt idx="7">
                  <c:v>1.0085819344000608</c:v>
                </c:pt>
                <c:pt idx="8">
                  <c:v>1.007344765301398</c:v>
                </c:pt>
                <c:pt idx="9">
                  <c:v>1.0054813493376618</c:v>
                </c:pt>
                <c:pt idx="10">
                  <c:v>1.0056665579389272</c:v>
                </c:pt>
                <c:pt idx="11">
                  <c:v>1.0060454347123233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947200"/>
        <c:axId val="160949376"/>
      </c:scatterChart>
      <c:valAx>
        <c:axId val="160947200"/>
        <c:scaling>
          <c:orientation val="minMax"/>
          <c:max val="2026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Year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0949376"/>
        <c:crosses val="autoZero"/>
        <c:crossBetween val="midCat"/>
      </c:valAx>
      <c:valAx>
        <c:axId val="16094937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1609472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Operating Surplus (Deficit)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3555264410962815E-2"/>
          <c:y val="2.821109145262644E-2"/>
          <c:w val="0.9070397262351837"/>
          <c:h val="0.81330949911536821"/>
        </c:manualLayout>
      </c:layout>
      <c:lineChart>
        <c:grouping val="standard"/>
        <c:varyColors val="0"/>
        <c:ser>
          <c:idx val="2"/>
          <c:order val="0"/>
          <c:tx>
            <c:v>Benchmark</c:v>
          </c:tx>
          <c:spPr>
            <a:ln w="38100">
              <a:solidFill>
                <a:srgbClr val="7030A0"/>
              </a:solidFill>
              <a:prstDash val="dash"/>
            </a:ln>
          </c:spPr>
          <c:marker>
            <c:symbol val="none"/>
          </c:marker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'Muswellbrook FFF Ratios'!$D$260:$O$260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1"/>
        </c:ser>
        <c:ser>
          <c:idx val="1"/>
          <c:order val="1"/>
          <c:tx>
            <c:v>Scenario 1</c:v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rgbClr val="1F497D">
                    <a:lumMod val="60000"/>
                    <a:lumOff val="40000"/>
                  </a:srgbClr>
                </a:solidFill>
              </a:ln>
            </c:spPr>
          </c:marker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'LTFP Chart Data'!$B$45:$M$45</c:f>
              <c:numCache>
                <c:formatCode>#,##0_ ;[Red]\-#,##0\ </c:formatCode>
                <c:ptCount val="12"/>
                <c:pt idx="0">
                  <c:v>-2644</c:v>
                </c:pt>
                <c:pt idx="1">
                  <c:v>30.000000000012278</c:v>
                </c:pt>
                <c:pt idx="2">
                  <c:v>631.93295999999509</c:v>
                </c:pt>
                <c:pt idx="3">
                  <c:v>557.91147500000352</c:v>
                </c:pt>
                <c:pt idx="4">
                  <c:v>758.92227499999944</c:v>
                </c:pt>
                <c:pt idx="5">
                  <c:v>585.00338500000726</c:v>
                </c:pt>
                <c:pt idx="6">
                  <c:v>271.22384774735883</c:v>
                </c:pt>
                <c:pt idx="7">
                  <c:v>257.31453071587384</c:v>
                </c:pt>
                <c:pt idx="8">
                  <c:v>232.83509066719671</c:v>
                </c:pt>
                <c:pt idx="9">
                  <c:v>216.50230859806106</c:v>
                </c:pt>
                <c:pt idx="10">
                  <c:v>192.24287796896624</c:v>
                </c:pt>
                <c:pt idx="11">
                  <c:v>165.14280501923804</c:v>
                </c:pt>
              </c:numCache>
            </c:numRef>
          </c:val>
          <c:smooth val="0"/>
        </c:ser>
        <c:ser>
          <c:idx val="3"/>
          <c:order val="2"/>
          <c:tx>
            <c:v>Scenario 2</c:v>
          </c:tx>
          <c:spPr>
            <a:ln>
              <a:solidFill>
                <a:srgbClr val="C0504D"/>
              </a:solidFill>
            </a:ln>
          </c:spPr>
          <c:marker>
            <c:spPr>
              <a:solidFill>
                <a:srgbClr val="C0504D"/>
              </a:solidFill>
            </c:spPr>
          </c:marker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'LTFP Chart Data'!$B$46:$M$46</c:f>
              <c:numCache>
                <c:formatCode>#,##0_ ;[Red]\-#,##0\ </c:formatCode>
                <c:ptCount val="12"/>
                <c:pt idx="0">
                  <c:v>-2644</c:v>
                </c:pt>
                <c:pt idx="1">
                  <c:v>30.000000000012278</c:v>
                </c:pt>
                <c:pt idx="2">
                  <c:v>931.9699999999907</c:v>
                </c:pt>
                <c:pt idx="3">
                  <c:v>1153.2109999999984</c:v>
                </c:pt>
                <c:pt idx="4">
                  <c:v>1178.8809999999967</c:v>
                </c:pt>
                <c:pt idx="5">
                  <c:v>169.67176000000109</c:v>
                </c:pt>
                <c:pt idx="6">
                  <c:v>46.289923922358867</c:v>
                </c:pt>
                <c:pt idx="7">
                  <c:v>128.08760903484108</c:v>
                </c:pt>
                <c:pt idx="8">
                  <c:v>177.4819312159425</c:v>
                </c:pt>
                <c:pt idx="9">
                  <c:v>192.45246492984006</c:v>
                </c:pt>
                <c:pt idx="10">
                  <c:v>228.06153992289182</c:v>
                </c:pt>
                <c:pt idx="11">
                  <c:v>265.89760848293827</c:v>
                </c:pt>
              </c:numCache>
            </c:numRef>
          </c:val>
          <c:smooth val="0"/>
        </c:ser>
        <c:ser>
          <c:idx val="4"/>
          <c:order val="3"/>
          <c:tx>
            <c:v>Scxenario 3</c:v>
          </c:tx>
          <c:spPr>
            <a:ln>
              <a:solidFill>
                <a:srgbClr val="9BBB59"/>
              </a:solidFill>
            </a:ln>
          </c:spPr>
          <c:marker>
            <c:spPr>
              <a:solidFill>
                <a:srgbClr val="9BBB59"/>
              </a:solidFill>
            </c:spPr>
          </c:marker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'LTFP Chart Data'!$B$47:$M$47</c:f>
              <c:numCache>
                <c:formatCode>#,##0_ ;[Red]\-#,##0\ </c:formatCode>
                <c:ptCount val="12"/>
                <c:pt idx="0">
                  <c:v>-2644</c:v>
                </c:pt>
                <c:pt idx="1">
                  <c:v>30.000000000012278</c:v>
                </c:pt>
                <c:pt idx="2">
                  <c:v>1490.321499999995</c:v>
                </c:pt>
                <c:pt idx="3">
                  <c:v>1246.5492834999995</c:v>
                </c:pt>
                <c:pt idx="4">
                  <c:v>1541.1488343374976</c:v>
                </c:pt>
                <c:pt idx="5">
                  <c:v>540.99629019594067</c:v>
                </c:pt>
                <c:pt idx="6">
                  <c:v>-77.87618869765538</c:v>
                </c:pt>
                <c:pt idx="7">
                  <c:v>-36.275379572532074</c:v>
                </c:pt>
                <c:pt idx="8">
                  <c:v>-391.44416585249928</c:v>
                </c:pt>
                <c:pt idx="9">
                  <c:v>-369.90554512448216</c:v>
                </c:pt>
                <c:pt idx="10">
                  <c:v>-1645.0010839571323</c:v>
                </c:pt>
                <c:pt idx="11">
                  <c:v>-3711.8374708079155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14080"/>
        <c:axId val="170828544"/>
      </c:lineChart>
      <c:catAx>
        <c:axId val="1708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crossAx val="170828544"/>
        <c:crosses val="autoZero"/>
        <c:auto val="1"/>
        <c:lblAlgn val="ctr"/>
        <c:lblOffset val="100"/>
        <c:noMultiLvlLbl val="1"/>
      </c:catAx>
      <c:valAx>
        <c:axId val="1708285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crossAx val="170814080"/>
        <c:crosses val="autoZero"/>
        <c:crossBetween val="between"/>
      </c:valAx>
      <c:spPr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Operating Performance Ratio</a:t>
            </a:r>
          </a:p>
        </c:rich>
      </c:tx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'LTFP Chart Data'!$A$101</c:f>
              <c:strCache>
                <c:ptCount val="1"/>
                <c:pt idx="0">
                  <c:v>Scenario 1 - Base Case (BAU)</c:v>
                </c:pt>
              </c:strCache>
            </c:strRef>
          </c:tx>
          <c:cat>
            <c:strRef>
              <c:f>'LTFP Chart Data'!$B$100:$M$100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Data'!$B$101:$M$101</c:f>
              <c:numCache>
                <c:formatCode>0.0%</c:formatCode>
                <c:ptCount val="12"/>
                <c:pt idx="0">
                  <c:v>-6.3232067249745033E-2</c:v>
                </c:pt>
                <c:pt idx="1">
                  <c:v>7.8428465057164679E-4</c:v>
                </c:pt>
                <c:pt idx="2" formatCode="0.00%">
                  <c:v>1.6195019811860185E-2</c:v>
                </c:pt>
                <c:pt idx="3" formatCode="0.00%">
                  <c:v>1.3933209785465238E-2</c:v>
                </c:pt>
                <c:pt idx="4" formatCode="0.00%">
                  <c:v>1.8400616334424379E-2</c:v>
                </c:pt>
                <c:pt idx="5" formatCode="0.00%">
                  <c:v>1.3885829321355543E-2</c:v>
                </c:pt>
                <c:pt idx="6" formatCode="0.00%">
                  <c:v>6.3419629263559421E-3</c:v>
                </c:pt>
                <c:pt idx="7" formatCode="0.00%">
                  <c:v>5.8846215124110533E-3</c:v>
                </c:pt>
                <c:pt idx="8" formatCode="0.00%">
                  <c:v>5.2074719065725089E-3</c:v>
                </c:pt>
                <c:pt idx="9" formatCode="0.00%">
                  <c:v>4.7339463031988447E-3</c:v>
                </c:pt>
                <c:pt idx="10" formatCode="0.00%">
                  <c:v>4.1100160243645566E-3</c:v>
                </c:pt>
                <c:pt idx="11" formatCode="0.00%">
                  <c:v>3.4521136690948465E-3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'LTFP Chart Data'!$A$102</c:f>
              <c:strCache>
                <c:ptCount val="1"/>
                <c:pt idx="0">
                  <c:v>Scenario 2 - SRV with proactive response</c:v>
                </c:pt>
              </c:strCache>
            </c:strRef>
          </c:tx>
          <c:cat>
            <c:strRef>
              <c:f>'LTFP Chart Data'!$B$100:$M$100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Data'!$B$102:$M$102</c:f>
              <c:numCache>
                <c:formatCode>0.0%</c:formatCode>
                <c:ptCount val="12"/>
                <c:pt idx="0">
                  <c:v>-6.3232067249745033E-2</c:v>
                </c:pt>
                <c:pt idx="1">
                  <c:v>7.8428465057164679E-4</c:v>
                </c:pt>
                <c:pt idx="2" formatCode="0.00%">
                  <c:v>2.3702042510422138E-2</c:v>
                </c:pt>
                <c:pt idx="3" formatCode="0.00%">
                  <c:v>2.857922366761393E-2</c:v>
                </c:pt>
                <c:pt idx="4" formatCode="0.00%">
                  <c:v>2.796051586121362E-2</c:v>
                </c:pt>
                <c:pt idx="5" formatCode="0.00%">
                  <c:v>3.8874022081274171E-3</c:v>
                </c:pt>
                <c:pt idx="6" formatCode="0.00%">
                  <c:v>1.0407169538768277E-3</c:v>
                </c:pt>
                <c:pt idx="7" formatCode="0.00%">
                  <c:v>2.8126118431104244E-3</c:v>
                </c:pt>
                <c:pt idx="8" formatCode="0.00%">
                  <c:v>3.8090893608538554E-3</c:v>
                </c:pt>
                <c:pt idx="9" formatCode="0.00%">
                  <c:v>4.0397995147766113E-3</c:v>
                </c:pt>
                <c:pt idx="10" formatCode="0.00%">
                  <c:v>4.6800528767775122E-3</c:v>
                </c:pt>
                <c:pt idx="11" formatCode="0.00%">
                  <c:v>5.3338587804002292E-3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'LTFP Chart Data'!$A$103</c:f>
              <c:strCache>
                <c:ptCount val="1"/>
                <c:pt idx="0">
                  <c:v>Scenario 3 - SRV with Mine revenue reduction</c:v>
                </c:pt>
              </c:strCache>
            </c:strRef>
          </c:tx>
          <c:cat>
            <c:strRef>
              <c:f>'LTFP Chart Data'!$B$100:$M$100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Data'!$B$103:$M$103</c:f>
              <c:numCache>
                <c:formatCode>0.0%</c:formatCode>
                <c:ptCount val="12"/>
                <c:pt idx="0">
                  <c:v>-6.3232067249745033E-2</c:v>
                </c:pt>
                <c:pt idx="1">
                  <c:v>7.8428465057164679E-4</c:v>
                </c:pt>
                <c:pt idx="2" formatCode="0.00%">
                  <c:v>3.7371467846350717E-2</c:v>
                </c:pt>
                <c:pt idx="3" formatCode="0.00%">
                  <c:v>3.082106785975107E-2</c:v>
                </c:pt>
                <c:pt idx="4" formatCode="0.00%">
                  <c:v>3.6241334674047131E-2</c:v>
                </c:pt>
                <c:pt idx="5" formatCode="0.00%">
                  <c:v>1.2290372717523283E-2</c:v>
                </c:pt>
                <c:pt idx="6" formatCode="0.00%">
                  <c:v>-1.7557590356481337E-3</c:v>
                </c:pt>
                <c:pt idx="7" formatCode="0.00%">
                  <c:v>-7.9943824941374549E-4</c:v>
                </c:pt>
                <c:pt idx="8" formatCode="0.00%">
                  <c:v>-8.5049605617907309E-3</c:v>
                </c:pt>
                <c:pt idx="9" formatCode="0.00%">
                  <c:v>-7.8574988117066456E-3</c:v>
                </c:pt>
                <c:pt idx="10" formatCode="0.00%">
                  <c:v>-3.5106474056186374E-2</c:v>
                </c:pt>
                <c:pt idx="11" formatCode="0.00%">
                  <c:v>-8.0915242473375559E-2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'LTFP Chart Data'!$A$104</c:f>
              <c:strCache>
                <c:ptCount val="1"/>
                <c:pt idx="0">
                  <c:v>Benchmark</c:v>
                </c:pt>
              </c:strCache>
            </c:strRef>
          </c:tx>
          <c:val>
            <c:numRef>
              <c:f>'LTFP Chart Data'!$B$104:$M$104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265024"/>
        <c:axId val="171266816"/>
      </c:lineChart>
      <c:catAx>
        <c:axId val="17126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crossAx val="171266816"/>
        <c:crosses val="autoZero"/>
        <c:auto val="1"/>
        <c:lblAlgn val="ctr"/>
        <c:lblOffset val="100"/>
        <c:noMultiLvlLbl val="1"/>
      </c:catAx>
      <c:valAx>
        <c:axId val="17126681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crossAx val="171265024"/>
        <c:crosses val="autoZero"/>
        <c:crossBetween val="between"/>
      </c:valAx>
      <c:spPr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Buildings &amp; Infrastructure Renewals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'LTFP Chart Data'!$A$113</c:f>
              <c:strCache>
                <c:ptCount val="1"/>
                <c:pt idx="0">
                  <c:v>Scenario 1 - Base Case (BAU)</c:v>
                </c:pt>
              </c:strCache>
            </c:strRef>
          </c:tx>
          <c:cat>
            <c:strRef>
              <c:f>'LTFP Chart Data'!$C$112:$M$112</c:f>
              <c:strCache>
                <c:ptCount val="11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</c:strCache>
            </c:strRef>
          </c:cat>
          <c:val>
            <c:numRef>
              <c:f>'LTFP Chart Data'!$C$113:$M$113</c:f>
              <c:numCache>
                <c:formatCode>0.00%</c:formatCode>
                <c:ptCount val="11"/>
                <c:pt idx="0" formatCode="0.0%">
                  <c:v>0.99370124897617762</c:v>
                </c:pt>
                <c:pt idx="1">
                  <c:v>1.0673975727330196</c:v>
                </c:pt>
                <c:pt idx="2">
                  <c:v>1.7178832309325391</c:v>
                </c:pt>
                <c:pt idx="3">
                  <c:v>1.0104694978281377</c:v>
                </c:pt>
                <c:pt idx="4">
                  <c:v>1.0075306198855547</c:v>
                </c:pt>
                <c:pt idx="5">
                  <c:v>1.0147675493667618</c:v>
                </c:pt>
                <c:pt idx="6">
                  <c:v>1.0035478443809174</c:v>
                </c:pt>
                <c:pt idx="7">
                  <c:v>1.0039839656613063</c:v>
                </c:pt>
                <c:pt idx="8">
                  <c:v>1.0087825493138745</c:v>
                </c:pt>
                <c:pt idx="9">
                  <c:v>1.0042280819063754</c:v>
                </c:pt>
                <c:pt idx="10">
                  <c:v>1.005213236758292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'LTFP Chart Data'!$A$114</c:f>
              <c:strCache>
                <c:ptCount val="1"/>
                <c:pt idx="0">
                  <c:v>Scenario 2 - SRV with proactive response</c:v>
                </c:pt>
              </c:strCache>
            </c:strRef>
          </c:tx>
          <c:cat>
            <c:strRef>
              <c:f>'LTFP Chart Data'!$C$112:$M$112</c:f>
              <c:strCache>
                <c:ptCount val="11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</c:strCache>
            </c:strRef>
          </c:cat>
          <c:val>
            <c:numRef>
              <c:f>'LTFP Chart Data'!$C$114:$M$114</c:f>
              <c:numCache>
                <c:formatCode>0.00%</c:formatCode>
                <c:ptCount val="11"/>
                <c:pt idx="0" formatCode="0.0%">
                  <c:v>0.99370124897617762</c:v>
                </c:pt>
                <c:pt idx="1">
                  <c:v>0.99303931837438397</c:v>
                </c:pt>
                <c:pt idx="2">
                  <c:v>1.6803934749060947</c:v>
                </c:pt>
                <c:pt idx="3">
                  <c:v>1.0921016235379826</c:v>
                </c:pt>
                <c:pt idx="4">
                  <c:v>1.0150188029249823</c:v>
                </c:pt>
                <c:pt idx="5">
                  <c:v>1.0025295073449241</c:v>
                </c:pt>
                <c:pt idx="6">
                  <c:v>0.99824486627778619</c:v>
                </c:pt>
                <c:pt idx="7">
                  <c:v>1.0484348397600545</c:v>
                </c:pt>
                <c:pt idx="8">
                  <c:v>1.0005890737846779</c:v>
                </c:pt>
                <c:pt idx="9">
                  <c:v>1.016106314468552</c:v>
                </c:pt>
                <c:pt idx="10">
                  <c:v>1.0057512310938483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'LTFP Chart Data'!$A$115</c:f>
              <c:strCache>
                <c:ptCount val="1"/>
                <c:pt idx="0">
                  <c:v>Scenario 3 - SRV with Mine revenue reduction</c:v>
                </c:pt>
              </c:strCache>
            </c:strRef>
          </c:tx>
          <c:cat>
            <c:strRef>
              <c:f>'LTFP Chart Data'!$C$112:$M$112</c:f>
              <c:strCache>
                <c:ptCount val="11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</c:strCache>
            </c:strRef>
          </c:cat>
          <c:val>
            <c:numRef>
              <c:f>'LTFP Chart Data'!$C$115:$M$115</c:f>
              <c:numCache>
                <c:formatCode>0.0%</c:formatCode>
                <c:ptCount val="11"/>
                <c:pt idx="0">
                  <c:v>0.99370124897617762</c:v>
                </c:pt>
                <c:pt idx="1">
                  <c:v>0.99303931837438397</c:v>
                </c:pt>
                <c:pt idx="2">
                  <c:v>1.6803934749060947</c:v>
                </c:pt>
                <c:pt idx="3">
                  <c:v>1.0921016235379826</c:v>
                </c:pt>
                <c:pt idx="4">
                  <c:v>1.0150188029249823</c:v>
                </c:pt>
                <c:pt idx="5">
                  <c:v>1.0025295073449241</c:v>
                </c:pt>
                <c:pt idx="6">
                  <c:v>0.99824486627778619</c:v>
                </c:pt>
                <c:pt idx="7">
                  <c:v>1.0484348397600545</c:v>
                </c:pt>
                <c:pt idx="8">
                  <c:v>1.0005890737846779</c:v>
                </c:pt>
                <c:pt idx="9">
                  <c:v>1.016106314468552</c:v>
                </c:pt>
                <c:pt idx="10">
                  <c:v>1.0057512310938483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'LTFP Chart Data'!$A$116</c:f>
              <c:strCache>
                <c:ptCount val="1"/>
                <c:pt idx="0">
                  <c:v>Benchmark</c:v>
                </c:pt>
              </c:strCache>
            </c:strRef>
          </c:tx>
          <c:cat>
            <c:strRef>
              <c:f>'LTFP Chart Data'!$C$112:$M$112</c:f>
              <c:strCache>
                <c:ptCount val="11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</c:strCache>
            </c:strRef>
          </c:cat>
          <c:val>
            <c:numRef>
              <c:f>'LTFP Chart Data'!$C$116:$M$116</c:f>
              <c:numCache>
                <c:formatCode>0%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14176"/>
        <c:axId val="171324160"/>
      </c:lineChart>
      <c:catAx>
        <c:axId val="17131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crossAx val="171324160"/>
        <c:crosses val="autoZero"/>
        <c:auto val="1"/>
        <c:lblAlgn val="ctr"/>
        <c:lblOffset val="100"/>
        <c:noMultiLvlLbl val="1"/>
      </c:catAx>
      <c:valAx>
        <c:axId val="171324160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crossAx val="171314176"/>
        <c:crosses val="autoZero"/>
        <c:crossBetween val="between"/>
      </c:valAx>
      <c:spPr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Infrastructure Backlog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'LTFP Chart Data'!$A$119</c:f>
              <c:strCache>
                <c:ptCount val="1"/>
                <c:pt idx="0">
                  <c:v>Scenario 1 - Base Case (BAU)</c:v>
                </c:pt>
              </c:strCache>
            </c:strRef>
          </c:tx>
          <c:cat>
            <c:strRef>
              <c:f>'LTFP Chart Data'!$B$118:$M$118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Data'!$B$119:$M$119</c:f>
              <c:numCache>
                <c:formatCode>0.0%</c:formatCode>
                <c:ptCount val="12"/>
                <c:pt idx="0">
                  <c:v>2.0921636390210323E-2</c:v>
                </c:pt>
                <c:pt idx="1">
                  <c:v>2.1202333570640202E-2</c:v>
                </c:pt>
                <c:pt idx="2">
                  <c:v>2.1308459510721522E-2</c:v>
                </c:pt>
                <c:pt idx="3">
                  <c:v>2.0300319896555834E-2</c:v>
                </c:pt>
                <c:pt idx="4">
                  <c:v>9.4234301255619549E-3</c:v>
                </c:pt>
                <c:pt idx="5">
                  <c:v>9.2626657543320601E-3</c:v>
                </c:pt>
                <c:pt idx="6">
                  <c:v>9.1441558722497231E-3</c:v>
                </c:pt>
                <c:pt idx="7">
                  <c:v>8.9060321589522259E-3</c:v>
                </c:pt>
                <c:pt idx="8">
                  <c:v>8.8474109302820077E-3</c:v>
                </c:pt>
                <c:pt idx="9">
                  <c:v>8.7799463957723249E-3</c:v>
                </c:pt>
                <c:pt idx="10">
                  <c:v>8.6275377018121512E-3</c:v>
                </c:pt>
                <c:pt idx="11">
                  <c:v>8.5523479924291511E-3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'LTFP Chart Data'!$A$120</c:f>
              <c:strCache>
                <c:ptCount val="1"/>
                <c:pt idx="0">
                  <c:v>Scenario 2 - SRV with proactive response</c:v>
                </c:pt>
              </c:strCache>
            </c:strRef>
          </c:tx>
          <c:cat>
            <c:strRef>
              <c:f>'LTFP Chart Data'!$B$118:$M$118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Data'!$B$120:$M$120</c:f>
              <c:numCache>
                <c:formatCode>0.0%</c:formatCode>
                <c:ptCount val="12"/>
                <c:pt idx="0">
                  <c:v>2.0921636390210323E-2</c:v>
                </c:pt>
                <c:pt idx="1">
                  <c:v>2.1202333570640202E-2</c:v>
                </c:pt>
                <c:pt idx="2">
                  <c:v>2.1308459510721522E-2</c:v>
                </c:pt>
                <c:pt idx="3">
                  <c:v>2.1412691594808034E-2</c:v>
                </c:pt>
                <c:pt idx="4">
                  <c:v>1.1170667618858909E-2</c:v>
                </c:pt>
                <c:pt idx="5">
                  <c:v>9.7385412168629407E-3</c:v>
                </c:pt>
                <c:pt idx="6">
                  <c:v>9.4868742052211137E-3</c:v>
                </c:pt>
                <c:pt idx="7">
                  <c:v>9.4434408038928212E-3</c:v>
                </c:pt>
                <c:pt idx="8">
                  <c:v>9.4743307091066081E-3</c:v>
                </c:pt>
                <c:pt idx="9">
                  <c:v>8.6013078119878215E-3</c:v>
                </c:pt>
                <c:pt idx="10">
                  <c:v>8.5904340231987182E-3</c:v>
                </c:pt>
                <c:pt idx="11">
                  <c:v>8.2857881105872933E-3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'LTFP Chart Data'!$A$121</c:f>
              <c:strCache>
                <c:ptCount val="1"/>
                <c:pt idx="0">
                  <c:v>Scenario 3 - SRV with Mine revenue reduction</c:v>
                </c:pt>
              </c:strCache>
            </c:strRef>
          </c:tx>
          <c:cat>
            <c:strRef>
              <c:f>'LTFP Chart Data'!$B$118:$M$118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Data'!$B$121:$M$121</c:f>
              <c:numCache>
                <c:formatCode>0.0%</c:formatCode>
                <c:ptCount val="12"/>
                <c:pt idx="0">
                  <c:v>2.0921636390210323E-2</c:v>
                </c:pt>
                <c:pt idx="1">
                  <c:v>2.1202333570640202E-2</c:v>
                </c:pt>
                <c:pt idx="2">
                  <c:v>2.1308459510721522E-2</c:v>
                </c:pt>
                <c:pt idx="3">
                  <c:v>2.1412691594808034E-2</c:v>
                </c:pt>
                <c:pt idx="4">
                  <c:v>1.1170667618858909E-2</c:v>
                </c:pt>
                <c:pt idx="5">
                  <c:v>9.7385412168629407E-3</c:v>
                </c:pt>
                <c:pt idx="6">
                  <c:v>9.4868742052211137E-3</c:v>
                </c:pt>
                <c:pt idx="7">
                  <c:v>9.4434408038928212E-3</c:v>
                </c:pt>
                <c:pt idx="8">
                  <c:v>9.4743307091066081E-3</c:v>
                </c:pt>
                <c:pt idx="9">
                  <c:v>8.6013078119878215E-3</c:v>
                </c:pt>
                <c:pt idx="10">
                  <c:v>8.5904340231987182E-3</c:v>
                </c:pt>
                <c:pt idx="11">
                  <c:v>8.2857881105872933E-3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'LTFP Chart Data'!$A$122</c:f>
              <c:strCache>
                <c:ptCount val="1"/>
                <c:pt idx="0">
                  <c:v>Benchmark</c:v>
                </c:pt>
              </c:strCache>
            </c:strRef>
          </c:tx>
          <c:cat>
            <c:strRef>
              <c:f>'LTFP Chart Data'!$B$118:$M$118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Data'!$B$122:$M$122</c:f>
              <c:numCache>
                <c:formatCode>0%</c:formatCode>
                <c:ptCount val="12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67424"/>
        <c:axId val="171373312"/>
      </c:lineChart>
      <c:catAx>
        <c:axId val="17136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crossAx val="171373312"/>
        <c:crosses val="autoZero"/>
        <c:auto val="1"/>
        <c:lblAlgn val="ctr"/>
        <c:lblOffset val="100"/>
        <c:noMultiLvlLbl val="1"/>
      </c:catAx>
      <c:valAx>
        <c:axId val="171373312"/>
        <c:scaling>
          <c:orientation val="minMax"/>
          <c:max val="0.15000000000000002"/>
        </c:scaling>
        <c:delete val="0"/>
        <c:axPos val="l"/>
        <c:numFmt formatCode="0.0%" sourceLinked="0"/>
        <c:majorTickMark val="none"/>
        <c:minorTickMark val="none"/>
        <c:tickLblPos val="nextTo"/>
        <c:crossAx val="171367424"/>
        <c:crosses val="autoZero"/>
        <c:crossBetween val="between"/>
      </c:valAx>
      <c:spPr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Asset</a:t>
            </a:r>
            <a:r>
              <a:rPr lang="en-NZ" baseline="0"/>
              <a:t> Maintenance </a:t>
            </a:r>
            <a:r>
              <a:rPr lang="en-NZ"/>
              <a:t>Ratio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'LTFP Chart Data'!$A$125</c:f>
              <c:strCache>
                <c:ptCount val="1"/>
                <c:pt idx="0">
                  <c:v>Scenario 1 - Base Case (BAU)</c:v>
                </c:pt>
              </c:strCache>
            </c:strRef>
          </c:tx>
          <c:cat>
            <c:strRef>
              <c:f>'LTFP Chart Data'!$B$124:$M$124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Data'!$B$125:$M$125</c:f>
              <c:numCache>
                <c:formatCode>0.0%</c:formatCode>
                <c:ptCount val="12"/>
                <c:pt idx="0">
                  <c:v>0.82606451612903231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'LTFP Chart Data'!$A$126</c:f>
              <c:strCache>
                <c:ptCount val="1"/>
                <c:pt idx="0">
                  <c:v>Scenario 2 - SRV with proactive response</c:v>
                </c:pt>
              </c:strCache>
            </c:strRef>
          </c:tx>
          <c:cat>
            <c:strRef>
              <c:f>'LTFP Chart Data'!$B$124:$M$124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Data'!$B$126:$M$126</c:f>
              <c:numCache>
                <c:formatCode>0.0%</c:formatCode>
                <c:ptCount val="12"/>
                <c:pt idx="0">
                  <c:v>0.82606451612903231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'LTFP Chart Data'!$A$127</c:f>
              <c:strCache>
                <c:ptCount val="1"/>
                <c:pt idx="0">
                  <c:v>Scenario 3 - SRV with Mine revenue reduction</c:v>
                </c:pt>
              </c:strCache>
            </c:strRef>
          </c:tx>
          <c:cat>
            <c:strRef>
              <c:f>'LTFP Chart Data'!$B$124:$M$124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Data'!$B$127:$M$127</c:f>
              <c:numCache>
                <c:formatCode>0.0%</c:formatCode>
                <c:ptCount val="12"/>
                <c:pt idx="0">
                  <c:v>0.82606451612903231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'LTFP Chart Data'!$A$128</c:f>
              <c:strCache>
                <c:ptCount val="1"/>
                <c:pt idx="0">
                  <c:v>Benchmark</c:v>
                </c:pt>
              </c:strCache>
            </c:strRef>
          </c:tx>
          <c:cat>
            <c:strRef>
              <c:f>'LTFP Chart Data'!$B$124:$M$124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Data'!$B$128:$M$128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019264"/>
        <c:axId val="171021056"/>
      </c:lineChart>
      <c:catAx>
        <c:axId val="17101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crossAx val="171021056"/>
        <c:crosses val="autoZero"/>
        <c:auto val="1"/>
        <c:lblAlgn val="ctr"/>
        <c:lblOffset val="100"/>
        <c:noMultiLvlLbl val="1"/>
      </c:catAx>
      <c:valAx>
        <c:axId val="17102105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crossAx val="171019264"/>
        <c:crosses val="autoZero"/>
        <c:crossBetween val="between"/>
      </c:valAx>
      <c:spPr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Debt Service Ratio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'LTFP Chart Data'!$A$131</c:f>
              <c:strCache>
                <c:ptCount val="1"/>
                <c:pt idx="0">
                  <c:v>Scenario 1 - Base Case (BAU)</c:v>
                </c:pt>
              </c:strCache>
            </c:strRef>
          </c:tx>
          <c:cat>
            <c:strRef>
              <c:f>'LTFP Chart Data'!$B$130:$M$130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Data'!$B$131:$M$131</c:f>
              <c:numCache>
                <c:formatCode>0.0%</c:formatCode>
                <c:ptCount val="12"/>
                <c:pt idx="0">
                  <c:v>2.2962573786197732E-2</c:v>
                </c:pt>
                <c:pt idx="1">
                  <c:v>3.9223696230032572E-2</c:v>
                </c:pt>
                <c:pt idx="2">
                  <c:v>3.8369149477125108E-2</c:v>
                </c:pt>
                <c:pt idx="3">
                  <c:v>3.7319006412328229E-2</c:v>
                </c:pt>
                <c:pt idx="4">
                  <c:v>3.6164090325945267E-2</c:v>
                </c:pt>
                <c:pt idx="5">
                  <c:v>3.5333629366345383E-2</c:v>
                </c:pt>
                <c:pt idx="6">
                  <c:v>3.4363986466925026E-2</c:v>
                </c:pt>
                <c:pt idx="7">
                  <c:v>3.3151188896415905E-2</c:v>
                </c:pt>
                <c:pt idx="8">
                  <c:v>3.2213222812726226E-2</c:v>
                </c:pt>
                <c:pt idx="9">
                  <c:v>3.1366356420996493E-2</c:v>
                </c:pt>
                <c:pt idx="10">
                  <c:v>3.0538796244066965E-2</c:v>
                </c:pt>
                <c:pt idx="11">
                  <c:v>2.9725822739763489E-2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'LTFP Chart Data'!$A$132</c:f>
              <c:strCache>
                <c:ptCount val="1"/>
                <c:pt idx="0">
                  <c:v>Scenario 2 - SRV with proactive response</c:v>
                </c:pt>
              </c:strCache>
            </c:strRef>
          </c:tx>
          <c:cat>
            <c:strRef>
              <c:f>'LTFP Chart Data'!$B$130:$M$130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Data'!$B$132:$M$132</c:f>
              <c:numCache>
                <c:formatCode>0.0%</c:formatCode>
                <c:ptCount val="12"/>
                <c:pt idx="0">
                  <c:v>2.2962573786197732E-2</c:v>
                </c:pt>
                <c:pt idx="1">
                  <c:v>3.9223696230032572E-2</c:v>
                </c:pt>
                <c:pt idx="2">
                  <c:v>3.8076369828871845E-2</c:v>
                </c:pt>
                <c:pt idx="3">
                  <c:v>3.7032739602238116E-2</c:v>
                </c:pt>
                <c:pt idx="4">
                  <c:v>4.5330279044231592E-2</c:v>
                </c:pt>
                <c:pt idx="5">
                  <c:v>5.364960348143543E-2</c:v>
                </c:pt>
                <c:pt idx="6">
                  <c:v>5.1753436907500679E-2</c:v>
                </c:pt>
                <c:pt idx="7">
                  <c:v>4.9658161893166547E-2</c:v>
                </c:pt>
                <c:pt idx="8">
                  <c:v>4.7648845780548857E-2</c:v>
                </c:pt>
                <c:pt idx="9">
                  <c:v>4.5719792914586041E-2</c:v>
                </c:pt>
                <c:pt idx="10">
                  <c:v>4.3814259082204314E-2</c:v>
                </c:pt>
                <c:pt idx="11">
                  <c:v>4.1950628173654046E-2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'LTFP Chart Data'!$A$133</c:f>
              <c:strCache>
                <c:ptCount val="1"/>
                <c:pt idx="0">
                  <c:v>Scenario 3 - SRV with Mine revenue reduction</c:v>
                </c:pt>
              </c:strCache>
            </c:strRef>
          </c:tx>
          <c:cat>
            <c:strRef>
              <c:f>'LTFP Chart Data'!$B$130:$M$130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Data'!$B$133:$M$133</c:f>
              <c:numCache>
                <c:formatCode>0.0%</c:formatCode>
                <c:ptCount val="12"/>
                <c:pt idx="0">
                  <c:v>2.2962573786197732E-2</c:v>
                </c:pt>
                <c:pt idx="1">
                  <c:v>3.9223696230032572E-2</c:v>
                </c:pt>
                <c:pt idx="2">
                  <c:v>3.7543251746993113E-2</c:v>
                </c:pt>
                <c:pt idx="3">
                  <c:v>3.6947275471534986E-2</c:v>
                </c:pt>
                <c:pt idx="4">
                  <c:v>4.494410972330834E-2</c:v>
                </c:pt>
                <c:pt idx="5">
                  <c:v>5.3197028103014729E-2</c:v>
                </c:pt>
                <c:pt idx="6">
                  <c:v>5.1898314928200288E-2</c:v>
                </c:pt>
                <c:pt idx="7">
                  <c:v>4.9838035576278722E-2</c:v>
                </c:pt>
                <c:pt idx="8">
                  <c:v>4.8237839576247728E-2</c:v>
                </c:pt>
                <c:pt idx="9">
                  <c:v>4.6265941260137257E-2</c:v>
                </c:pt>
                <c:pt idx="10">
                  <c:v>4.5565672990928244E-2</c:v>
                </c:pt>
                <c:pt idx="11">
                  <c:v>4.5588234629798781E-2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'LTFP Chart Data'!$A$134</c:f>
              <c:strCache>
                <c:ptCount val="1"/>
                <c:pt idx="0">
                  <c:v>Benchmark</c:v>
                </c:pt>
              </c:strCache>
            </c:strRef>
          </c:tx>
          <c:cat>
            <c:strRef>
              <c:f>'LTFP Chart Data'!$B$130:$M$130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Data'!$B$134:$M$134</c:f>
              <c:numCache>
                <c:formatCode>0%</c:formatCode>
                <c:ptCount val="12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072512"/>
        <c:axId val="171078400"/>
      </c:lineChart>
      <c:catAx>
        <c:axId val="17107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crossAx val="171078400"/>
        <c:crosses val="autoZero"/>
        <c:auto val="1"/>
        <c:lblAlgn val="ctr"/>
        <c:lblOffset val="100"/>
        <c:noMultiLvlLbl val="1"/>
      </c:catAx>
      <c:valAx>
        <c:axId val="171078400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crossAx val="171072512"/>
        <c:crosses val="autoZero"/>
        <c:crossBetween val="between"/>
      </c:valAx>
      <c:spPr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Real Operating Expenditure per capita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'LTFP Chart Data'!$A$137</c:f>
              <c:strCache>
                <c:ptCount val="1"/>
                <c:pt idx="0">
                  <c:v>Scenario 1 - Base Case (BAU)</c:v>
                </c:pt>
              </c:strCache>
            </c:strRef>
          </c:tx>
          <c:cat>
            <c:strRef>
              <c:f>'LTFP Chart Data'!$B$136:$M$136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Data'!$B$137:$M$137</c:f>
              <c:numCache>
                <c:formatCode>_(* #,##0.00_);_(* \(#,##0.00\);_(* "-"??_);_(@_)</c:formatCode>
                <c:ptCount val="12"/>
                <c:pt idx="0">
                  <c:v>1948.3505592524425</c:v>
                </c:pt>
                <c:pt idx="1">
                  <c:v>2093.0326906360388</c:v>
                </c:pt>
                <c:pt idx="2">
                  <c:v>2032.6667745911852</c:v>
                </c:pt>
                <c:pt idx="3">
                  <c:v>2021.5595042229556</c:v>
                </c:pt>
                <c:pt idx="4">
                  <c:v>2004.3045718564874</c:v>
                </c:pt>
                <c:pt idx="5">
                  <c:v>1999.96379708564</c:v>
                </c:pt>
                <c:pt idx="6">
                  <c:v>1978.5851857434325</c:v>
                </c:pt>
                <c:pt idx="7">
                  <c:v>1957.4985528890484</c:v>
                </c:pt>
                <c:pt idx="8">
                  <c:v>1937.2164338665013</c:v>
                </c:pt>
                <c:pt idx="9">
                  <c:v>1917.3781726862455</c:v>
                </c:pt>
                <c:pt idx="10">
                  <c:v>1900.3046476239467</c:v>
                </c:pt>
                <c:pt idx="11">
                  <c:v>1880.975396063626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'LTFP Chart Data'!$A$138</c:f>
              <c:strCache>
                <c:ptCount val="1"/>
                <c:pt idx="0">
                  <c:v>Scenario 2 - SRV with proactive response</c:v>
                </c:pt>
              </c:strCache>
            </c:strRef>
          </c:tx>
          <c:cat>
            <c:strRef>
              <c:f>'LTFP Chart Data'!$B$136:$M$136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Data'!$B$138:$M$138</c:f>
              <c:numCache>
                <c:formatCode>_(* #,##0.00_);_(* \(#,##0.00\);_(* "-"??_);_(@_)</c:formatCode>
                <c:ptCount val="12"/>
                <c:pt idx="0">
                  <c:v>1948.3505592524425</c:v>
                </c:pt>
                <c:pt idx="1">
                  <c:v>2093.0326906360388</c:v>
                </c:pt>
                <c:pt idx="2">
                  <c:v>2032.6667745911852</c:v>
                </c:pt>
                <c:pt idx="3">
                  <c:v>2006.9281086090677</c:v>
                </c:pt>
                <c:pt idx="4">
                  <c:v>2028.9586911233114</c:v>
                </c:pt>
                <c:pt idx="5">
                  <c:v>2092.9887724471214</c:v>
                </c:pt>
                <c:pt idx="6">
                  <c:v>2068.7845016372289</c:v>
                </c:pt>
                <c:pt idx="7">
                  <c:v>2044.998415029022</c:v>
                </c:pt>
                <c:pt idx="8">
                  <c:v>2021.620772420388</c:v>
                </c:pt>
                <c:pt idx="9">
                  <c:v>1998.6421057549014</c:v>
                </c:pt>
                <c:pt idx="10">
                  <c:v>1978.6506498615445</c:v>
                </c:pt>
                <c:pt idx="11">
                  <c:v>1956.4133865185797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'LTFP Chart Data'!$A$139</c:f>
              <c:strCache>
                <c:ptCount val="1"/>
                <c:pt idx="0">
                  <c:v>Scenario 3 - SRV with Mine revenue reduction</c:v>
                </c:pt>
              </c:strCache>
            </c:strRef>
          </c:tx>
          <c:cat>
            <c:strRef>
              <c:f>'LTFP Chart Data'!$B$136:$M$136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Data'!$B$139:$M$139</c:f>
              <c:numCache>
                <c:formatCode>_(* #,##0.00_);_(* \(#,##0.00\);_(* "-"??_);_(@_)</c:formatCode>
                <c:ptCount val="12"/>
                <c:pt idx="0">
                  <c:v>1948.3505592524425</c:v>
                </c:pt>
                <c:pt idx="1">
                  <c:v>2093.0326906360388</c:v>
                </c:pt>
                <c:pt idx="2">
                  <c:v>2032.6667745911852</c:v>
                </c:pt>
                <c:pt idx="3">
                  <c:v>2006.9281086090677</c:v>
                </c:pt>
                <c:pt idx="4">
                  <c:v>2028.9586911233114</c:v>
                </c:pt>
                <c:pt idx="5">
                  <c:v>2092.9887724471214</c:v>
                </c:pt>
                <c:pt idx="6">
                  <c:v>2068.7845016372289</c:v>
                </c:pt>
                <c:pt idx="7">
                  <c:v>2044.998415029022</c:v>
                </c:pt>
                <c:pt idx="8">
                  <c:v>2021.620772420388</c:v>
                </c:pt>
                <c:pt idx="9">
                  <c:v>1998.6421057549014</c:v>
                </c:pt>
                <c:pt idx="10">
                  <c:v>1978.6506498615445</c:v>
                </c:pt>
                <c:pt idx="11">
                  <c:v>1956.4133865185797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112704"/>
        <c:axId val="171184128"/>
      </c:lineChart>
      <c:catAx>
        <c:axId val="17111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crossAx val="171184128"/>
        <c:crosses val="autoZero"/>
        <c:auto val="1"/>
        <c:lblAlgn val="ctr"/>
        <c:lblOffset val="100"/>
        <c:noMultiLvlLbl val="1"/>
      </c:catAx>
      <c:valAx>
        <c:axId val="171184128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crossAx val="171112704"/>
        <c:crosses val="autoZero"/>
        <c:crossBetween val="between"/>
      </c:valAx>
      <c:spPr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Own Source Revenue Ratio</a:t>
            </a:r>
          </a:p>
        </c:rich>
      </c:tx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'LTFP Chart Data'!$A$107</c:f>
              <c:strCache>
                <c:ptCount val="1"/>
                <c:pt idx="0">
                  <c:v>Scenario 1 - Base Case (BAU)</c:v>
                </c:pt>
              </c:strCache>
            </c:strRef>
          </c:tx>
          <c:cat>
            <c:strRef>
              <c:f>'LTFP Chart Data'!$B$106:$M$106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Data'!$B$107:$M$107</c:f>
              <c:numCache>
                <c:formatCode>0.0%</c:formatCode>
                <c:ptCount val="12"/>
                <c:pt idx="0">
                  <c:v>0.66866028708133973</c:v>
                </c:pt>
                <c:pt idx="1">
                  <c:v>0.77951694343238087</c:v>
                </c:pt>
                <c:pt idx="2">
                  <c:v>0.78418007570440884</c:v>
                </c:pt>
                <c:pt idx="3">
                  <c:v>0.78599838126384913</c:v>
                </c:pt>
                <c:pt idx="4">
                  <c:v>0.78855562858572448</c:v>
                </c:pt>
                <c:pt idx="5">
                  <c:v>0.7894626400171304</c:v>
                </c:pt>
                <c:pt idx="6">
                  <c:v>0.78759133678661619</c:v>
                </c:pt>
                <c:pt idx="7">
                  <c:v>0.78710742356918684</c:v>
                </c:pt>
                <c:pt idx="8">
                  <c:v>0.78663781516057996</c:v>
                </c:pt>
                <c:pt idx="9">
                  <c:v>0.78623106644498708</c:v>
                </c:pt>
                <c:pt idx="10">
                  <c:v>0.78580103911896004</c:v>
                </c:pt>
                <c:pt idx="11">
                  <c:v>0.78537035835049918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'LTFP Chart Data'!$A$108</c:f>
              <c:strCache>
                <c:ptCount val="1"/>
                <c:pt idx="0">
                  <c:v>Scenario 2 - SRV with proactive response</c:v>
                </c:pt>
              </c:strCache>
            </c:strRef>
          </c:tx>
          <c:cat>
            <c:strRef>
              <c:f>'LTFP Chart Data'!$B$106:$M$106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Data'!$B$108:$M$108</c:f>
              <c:numCache>
                <c:formatCode>0.0%</c:formatCode>
                <c:ptCount val="12"/>
                <c:pt idx="0">
                  <c:v>0.66866028708133973</c:v>
                </c:pt>
                <c:pt idx="1">
                  <c:v>0.77951694343238087</c:v>
                </c:pt>
                <c:pt idx="2">
                  <c:v>0.78568220199926198</c:v>
                </c:pt>
                <c:pt idx="3">
                  <c:v>0.78749715424257949</c:v>
                </c:pt>
                <c:pt idx="4">
                  <c:v>0.73678808007316854</c:v>
                </c:pt>
                <c:pt idx="5">
                  <c:v>0.79617135298563546</c:v>
                </c:pt>
                <c:pt idx="6">
                  <c:v>0.79526635504210852</c:v>
                </c:pt>
                <c:pt idx="7">
                  <c:v>0.79523999338357598</c:v>
                </c:pt>
                <c:pt idx="8">
                  <c:v>0.79507980267876832</c:v>
                </c:pt>
                <c:pt idx="9">
                  <c:v>0.79478666544706045</c:v>
                </c:pt>
                <c:pt idx="10">
                  <c:v>0.79458211042625548</c:v>
                </c:pt>
                <c:pt idx="11">
                  <c:v>0.79439136138063371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'LTFP Chart Data'!$A$109</c:f>
              <c:strCache>
                <c:ptCount val="1"/>
                <c:pt idx="0">
                  <c:v>Scenario 3 - SRV with Mine revenue reduction</c:v>
                </c:pt>
              </c:strCache>
            </c:strRef>
          </c:tx>
          <c:cat>
            <c:strRef>
              <c:f>'LTFP Chart Data'!$B$106:$M$106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Data'!$B$109:$M$109</c:f>
              <c:numCache>
                <c:formatCode>0.0%</c:formatCode>
                <c:ptCount val="12"/>
                <c:pt idx="0">
                  <c:v>0.66866028708133973</c:v>
                </c:pt>
                <c:pt idx="1">
                  <c:v>0.77951694343238087</c:v>
                </c:pt>
                <c:pt idx="2">
                  <c:v>0.78842262094000382</c:v>
                </c:pt>
                <c:pt idx="3">
                  <c:v>0.78794499936582885</c:v>
                </c:pt>
                <c:pt idx="4">
                  <c:v>0.73869792983886928</c:v>
                </c:pt>
                <c:pt idx="5">
                  <c:v>0.79774880826467431</c:v>
                </c:pt>
                <c:pt idx="6">
                  <c:v>0.79488413140062641</c:v>
                </c:pt>
                <c:pt idx="7">
                  <c:v>0.79484607549073716</c:v>
                </c:pt>
                <c:pt idx="8">
                  <c:v>0.79319097827098528</c:v>
                </c:pt>
                <c:pt idx="9">
                  <c:v>0.79311593156304894</c:v>
                </c:pt>
                <c:pt idx="10">
                  <c:v>0.787809866270477</c:v>
                </c:pt>
                <c:pt idx="11">
                  <c:v>0.77906450892812085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'LTFP Chart Data'!$A$110</c:f>
              <c:strCache>
                <c:ptCount val="1"/>
                <c:pt idx="0">
                  <c:v>Benchmark</c:v>
                </c:pt>
              </c:strCache>
            </c:strRef>
          </c:tx>
          <c:val>
            <c:numRef>
              <c:f>'LTFP Chart Data'!$B$110:$M$110</c:f>
              <c:numCache>
                <c:formatCode>0%</c:formatCode>
                <c:ptCount val="12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227392"/>
        <c:axId val="171376640"/>
      </c:lineChart>
      <c:catAx>
        <c:axId val="17122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crossAx val="171376640"/>
        <c:crosses val="autoZero"/>
        <c:auto val="1"/>
        <c:lblAlgn val="ctr"/>
        <c:lblOffset val="100"/>
        <c:noMultiLvlLbl val="1"/>
      </c:catAx>
      <c:valAx>
        <c:axId val="171376640"/>
        <c:scaling>
          <c:orientation val="minMax"/>
          <c:max val="1"/>
        </c:scaling>
        <c:delete val="0"/>
        <c:axPos val="l"/>
        <c:numFmt formatCode="0.0%" sourceLinked="0"/>
        <c:majorTickMark val="none"/>
        <c:minorTickMark val="none"/>
        <c:tickLblPos val="nextTo"/>
        <c:crossAx val="171227392"/>
        <c:crosses val="autoZero"/>
        <c:crossBetween val="between"/>
      </c:valAx>
      <c:spPr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Cash Reserves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38997619517202"/>
          <c:y val="0.10312152777777778"/>
          <c:w val="0.86386291269600568"/>
          <c:h val="0.73185324074074076"/>
        </c:manualLayout>
      </c:layout>
      <c:lineChart>
        <c:grouping val="standard"/>
        <c:varyColors val="0"/>
        <c:ser>
          <c:idx val="0"/>
          <c:order val="0"/>
          <c:tx>
            <c:v>Scenario 1</c:v>
          </c:tx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'LTFP Chart Data'!$B$38:$M$38</c:f>
              <c:numCache>
                <c:formatCode>#,##0_ ;[Red]\-#,##0\ </c:formatCode>
                <c:ptCount val="12"/>
                <c:pt idx="0">
                  <c:v>19402000</c:v>
                </c:pt>
                <c:pt idx="1">
                  <c:v>19019944.000000007</c:v>
                </c:pt>
                <c:pt idx="2">
                  <c:v>19054475.960000008</c:v>
                </c:pt>
                <c:pt idx="3">
                  <c:v>13437458.644999996</c:v>
                </c:pt>
                <c:pt idx="4">
                  <c:v>13541702.540299995</c:v>
                </c:pt>
                <c:pt idx="5">
                  <c:v>13570780.853059003</c:v>
                </c:pt>
                <c:pt idx="6">
                  <c:v>13543836.666756215</c:v>
                </c:pt>
                <c:pt idx="7">
                  <c:v>13590024.712570688</c:v>
                </c:pt>
                <c:pt idx="8">
                  <c:v>13998423.891213944</c:v>
                </c:pt>
                <c:pt idx="9">
                  <c:v>14276483.682187466</c:v>
                </c:pt>
                <c:pt idx="10">
                  <c:v>14553763.540135266</c:v>
                </c:pt>
                <c:pt idx="11">
                  <c:v>15089096.803887706</c:v>
                </c:pt>
              </c:numCache>
            </c:numRef>
          </c:val>
          <c:smooth val="0"/>
        </c:ser>
        <c:ser>
          <c:idx val="1"/>
          <c:order val="1"/>
          <c:tx>
            <c:v>Scenario 2</c:v>
          </c:tx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'LTFP Chart Data'!$B$39:$M$39</c:f>
              <c:numCache>
                <c:formatCode>#,##0_ ;[Red]\-#,##0\ </c:formatCode>
                <c:ptCount val="12"/>
                <c:pt idx="0">
                  <c:v>19402000</c:v>
                </c:pt>
                <c:pt idx="1">
                  <c:v>19019944.000000007</c:v>
                </c:pt>
                <c:pt idx="2">
                  <c:v>20384695.000000004</c:v>
                </c:pt>
                <c:pt idx="3">
                  <c:v>13082483.209999992</c:v>
                </c:pt>
                <c:pt idx="4">
                  <c:v>15032671.830299994</c:v>
                </c:pt>
                <c:pt idx="5">
                  <c:v>15910471.518058993</c:v>
                </c:pt>
                <c:pt idx="6">
                  <c:v>17490727.236271162</c:v>
                </c:pt>
                <c:pt idx="7">
                  <c:v>18286993.849656623</c:v>
                </c:pt>
                <c:pt idx="8">
                  <c:v>18250471.614839584</c:v>
                </c:pt>
                <c:pt idx="9">
                  <c:v>18759500.919183407</c:v>
                </c:pt>
                <c:pt idx="10">
                  <c:v>19355648.959295385</c:v>
                </c:pt>
                <c:pt idx="11">
                  <c:v>20046239.883057676</c:v>
                </c:pt>
              </c:numCache>
            </c:numRef>
          </c:val>
          <c:smooth val="0"/>
        </c:ser>
        <c:ser>
          <c:idx val="2"/>
          <c:order val="2"/>
          <c:tx>
            <c:v>Scenario 3</c:v>
          </c:tx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'LTFP Chart Data'!$B$40:$M$40</c:f>
              <c:numCache>
                <c:formatCode>#,##0_ ;[Red]\-#,##0\ </c:formatCode>
                <c:ptCount val="12"/>
                <c:pt idx="0">
                  <c:v>19402000</c:v>
                </c:pt>
                <c:pt idx="1">
                  <c:v>19019944.000000007</c:v>
                </c:pt>
                <c:pt idx="2">
                  <c:v>20943046.500000007</c:v>
                </c:pt>
                <c:pt idx="3">
                  <c:v>13734172.993500004</c:v>
                </c:pt>
                <c:pt idx="4">
                  <c:v>16046629.448137509</c:v>
                </c:pt>
                <c:pt idx="5">
                  <c:v>17295753.666092448</c:v>
                </c:pt>
                <c:pt idx="6">
                  <c:v>17983323.35870897</c:v>
                </c:pt>
                <c:pt idx="7">
                  <c:v>18772037.057951897</c:v>
                </c:pt>
                <c:pt idx="8">
                  <c:v>19267421.889363036</c:v>
                </c:pt>
                <c:pt idx="9">
                  <c:v>19848555.561741147</c:v>
                </c:pt>
                <c:pt idx="10">
                  <c:v>19221249.960937668</c:v>
                </c:pt>
                <c:pt idx="11">
                  <c:v>16596288.251280021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98656"/>
        <c:axId val="171400192"/>
      </c:lineChart>
      <c:catAx>
        <c:axId val="17139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71400192"/>
        <c:crosses val="autoZero"/>
        <c:auto val="1"/>
        <c:lblAlgn val="ctr"/>
        <c:lblOffset val="100"/>
        <c:noMultiLvlLbl val="1"/>
      </c:catAx>
      <c:valAx>
        <c:axId val="171400192"/>
        <c:scaling>
          <c:orientation val="minMax"/>
        </c:scaling>
        <c:delete val="0"/>
        <c:axPos val="l"/>
        <c:numFmt formatCode="#,##0_ ;[Red]\-#,##0\ " sourceLinked="1"/>
        <c:majorTickMark val="none"/>
        <c:minorTickMark val="none"/>
        <c:tickLblPos val="nextTo"/>
        <c:crossAx val="171398656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solidFill>
        <a:sysClr val="windowText" lastClr="000000">
          <a:lumMod val="50000"/>
          <a:lumOff val="50000"/>
        </a:sysClr>
      </a:solidFill>
    </a:ln>
  </c:spPr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Cash Reserves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38997619517202"/>
          <c:y val="0.10312152777777778"/>
          <c:w val="0.86386291269600568"/>
          <c:h val="0.73185324074074076"/>
        </c:manualLayout>
      </c:layout>
      <c:lineChart>
        <c:grouping val="standard"/>
        <c:varyColors val="0"/>
        <c:ser>
          <c:idx val="0"/>
          <c:order val="0"/>
          <c:tx>
            <c:v>Scenario 1</c:v>
          </c:tx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'LTFP Chart Data'!$B$38:$M$38</c:f>
              <c:numCache>
                <c:formatCode>#,##0_ ;[Red]\-#,##0\ </c:formatCode>
                <c:ptCount val="12"/>
                <c:pt idx="0">
                  <c:v>19402000</c:v>
                </c:pt>
                <c:pt idx="1">
                  <c:v>19019944.000000007</c:v>
                </c:pt>
                <c:pt idx="2">
                  <c:v>19054475.960000008</c:v>
                </c:pt>
                <c:pt idx="3">
                  <c:v>13437458.644999996</c:v>
                </c:pt>
                <c:pt idx="4">
                  <c:v>13541702.540299995</c:v>
                </c:pt>
                <c:pt idx="5">
                  <c:v>13570780.853059003</c:v>
                </c:pt>
                <c:pt idx="6">
                  <c:v>13543836.666756215</c:v>
                </c:pt>
                <c:pt idx="7">
                  <c:v>13590024.712570688</c:v>
                </c:pt>
                <c:pt idx="8">
                  <c:v>13998423.891213944</c:v>
                </c:pt>
                <c:pt idx="9">
                  <c:v>14276483.682187466</c:v>
                </c:pt>
                <c:pt idx="10">
                  <c:v>14553763.540135266</c:v>
                </c:pt>
                <c:pt idx="11">
                  <c:v>15089096.803887706</c:v>
                </c:pt>
              </c:numCache>
            </c:numRef>
          </c:val>
          <c:smooth val="0"/>
        </c:ser>
        <c:ser>
          <c:idx val="1"/>
          <c:order val="1"/>
          <c:tx>
            <c:v>Scenario 2</c:v>
          </c:tx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'LTFP Chart Data'!$B$39:$M$39</c:f>
              <c:numCache>
                <c:formatCode>#,##0_ ;[Red]\-#,##0\ </c:formatCode>
                <c:ptCount val="12"/>
                <c:pt idx="0">
                  <c:v>19402000</c:v>
                </c:pt>
                <c:pt idx="1">
                  <c:v>19019944.000000007</c:v>
                </c:pt>
                <c:pt idx="2">
                  <c:v>20384695.000000004</c:v>
                </c:pt>
                <c:pt idx="3">
                  <c:v>13082483.209999992</c:v>
                </c:pt>
                <c:pt idx="4">
                  <c:v>15032671.830299994</c:v>
                </c:pt>
                <c:pt idx="5">
                  <c:v>15910471.518058993</c:v>
                </c:pt>
                <c:pt idx="6">
                  <c:v>17490727.236271162</c:v>
                </c:pt>
                <c:pt idx="7">
                  <c:v>18286993.849656623</c:v>
                </c:pt>
                <c:pt idx="8">
                  <c:v>18250471.614839584</c:v>
                </c:pt>
                <c:pt idx="9">
                  <c:v>18759500.919183407</c:v>
                </c:pt>
                <c:pt idx="10">
                  <c:v>19355648.959295385</c:v>
                </c:pt>
                <c:pt idx="11">
                  <c:v>20046239.883057676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516288"/>
        <c:axId val="171517824"/>
      </c:lineChart>
      <c:catAx>
        <c:axId val="17151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71517824"/>
        <c:crosses val="autoZero"/>
        <c:auto val="1"/>
        <c:lblAlgn val="ctr"/>
        <c:lblOffset val="100"/>
        <c:noMultiLvlLbl val="1"/>
      </c:catAx>
      <c:valAx>
        <c:axId val="171517824"/>
        <c:scaling>
          <c:orientation val="minMax"/>
        </c:scaling>
        <c:delete val="0"/>
        <c:axPos val="l"/>
        <c:numFmt formatCode="#,##0_ ;[Red]\-#,##0\ " sourceLinked="1"/>
        <c:majorTickMark val="none"/>
        <c:minorTickMark val="none"/>
        <c:tickLblPos val="nextTo"/>
        <c:crossAx val="171516288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solidFill>
        <a:sysClr val="windowText" lastClr="000000">
          <a:lumMod val="50000"/>
          <a:lumOff val="50000"/>
        </a:sysClr>
      </a:solidFill>
    </a:ln>
  </c:spPr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Backlog</a:t>
            </a:r>
            <a:r>
              <a:rPr lang="en-NZ" baseline="0"/>
              <a:t> </a:t>
            </a:r>
            <a:r>
              <a:rPr lang="en-NZ"/>
              <a:t>Ratio - Scenario</a:t>
            </a:r>
            <a:r>
              <a:rPr lang="en-NZ" baseline="0"/>
              <a:t> 1</a:t>
            </a:r>
            <a:endParaRPr lang="en-NZ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'Muswellbrook FFF Ratios'!$D$242:$O$242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xVal>
          <c:yVal>
            <c:numRef>
              <c:f>'Muswellbrook FFF Ratios'!$D$251:$O$251</c:f>
              <c:numCache>
                <c:formatCode>0.0%</c:formatCode>
                <c:ptCount val="12"/>
                <c:pt idx="0">
                  <c:v>2.0921636390210323E-2</c:v>
                </c:pt>
                <c:pt idx="1">
                  <c:v>2.1202333570640202E-2</c:v>
                </c:pt>
                <c:pt idx="2">
                  <c:v>2.1308459510721522E-2</c:v>
                </c:pt>
                <c:pt idx="3">
                  <c:v>2.0300319896555834E-2</c:v>
                </c:pt>
                <c:pt idx="4">
                  <c:v>9.4234301255619549E-3</c:v>
                </c:pt>
                <c:pt idx="5">
                  <c:v>9.2626657543320601E-3</c:v>
                </c:pt>
                <c:pt idx="6">
                  <c:v>9.1441558722497231E-3</c:v>
                </c:pt>
                <c:pt idx="7">
                  <c:v>8.9060321589522259E-3</c:v>
                </c:pt>
                <c:pt idx="8">
                  <c:v>8.8474109302820077E-3</c:v>
                </c:pt>
                <c:pt idx="9">
                  <c:v>8.7799463957723249E-3</c:v>
                </c:pt>
                <c:pt idx="10">
                  <c:v>8.6275377018121512E-3</c:v>
                </c:pt>
                <c:pt idx="11">
                  <c:v>8.5523479924291511E-3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994112"/>
        <c:axId val="167996032"/>
      </c:scatterChart>
      <c:valAx>
        <c:axId val="167994112"/>
        <c:scaling>
          <c:orientation val="minMax"/>
          <c:max val="2026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Year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7996032"/>
        <c:crosses val="autoZero"/>
        <c:crossBetween val="midCat"/>
      </c:valAx>
      <c:valAx>
        <c:axId val="16799603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1679941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Operating Surplus (Deficit)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3555264410962815E-2"/>
          <c:y val="2.821109145262644E-2"/>
          <c:w val="0.9070397262351837"/>
          <c:h val="0.81330949911536821"/>
        </c:manualLayout>
      </c:layout>
      <c:lineChart>
        <c:grouping val="standard"/>
        <c:varyColors val="0"/>
        <c:ser>
          <c:idx val="2"/>
          <c:order val="0"/>
          <c:tx>
            <c:v>Benchmark</c:v>
          </c:tx>
          <c:spPr>
            <a:ln w="38100">
              <a:solidFill>
                <a:srgbClr val="7030A0"/>
              </a:solidFill>
              <a:prstDash val="dash"/>
            </a:ln>
          </c:spPr>
          <c:marker>
            <c:symbol val="none"/>
          </c:marker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'Muswellbrook FFF Ratios'!$D$260:$O$260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1"/>
        </c:ser>
        <c:ser>
          <c:idx val="1"/>
          <c:order val="1"/>
          <c:tx>
            <c:v>Scenario 1</c:v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rgbClr val="1F497D">
                    <a:lumMod val="60000"/>
                    <a:lumOff val="40000"/>
                  </a:srgbClr>
                </a:solidFill>
              </a:ln>
            </c:spPr>
          </c:marker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'LTFP Chart Data'!$B$45:$M$45</c:f>
              <c:numCache>
                <c:formatCode>#,##0_ ;[Red]\-#,##0\ </c:formatCode>
                <c:ptCount val="12"/>
                <c:pt idx="0">
                  <c:v>-2644</c:v>
                </c:pt>
                <c:pt idx="1">
                  <c:v>30.000000000012278</c:v>
                </c:pt>
                <c:pt idx="2">
                  <c:v>631.93295999999509</c:v>
                </c:pt>
                <c:pt idx="3">
                  <c:v>557.91147500000352</c:v>
                </c:pt>
                <c:pt idx="4">
                  <c:v>758.92227499999944</c:v>
                </c:pt>
                <c:pt idx="5">
                  <c:v>585.00338500000726</c:v>
                </c:pt>
                <c:pt idx="6">
                  <c:v>271.22384774735883</c:v>
                </c:pt>
                <c:pt idx="7">
                  <c:v>257.31453071587384</c:v>
                </c:pt>
                <c:pt idx="8">
                  <c:v>232.83509066719671</c:v>
                </c:pt>
                <c:pt idx="9">
                  <c:v>216.50230859806106</c:v>
                </c:pt>
                <c:pt idx="10">
                  <c:v>192.24287796896624</c:v>
                </c:pt>
                <c:pt idx="11">
                  <c:v>165.14280501923804</c:v>
                </c:pt>
              </c:numCache>
            </c:numRef>
          </c:val>
          <c:smooth val="0"/>
        </c:ser>
        <c:ser>
          <c:idx val="3"/>
          <c:order val="2"/>
          <c:tx>
            <c:v>Scenario 2</c:v>
          </c:tx>
          <c:spPr>
            <a:ln>
              <a:solidFill>
                <a:srgbClr val="C0504D"/>
              </a:solidFill>
            </a:ln>
          </c:spPr>
          <c:marker>
            <c:spPr>
              <a:solidFill>
                <a:srgbClr val="C0504D"/>
              </a:solidFill>
            </c:spPr>
          </c:marker>
          <c:cat>
            <c:numRef>
              <c:f>'Muswellbrook FFF Ratios'!$D$5:$O$5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cat>
          <c:val>
            <c:numRef>
              <c:f>'LTFP Chart Data'!$B$46:$M$46</c:f>
              <c:numCache>
                <c:formatCode>#,##0_ ;[Red]\-#,##0\ </c:formatCode>
                <c:ptCount val="12"/>
                <c:pt idx="0">
                  <c:v>-2644</c:v>
                </c:pt>
                <c:pt idx="1">
                  <c:v>30.000000000012278</c:v>
                </c:pt>
                <c:pt idx="2">
                  <c:v>931.9699999999907</c:v>
                </c:pt>
                <c:pt idx="3">
                  <c:v>1153.2109999999984</c:v>
                </c:pt>
                <c:pt idx="4">
                  <c:v>1178.8809999999967</c:v>
                </c:pt>
                <c:pt idx="5">
                  <c:v>169.67176000000109</c:v>
                </c:pt>
                <c:pt idx="6">
                  <c:v>46.289923922358867</c:v>
                </c:pt>
                <c:pt idx="7">
                  <c:v>128.08760903484108</c:v>
                </c:pt>
                <c:pt idx="8">
                  <c:v>177.4819312159425</c:v>
                </c:pt>
                <c:pt idx="9">
                  <c:v>192.45246492984006</c:v>
                </c:pt>
                <c:pt idx="10">
                  <c:v>228.06153992289182</c:v>
                </c:pt>
                <c:pt idx="11">
                  <c:v>265.89760848293827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559936"/>
        <c:axId val="171566208"/>
      </c:lineChart>
      <c:catAx>
        <c:axId val="17155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crossAx val="171566208"/>
        <c:crosses val="autoZero"/>
        <c:auto val="1"/>
        <c:lblAlgn val="ctr"/>
        <c:lblOffset val="100"/>
        <c:noMultiLvlLbl val="1"/>
      </c:catAx>
      <c:valAx>
        <c:axId val="1715662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crossAx val="171559936"/>
        <c:crosses val="autoZero"/>
        <c:crossBetween val="between"/>
      </c:valAx>
      <c:spPr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Operating Performance Ratio</a:t>
            </a:r>
          </a:p>
        </c:rich>
      </c:tx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'LTFP Chart Data'!$A$101</c:f>
              <c:strCache>
                <c:ptCount val="1"/>
                <c:pt idx="0">
                  <c:v>Scenario 1 - Base Case (BAU)</c:v>
                </c:pt>
              </c:strCache>
            </c:strRef>
          </c:tx>
          <c:cat>
            <c:strRef>
              <c:f>'LTFP Chart Data'!$B$100:$M$100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Data'!$B$101:$M$101</c:f>
              <c:numCache>
                <c:formatCode>0.0%</c:formatCode>
                <c:ptCount val="12"/>
                <c:pt idx="0">
                  <c:v>-6.3232067249745033E-2</c:v>
                </c:pt>
                <c:pt idx="1">
                  <c:v>7.8428465057164679E-4</c:v>
                </c:pt>
                <c:pt idx="2" formatCode="0.00%">
                  <c:v>1.6195019811860185E-2</c:v>
                </c:pt>
                <c:pt idx="3" formatCode="0.00%">
                  <c:v>1.3933209785465238E-2</c:v>
                </c:pt>
                <c:pt idx="4" formatCode="0.00%">
                  <c:v>1.8400616334424379E-2</c:v>
                </c:pt>
                <c:pt idx="5" formatCode="0.00%">
                  <c:v>1.3885829321355543E-2</c:v>
                </c:pt>
                <c:pt idx="6" formatCode="0.00%">
                  <c:v>6.3419629263559421E-3</c:v>
                </c:pt>
                <c:pt idx="7" formatCode="0.00%">
                  <c:v>5.8846215124110533E-3</c:v>
                </c:pt>
                <c:pt idx="8" formatCode="0.00%">
                  <c:v>5.2074719065725089E-3</c:v>
                </c:pt>
                <c:pt idx="9" formatCode="0.00%">
                  <c:v>4.7339463031988447E-3</c:v>
                </c:pt>
                <c:pt idx="10" formatCode="0.00%">
                  <c:v>4.1100160243645566E-3</c:v>
                </c:pt>
                <c:pt idx="11" formatCode="0.00%">
                  <c:v>3.4521136690948465E-3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'LTFP Chart Data'!$A$102</c:f>
              <c:strCache>
                <c:ptCount val="1"/>
                <c:pt idx="0">
                  <c:v>Scenario 2 - SRV with proactive response</c:v>
                </c:pt>
              </c:strCache>
            </c:strRef>
          </c:tx>
          <c:cat>
            <c:strRef>
              <c:f>'LTFP Chart Data'!$B$100:$M$100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Data'!$B$102:$M$102</c:f>
              <c:numCache>
                <c:formatCode>0.0%</c:formatCode>
                <c:ptCount val="12"/>
                <c:pt idx="0">
                  <c:v>-6.3232067249745033E-2</c:v>
                </c:pt>
                <c:pt idx="1">
                  <c:v>7.8428465057164679E-4</c:v>
                </c:pt>
                <c:pt idx="2" formatCode="0.00%">
                  <c:v>2.3702042510422138E-2</c:v>
                </c:pt>
                <c:pt idx="3" formatCode="0.00%">
                  <c:v>2.857922366761393E-2</c:v>
                </c:pt>
                <c:pt idx="4" formatCode="0.00%">
                  <c:v>2.796051586121362E-2</c:v>
                </c:pt>
                <c:pt idx="5" formatCode="0.00%">
                  <c:v>3.8874022081274171E-3</c:v>
                </c:pt>
                <c:pt idx="6" formatCode="0.00%">
                  <c:v>1.0407169538768277E-3</c:v>
                </c:pt>
                <c:pt idx="7" formatCode="0.00%">
                  <c:v>2.8126118431104244E-3</c:v>
                </c:pt>
                <c:pt idx="8" formatCode="0.00%">
                  <c:v>3.8090893608538554E-3</c:v>
                </c:pt>
                <c:pt idx="9" formatCode="0.00%">
                  <c:v>4.0397995147766113E-3</c:v>
                </c:pt>
                <c:pt idx="10" formatCode="0.00%">
                  <c:v>4.6800528767775122E-3</c:v>
                </c:pt>
                <c:pt idx="11" formatCode="0.00%">
                  <c:v>5.3338587804002292E-3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'LTFP Chart Data'!$A$104</c:f>
              <c:strCache>
                <c:ptCount val="1"/>
                <c:pt idx="0">
                  <c:v>Benchmark</c:v>
                </c:pt>
              </c:strCache>
            </c:strRef>
          </c:tx>
          <c:val>
            <c:numRef>
              <c:f>'LTFP Chart Data'!$B$104:$M$104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616896"/>
        <c:axId val="171626880"/>
      </c:lineChart>
      <c:catAx>
        <c:axId val="17161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crossAx val="171626880"/>
        <c:crosses val="autoZero"/>
        <c:auto val="1"/>
        <c:lblAlgn val="ctr"/>
        <c:lblOffset val="100"/>
        <c:noMultiLvlLbl val="1"/>
      </c:catAx>
      <c:valAx>
        <c:axId val="171626880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crossAx val="171616896"/>
        <c:crosses val="autoZero"/>
        <c:crossBetween val="between"/>
      </c:valAx>
      <c:spPr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Buildings &amp; Infrastructure Renewals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'LTFP Chart Data'!$A$113</c:f>
              <c:strCache>
                <c:ptCount val="1"/>
                <c:pt idx="0">
                  <c:v>Scenario 1 - Base Case (BAU)</c:v>
                </c:pt>
              </c:strCache>
            </c:strRef>
          </c:tx>
          <c:cat>
            <c:strRef>
              <c:f>'LTFP Chart Data'!$C$112:$M$112</c:f>
              <c:strCache>
                <c:ptCount val="11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</c:strCache>
            </c:strRef>
          </c:cat>
          <c:val>
            <c:numRef>
              <c:f>'LTFP Chart Data'!$C$113:$M$113</c:f>
              <c:numCache>
                <c:formatCode>0.00%</c:formatCode>
                <c:ptCount val="11"/>
                <c:pt idx="0" formatCode="0.0%">
                  <c:v>0.99370124897617762</c:v>
                </c:pt>
                <c:pt idx="1">
                  <c:v>1.0673975727330196</c:v>
                </c:pt>
                <c:pt idx="2">
                  <c:v>1.7178832309325391</c:v>
                </c:pt>
                <c:pt idx="3">
                  <c:v>1.0104694978281377</c:v>
                </c:pt>
                <c:pt idx="4">
                  <c:v>1.0075306198855547</c:v>
                </c:pt>
                <c:pt idx="5">
                  <c:v>1.0147675493667618</c:v>
                </c:pt>
                <c:pt idx="6">
                  <c:v>1.0035478443809174</c:v>
                </c:pt>
                <c:pt idx="7">
                  <c:v>1.0039839656613063</c:v>
                </c:pt>
                <c:pt idx="8">
                  <c:v>1.0087825493138745</c:v>
                </c:pt>
                <c:pt idx="9">
                  <c:v>1.0042280819063754</c:v>
                </c:pt>
                <c:pt idx="10">
                  <c:v>1.005213236758292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'LTFP Chart Data'!$A$114</c:f>
              <c:strCache>
                <c:ptCount val="1"/>
                <c:pt idx="0">
                  <c:v>Scenario 2 - SRV with proactive response</c:v>
                </c:pt>
              </c:strCache>
            </c:strRef>
          </c:tx>
          <c:cat>
            <c:strRef>
              <c:f>'LTFP Chart Data'!$C$112:$M$112</c:f>
              <c:strCache>
                <c:ptCount val="11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</c:strCache>
            </c:strRef>
          </c:cat>
          <c:val>
            <c:numRef>
              <c:f>'LTFP Chart Data'!$C$114:$M$114</c:f>
              <c:numCache>
                <c:formatCode>0.00%</c:formatCode>
                <c:ptCount val="11"/>
                <c:pt idx="0" formatCode="0.0%">
                  <c:v>0.99370124897617762</c:v>
                </c:pt>
                <c:pt idx="1">
                  <c:v>0.99303931837438397</c:v>
                </c:pt>
                <c:pt idx="2">
                  <c:v>1.6803934749060947</c:v>
                </c:pt>
                <c:pt idx="3">
                  <c:v>1.0921016235379826</c:v>
                </c:pt>
                <c:pt idx="4">
                  <c:v>1.0150188029249823</c:v>
                </c:pt>
                <c:pt idx="5">
                  <c:v>1.0025295073449241</c:v>
                </c:pt>
                <c:pt idx="6">
                  <c:v>0.99824486627778619</c:v>
                </c:pt>
                <c:pt idx="7">
                  <c:v>1.0484348397600545</c:v>
                </c:pt>
                <c:pt idx="8">
                  <c:v>1.0005890737846779</c:v>
                </c:pt>
                <c:pt idx="9">
                  <c:v>1.016106314468552</c:v>
                </c:pt>
                <c:pt idx="10">
                  <c:v>1.0057512310938483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'LTFP Chart Data'!$A$116</c:f>
              <c:strCache>
                <c:ptCount val="1"/>
                <c:pt idx="0">
                  <c:v>Benchmark</c:v>
                </c:pt>
              </c:strCache>
            </c:strRef>
          </c:tx>
          <c:cat>
            <c:strRef>
              <c:f>'LTFP Chart Data'!$C$112:$M$112</c:f>
              <c:strCache>
                <c:ptCount val="11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  <c:pt idx="10">
                  <c:v>2026/27</c:v>
                </c:pt>
              </c:strCache>
            </c:strRef>
          </c:cat>
          <c:val>
            <c:numRef>
              <c:f>'LTFP Chart Data'!$C$116:$M$116</c:f>
              <c:numCache>
                <c:formatCode>0%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980672"/>
        <c:axId val="171982208"/>
      </c:lineChart>
      <c:catAx>
        <c:axId val="17198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crossAx val="171982208"/>
        <c:crosses val="autoZero"/>
        <c:auto val="1"/>
        <c:lblAlgn val="ctr"/>
        <c:lblOffset val="100"/>
        <c:noMultiLvlLbl val="1"/>
      </c:catAx>
      <c:valAx>
        <c:axId val="171982208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crossAx val="171980672"/>
        <c:crosses val="autoZero"/>
        <c:crossBetween val="between"/>
      </c:valAx>
      <c:spPr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Infrastructure Backlog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'LTFP Chart Data'!$A$119</c:f>
              <c:strCache>
                <c:ptCount val="1"/>
                <c:pt idx="0">
                  <c:v>Scenario 1 - Base Case (BAU)</c:v>
                </c:pt>
              </c:strCache>
            </c:strRef>
          </c:tx>
          <c:cat>
            <c:strRef>
              <c:f>'LTFP Chart Data'!$B$118:$M$118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Data'!$B$119:$M$119</c:f>
              <c:numCache>
                <c:formatCode>0.0%</c:formatCode>
                <c:ptCount val="12"/>
                <c:pt idx="0">
                  <c:v>2.0921636390210323E-2</c:v>
                </c:pt>
                <c:pt idx="1">
                  <c:v>2.1202333570640202E-2</c:v>
                </c:pt>
                <c:pt idx="2">
                  <c:v>2.1308459510721522E-2</c:v>
                </c:pt>
                <c:pt idx="3">
                  <c:v>2.0300319896555834E-2</c:v>
                </c:pt>
                <c:pt idx="4">
                  <c:v>9.4234301255619549E-3</c:v>
                </c:pt>
                <c:pt idx="5">
                  <c:v>9.2626657543320601E-3</c:v>
                </c:pt>
                <c:pt idx="6">
                  <c:v>9.1441558722497231E-3</c:v>
                </c:pt>
                <c:pt idx="7">
                  <c:v>8.9060321589522259E-3</c:v>
                </c:pt>
                <c:pt idx="8">
                  <c:v>8.8474109302820077E-3</c:v>
                </c:pt>
                <c:pt idx="9">
                  <c:v>8.7799463957723249E-3</c:v>
                </c:pt>
                <c:pt idx="10">
                  <c:v>8.6275377018121512E-3</c:v>
                </c:pt>
                <c:pt idx="11">
                  <c:v>8.5523479924291511E-3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'LTFP Chart Data'!$A$120</c:f>
              <c:strCache>
                <c:ptCount val="1"/>
                <c:pt idx="0">
                  <c:v>Scenario 2 - SRV with proactive response</c:v>
                </c:pt>
              </c:strCache>
            </c:strRef>
          </c:tx>
          <c:cat>
            <c:strRef>
              <c:f>'LTFP Chart Data'!$B$118:$M$118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Data'!$B$120:$M$120</c:f>
              <c:numCache>
                <c:formatCode>0.0%</c:formatCode>
                <c:ptCount val="12"/>
                <c:pt idx="0">
                  <c:v>2.0921636390210323E-2</c:v>
                </c:pt>
                <c:pt idx="1">
                  <c:v>2.1202333570640202E-2</c:v>
                </c:pt>
                <c:pt idx="2">
                  <c:v>2.1308459510721522E-2</c:v>
                </c:pt>
                <c:pt idx="3">
                  <c:v>2.1412691594808034E-2</c:v>
                </c:pt>
                <c:pt idx="4">
                  <c:v>1.1170667618858909E-2</c:v>
                </c:pt>
                <c:pt idx="5">
                  <c:v>9.7385412168629407E-3</c:v>
                </c:pt>
                <c:pt idx="6">
                  <c:v>9.4868742052211137E-3</c:v>
                </c:pt>
                <c:pt idx="7">
                  <c:v>9.4434408038928212E-3</c:v>
                </c:pt>
                <c:pt idx="8">
                  <c:v>9.4743307091066081E-3</c:v>
                </c:pt>
                <c:pt idx="9">
                  <c:v>8.6013078119878215E-3</c:v>
                </c:pt>
                <c:pt idx="10">
                  <c:v>8.5904340231987182E-3</c:v>
                </c:pt>
                <c:pt idx="11">
                  <c:v>8.2857881105872933E-3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'LTFP Chart Data'!$A$122</c:f>
              <c:strCache>
                <c:ptCount val="1"/>
                <c:pt idx="0">
                  <c:v>Benchmark</c:v>
                </c:pt>
              </c:strCache>
            </c:strRef>
          </c:tx>
          <c:cat>
            <c:strRef>
              <c:f>'LTFP Chart Data'!$B$118:$M$118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Data'!$B$122:$M$122</c:f>
              <c:numCache>
                <c:formatCode>0%</c:formatCode>
                <c:ptCount val="12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902080"/>
        <c:axId val="171903616"/>
      </c:lineChart>
      <c:catAx>
        <c:axId val="17190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crossAx val="171903616"/>
        <c:crosses val="autoZero"/>
        <c:auto val="1"/>
        <c:lblAlgn val="ctr"/>
        <c:lblOffset val="100"/>
        <c:noMultiLvlLbl val="1"/>
      </c:catAx>
      <c:valAx>
        <c:axId val="171903616"/>
        <c:scaling>
          <c:orientation val="minMax"/>
          <c:max val="0.15000000000000002"/>
        </c:scaling>
        <c:delete val="0"/>
        <c:axPos val="l"/>
        <c:numFmt formatCode="0.0%" sourceLinked="0"/>
        <c:majorTickMark val="none"/>
        <c:minorTickMark val="none"/>
        <c:tickLblPos val="nextTo"/>
        <c:crossAx val="171902080"/>
        <c:crosses val="autoZero"/>
        <c:crossBetween val="between"/>
      </c:valAx>
      <c:spPr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Debt Service Ratio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'LTFP Chart Data'!$A$131</c:f>
              <c:strCache>
                <c:ptCount val="1"/>
                <c:pt idx="0">
                  <c:v>Scenario 1 - Base Case (BAU)</c:v>
                </c:pt>
              </c:strCache>
            </c:strRef>
          </c:tx>
          <c:cat>
            <c:strRef>
              <c:f>'LTFP Chart Data'!$B$130:$M$130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Data'!$B$131:$M$131</c:f>
              <c:numCache>
                <c:formatCode>0.0%</c:formatCode>
                <c:ptCount val="12"/>
                <c:pt idx="0">
                  <c:v>2.2962573786197732E-2</c:v>
                </c:pt>
                <c:pt idx="1">
                  <c:v>3.9223696230032572E-2</c:v>
                </c:pt>
                <c:pt idx="2">
                  <c:v>3.8369149477125108E-2</c:v>
                </c:pt>
                <c:pt idx="3">
                  <c:v>3.7319006412328229E-2</c:v>
                </c:pt>
                <c:pt idx="4">
                  <c:v>3.6164090325945267E-2</c:v>
                </c:pt>
                <c:pt idx="5">
                  <c:v>3.5333629366345383E-2</c:v>
                </c:pt>
                <c:pt idx="6">
                  <c:v>3.4363986466925026E-2</c:v>
                </c:pt>
                <c:pt idx="7">
                  <c:v>3.3151188896415905E-2</c:v>
                </c:pt>
                <c:pt idx="8">
                  <c:v>3.2213222812726226E-2</c:v>
                </c:pt>
                <c:pt idx="9">
                  <c:v>3.1366356420996493E-2</c:v>
                </c:pt>
                <c:pt idx="10">
                  <c:v>3.0538796244066965E-2</c:v>
                </c:pt>
                <c:pt idx="11">
                  <c:v>2.9725822739763489E-2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'LTFP Chart Data'!$A$132</c:f>
              <c:strCache>
                <c:ptCount val="1"/>
                <c:pt idx="0">
                  <c:v>Scenario 2 - SRV with proactive response</c:v>
                </c:pt>
              </c:strCache>
            </c:strRef>
          </c:tx>
          <c:cat>
            <c:strRef>
              <c:f>'LTFP Chart Data'!$B$130:$M$130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Data'!$B$132:$M$132</c:f>
              <c:numCache>
                <c:formatCode>0.0%</c:formatCode>
                <c:ptCount val="12"/>
                <c:pt idx="0">
                  <c:v>2.2962573786197732E-2</c:v>
                </c:pt>
                <c:pt idx="1">
                  <c:v>3.9223696230032572E-2</c:v>
                </c:pt>
                <c:pt idx="2">
                  <c:v>3.8076369828871845E-2</c:v>
                </c:pt>
                <c:pt idx="3">
                  <c:v>3.7032739602238116E-2</c:v>
                </c:pt>
                <c:pt idx="4">
                  <c:v>4.5330279044231592E-2</c:v>
                </c:pt>
                <c:pt idx="5">
                  <c:v>5.364960348143543E-2</c:v>
                </c:pt>
                <c:pt idx="6">
                  <c:v>5.1753436907500679E-2</c:v>
                </c:pt>
                <c:pt idx="7">
                  <c:v>4.9658161893166547E-2</c:v>
                </c:pt>
                <c:pt idx="8">
                  <c:v>4.7648845780548857E-2</c:v>
                </c:pt>
                <c:pt idx="9">
                  <c:v>4.5719792914586041E-2</c:v>
                </c:pt>
                <c:pt idx="10">
                  <c:v>4.3814259082204314E-2</c:v>
                </c:pt>
                <c:pt idx="11">
                  <c:v>4.1950628173654046E-2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'LTFP Chart Data'!$A$134</c:f>
              <c:strCache>
                <c:ptCount val="1"/>
                <c:pt idx="0">
                  <c:v>Benchmark</c:v>
                </c:pt>
              </c:strCache>
            </c:strRef>
          </c:tx>
          <c:cat>
            <c:strRef>
              <c:f>'LTFP Chart Data'!$B$130:$M$130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Data'!$B$134:$M$134</c:f>
              <c:numCache>
                <c:formatCode>0%</c:formatCode>
                <c:ptCount val="12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942272"/>
        <c:axId val="171943808"/>
      </c:lineChart>
      <c:catAx>
        <c:axId val="17194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crossAx val="171943808"/>
        <c:crosses val="autoZero"/>
        <c:auto val="1"/>
        <c:lblAlgn val="ctr"/>
        <c:lblOffset val="100"/>
        <c:noMultiLvlLbl val="1"/>
      </c:catAx>
      <c:valAx>
        <c:axId val="171943808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crossAx val="171942272"/>
        <c:crosses val="autoZero"/>
        <c:crossBetween val="between"/>
      </c:valAx>
      <c:spPr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Real Operating Expenditure per capita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'LTFP Chart Data'!$A$137</c:f>
              <c:strCache>
                <c:ptCount val="1"/>
                <c:pt idx="0">
                  <c:v>Scenario 1 - Base Case (BAU)</c:v>
                </c:pt>
              </c:strCache>
            </c:strRef>
          </c:tx>
          <c:cat>
            <c:strRef>
              <c:f>'LTFP Chart Data'!$B$136:$M$136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Data'!$B$137:$M$137</c:f>
              <c:numCache>
                <c:formatCode>_(* #,##0.00_);_(* \(#,##0.00\);_(* "-"??_);_(@_)</c:formatCode>
                <c:ptCount val="12"/>
                <c:pt idx="0">
                  <c:v>1948.3505592524425</c:v>
                </c:pt>
                <c:pt idx="1">
                  <c:v>2093.0326906360388</c:v>
                </c:pt>
                <c:pt idx="2">
                  <c:v>2032.6667745911852</c:v>
                </c:pt>
                <c:pt idx="3">
                  <c:v>2021.5595042229556</c:v>
                </c:pt>
                <c:pt idx="4">
                  <c:v>2004.3045718564874</c:v>
                </c:pt>
                <c:pt idx="5">
                  <c:v>1999.96379708564</c:v>
                </c:pt>
                <c:pt idx="6">
                  <c:v>1978.5851857434325</c:v>
                </c:pt>
                <c:pt idx="7">
                  <c:v>1957.4985528890484</c:v>
                </c:pt>
                <c:pt idx="8">
                  <c:v>1937.2164338665013</c:v>
                </c:pt>
                <c:pt idx="9">
                  <c:v>1917.3781726862455</c:v>
                </c:pt>
                <c:pt idx="10">
                  <c:v>1900.3046476239467</c:v>
                </c:pt>
                <c:pt idx="11">
                  <c:v>1880.975396063626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'LTFP Chart Data'!$A$138</c:f>
              <c:strCache>
                <c:ptCount val="1"/>
                <c:pt idx="0">
                  <c:v>Scenario 2 - SRV with proactive response</c:v>
                </c:pt>
              </c:strCache>
            </c:strRef>
          </c:tx>
          <c:cat>
            <c:strRef>
              <c:f>'LTFP Chart Data'!$B$136:$M$136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Data'!$B$138:$M$138</c:f>
              <c:numCache>
                <c:formatCode>_(* #,##0.00_);_(* \(#,##0.00\);_(* "-"??_);_(@_)</c:formatCode>
                <c:ptCount val="12"/>
                <c:pt idx="0">
                  <c:v>1948.3505592524425</c:v>
                </c:pt>
                <c:pt idx="1">
                  <c:v>2093.0326906360388</c:v>
                </c:pt>
                <c:pt idx="2">
                  <c:v>2032.6667745911852</c:v>
                </c:pt>
                <c:pt idx="3">
                  <c:v>2006.9281086090677</c:v>
                </c:pt>
                <c:pt idx="4">
                  <c:v>2028.9586911233114</c:v>
                </c:pt>
                <c:pt idx="5">
                  <c:v>2092.9887724471214</c:v>
                </c:pt>
                <c:pt idx="6">
                  <c:v>2068.7845016372289</c:v>
                </c:pt>
                <c:pt idx="7">
                  <c:v>2044.998415029022</c:v>
                </c:pt>
                <c:pt idx="8">
                  <c:v>2021.620772420388</c:v>
                </c:pt>
                <c:pt idx="9">
                  <c:v>1998.6421057549014</c:v>
                </c:pt>
                <c:pt idx="10">
                  <c:v>1978.6506498615445</c:v>
                </c:pt>
                <c:pt idx="11">
                  <c:v>1956.4133865185797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793024"/>
        <c:axId val="171794816"/>
      </c:lineChart>
      <c:catAx>
        <c:axId val="17179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crossAx val="171794816"/>
        <c:crosses val="autoZero"/>
        <c:auto val="1"/>
        <c:lblAlgn val="ctr"/>
        <c:lblOffset val="100"/>
        <c:noMultiLvlLbl val="1"/>
      </c:catAx>
      <c:valAx>
        <c:axId val="17179481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crossAx val="171793024"/>
        <c:crosses val="autoZero"/>
        <c:crossBetween val="between"/>
      </c:valAx>
      <c:spPr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Asset</a:t>
            </a:r>
            <a:r>
              <a:rPr lang="en-NZ" baseline="0"/>
              <a:t> Maintenance </a:t>
            </a:r>
            <a:r>
              <a:rPr lang="en-NZ"/>
              <a:t>Ratio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'LTFP Chart Data'!$A$125</c:f>
              <c:strCache>
                <c:ptCount val="1"/>
                <c:pt idx="0">
                  <c:v>Scenario 1 - Base Case (BAU)</c:v>
                </c:pt>
              </c:strCache>
            </c:strRef>
          </c:tx>
          <c:cat>
            <c:strRef>
              <c:f>'LTFP Chart Data'!$B$124:$M$124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Data'!$B$125:$M$125</c:f>
              <c:numCache>
                <c:formatCode>0.0%</c:formatCode>
                <c:ptCount val="12"/>
                <c:pt idx="0">
                  <c:v>0.82606451612903231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'LTFP Chart Data'!$A$126</c:f>
              <c:strCache>
                <c:ptCount val="1"/>
                <c:pt idx="0">
                  <c:v>Scenario 2 - SRV with proactive response</c:v>
                </c:pt>
              </c:strCache>
            </c:strRef>
          </c:tx>
          <c:cat>
            <c:strRef>
              <c:f>'LTFP Chart Data'!$B$124:$M$124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Data'!$B$126:$M$126</c:f>
              <c:numCache>
                <c:formatCode>0.0%</c:formatCode>
                <c:ptCount val="12"/>
                <c:pt idx="0">
                  <c:v>0.82606451612903231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'LTFP Chart Data'!$A$128</c:f>
              <c:strCache>
                <c:ptCount val="1"/>
                <c:pt idx="0">
                  <c:v>Benchmark</c:v>
                </c:pt>
              </c:strCache>
            </c:strRef>
          </c:tx>
          <c:cat>
            <c:strRef>
              <c:f>'LTFP Chart Data'!$B$124:$M$124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Data'!$B$128:$M$128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829120"/>
        <c:axId val="171830656"/>
      </c:lineChart>
      <c:catAx>
        <c:axId val="17182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crossAx val="171830656"/>
        <c:crosses val="autoZero"/>
        <c:auto val="1"/>
        <c:lblAlgn val="ctr"/>
        <c:lblOffset val="100"/>
        <c:noMultiLvlLbl val="1"/>
      </c:catAx>
      <c:valAx>
        <c:axId val="17183065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crossAx val="171829120"/>
        <c:crosses val="autoZero"/>
        <c:crossBetween val="between"/>
      </c:valAx>
      <c:spPr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1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Asset</a:t>
            </a:r>
            <a:r>
              <a:rPr lang="en-US" baseline="0"/>
              <a:t> Renewal Ratio - Base Case</a:t>
            </a:r>
            <a:endParaRPr lang="en-US"/>
          </a:p>
        </c:rich>
      </c:tx>
      <c:layout>
        <c:manualLayout>
          <c:xMode val="edge"/>
          <c:yMode val="edge"/>
          <c:x val="0.30219288378426457"/>
          <c:y val="2.531645569620252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'LTFP Chart Data'!$A$3</c:f>
              <c:strCache>
                <c:ptCount val="1"/>
                <c:pt idx="0">
                  <c:v>Asset Renewal Ratio - Building &amp; Infrastructure</c:v>
                </c:pt>
              </c:strCache>
            </c:strRef>
          </c:tx>
          <c:marker>
            <c:symbol val="none"/>
          </c:marker>
          <c:cat>
            <c:strRef>
              <c:f>'LTFP Chart Data'!$B$2:$M$2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Data'!$B$3:$M$3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0.71315602183920312</c:v>
                </c:pt>
                <c:pt idx="3">
                  <c:v>0.73905551910144274</c:v>
                </c:pt>
                <c:pt idx="4">
                  <c:v>1.1694040238942953</c:v>
                </c:pt>
                <c:pt idx="5">
                  <c:v>0.68882413788496322</c:v>
                </c:pt>
                <c:pt idx="6">
                  <c:v>0.68806687754309703</c:v>
                </c:pt>
                <c:pt idx="7">
                  <c:v>0.6930091506342112</c:v>
                </c:pt>
                <c:pt idx="8">
                  <c:v>0.68534694442012933</c:v>
                </c:pt>
                <c:pt idx="9">
                  <c:v>0.68564478212521218</c:v>
                </c:pt>
                <c:pt idx="10">
                  <c:v>0.68892185024134245</c:v>
                </c:pt>
                <c:pt idx="11">
                  <c:v>0.68581149497660043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'LTFP Chart Data'!$A$4</c:f>
              <c:strCache>
                <c:ptCount val="1"/>
                <c:pt idx="0">
                  <c:v>Asset Renewal Ratio - All Assets</c:v>
                </c:pt>
              </c:strCache>
            </c:strRef>
          </c:tx>
          <c:marker>
            <c:symbol val="none"/>
          </c:marker>
          <c:cat>
            <c:strRef>
              <c:f>'LTFP Chart Data'!$B$2:$M$2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Data'!$B$4:$M$4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0.60795686359111845</c:v>
                </c:pt>
                <c:pt idx="3">
                  <c:v>0.79105648382351756</c:v>
                </c:pt>
                <c:pt idx="4">
                  <c:v>1.163584518754633</c:v>
                </c:pt>
                <c:pt idx="5">
                  <c:v>0.75454927163486651</c:v>
                </c:pt>
                <c:pt idx="6">
                  <c:v>0.75020672255476217</c:v>
                </c:pt>
                <c:pt idx="7">
                  <c:v>0.74785934453799763</c:v>
                </c:pt>
                <c:pt idx="8">
                  <c:v>0.74218245493504864</c:v>
                </c:pt>
                <c:pt idx="9">
                  <c:v>0.73911685958408591</c:v>
                </c:pt>
                <c:pt idx="10">
                  <c:v>0.73867336664623739</c:v>
                </c:pt>
                <c:pt idx="11">
                  <c:v>0.73286071051572177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'LTFP Chart Data'!$A$5</c:f>
              <c:strCache>
                <c:ptCount val="1"/>
                <c:pt idx="0">
                  <c:v>Target</c:v>
                </c:pt>
              </c:strCache>
            </c:strRef>
          </c:tx>
          <c:marker>
            <c:symbol val="none"/>
          </c:marker>
          <c:cat>
            <c:strRef>
              <c:f>'LTFP Chart Data'!$B$2:$M$2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Data'!$B$5:$M$5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75520"/>
        <c:axId val="170477056"/>
      </c:lineChart>
      <c:catAx>
        <c:axId val="170475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2400000" vert="horz" anchor="ctr" anchorCtr="0"/>
          <a:lstStyle/>
          <a:p>
            <a:pPr>
              <a:defRPr/>
            </a:pPr>
            <a:endParaRPr lang="en-US"/>
          </a:p>
        </c:txPr>
        <c:crossAx val="170477056"/>
        <c:crosses val="autoZero"/>
        <c:auto val="1"/>
        <c:lblAlgn val="ctr"/>
        <c:lblOffset val="100"/>
        <c:noMultiLvlLbl val="0"/>
      </c:catAx>
      <c:valAx>
        <c:axId val="1704770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047552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Capital</a:t>
            </a:r>
            <a:r>
              <a:rPr lang="en-US" baseline="0"/>
              <a:t> Program 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'LTFP Chart Data'!$A$8</c:f>
              <c:strCache>
                <c:ptCount val="1"/>
                <c:pt idx="0">
                  <c:v>Renewals</c:v>
                </c:pt>
              </c:strCache>
            </c:strRef>
          </c:tx>
          <c:invertIfNegative val="0"/>
          <c:cat>
            <c:strRef>
              <c:f>'LTFP Chart Data'!$B$2:$M$2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Data'!$B$8:$M$8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6862</c:v>
                </c:pt>
                <c:pt idx="3">
                  <c:v>8236.1360000000004</c:v>
                </c:pt>
                <c:pt idx="4">
                  <c:v>12599.570299999999</c:v>
                </c:pt>
                <c:pt idx="5">
                  <c:v>8360.277395000001</c:v>
                </c:pt>
                <c:pt idx="6">
                  <c:v>8506.4374048749996</c:v>
                </c:pt>
                <c:pt idx="7">
                  <c:v>8691.8165000000008</c:v>
                </c:pt>
                <c:pt idx="8">
                  <c:v>8841.484162499999</c:v>
                </c:pt>
                <c:pt idx="9">
                  <c:v>9025.0883915625</c:v>
                </c:pt>
                <c:pt idx="10">
                  <c:v>9245.1648863515638</c:v>
                </c:pt>
                <c:pt idx="11">
                  <c:v>9401.7245967103518</c:v>
                </c:pt>
              </c:numCache>
            </c:numRef>
          </c:val>
        </c:ser>
        <c:ser>
          <c:idx val="1"/>
          <c:order val="1"/>
          <c:tx>
            <c:strRef>
              <c:f>'LTFP Chart Data'!$A$9</c:f>
              <c:strCache>
                <c:ptCount val="1"/>
                <c:pt idx="0">
                  <c:v>New Assets</c:v>
                </c:pt>
              </c:strCache>
            </c:strRef>
          </c:tx>
          <c:invertIfNegative val="0"/>
          <c:cat>
            <c:strRef>
              <c:f>'LTFP Chart Data'!$B$2:$M$2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Data'!$B$9:$M$9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11320.421999999999</c:v>
                </c:pt>
                <c:pt idx="2">
                  <c:v>3222.8580000000002</c:v>
                </c:pt>
                <c:pt idx="3">
                  <c:v>4748.0245000000004</c:v>
                </c:pt>
                <c:pt idx="4">
                  <c:v>3849.145</c:v>
                </c:pt>
                <c:pt idx="5">
                  <c:v>3839.348</c:v>
                </c:pt>
                <c:pt idx="6">
                  <c:v>3674.7064999999998</c:v>
                </c:pt>
                <c:pt idx="7">
                  <c:v>3724.1991625000001</c:v>
                </c:pt>
                <c:pt idx="8">
                  <c:v>3743.9291415625003</c:v>
                </c:pt>
                <c:pt idx="9">
                  <c:v>4053.9023701015626</c:v>
                </c:pt>
                <c:pt idx="10">
                  <c:v>4204.1249293541014</c:v>
                </c:pt>
                <c:pt idx="11">
                  <c:v>4029.6030525879537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494208"/>
        <c:axId val="167182336"/>
      </c:barChart>
      <c:catAx>
        <c:axId val="170494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167182336"/>
        <c:crosses val="autoZero"/>
        <c:auto val="1"/>
        <c:lblAlgn val="ctr"/>
        <c:lblOffset val="100"/>
        <c:noMultiLvlLbl val="0"/>
      </c:catAx>
      <c:valAx>
        <c:axId val="167182336"/>
        <c:scaling>
          <c:orientation val="minMax"/>
          <c:max val="90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,##0_ ;[Red]\-#,##0\ " sourceLinked="1"/>
        <c:majorTickMark val="out"/>
        <c:minorTickMark val="none"/>
        <c:tickLblPos val="nextTo"/>
        <c:crossAx val="170494208"/>
        <c:crosses val="autoZero"/>
        <c:crossBetween val="between"/>
        <c:dispUnits>
          <c:builtInUnit val="millions"/>
        </c:dispUnits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Net Operating Result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464380503838886"/>
          <c:y val="0.30150641308340115"/>
          <c:w val="0.81040292393357372"/>
          <c:h val="0.4781531925873363"/>
        </c:manualLayout>
      </c:layout>
      <c:lineChart>
        <c:grouping val="standard"/>
        <c:varyColors val="0"/>
        <c:ser>
          <c:idx val="0"/>
          <c:order val="0"/>
          <c:tx>
            <c:strRef>
              <c:f>'LTFP Chart Data'!$A$12</c:f>
              <c:strCache>
                <c:ptCount val="1"/>
                <c:pt idx="0">
                  <c:v>Including Capital Revenue</c:v>
                </c:pt>
              </c:strCache>
            </c:strRef>
          </c:tx>
          <c:marker>
            <c:symbol val="none"/>
          </c:marker>
          <c:cat>
            <c:strRef>
              <c:f>'LTFP Chart Data'!$B$2:$M$2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Data'!$B$12:$M$12</c:f>
              <c:numCache>
                <c:formatCode>#,##0_ ;[Red]\-#,##0\ </c:formatCode>
                <c:ptCount val="12"/>
                <c:pt idx="0">
                  <c:v>11810</c:v>
                </c:pt>
                <c:pt idx="1">
                  <c:v>2928.0070000000123</c:v>
                </c:pt>
                <c:pt idx="2">
                  <c:v>4419.8999599999952</c:v>
                </c:pt>
                <c:pt idx="3">
                  <c:v>4402.2824850000034</c:v>
                </c:pt>
                <c:pt idx="4">
                  <c:v>4661.3812902999998</c:v>
                </c:pt>
                <c:pt idx="5">
                  <c:v>4547.2847176340074</c:v>
                </c:pt>
                <c:pt idx="6">
                  <c:v>4332.5622136972088</c:v>
                </c:pt>
                <c:pt idx="7">
                  <c:v>4420.1863558144687</c:v>
                </c:pt>
                <c:pt idx="8">
                  <c:v>4499.7787113932573</c:v>
                </c:pt>
                <c:pt idx="9">
                  <c:v>4590.119519842272</c:v>
                </c:pt>
                <c:pt idx="10">
                  <c:v>4675.2005194942831</c:v>
                </c:pt>
                <c:pt idx="11">
                  <c:v>4760.1743875826869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'LTFP Chart Data'!$A$13</c:f>
              <c:strCache>
                <c:ptCount val="1"/>
                <c:pt idx="0">
                  <c:v>Excluding Capital Revenue</c:v>
                </c:pt>
              </c:strCache>
            </c:strRef>
          </c:tx>
          <c:marker>
            <c:symbol val="none"/>
          </c:marker>
          <c:cat>
            <c:strRef>
              <c:f>'LTFP Chart Data'!$B$2:$M$2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Data'!$B$13:$M$13</c:f>
              <c:numCache>
                <c:formatCode>#,##0_ ;[Red]\-#,##0\ </c:formatCode>
                <c:ptCount val="12"/>
                <c:pt idx="0">
                  <c:v>-2644</c:v>
                </c:pt>
                <c:pt idx="1">
                  <c:v>30.000000000012278</c:v>
                </c:pt>
                <c:pt idx="2">
                  <c:v>631.93295999999509</c:v>
                </c:pt>
                <c:pt idx="3">
                  <c:v>557.91147500000352</c:v>
                </c:pt>
                <c:pt idx="4">
                  <c:v>758.92227499999944</c:v>
                </c:pt>
                <c:pt idx="5">
                  <c:v>585.00338500000726</c:v>
                </c:pt>
                <c:pt idx="6">
                  <c:v>271.22384774735883</c:v>
                </c:pt>
                <c:pt idx="7">
                  <c:v>257.31453071587384</c:v>
                </c:pt>
                <c:pt idx="8">
                  <c:v>232.83509066719671</c:v>
                </c:pt>
                <c:pt idx="9">
                  <c:v>216.50230859806106</c:v>
                </c:pt>
                <c:pt idx="10">
                  <c:v>192.24287796896624</c:v>
                </c:pt>
                <c:pt idx="11">
                  <c:v>165.14280501923804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'LTFP Chart Data'!$A$14</c:f>
              <c:strCache>
                <c:ptCount val="1"/>
              </c:strCache>
            </c:strRef>
          </c:tx>
          <c:marker>
            <c:symbol val="none"/>
          </c:marker>
          <c:cat>
            <c:strRef>
              <c:f>'LTFP Chart Data'!$B$2:$M$2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Data'!$B$14:$M$14</c:f>
              <c:numCache>
                <c:formatCode>General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42368"/>
        <c:axId val="170398080"/>
      </c:lineChart>
      <c:catAx>
        <c:axId val="167242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170398080"/>
        <c:crosses val="autoZero"/>
        <c:auto val="1"/>
        <c:lblAlgn val="ctr"/>
        <c:lblOffset val="100"/>
        <c:noMultiLvlLbl val="0"/>
      </c:catAx>
      <c:valAx>
        <c:axId val="170398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Thousands</a:t>
                </a:r>
              </a:p>
            </c:rich>
          </c:tx>
          <c:overlay val="0"/>
        </c:title>
        <c:numFmt formatCode="#,##0_ ;[Red]\-#,##0\ " sourceLinked="1"/>
        <c:majorTickMark val="out"/>
        <c:minorTickMark val="none"/>
        <c:tickLblPos val="nextTo"/>
        <c:crossAx val="167242368"/>
        <c:crosses val="autoZero"/>
        <c:crossBetween val="between"/>
        <c:dispUnits>
          <c:builtInUnit val="thousands"/>
        </c:dispUnits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Asset Maintenance</a:t>
            </a:r>
            <a:r>
              <a:rPr lang="en-NZ" baseline="0"/>
              <a:t> </a:t>
            </a:r>
            <a:r>
              <a:rPr lang="en-NZ"/>
              <a:t>Ratio - Scenario 1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'Muswellbrook FFF Ratios'!$D$242:$O$242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xVal>
          <c:yVal>
            <c:numRef>
              <c:f>'Muswellbrook FFF Ratios'!$D$252:$O$252</c:f>
              <c:numCache>
                <c:formatCode>0%</c:formatCode>
                <c:ptCount val="12"/>
                <c:pt idx="0">
                  <c:v>0.82606451612903231</c:v>
                </c:pt>
                <c:pt idx="1">
                  <c:v>0.91303225806451616</c:v>
                </c:pt>
                <c:pt idx="2">
                  <c:v>0.94202150537634421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18752"/>
        <c:axId val="169420672"/>
      </c:scatterChart>
      <c:valAx>
        <c:axId val="169418752"/>
        <c:scaling>
          <c:orientation val="minMax"/>
          <c:max val="2026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Year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9420672"/>
        <c:crosses val="autoZero"/>
        <c:crossBetween val="midCat"/>
      </c:valAx>
      <c:valAx>
        <c:axId val="169420672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1694187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Net Operating Result for the Year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'LTFP Chart Data'!$A$24</c:f>
              <c:strCache>
                <c:ptCount val="1"/>
                <c:pt idx="0">
                  <c:v>Scenario 1 - Base Case (BAU)</c:v>
                </c:pt>
              </c:strCache>
            </c:strRef>
          </c:tx>
          <c:cat>
            <c:strRef>
              <c:f>'LTFP Chart Data'!$B$2:$M$2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Data'!$B$24:$M$24</c:f>
              <c:numCache>
                <c:formatCode>#,##0_ ;[Red]\-#,##0\ </c:formatCode>
                <c:ptCount val="12"/>
                <c:pt idx="0">
                  <c:v>11810</c:v>
                </c:pt>
                <c:pt idx="1">
                  <c:v>2928.0070000000123</c:v>
                </c:pt>
                <c:pt idx="2">
                  <c:v>4419.8999599999952</c:v>
                </c:pt>
                <c:pt idx="3">
                  <c:v>4402.2824850000034</c:v>
                </c:pt>
                <c:pt idx="4">
                  <c:v>4661.3812902999998</c:v>
                </c:pt>
                <c:pt idx="5">
                  <c:v>4547.2847176340074</c:v>
                </c:pt>
                <c:pt idx="6">
                  <c:v>4332.5622136972088</c:v>
                </c:pt>
                <c:pt idx="7">
                  <c:v>4420.1863558144687</c:v>
                </c:pt>
                <c:pt idx="8">
                  <c:v>4499.7787113932573</c:v>
                </c:pt>
                <c:pt idx="9">
                  <c:v>4590.119519842272</c:v>
                </c:pt>
                <c:pt idx="10">
                  <c:v>4675.2005194942831</c:v>
                </c:pt>
                <c:pt idx="11">
                  <c:v>4760.1743875826869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'LTFP Chart Data'!$A$25</c:f>
              <c:strCache>
                <c:ptCount val="1"/>
                <c:pt idx="0">
                  <c:v>Scenario 2 - SRV with proactive response</c:v>
                </c:pt>
              </c:strCache>
            </c:strRef>
          </c:tx>
          <c:cat>
            <c:strRef>
              <c:f>'LTFP Chart Data'!$B$2:$M$2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Data'!$B$25:$M$25</c:f>
              <c:numCache>
                <c:formatCode>#,##0_ ;[Red]\-#,##0\ </c:formatCode>
                <c:ptCount val="12"/>
                <c:pt idx="0">
                  <c:v>11810</c:v>
                </c:pt>
                <c:pt idx="1">
                  <c:v>2928.0070000000123</c:v>
                </c:pt>
                <c:pt idx="2">
                  <c:v>4719.9369999999908</c:v>
                </c:pt>
                <c:pt idx="3">
                  <c:v>4997.5820099999983</c:v>
                </c:pt>
                <c:pt idx="4">
                  <c:v>8581.3400152999966</c:v>
                </c:pt>
                <c:pt idx="5">
                  <c:v>4131.9530926340012</c:v>
                </c:pt>
                <c:pt idx="6">
                  <c:v>4096.5218832090395</c:v>
                </c:pt>
                <c:pt idx="7">
                  <c:v>4268.246832507255</c:v>
                </c:pt>
                <c:pt idx="8">
                  <c:v>4409.5900297828048</c:v>
                </c:pt>
                <c:pt idx="9">
                  <c:v>4518.5770583586636</c:v>
                </c:pt>
                <c:pt idx="10">
                  <c:v>4650.317316433182</c:v>
                </c:pt>
                <c:pt idx="11">
                  <c:v>4786.4474090166477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'LTFP Chart Data'!$A$26</c:f>
              <c:strCache>
                <c:ptCount val="1"/>
                <c:pt idx="0">
                  <c:v>Scenario 3 - SRV with Mine revenue reduction</c:v>
                </c:pt>
              </c:strCache>
            </c:strRef>
          </c:tx>
          <c:cat>
            <c:strRef>
              <c:f>'LTFP Chart Data'!$B$2:$M$2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Data'!$B$26:$M$26</c:f>
              <c:numCache>
                <c:formatCode>#,##0_ ;[Red]\-#,##0\ </c:formatCode>
                <c:ptCount val="12"/>
                <c:pt idx="0">
                  <c:v>11810</c:v>
                </c:pt>
                <c:pt idx="1">
                  <c:v>2928.0070000000123</c:v>
                </c:pt>
                <c:pt idx="2">
                  <c:v>5278.2884999999951</c:v>
                </c:pt>
                <c:pt idx="3">
                  <c:v>5090.9202934999994</c:v>
                </c:pt>
                <c:pt idx="4">
                  <c:v>8943.6078496374976</c:v>
                </c:pt>
                <c:pt idx="5">
                  <c:v>4503.2776228299408</c:v>
                </c:pt>
                <c:pt idx="6">
                  <c:v>3963.6507705890253</c:v>
                </c:pt>
                <c:pt idx="7">
                  <c:v>4086.0821188998816</c:v>
                </c:pt>
                <c:pt idx="8">
                  <c:v>3813.3604825893635</c:v>
                </c:pt>
                <c:pt idx="9">
                  <c:v>3918.9951962862178</c:v>
                </c:pt>
                <c:pt idx="10">
                  <c:v>2729.6776722817813</c:v>
                </c:pt>
                <c:pt idx="11">
                  <c:v>750.33486055577669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71264"/>
        <c:axId val="172577152"/>
      </c:lineChart>
      <c:catAx>
        <c:axId val="172571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-2700000"/>
          <a:lstStyle/>
          <a:p>
            <a:pPr>
              <a:defRPr/>
            </a:pPr>
            <a:endParaRPr lang="en-US"/>
          </a:p>
        </c:txPr>
        <c:crossAx val="172577152"/>
        <c:crosses val="autoZero"/>
        <c:auto val="1"/>
        <c:lblAlgn val="ctr"/>
        <c:lblOffset val="100"/>
        <c:noMultiLvlLbl val="0"/>
      </c:catAx>
      <c:valAx>
        <c:axId val="172577152"/>
        <c:scaling>
          <c:orientation val="minMax"/>
        </c:scaling>
        <c:delete val="0"/>
        <c:axPos val="l"/>
        <c:majorGridlines/>
        <c:numFmt formatCode="#,##0.0_ ;[Red]\-#,##0.0\ " sourceLinked="0"/>
        <c:majorTickMark val="none"/>
        <c:minorTickMark val="none"/>
        <c:tickLblPos val="nextTo"/>
        <c:spPr>
          <a:ln w="9525">
            <a:noFill/>
          </a:ln>
        </c:spPr>
        <c:crossAx val="172571264"/>
        <c:crosses val="autoZero"/>
        <c:crossBetween val="between"/>
        <c:dispUnits>
          <c:builtInUnit val="millions"/>
        </c:dispUnits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700" baseline="0"/>
              <a:t>Revenue vs Expenditure (excl. Capital Rev.)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'LTFP Chart Data'!$A$29</c:f>
              <c:strCache>
                <c:ptCount val="1"/>
                <c:pt idx="0">
                  <c:v>Revenue - Scenario 1 Base Case</c:v>
                </c:pt>
              </c:strCache>
            </c:strRef>
          </c:tx>
          <c:invertIfNegative val="0"/>
          <c:cat>
            <c:strRef>
              <c:f>'LTFP Chart Data'!$B$2:$M$2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Data'!$B$29:$M$29</c:f>
              <c:numCache>
                <c:formatCode>#,##0_ ;[Red]\-#,##0\ </c:formatCode>
                <c:ptCount val="12"/>
                <c:pt idx="0">
                  <c:v>46813</c:v>
                </c:pt>
                <c:pt idx="1">
                  <c:v>41149.425000000003</c:v>
                </c:pt>
                <c:pt idx="2">
                  <c:v>42808.169959999999</c:v>
                </c:pt>
                <c:pt idx="3">
                  <c:v>43886.219485000001</c:v>
                </c:pt>
                <c:pt idx="4">
                  <c:v>45146.853290300001</c:v>
                </c:pt>
                <c:pt idx="5">
                  <c:v>46091.805717634008</c:v>
                </c:pt>
                <c:pt idx="6">
                  <c:v>46827.884133697211</c:v>
                </c:pt>
                <c:pt idx="7">
                  <c:v>47889.478570014471</c:v>
                </c:pt>
                <c:pt idx="8">
                  <c:v>48978.676078336255</c:v>
                </c:pt>
                <c:pt idx="9">
                  <c:v>50107.61897881153</c:v>
                </c:pt>
                <c:pt idx="10">
                  <c:v>51257.198138234926</c:v>
                </c:pt>
                <c:pt idx="11">
                  <c:v>52433.202873876013</c:v>
                </c:pt>
              </c:numCache>
            </c:numRef>
          </c:val>
        </c:ser>
        <c:ser>
          <c:idx val="1"/>
          <c:order val="1"/>
          <c:tx>
            <c:strRef>
              <c:f>'LTFP Chart Data'!$A$30</c:f>
              <c:strCache>
                <c:ptCount val="1"/>
                <c:pt idx="0">
                  <c:v>Expenditure - Base Case</c:v>
                </c:pt>
              </c:strCache>
            </c:strRef>
          </c:tx>
          <c:invertIfNegative val="0"/>
          <c:cat>
            <c:strRef>
              <c:f>'LTFP Chart Data'!$B$2:$M$2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Data'!$B$30:$M$30</c:f>
              <c:numCache>
                <c:formatCode>#,##0_ ;[Red]\-#,##0\ </c:formatCode>
                <c:ptCount val="12"/>
                <c:pt idx="0">
                  <c:v>35003</c:v>
                </c:pt>
                <c:pt idx="1">
                  <c:v>38221.417999999991</c:v>
                </c:pt>
                <c:pt idx="2">
                  <c:v>38388.270000000004</c:v>
                </c:pt>
                <c:pt idx="3">
                  <c:v>39483.936999999998</c:v>
                </c:pt>
                <c:pt idx="4">
                  <c:v>40485.472000000002</c:v>
                </c:pt>
                <c:pt idx="5">
                  <c:v>41544.521000000001</c:v>
                </c:pt>
                <c:pt idx="6">
                  <c:v>42495.321920000002</c:v>
                </c:pt>
                <c:pt idx="7">
                  <c:v>43469.292214200002</c:v>
                </c:pt>
                <c:pt idx="8">
                  <c:v>44478.897366942998</c:v>
                </c:pt>
                <c:pt idx="9">
                  <c:v>45517.499458969258</c:v>
                </c:pt>
                <c:pt idx="10">
                  <c:v>46581.997618740643</c:v>
                </c:pt>
                <c:pt idx="11">
                  <c:v>47673.028486293326</c:v>
                </c:pt>
              </c:numCache>
            </c:numRef>
          </c:val>
        </c:ser>
        <c:ser>
          <c:idx val="2"/>
          <c:order val="2"/>
          <c:tx>
            <c:strRef>
              <c:f>'LTFP Chart Data'!$A$31</c:f>
              <c:strCache>
                <c:ptCount val="1"/>
                <c:pt idx="0">
                  <c:v>Revenue - Scenario 2</c:v>
                </c:pt>
              </c:strCache>
            </c:strRef>
          </c:tx>
          <c:invertIfNegative val="0"/>
          <c:cat>
            <c:strRef>
              <c:f>'LTFP Chart Data'!$B$2:$M$2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Data'!$B$31:$M$31</c:f>
              <c:numCache>
                <c:formatCode>#,##0_ ;[Red]\-#,##0\ </c:formatCode>
                <c:ptCount val="12"/>
                <c:pt idx="0">
                  <c:v>46813</c:v>
                </c:pt>
                <c:pt idx="1">
                  <c:v>41149.425000000003</c:v>
                </c:pt>
                <c:pt idx="2">
                  <c:v>43108.206999999995</c:v>
                </c:pt>
                <c:pt idx="3">
                  <c:v>44195.747009999999</c:v>
                </c:pt>
                <c:pt idx="4">
                  <c:v>49564.807015300001</c:v>
                </c:pt>
                <c:pt idx="5">
                  <c:v>47608.848092633998</c:v>
                </c:pt>
                <c:pt idx="6">
                  <c:v>48529.111399009038</c:v>
                </c:pt>
                <c:pt idx="7">
                  <c:v>49680.609232098257</c:v>
                </c:pt>
                <c:pt idx="8">
                  <c:v>50826.428788421501</c:v>
                </c:pt>
                <c:pt idx="9">
                  <c:v>51965.237432049325</c:v>
                </c:pt>
                <c:pt idx="10">
                  <c:v>53152.803470647756</c:v>
                </c:pt>
                <c:pt idx="11">
                  <c:v>54371.440015326611</c:v>
                </c:pt>
              </c:numCache>
            </c:numRef>
          </c:val>
        </c:ser>
        <c:ser>
          <c:idx val="3"/>
          <c:order val="3"/>
          <c:tx>
            <c:strRef>
              <c:f>'LTFP Chart Data'!$A$32</c:f>
              <c:strCache>
                <c:ptCount val="1"/>
                <c:pt idx="0">
                  <c:v>Expenditure - Scenario 2</c:v>
                </c:pt>
              </c:strCache>
            </c:strRef>
          </c:tx>
          <c:invertIfNegative val="0"/>
          <c:cat>
            <c:strRef>
              <c:f>'LTFP Chart Data'!$B$2:$M$2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Data'!$B$32:$M$32</c:f>
              <c:numCache>
                <c:formatCode>#,##0_ ;[Red]\-#,##0\ </c:formatCode>
                <c:ptCount val="12"/>
                <c:pt idx="0">
                  <c:v>35003</c:v>
                </c:pt>
                <c:pt idx="1">
                  <c:v>38221.417999999991</c:v>
                </c:pt>
                <c:pt idx="2">
                  <c:v>38388.270000000004</c:v>
                </c:pt>
                <c:pt idx="3">
                  <c:v>39198.165000000001</c:v>
                </c:pt>
                <c:pt idx="4">
                  <c:v>40983.467000000004</c:v>
                </c:pt>
                <c:pt idx="5">
                  <c:v>43476.894999999997</c:v>
                </c:pt>
                <c:pt idx="6">
                  <c:v>44432.589515799998</c:v>
                </c:pt>
                <c:pt idx="7">
                  <c:v>45412.362399591002</c:v>
                </c:pt>
                <c:pt idx="8">
                  <c:v>46416.838758638696</c:v>
                </c:pt>
                <c:pt idx="9">
                  <c:v>47446.660373690662</c:v>
                </c:pt>
                <c:pt idx="10">
                  <c:v>48502.486154214574</c:v>
                </c:pt>
                <c:pt idx="11">
                  <c:v>49584.992606309963</c:v>
                </c:pt>
              </c:numCache>
            </c:numRef>
          </c:val>
        </c:ser>
        <c:ser>
          <c:idx val="4"/>
          <c:order val="4"/>
          <c:tx>
            <c:strRef>
              <c:f>'LTFP Chart Data'!$A$33</c:f>
              <c:strCache>
                <c:ptCount val="1"/>
                <c:pt idx="0">
                  <c:v>Revenue - Scenario 3</c:v>
                </c:pt>
              </c:strCache>
            </c:strRef>
          </c:tx>
          <c:invertIfNegative val="0"/>
          <c:cat>
            <c:strRef>
              <c:f>'LTFP Chart Data'!$B$2:$M$2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Data'!$B$33:$M$33</c:f>
              <c:numCache>
                <c:formatCode>#,##0_ ;[Red]\-#,##0\ </c:formatCode>
                <c:ptCount val="12"/>
                <c:pt idx="0">
                  <c:v>46813</c:v>
                </c:pt>
                <c:pt idx="1">
                  <c:v>41149.425000000003</c:v>
                </c:pt>
                <c:pt idx="2">
                  <c:v>43666.558499999999</c:v>
                </c:pt>
                <c:pt idx="3">
                  <c:v>44289.0852935</c:v>
                </c:pt>
                <c:pt idx="4">
                  <c:v>49927.074849637502</c:v>
                </c:pt>
                <c:pt idx="5">
                  <c:v>47980.172622829938</c:v>
                </c:pt>
                <c:pt idx="6">
                  <c:v>48396.240286389024</c:v>
                </c:pt>
                <c:pt idx="7">
                  <c:v>49498.444518490884</c:v>
                </c:pt>
                <c:pt idx="8">
                  <c:v>50230.19924122806</c:v>
                </c:pt>
                <c:pt idx="9">
                  <c:v>51365.65556997688</c:v>
                </c:pt>
                <c:pt idx="10">
                  <c:v>51232.163826496355</c:v>
                </c:pt>
                <c:pt idx="11">
                  <c:v>50335.32746686574</c:v>
                </c:pt>
              </c:numCache>
            </c:numRef>
          </c:val>
        </c:ser>
        <c:ser>
          <c:idx val="5"/>
          <c:order val="5"/>
          <c:tx>
            <c:strRef>
              <c:f>'LTFP Chart Data'!$A$34</c:f>
              <c:strCache>
                <c:ptCount val="1"/>
                <c:pt idx="0">
                  <c:v>Expenditure - Scenario 3</c:v>
                </c:pt>
              </c:strCache>
            </c:strRef>
          </c:tx>
          <c:invertIfNegative val="0"/>
          <c:cat>
            <c:strRef>
              <c:f>'LTFP Chart Data'!$B$2:$M$2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Data'!$B$34:$M$34</c:f>
              <c:numCache>
                <c:formatCode>#,##0_ ;[Red]\-#,##0\ </c:formatCode>
                <c:ptCount val="12"/>
                <c:pt idx="0">
                  <c:v>35003</c:v>
                </c:pt>
                <c:pt idx="1">
                  <c:v>38221.417999999991</c:v>
                </c:pt>
                <c:pt idx="2">
                  <c:v>38388.270000000004</c:v>
                </c:pt>
                <c:pt idx="3">
                  <c:v>39198.165000000001</c:v>
                </c:pt>
                <c:pt idx="4">
                  <c:v>40983.467000000004</c:v>
                </c:pt>
                <c:pt idx="5">
                  <c:v>43476.894999999997</c:v>
                </c:pt>
                <c:pt idx="6">
                  <c:v>44432.589515799998</c:v>
                </c:pt>
                <c:pt idx="7">
                  <c:v>45412.362399591002</c:v>
                </c:pt>
                <c:pt idx="8">
                  <c:v>46416.838758638696</c:v>
                </c:pt>
                <c:pt idx="9">
                  <c:v>47446.660373690662</c:v>
                </c:pt>
                <c:pt idx="10">
                  <c:v>48502.486154214574</c:v>
                </c:pt>
                <c:pt idx="11">
                  <c:v>49584.992606309963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599168"/>
        <c:axId val="170600704"/>
      </c:barChart>
      <c:catAx>
        <c:axId val="17059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0600704"/>
        <c:crosses val="autoZero"/>
        <c:auto val="1"/>
        <c:lblAlgn val="ctr"/>
        <c:lblOffset val="100"/>
        <c:noMultiLvlLbl val="0"/>
      </c:catAx>
      <c:valAx>
        <c:axId val="170600704"/>
        <c:scaling>
          <c:orientation val="minMax"/>
          <c:min val="250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,##0_ ;[Red]\-#,##0\ " sourceLinked="1"/>
        <c:majorTickMark val="out"/>
        <c:minorTickMark val="none"/>
        <c:tickLblPos val="nextTo"/>
        <c:crossAx val="170599168"/>
        <c:crosses val="autoZero"/>
        <c:crossBetween val="between"/>
        <c:dispUnits>
          <c:builtInUnit val="millions"/>
        </c:dispUnits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Closing Cash &amp; Cash Equivalents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'LTFP Chart Data'!$A$38</c:f>
              <c:strCache>
                <c:ptCount val="1"/>
                <c:pt idx="0">
                  <c:v>Scenario 1 - Base Case (BAU)</c:v>
                </c:pt>
              </c:strCache>
            </c:strRef>
          </c:tx>
          <c:invertIfNegative val="0"/>
          <c:cat>
            <c:strRef>
              <c:f>'LTFP Chart Data'!$B$2:$M$2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Data'!$B$38:$M$38</c:f>
              <c:numCache>
                <c:formatCode>#,##0_ ;[Red]\-#,##0\ </c:formatCode>
                <c:ptCount val="12"/>
                <c:pt idx="0">
                  <c:v>19402000</c:v>
                </c:pt>
                <c:pt idx="1">
                  <c:v>19019944.000000007</c:v>
                </c:pt>
                <c:pt idx="2">
                  <c:v>19054475.960000008</c:v>
                </c:pt>
                <c:pt idx="3">
                  <c:v>13437458.644999996</c:v>
                </c:pt>
                <c:pt idx="4">
                  <c:v>13541702.540299995</c:v>
                </c:pt>
                <c:pt idx="5">
                  <c:v>13570780.853059003</c:v>
                </c:pt>
                <c:pt idx="6">
                  <c:v>13543836.666756215</c:v>
                </c:pt>
                <c:pt idx="7">
                  <c:v>13590024.712570688</c:v>
                </c:pt>
                <c:pt idx="8">
                  <c:v>13998423.891213944</c:v>
                </c:pt>
                <c:pt idx="9">
                  <c:v>14276483.682187466</c:v>
                </c:pt>
                <c:pt idx="10">
                  <c:v>14553763.540135266</c:v>
                </c:pt>
                <c:pt idx="11">
                  <c:v>15089096.803887706</c:v>
                </c:pt>
              </c:numCache>
            </c:numRef>
          </c:val>
        </c:ser>
        <c:ser>
          <c:idx val="1"/>
          <c:order val="1"/>
          <c:tx>
            <c:strRef>
              <c:f>'LTFP Chart Data'!$A$39</c:f>
              <c:strCache>
                <c:ptCount val="1"/>
                <c:pt idx="0">
                  <c:v>Scenario 2 - SRV with proactive response</c:v>
                </c:pt>
              </c:strCache>
            </c:strRef>
          </c:tx>
          <c:invertIfNegative val="0"/>
          <c:cat>
            <c:strRef>
              <c:f>'LTFP Chart Data'!$B$2:$M$2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Data'!$B$39:$M$39</c:f>
              <c:numCache>
                <c:formatCode>#,##0_ ;[Red]\-#,##0\ </c:formatCode>
                <c:ptCount val="12"/>
                <c:pt idx="0">
                  <c:v>19402000</c:v>
                </c:pt>
                <c:pt idx="1">
                  <c:v>19019944.000000007</c:v>
                </c:pt>
                <c:pt idx="2">
                  <c:v>20384695.000000004</c:v>
                </c:pt>
                <c:pt idx="3">
                  <c:v>13082483.209999992</c:v>
                </c:pt>
                <c:pt idx="4">
                  <c:v>15032671.830299994</c:v>
                </c:pt>
                <c:pt idx="5">
                  <c:v>15910471.518058993</c:v>
                </c:pt>
                <c:pt idx="6">
                  <c:v>17490727.236271162</c:v>
                </c:pt>
                <c:pt idx="7">
                  <c:v>18286993.849656623</c:v>
                </c:pt>
                <c:pt idx="8">
                  <c:v>18250471.614839584</c:v>
                </c:pt>
                <c:pt idx="9">
                  <c:v>18759500.919183407</c:v>
                </c:pt>
                <c:pt idx="10">
                  <c:v>19355648.959295385</c:v>
                </c:pt>
                <c:pt idx="11">
                  <c:v>20046239.883057676</c:v>
                </c:pt>
              </c:numCache>
            </c:numRef>
          </c:val>
        </c:ser>
        <c:ser>
          <c:idx val="2"/>
          <c:order val="2"/>
          <c:tx>
            <c:strRef>
              <c:f>'LTFP Chart Data'!$A$40</c:f>
              <c:strCache>
                <c:ptCount val="1"/>
                <c:pt idx="0">
                  <c:v>Scenario 3 - SRV with Mine revenue reduction</c:v>
                </c:pt>
              </c:strCache>
            </c:strRef>
          </c:tx>
          <c:invertIfNegative val="0"/>
          <c:cat>
            <c:strRef>
              <c:f>'LTFP Chart Data'!$B$2:$M$2</c:f>
              <c:strCache>
                <c:ptCount val="12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</c:strCache>
            </c:strRef>
          </c:cat>
          <c:val>
            <c:numRef>
              <c:f>'LTFP Chart Data'!$B$40:$M$40</c:f>
              <c:numCache>
                <c:formatCode>#,##0_ ;[Red]\-#,##0\ </c:formatCode>
                <c:ptCount val="12"/>
                <c:pt idx="0">
                  <c:v>19402000</c:v>
                </c:pt>
                <c:pt idx="1">
                  <c:v>19019944.000000007</c:v>
                </c:pt>
                <c:pt idx="2">
                  <c:v>20943046.500000007</c:v>
                </c:pt>
                <c:pt idx="3">
                  <c:v>13734172.993500004</c:v>
                </c:pt>
                <c:pt idx="4">
                  <c:v>16046629.448137509</c:v>
                </c:pt>
                <c:pt idx="5">
                  <c:v>17295753.666092448</c:v>
                </c:pt>
                <c:pt idx="6">
                  <c:v>17983323.35870897</c:v>
                </c:pt>
                <c:pt idx="7">
                  <c:v>18772037.057951897</c:v>
                </c:pt>
                <c:pt idx="8">
                  <c:v>19267421.889363036</c:v>
                </c:pt>
                <c:pt idx="9">
                  <c:v>19848555.561741147</c:v>
                </c:pt>
                <c:pt idx="10">
                  <c:v>19221249.960937668</c:v>
                </c:pt>
                <c:pt idx="11">
                  <c:v>16596288.251280021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640896"/>
        <c:axId val="170642432"/>
      </c:barChart>
      <c:catAx>
        <c:axId val="170640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2700000"/>
          <a:lstStyle/>
          <a:p>
            <a:pPr>
              <a:defRPr/>
            </a:pPr>
            <a:endParaRPr lang="en-US"/>
          </a:p>
        </c:txPr>
        <c:crossAx val="170642432"/>
        <c:crosses val="autoZero"/>
        <c:auto val="1"/>
        <c:lblAlgn val="ctr"/>
        <c:lblOffset val="100"/>
        <c:noMultiLvlLbl val="0"/>
      </c:catAx>
      <c:valAx>
        <c:axId val="170642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,##0_ ;[Red]\-#,##0\ " sourceLinked="1"/>
        <c:majorTickMark val="out"/>
        <c:minorTickMark val="none"/>
        <c:tickLblPos val="nextTo"/>
        <c:crossAx val="170640896"/>
        <c:crosses val="autoZero"/>
        <c:crossBetween val="between"/>
        <c:dispUnits>
          <c:builtInUnit val="millions"/>
        </c:dispUnits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Asset</a:t>
            </a:r>
            <a:r>
              <a:rPr lang="en-US" baseline="0"/>
              <a:t> Renewal Ratio - Base Case</a:t>
            </a:r>
            <a:endParaRPr lang="en-US"/>
          </a:p>
        </c:rich>
      </c:tx>
      <c:layout>
        <c:manualLayout>
          <c:xMode val="edge"/>
          <c:yMode val="edge"/>
          <c:x val="0.30219288378426468"/>
          <c:y val="2.531645569620252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Charts!$A$3</c:f>
              <c:strCache>
                <c:ptCount val="1"/>
                <c:pt idx="0">
                  <c:v>Asset Renewal Ratio - Building &amp; Infrastructure</c:v>
                </c:pt>
              </c:strCache>
            </c:strRef>
          </c:tx>
          <c:marker>
            <c:symbol val="none"/>
          </c:marker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Charts!$B$3:$K$3</c:f>
              <c:numCache>
                <c:formatCode>0%</c:formatCode>
                <c:ptCount val="10"/>
                <c:pt idx="0">
                  <c:v>0</c:v>
                </c:pt>
                <c:pt idx="1">
                  <c:v>1.0126975755467433</c:v>
                </c:pt>
                <c:pt idx="2">
                  <c:v>0.79878103636918452</c:v>
                </c:pt>
                <c:pt idx="3">
                  <c:v>0.90229587363413921</c:v>
                </c:pt>
                <c:pt idx="4">
                  <c:v>1.0135635454681231</c:v>
                </c:pt>
                <c:pt idx="5">
                  <c:v>1.1240153807130597</c:v>
                </c:pt>
                <c:pt idx="6">
                  <c:v>0.70461997799930531</c:v>
                </c:pt>
                <c:pt idx="7">
                  <c:v>0.73605492308680143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Charts!$A$4</c:f>
              <c:strCache>
                <c:ptCount val="1"/>
                <c:pt idx="0">
                  <c:v>Asset Renewal Ratio - All Assets</c:v>
                </c:pt>
              </c:strCache>
            </c:strRef>
          </c:tx>
          <c:marker>
            <c:symbol val="none"/>
          </c:marker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Charts!$B$4:$K$4</c:f>
              <c:numCache>
                <c:formatCode>0%</c:formatCode>
                <c:ptCount val="10"/>
                <c:pt idx="0">
                  <c:v>0</c:v>
                </c:pt>
                <c:pt idx="1">
                  <c:v>679.95648819477481</c:v>
                </c:pt>
                <c:pt idx="2">
                  <c:v>2782.7540685067593</c:v>
                </c:pt>
                <c:pt idx="3">
                  <c:v>609.41520883830788</c:v>
                </c:pt>
                <c:pt idx="4">
                  <c:v>661.80882191114745</c:v>
                </c:pt>
                <c:pt idx="5">
                  <c:v>714.07609981134067</c:v>
                </c:pt>
                <c:pt idx="6">
                  <c:v>499.29661151935301</c:v>
                </c:pt>
                <c:pt idx="7">
                  <c:v>511.60526123505133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Charts!$A$5</c:f>
              <c:strCache>
                <c:ptCount val="1"/>
                <c:pt idx="0">
                  <c:v>Target</c:v>
                </c:pt>
              </c:strCache>
            </c:strRef>
          </c:tx>
          <c:marker>
            <c:symbol val="none"/>
          </c:marker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Charts!$B$5:$K$5</c:f>
              <c:numCache>
                <c:formatCode>0%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46624"/>
        <c:axId val="40767488"/>
      </c:lineChart>
      <c:catAx>
        <c:axId val="4114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2400000" vert="horz" anchor="ctr" anchorCtr="0"/>
          <a:lstStyle/>
          <a:p>
            <a:pPr>
              <a:defRPr/>
            </a:pPr>
            <a:endParaRPr lang="en-US"/>
          </a:p>
        </c:txPr>
        <c:crossAx val="40767488"/>
        <c:crosses val="autoZero"/>
        <c:auto val="1"/>
        <c:lblAlgn val="ctr"/>
        <c:lblOffset val="100"/>
        <c:noMultiLvlLbl val="0"/>
      </c:catAx>
      <c:valAx>
        <c:axId val="407674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114662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Capital</a:t>
            </a:r>
            <a:r>
              <a:rPr lang="en-US" baseline="0"/>
              <a:t> Program - Base Case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Charts!$A$8</c:f>
              <c:strCache>
                <c:ptCount val="1"/>
                <c:pt idx="0">
                  <c:v>Renewals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Charts!$B$8:$K$8</c:f>
              <c:numCache>
                <c:formatCode>#,##0_ ;[Red]\-#,##0\ </c:formatCode>
                <c:ptCount val="10"/>
                <c:pt idx="0">
                  <c:v>3938411.2650166294</c:v>
                </c:pt>
                <c:pt idx="1">
                  <c:v>4883447.4982148726</c:v>
                </c:pt>
                <c:pt idx="2">
                  <c:v>4175138.4597329386</c:v>
                </c:pt>
                <c:pt idx="3">
                  <c:v>4647074.3454642072</c:v>
                </c:pt>
                <c:pt idx="4">
                  <c:v>5171229.1982817072</c:v>
                </c:pt>
                <c:pt idx="5">
                  <c:v>5716139.1907281922</c:v>
                </c:pt>
                <c:pt idx="6">
                  <c:v>4096481.0463969782</c:v>
                </c:pt>
                <c:pt idx="7">
                  <c:v>4302404.0975296237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Charts!$A$9</c:f>
              <c:strCache>
                <c:ptCount val="1"/>
                <c:pt idx="0">
                  <c:v>New Assets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Charts!$B$9:$K$9</c:f>
              <c:numCache>
                <c:formatCode>#,##0_ ;[Red]\-#,##0\ </c:formatCode>
                <c:ptCount val="10"/>
                <c:pt idx="0">
                  <c:v>1448362.4145000002</c:v>
                </c:pt>
                <c:pt idx="1">
                  <c:v>1109058</c:v>
                </c:pt>
                <c:pt idx="2">
                  <c:v>744478.5</c:v>
                </c:pt>
                <c:pt idx="3">
                  <c:v>930616.21</c:v>
                </c:pt>
                <c:pt idx="4">
                  <c:v>5152624.0920000002</c:v>
                </c:pt>
                <c:pt idx="5">
                  <c:v>13261</c:v>
                </c:pt>
                <c:pt idx="6">
                  <c:v>4365946.2</c:v>
                </c:pt>
                <c:pt idx="7">
                  <c:v>50542.82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801024"/>
        <c:axId val="40802560"/>
      </c:barChart>
      <c:catAx>
        <c:axId val="40801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40802560"/>
        <c:crosses val="autoZero"/>
        <c:auto val="1"/>
        <c:lblAlgn val="ctr"/>
        <c:lblOffset val="100"/>
        <c:noMultiLvlLbl val="0"/>
      </c:catAx>
      <c:valAx>
        <c:axId val="40802560"/>
        <c:scaling>
          <c:orientation val="minMax"/>
          <c:max val="90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,##0_ ;[Red]\-#,##0\ " sourceLinked="1"/>
        <c:majorTickMark val="out"/>
        <c:minorTickMark val="none"/>
        <c:tickLblPos val="nextTo"/>
        <c:crossAx val="40801024"/>
        <c:crosses val="autoZero"/>
        <c:crossBetween val="between"/>
        <c:dispUnits>
          <c:builtInUnit val="millions"/>
        </c:dispUnits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Net Operating Result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464380503838886"/>
          <c:y val="0.30150641308340126"/>
          <c:w val="0.81040292393357372"/>
          <c:h val="0.47815319258733624"/>
        </c:manualLayout>
      </c:layout>
      <c:lineChart>
        <c:grouping val="standard"/>
        <c:varyColors val="0"/>
        <c:ser>
          <c:idx val="0"/>
          <c:order val="0"/>
          <c:tx>
            <c:strRef>
              <c:f>Charts!$A$12</c:f>
              <c:strCache>
                <c:ptCount val="1"/>
                <c:pt idx="0">
                  <c:v>Including Capital Revenue</c:v>
                </c:pt>
              </c:strCache>
            </c:strRef>
          </c:tx>
          <c:marker>
            <c:symbol val="none"/>
          </c:marker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Charts!$B$12:$K$12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11810</c:v>
                </c:pt>
                <c:pt idx="2">
                  <c:v>2928.0070000000123</c:v>
                </c:pt>
                <c:pt idx="3">
                  <c:v>4419.8999599999952</c:v>
                </c:pt>
                <c:pt idx="4">
                  <c:v>4402.2824850000034</c:v>
                </c:pt>
                <c:pt idx="5">
                  <c:v>4661.3812902999998</c:v>
                </c:pt>
                <c:pt idx="6">
                  <c:v>4547.2847176340074</c:v>
                </c:pt>
                <c:pt idx="7">
                  <c:v>4332.5622136972088</c:v>
                </c:pt>
                <c:pt idx="8">
                  <c:v>4420.1863558144687</c:v>
                </c:pt>
                <c:pt idx="9">
                  <c:v>4499.7787113932573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Charts!$A$13</c:f>
              <c:strCache>
                <c:ptCount val="1"/>
                <c:pt idx="0">
                  <c:v>Excluding Capital Revenue</c:v>
                </c:pt>
              </c:strCache>
            </c:strRef>
          </c:tx>
          <c:marker>
            <c:symbol val="none"/>
          </c:marker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Charts!$B$13:$K$13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-2644</c:v>
                </c:pt>
                <c:pt idx="2">
                  <c:v>30.000000000012278</c:v>
                </c:pt>
                <c:pt idx="3">
                  <c:v>631.93295999999509</c:v>
                </c:pt>
                <c:pt idx="4">
                  <c:v>557.91147500000352</c:v>
                </c:pt>
                <c:pt idx="5">
                  <c:v>758.92227499999944</c:v>
                </c:pt>
                <c:pt idx="6">
                  <c:v>585.00338500000726</c:v>
                </c:pt>
                <c:pt idx="7">
                  <c:v>271.22384774735883</c:v>
                </c:pt>
                <c:pt idx="8">
                  <c:v>257.31453071587384</c:v>
                </c:pt>
                <c:pt idx="9">
                  <c:v>232.83509066719671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18560"/>
        <c:axId val="46020096"/>
      </c:lineChart>
      <c:catAx>
        <c:axId val="46018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46020096"/>
        <c:crosses val="autoZero"/>
        <c:auto val="1"/>
        <c:lblAlgn val="ctr"/>
        <c:lblOffset val="100"/>
        <c:noMultiLvlLbl val="0"/>
      </c:catAx>
      <c:valAx>
        <c:axId val="46020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Thousands</a:t>
                </a:r>
              </a:p>
            </c:rich>
          </c:tx>
          <c:overlay val="0"/>
        </c:title>
        <c:numFmt formatCode="#,##0_ ;[Red]\-#,##0\ " sourceLinked="1"/>
        <c:majorTickMark val="out"/>
        <c:minorTickMark val="none"/>
        <c:tickLblPos val="nextTo"/>
        <c:crossAx val="46018560"/>
        <c:crosses val="autoZero"/>
        <c:crossBetween val="between"/>
        <c:dispUnits>
          <c:builtInUnit val="thousands"/>
        </c:dispUnits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/>
              <a:t>Working Funds Movement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Charts!$A$16</c:f>
              <c:strCache>
                <c:ptCount val="1"/>
                <c:pt idx="0">
                  <c:v>Working Funds Balance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Charts!$B$16:$K$16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7182</c:v>
                </c:pt>
                <c:pt idx="2">
                  <c:v>30</c:v>
                </c:pt>
                <c:pt idx="3">
                  <c:v>-29.533999999999651</c:v>
                </c:pt>
                <c:pt idx="4">
                  <c:v>204.21536999999444</c:v>
                </c:pt>
                <c:pt idx="5">
                  <c:v>-39.821116350000011</c:v>
                </c:pt>
                <c:pt idx="6">
                  <c:v>-82.117286270749901</c:v>
                </c:pt>
                <c:pt idx="7">
                  <c:v>-877.12273922060012</c:v>
                </c:pt>
                <c:pt idx="8">
                  <c:v>-782.43674298686892</c:v>
                </c:pt>
                <c:pt idx="9">
                  <c:v>-387.18517746121506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037632"/>
        <c:axId val="46047616"/>
        <c:axId val="0"/>
      </c:bar3DChart>
      <c:catAx>
        <c:axId val="46037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-2400000"/>
          <a:lstStyle/>
          <a:p>
            <a:pPr>
              <a:defRPr/>
            </a:pPr>
            <a:endParaRPr lang="en-US"/>
          </a:p>
        </c:txPr>
        <c:crossAx val="46047616"/>
        <c:crosses val="autoZero"/>
        <c:auto val="1"/>
        <c:lblAlgn val="ctr"/>
        <c:lblOffset val="100"/>
        <c:noMultiLvlLbl val="0"/>
      </c:catAx>
      <c:valAx>
        <c:axId val="46047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Thousands</a:t>
                </a:r>
              </a:p>
            </c:rich>
          </c:tx>
          <c:overlay val="0"/>
        </c:title>
        <c:numFmt formatCode="#,##0_ ;[Red]\-#,##0\ " sourceLinked="1"/>
        <c:majorTickMark val="out"/>
        <c:minorTickMark val="none"/>
        <c:tickLblPos val="nextTo"/>
        <c:crossAx val="4603763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Charts!$A$20</c:f>
              <c:strCache>
                <c:ptCount val="1"/>
                <c:pt idx="0">
                  <c:v>Cash &amp; Investments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Charts!$B$20:$K$20</c:f>
              <c:numCache>
                <c:formatCode>#,##0_ ;[Red]\-#,##0\ </c:formatCode>
                <c:ptCount val="10"/>
                <c:pt idx="0">
                  <c:v>16444</c:v>
                </c:pt>
                <c:pt idx="1">
                  <c:v>4031</c:v>
                </c:pt>
                <c:pt idx="2">
                  <c:v>3648.9440000000068</c:v>
                </c:pt>
                <c:pt idx="3">
                  <c:v>3683.475960000007</c:v>
                </c:pt>
                <c:pt idx="4">
                  <c:v>1066.4586449999961</c:v>
                </c:pt>
                <c:pt idx="5">
                  <c:v>1170.7025402999957</c:v>
                </c:pt>
                <c:pt idx="6">
                  <c:v>1199.7808530590023</c:v>
                </c:pt>
                <c:pt idx="7">
                  <c:v>1172.8366667562145</c:v>
                </c:pt>
                <c:pt idx="8">
                  <c:v>1219.0247125706878</c:v>
                </c:pt>
                <c:pt idx="9">
                  <c:v>1627.423891213944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7326336"/>
        <c:axId val="47327872"/>
        <c:axId val="0"/>
      </c:bar3DChart>
      <c:catAx>
        <c:axId val="47326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7327872"/>
        <c:crosses val="autoZero"/>
        <c:auto val="1"/>
        <c:lblAlgn val="ctr"/>
        <c:lblOffset val="100"/>
        <c:noMultiLvlLbl val="0"/>
      </c:catAx>
      <c:valAx>
        <c:axId val="47327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,##0_ ;[Red]\-#,##0\ " sourceLinked="1"/>
        <c:majorTickMark val="out"/>
        <c:minorTickMark val="none"/>
        <c:tickLblPos val="nextTo"/>
        <c:crossAx val="47326336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Net Operating Result for the Year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Charts!$A$24</c:f>
              <c:strCache>
                <c:ptCount val="1"/>
                <c:pt idx="0">
                  <c:v>Base Case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Charts!$B$24:$K$24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11810</c:v>
                </c:pt>
                <c:pt idx="2">
                  <c:v>2928.0070000000123</c:v>
                </c:pt>
                <c:pt idx="3">
                  <c:v>4419.8999599999952</c:v>
                </c:pt>
                <c:pt idx="4">
                  <c:v>4402.2824850000034</c:v>
                </c:pt>
                <c:pt idx="5">
                  <c:v>4661.3812902999998</c:v>
                </c:pt>
                <c:pt idx="6">
                  <c:v>4547.2847176340074</c:v>
                </c:pt>
                <c:pt idx="7">
                  <c:v>4332.5622136972088</c:v>
                </c:pt>
                <c:pt idx="8">
                  <c:v>4420.1863558144687</c:v>
                </c:pt>
                <c:pt idx="9">
                  <c:v>4499.7787113932573</c:v>
                </c:pt>
              </c:numCache>
            </c:numRef>
          </c:val>
        </c:ser>
        <c:ser>
          <c:idx val="1"/>
          <c:order val="1"/>
          <c:tx>
            <c:strRef>
              <c:f>Charts!$A$25</c:f>
              <c:strCache>
                <c:ptCount val="1"/>
                <c:pt idx="0">
                  <c:v>Pessimistic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Charts!$B$25:$K$25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11810</c:v>
                </c:pt>
                <c:pt idx="2">
                  <c:v>2928.0070000000123</c:v>
                </c:pt>
                <c:pt idx="3">
                  <c:v>4719.9369999999908</c:v>
                </c:pt>
                <c:pt idx="4">
                  <c:v>4997.5820099999983</c:v>
                </c:pt>
                <c:pt idx="5">
                  <c:v>8581.3400152999966</c:v>
                </c:pt>
                <c:pt idx="6">
                  <c:v>4131.9530926340012</c:v>
                </c:pt>
                <c:pt idx="7">
                  <c:v>4096.5218832090395</c:v>
                </c:pt>
                <c:pt idx="8">
                  <c:v>4268.246832507255</c:v>
                </c:pt>
                <c:pt idx="9">
                  <c:v>4409.5900297828048</c:v>
                </c:pt>
              </c:numCache>
            </c:numRef>
          </c:val>
        </c:ser>
        <c:ser>
          <c:idx val="2"/>
          <c:order val="2"/>
          <c:tx>
            <c:strRef>
              <c:f>Charts!$A$26</c:f>
              <c:strCache>
                <c:ptCount val="1"/>
                <c:pt idx="0">
                  <c:v>Optimistic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Charts!$B$26:$K$26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11810</c:v>
                </c:pt>
                <c:pt idx="2">
                  <c:v>2928.0070000000123</c:v>
                </c:pt>
                <c:pt idx="3">
                  <c:v>5278.2884999999951</c:v>
                </c:pt>
                <c:pt idx="4">
                  <c:v>5090.9202934999994</c:v>
                </c:pt>
                <c:pt idx="5">
                  <c:v>8943.6078496374976</c:v>
                </c:pt>
                <c:pt idx="6">
                  <c:v>4503.2776228299408</c:v>
                </c:pt>
                <c:pt idx="7">
                  <c:v>3963.6507705890253</c:v>
                </c:pt>
                <c:pt idx="8">
                  <c:v>4086.0821188998816</c:v>
                </c:pt>
                <c:pt idx="9">
                  <c:v>3813.3604825893635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87392"/>
        <c:axId val="47388928"/>
      </c:barChart>
      <c:catAx>
        <c:axId val="47387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2700000"/>
          <a:lstStyle/>
          <a:p>
            <a:pPr>
              <a:defRPr/>
            </a:pPr>
            <a:endParaRPr lang="en-US"/>
          </a:p>
        </c:txPr>
        <c:crossAx val="47388928"/>
        <c:crosses val="autoZero"/>
        <c:auto val="1"/>
        <c:lblAlgn val="ctr"/>
        <c:lblOffset val="100"/>
        <c:noMultiLvlLbl val="0"/>
      </c:catAx>
      <c:valAx>
        <c:axId val="47388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,##0.0_ ;[Red]\-#,##0.0\ " sourceLinked="0"/>
        <c:majorTickMark val="out"/>
        <c:minorTickMark val="none"/>
        <c:tickLblPos val="nextTo"/>
        <c:crossAx val="47387392"/>
        <c:crosses val="autoZero"/>
        <c:crossBetween val="between"/>
        <c:dispUnits>
          <c:builtInUnit val="millions"/>
        </c:dispUnits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700" baseline="0"/>
              <a:t>Revenue vs Expenditure (excl. Capital Rev.)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Charts!$A$29</c:f>
              <c:strCache>
                <c:ptCount val="1"/>
                <c:pt idx="0">
                  <c:v>Revenue - Base Case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Charts!$B$29:$K$29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32354</c:v>
                </c:pt>
                <c:pt idx="2">
                  <c:v>38251.418000000005</c:v>
                </c:pt>
                <c:pt idx="3">
                  <c:v>39020.202960000002</c:v>
                </c:pt>
                <c:pt idx="4">
                  <c:v>40041.848474999999</c:v>
                </c:pt>
                <c:pt idx="5">
                  <c:v>41244.394274999999</c:v>
                </c:pt>
                <c:pt idx="6">
                  <c:v>42129.524385000012</c:v>
                </c:pt>
                <c:pt idx="7">
                  <c:v>42766.545767747361</c:v>
                </c:pt>
                <c:pt idx="8">
                  <c:v>43726.606744915873</c:v>
                </c:pt>
                <c:pt idx="9">
                  <c:v>44711.732457610196</c:v>
                </c:pt>
              </c:numCache>
            </c:numRef>
          </c:val>
        </c:ser>
        <c:ser>
          <c:idx val="1"/>
          <c:order val="1"/>
          <c:tx>
            <c:strRef>
              <c:f>Charts!$A$30</c:f>
              <c:strCache>
                <c:ptCount val="1"/>
                <c:pt idx="0">
                  <c:v>Expenditure - Base Case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Charts!$B$30:$K$30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35003</c:v>
                </c:pt>
                <c:pt idx="2">
                  <c:v>38221.417999999991</c:v>
                </c:pt>
                <c:pt idx="3">
                  <c:v>38388.270000000004</c:v>
                </c:pt>
                <c:pt idx="4">
                  <c:v>39483.936999999998</c:v>
                </c:pt>
                <c:pt idx="5">
                  <c:v>40485.472000000002</c:v>
                </c:pt>
                <c:pt idx="6">
                  <c:v>41544.521000000001</c:v>
                </c:pt>
                <c:pt idx="7">
                  <c:v>42495.321920000002</c:v>
                </c:pt>
                <c:pt idx="8">
                  <c:v>43469.292214200002</c:v>
                </c:pt>
                <c:pt idx="9">
                  <c:v>44478.897366942998</c:v>
                </c:pt>
              </c:numCache>
            </c:numRef>
          </c:val>
        </c:ser>
        <c:ser>
          <c:idx val="2"/>
          <c:order val="2"/>
          <c:tx>
            <c:strRef>
              <c:f>Charts!$A$31</c:f>
              <c:strCache>
                <c:ptCount val="1"/>
                <c:pt idx="0">
                  <c:v>Revenue - Pessimistic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Charts!$B$31:$K$31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32354</c:v>
                </c:pt>
                <c:pt idx="2">
                  <c:v>38251.418000000005</c:v>
                </c:pt>
                <c:pt idx="3">
                  <c:v>39320.239999999998</c:v>
                </c:pt>
                <c:pt idx="4">
                  <c:v>40351.375999999997</c:v>
                </c:pt>
                <c:pt idx="5">
                  <c:v>42162.347999999998</c:v>
                </c:pt>
                <c:pt idx="6">
                  <c:v>43646.566760000002</c:v>
                </c:pt>
                <c:pt idx="7">
                  <c:v>44478.879439722354</c:v>
                </c:pt>
                <c:pt idx="8">
                  <c:v>45540.450008625841</c:v>
                </c:pt>
                <c:pt idx="9">
                  <c:v>46594.320689854641</c:v>
                </c:pt>
              </c:numCache>
            </c:numRef>
          </c:val>
        </c:ser>
        <c:ser>
          <c:idx val="3"/>
          <c:order val="3"/>
          <c:tx>
            <c:strRef>
              <c:f>Charts!$A$32</c:f>
              <c:strCache>
                <c:ptCount val="1"/>
                <c:pt idx="0">
                  <c:v>Expenditure - Pessimistic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Charts!$B$32:$K$32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35003</c:v>
                </c:pt>
                <c:pt idx="2">
                  <c:v>38221.417999999991</c:v>
                </c:pt>
                <c:pt idx="3">
                  <c:v>38388.270000000004</c:v>
                </c:pt>
                <c:pt idx="4">
                  <c:v>39198.165000000001</c:v>
                </c:pt>
                <c:pt idx="5">
                  <c:v>40983.467000000004</c:v>
                </c:pt>
                <c:pt idx="6">
                  <c:v>43476.894999999997</c:v>
                </c:pt>
                <c:pt idx="7">
                  <c:v>44432.589515799998</c:v>
                </c:pt>
                <c:pt idx="8">
                  <c:v>45412.362399591002</c:v>
                </c:pt>
                <c:pt idx="9">
                  <c:v>46416.838758638696</c:v>
                </c:pt>
              </c:numCache>
            </c:numRef>
          </c:val>
        </c:ser>
        <c:ser>
          <c:idx val="4"/>
          <c:order val="4"/>
          <c:tx>
            <c:strRef>
              <c:f>Charts!$A$33</c:f>
              <c:strCache>
                <c:ptCount val="1"/>
                <c:pt idx="0">
                  <c:v>Revenue - Optimistic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Charts!$B$33:$K$33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32354</c:v>
                </c:pt>
                <c:pt idx="2">
                  <c:v>38251.418000000005</c:v>
                </c:pt>
                <c:pt idx="3">
                  <c:v>39878.591500000002</c:v>
                </c:pt>
                <c:pt idx="4">
                  <c:v>40444.714283499998</c:v>
                </c:pt>
                <c:pt idx="5">
                  <c:v>42524.615834337499</c:v>
                </c:pt>
                <c:pt idx="6">
                  <c:v>44017.891290195941</c:v>
                </c:pt>
                <c:pt idx="7">
                  <c:v>44354.713327102341</c:v>
                </c:pt>
                <c:pt idx="8">
                  <c:v>45376.087020018473</c:v>
                </c:pt>
                <c:pt idx="9">
                  <c:v>46025.394592786193</c:v>
                </c:pt>
              </c:numCache>
            </c:numRef>
          </c:val>
        </c:ser>
        <c:ser>
          <c:idx val="5"/>
          <c:order val="5"/>
          <c:tx>
            <c:strRef>
              <c:f>Charts!$A$34</c:f>
              <c:strCache>
                <c:ptCount val="1"/>
                <c:pt idx="0">
                  <c:v>Expenditure - Optimistic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Charts!$B$34:$K$34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35003</c:v>
                </c:pt>
                <c:pt idx="2">
                  <c:v>38221.417999999991</c:v>
                </c:pt>
                <c:pt idx="3">
                  <c:v>38388.270000000004</c:v>
                </c:pt>
                <c:pt idx="4">
                  <c:v>39198.165000000001</c:v>
                </c:pt>
                <c:pt idx="5">
                  <c:v>40983.467000000004</c:v>
                </c:pt>
                <c:pt idx="6">
                  <c:v>43476.894999999997</c:v>
                </c:pt>
                <c:pt idx="7">
                  <c:v>44432.589515799998</c:v>
                </c:pt>
                <c:pt idx="8">
                  <c:v>45412.362399591002</c:v>
                </c:pt>
                <c:pt idx="9">
                  <c:v>46416.838758638696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38848"/>
        <c:axId val="47452928"/>
      </c:barChart>
      <c:catAx>
        <c:axId val="47438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7452928"/>
        <c:crosses val="autoZero"/>
        <c:auto val="1"/>
        <c:lblAlgn val="ctr"/>
        <c:lblOffset val="100"/>
        <c:noMultiLvlLbl val="0"/>
      </c:catAx>
      <c:valAx>
        <c:axId val="47452928"/>
        <c:scaling>
          <c:orientation val="minMax"/>
          <c:min val="250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,##0_ ;[Red]\-#,##0\ " sourceLinked="1"/>
        <c:majorTickMark val="out"/>
        <c:minorTickMark val="none"/>
        <c:tickLblPos val="nextTo"/>
        <c:crossAx val="47438848"/>
        <c:crosses val="autoZero"/>
        <c:crossBetween val="between"/>
        <c:dispUnits>
          <c:builtInUnit val="millions"/>
        </c:dispUnits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Debt Services</a:t>
            </a:r>
            <a:r>
              <a:rPr lang="en-NZ" baseline="0"/>
              <a:t> </a:t>
            </a:r>
            <a:r>
              <a:rPr lang="en-NZ"/>
              <a:t>Ratio - Scenario 1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'Muswellbrook FFF Ratios'!$D$242:$L$242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xVal>
          <c:yVal>
            <c:numRef>
              <c:f>'Muswellbrook FFF Ratios'!$D$253:$L$253</c:f>
              <c:numCache>
                <c:formatCode>0.0%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3.4120049739244658E-2</c:v>
                </c:pt>
                <c:pt idx="3">
                  <c:v>3.8289345815390854E-2</c:v>
                </c:pt>
                <c:pt idx="4">
                  <c:v>3.7263672561705173E-2</c:v>
                </c:pt>
                <c:pt idx="5">
                  <c:v>3.6255310839704402E-2</c:v>
                </c:pt>
                <c:pt idx="6">
                  <c:v>3.5276419982969182E-2</c:v>
                </c:pt>
                <c:pt idx="7">
                  <c:v>3.4269283662219277E-2</c:v>
                </c:pt>
                <c:pt idx="8">
                  <c:v>3.3226864998111325E-2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57536"/>
        <c:axId val="169459712"/>
      </c:scatterChart>
      <c:valAx>
        <c:axId val="16945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Year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9459712"/>
        <c:crosses val="autoZero"/>
        <c:crossBetween val="midCat"/>
      </c:valAx>
      <c:valAx>
        <c:axId val="16945971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1694575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Closing Cash &amp; Cash Equivalents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Charts!$A$38</c:f>
              <c:strCache>
                <c:ptCount val="1"/>
                <c:pt idx="0">
                  <c:v>Base Case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Charts!$B$38:$K$38</c:f>
              <c:numCache>
                <c:formatCode>#,##0_ ;[Red]\-#,##0\ </c:formatCode>
                <c:ptCount val="10"/>
                <c:pt idx="0">
                  <c:v>55408</c:v>
                </c:pt>
                <c:pt idx="1">
                  <c:v>19402</c:v>
                </c:pt>
                <c:pt idx="2">
                  <c:v>19019.944000000007</c:v>
                </c:pt>
                <c:pt idx="3">
                  <c:v>19054.475960000007</c:v>
                </c:pt>
                <c:pt idx="4">
                  <c:v>13437.458644999995</c:v>
                </c:pt>
                <c:pt idx="5">
                  <c:v>13541.702540299995</c:v>
                </c:pt>
                <c:pt idx="6">
                  <c:v>13570.780853059003</c:v>
                </c:pt>
                <c:pt idx="7">
                  <c:v>13543.836666756215</c:v>
                </c:pt>
                <c:pt idx="8">
                  <c:v>13590.024712570688</c:v>
                </c:pt>
                <c:pt idx="9">
                  <c:v>13998.423891213944</c:v>
                </c:pt>
              </c:numCache>
            </c:numRef>
          </c:val>
        </c:ser>
        <c:ser>
          <c:idx val="1"/>
          <c:order val="1"/>
          <c:tx>
            <c:strRef>
              <c:f>Charts!$A$39</c:f>
              <c:strCache>
                <c:ptCount val="1"/>
                <c:pt idx="0">
                  <c:v>Pessimistic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Charts!$B$39:$K$39</c:f>
              <c:numCache>
                <c:formatCode>#,##0_ ;[Red]\-#,##0\ </c:formatCode>
                <c:ptCount val="10"/>
                <c:pt idx="0">
                  <c:v>55408</c:v>
                </c:pt>
                <c:pt idx="1">
                  <c:v>19402</c:v>
                </c:pt>
                <c:pt idx="2">
                  <c:v>19019.944000000007</c:v>
                </c:pt>
                <c:pt idx="3">
                  <c:v>20384.695000000003</c:v>
                </c:pt>
                <c:pt idx="4">
                  <c:v>13082.483209999991</c:v>
                </c:pt>
                <c:pt idx="5">
                  <c:v>15032.671830299994</c:v>
                </c:pt>
                <c:pt idx="6">
                  <c:v>15910.471518058994</c:v>
                </c:pt>
                <c:pt idx="7">
                  <c:v>17490.727236271163</c:v>
                </c:pt>
                <c:pt idx="8">
                  <c:v>18286.993849656621</c:v>
                </c:pt>
                <c:pt idx="9">
                  <c:v>18250.471614839582</c:v>
                </c:pt>
              </c:numCache>
            </c:numRef>
          </c:val>
        </c:ser>
        <c:ser>
          <c:idx val="2"/>
          <c:order val="2"/>
          <c:tx>
            <c:strRef>
              <c:f>Charts!$A$40</c:f>
              <c:strCache>
                <c:ptCount val="1"/>
                <c:pt idx="0">
                  <c:v>Optimistic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Charts!$B$40:$K$40</c:f>
              <c:numCache>
                <c:formatCode>#,##0_ ;[Red]\-#,##0\ </c:formatCode>
                <c:ptCount val="10"/>
                <c:pt idx="0">
                  <c:v>55408</c:v>
                </c:pt>
                <c:pt idx="1">
                  <c:v>19402</c:v>
                </c:pt>
                <c:pt idx="2">
                  <c:v>19019.944000000007</c:v>
                </c:pt>
                <c:pt idx="3">
                  <c:v>20943.046500000008</c:v>
                </c:pt>
                <c:pt idx="4">
                  <c:v>13734.172993500004</c:v>
                </c:pt>
                <c:pt idx="5">
                  <c:v>16046.629448137508</c:v>
                </c:pt>
                <c:pt idx="6">
                  <c:v>17295.753666092449</c:v>
                </c:pt>
                <c:pt idx="7">
                  <c:v>17983.323358708971</c:v>
                </c:pt>
                <c:pt idx="8">
                  <c:v>18772.037057951897</c:v>
                </c:pt>
                <c:pt idx="9">
                  <c:v>19267.421889363035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7904"/>
        <c:axId val="47486080"/>
      </c:barChart>
      <c:catAx>
        <c:axId val="47467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2700000"/>
          <a:lstStyle/>
          <a:p>
            <a:pPr>
              <a:defRPr/>
            </a:pPr>
            <a:endParaRPr lang="en-US"/>
          </a:p>
        </c:txPr>
        <c:crossAx val="47486080"/>
        <c:crosses val="autoZero"/>
        <c:auto val="1"/>
        <c:lblAlgn val="ctr"/>
        <c:lblOffset val="100"/>
        <c:noMultiLvlLbl val="0"/>
      </c:catAx>
      <c:valAx>
        <c:axId val="47486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,##0_ ;[Red]\-#,##0\ " sourceLinked="1"/>
        <c:majorTickMark val="out"/>
        <c:minorTickMark val="none"/>
        <c:tickLblPos val="nextTo"/>
        <c:crossAx val="47467904"/>
        <c:crosses val="autoZero"/>
        <c:crossBetween val="between"/>
        <c:dispUnits>
          <c:builtInUnit val="millions"/>
        </c:dispUnits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Net Operating Result
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848110491043006"/>
          <c:y val="0.35991838010844329"/>
          <c:w val="0.8030399306882765"/>
          <c:h val="0.44899925126913975"/>
        </c:manualLayout>
      </c:layout>
      <c:lineChart>
        <c:grouping val="standard"/>
        <c:varyColors val="0"/>
        <c:ser>
          <c:idx val="0"/>
          <c:order val="0"/>
          <c:tx>
            <c:strRef>
              <c:f>Charts!$A$48</c:f>
              <c:strCache>
                <c:ptCount val="1"/>
                <c:pt idx="0">
                  <c:v>Including Capital Revenue</c:v>
                </c:pt>
              </c:strCache>
            </c:strRef>
          </c:tx>
          <c:marker>
            <c:symbol val="none"/>
          </c:marker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Charts!$B$48:$K$48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103739.76394675672</c:v>
                </c:pt>
                <c:pt idx="2">
                  <c:v>308909.95306405425</c:v>
                </c:pt>
                <c:pt idx="3">
                  <c:v>434790.09293688461</c:v>
                </c:pt>
                <c:pt idx="4">
                  <c:v>825152.94458618015</c:v>
                </c:pt>
                <c:pt idx="5">
                  <c:v>789259.44459495693</c:v>
                </c:pt>
                <c:pt idx="6">
                  <c:v>535662.33781281114</c:v>
                </c:pt>
                <c:pt idx="7">
                  <c:v>632160.84402335435</c:v>
                </c:pt>
                <c:pt idx="8">
                  <c:v>580835.38523375988</c:v>
                </c:pt>
                <c:pt idx="9">
                  <c:v>520893.5212347284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Charts!$A$49</c:f>
              <c:strCache>
                <c:ptCount val="1"/>
                <c:pt idx="0">
                  <c:v>Excluding Capital Revenue</c:v>
                </c:pt>
              </c:strCache>
            </c:strRef>
          </c:tx>
          <c:marker>
            <c:symbol val="none"/>
          </c:marker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Charts!$B$49:$K$49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-893910.23605324328</c:v>
                </c:pt>
                <c:pt idx="2">
                  <c:v>-713681.29693594575</c:v>
                </c:pt>
                <c:pt idx="3">
                  <c:v>-613365.93831311527</c:v>
                </c:pt>
                <c:pt idx="4">
                  <c:v>-699206.98744506948</c:v>
                </c:pt>
                <c:pt idx="5">
                  <c:v>-773209.48573707417</c:v>
                </c:pt>
                <c:pt idx="6">
                  <c:v>-1065868.3157775202</c:v>
                </c:pt>
                <c:pt idx="7">
                  <c:v>-1009408.0759067354</c:v>
                </c:pt>
                <c:pt idx="8">
                  <c:v>-1101772.757694582</c:v>
                </c:pt>
                <c:pt idx="9">
                  <c:v>-1203779.825266822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30880"/>
        <c:axId val="47136768"/>
      </c:lineChart>
      <c:catAx>
        <c:axId val="47130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47136768"/>
        <c:crosses val="autoZero"/>
        <c:auto val="1"/>
        <c:lblAlgn val="ctr"/>
        <c:lblOffset val="100"/>
        <c:noMultiLvlLbl val="0"/>
      </c:catAx>
      <c:valAx>
        <c:axId val="47136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Thousands</a:t>
                </a:r>
              </a:p>
            </c:rich>
          </c:tx>
          <c:overlay val="0"/>
        </c:title>
        <c:numFmt formatCode="#,##0_ ;[Red]\-#,##0\ " sourceLinked="1"/>
        <c:majorTickMark val="out"/>
        <c:minorTickMark val="none"/>
        <c:tickLblPos val="nextTo"/>
        <c:crossAx val="47130880"/>
        <c:crosses val="autoZero"/>
        <c:crossBetween val="between"/>
        <c:dispUnits>
          <c:builtInUnit val="thousands"/>
        </c:dispUnits>
      </c:valAx>
    </c:plotArea>
    <c:legend>
      <c:legendPos val="t"/>
      <c:layout>
        <c:manualLayout>
          <c:xMode val="edge"/>
          <c:yMode val="edge"/>
          <c:x val="5.0000050964503301E-2"/>
          <c:y val="0.26300956894494815"/>
          <c:w val="0.89999989807099434"/>
          <c:h val="7.5581665144521512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/>
              <a:t>Working Funds Movement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Charts!$A$52</c:f>
              <c:strCache>
                <c:ptCount val="1"/>
                <c:pt idx="0">
                  <c:v>Working Funds Balance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Charts!$B$52:$K$52</c:f>
              <c:numCache>
                <c:formatCode>#,##0_ ;[Red]\-#,##0\ </c:formatCode>
                <c:ptCount val="10"/>
                <c:pt idx="0">
                  <c:v>-5386773.6795166293</c:v>
                </c:pt>
                <c:pt idx="1">
                  <c:v>-2154949.7342681158</c:v>
                </c:pt>
                <c:pt idx="2">
                  <c:v>-933514.06866888423</c:v>
                </c:pt>
                <c:pt idx="3">
                  <c:v>0</c:v>
                </c:pt>
                <c:pt idx="4">
                  <c:v>-5766074.3456955273</c:v>
                </c:pt>
                <c:pt idx="5">
                  <c:v>-1102539.7461332353</c:v>
                </c:pt>
                <c:pt idx="6">
                  <c:v>-3890598.9085841663</c:v>
                </c:pt>
                <c:pt idx="7">
                  <c:v>505010.9264937304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154304"/>
        <c:axId val="47155840"/>
        <c:axId val="0"/>
      </c:bar3DChart>
      <c:catAx>
        <c:axId val="47154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7155840"/>
        <c:crosses val="autoZero"/>
        <c:auto val="1"/>
        <c:lblAlgn val="ctr"/>
        <c:lblOffset val="100"/>
        <c:noMultiLvlLbl val="0"/>
      </c:catAx>
      <c:valAx>
        <c:axId val="47155840"/>
        <c:scaling>
          <c:orientation val="minMax"/>
          <c:max val="200000"/>
          <c:min val="-8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Thousands</a:t>
                </a:r>
              </a:p>
            </c:rich>
          </c:tx>
          <c:overlay val="0"/>
        </c:title>
        <c:numFmt formatCode="#,##0_ ;[Red]\-#,##0\ " sourceLinked="1"/>
        <c:majorTickMark val="out"/>
        <c:minorTickMark val="none"/>
        <c:tickLblPos val="nextTo"/>
        <c:crossAx val="47154304"/>
        <c:crosses val="autoZero"/>
        <c:crossBetween val="between"/>
        <c:majorUnit val="100000"/>
        <c:dispUnits>
          <c:builtInUnit val="thousands"/>
        </c:dispUnits>
      </c:valAx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Charts!$A$55</c:f>
              <c:strCache>
                <c:ptCount val="1"/>
                <c:pt idx="0">
                  <c:v>Cash &amp; Investments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Charts!$B$55:$K$55</c:f>
              <c:numCache>
                <c:formatCode>#,##0_ ;[Red]\-#,##0\ </c:formatCode>
                <c:ptCount val="10"/>
                <c:pt idx="0">
                  <c:v>19737226.320483372</c:v>
                </c:pt>
                <c:pt idx="1">
                  <c:v>17582276.586215254</c:v>
                </c:pt>
                <c:pt idx="2">
                  <c:v>16646499.57954637</c:v>
                </c:pt>
                <c:pt idx="3">
                  <c:v>15294615.117019048</c:v>
                </c:pt>
                <c:pt idx="4">
                  <c:v>9526340.7713235207</c:v>
                </c:pt>
                <c:pt idx="5">
                  <c:v>8415801.0251902863</c:v>
                </c:pt>
                <c:pt idx="6">
                  <c:v>4523202.11660612</c:v>
                </c:pt>
                <c:pt idx="7">
                  <c:v>5026173.043099843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7177088"/>
        <c:axId val="47199360"/>
        <c:axId val="0"/>
      </c:bar3DChart>
      <c:catAx>
        <c:axId val="47177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7199360"/>
        <c:crosses val="autoZero"/>
        <c:auto val="1"/>
        <c:lblAlgn val="ctr"/>
        <c:lblOffset val="100"/>
        <c:noMultiLvlLbl val="0"/>
      </c:catAx>
      <c:valAx>
        <c:axId val="471993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,##0_ ;[Red]\-#,##0\ " sourceLinked="1"/>
        <c:majorTickMark val="out"/>
        <c:minorTickMark val="none"/>
        <c:tickLblPos val="nextTo"/>
        <c:crossAx val="47177088"/>
        <c:crosses val="autoZero"/>
        <c:crossBetween val="between"/>
        <c:majorUnit val="5000000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Net Operating Result for the Year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Charts!$A$59</c:f>
              <c:strCache>
                <c:ptCount val="1"/>
                <c:pt idx="0">
                  <c:v>Sustainable Scenario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Charts!$B$59:$K$59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103739.76394675672</c:v>
                </c:pt>
                <c:pt idx="2">
                  <c:v>308909.95306405425</c:v>
                </c:pt>
                <c:pt idx="3">
                  <c:v>434790.09293688461</c:v>
                </c:pt>
                <c:pt idx="4">
                  <c:v>825152.94458618015</c:v>
                </c:pt>
                <c:pt idx="5">
                  <c:v>789259.44459495693</c:v>
                </c:pt>
                <c:pt idx="6">
                  <c:v>535662.33781281114</c:v>
                </c:pt>
                <c:pt idx="7">
                  <c:v>632160.84402335435</c:v>
                </c:pt>
                <c:pt idx="8">
                  <c:v>580835.38523375988</c:v>
                </c:pt>
                <c:pt idx="9">
                  <c:v>520893.5212347284</c:v>
                </c:pt>
              </c:numCache>
            </c:numRef>
          </c:val>
        </c:ser>
        <c:ser>
          <c:idx val="1"/>
          <c:order val="1"/>
          <c:tx>
            <c:strRef>
              <c:f>Charts!$A$60</c:f>
              <c:strCache>
                <c:ptCount val="1"/>
                <c:pt idx="0">
                  <c:v>Pessimistic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Charts!$B$60:$K$60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92804.695160973817</c:v>
                </c:pt>
                <c:pt idx="2">
                  <c:v>297767.53269756213</c:v>
                </c:pt>
                <c:pt idx="3">
                  <c:v>423439.42901846394</c:v>
                </c:pt>
                <c:pt idx="4">
                  <c:v>813821.44670383632</c:v>
                </c:pt>
                <c:pt idx="5">
                  <c:v>777638.36578719318</c:v>
                </c:pt>
                <c:pt idx="6">
                  <c:v>523925.78796397895</c:v>
                </c:pt>
                <c:pt idx="7">
                  <c:v>620868.89690640569</c:v>
                </c:pt>
                <c:pt idx="8">
                  <c:v>569316.26267142594</c:v>
                </c:pt>
                <c:pt idx="9">
                  <c:v>509205.72573777288</c:v>
                </c:pt>
              </c:numCache>
            </c:numRef>
          </c:val>
        </c:ser>
        <c:ser>
          <c:idx val="2"/>
          <c:order val="2"/>
          <c:tx>
            <c:strRef>
              <c:f>Charts!$A$61</c:f>
              <c:strCache>
                <c:ptCount val="1"/>
                <c:pt idx="0">
                  <c:v>Optimistic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Charts!$B$61:$K$61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92804.695160973817</c:v>
                </c:pt>
                <c:pt idx="2">
                  <c:v>297767.53269756213</c:v>
                </c:pt>
                <c:pt idx="3">
                  <c:v>423439.42901846394</c:v>
                </c:pt>
                <c:pt idx="4">
                  <c:v>813821.44670383632</c:v>
                </c:pt>
                <c:pt idx="5">
                  <c:v>777638.36578719318</c:v>
                </c:pt>
                <c:pt idx="6">
                  <c:v>523925.78796397895</c:v>
                </c:pt>
                <c:pt idx="7">
                  <c:v>620868.89690640569</c:v>
                </c:pt>
                <c:pt idx="8">
                  <c:v>569316.26267142594</c:v>
                </c:pt>
                <c:pt idx="9">
                  <c:v>509205.72573777288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8144"/>
        <c:axId val="47239936"/>
      </c:barChart>
      <c:catAx>
        <c:axId val="47238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7239936"/>
        <c:crosses val="autoZero"/>
        <c:auto val="1"/>
        <c:lblAlgn val="ctr"/>
        <c:lblOffset val="100"/>
        <c:noMultiLvlLbl val="0"/>
      </c:catAx>
      <c:valAx>
        <c:axId val="47239936"/>
        <c:scaling>
          <c:orientation val="minMax"/>
          <c:max val="2000000"/>
          <c:min val="-20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,##0.0_ ;[Red]\-#,##0.0\ " sourceLinked="0"/>
        <c:majorTickMark val="out"/>
        <c:minorTickMark val="none"/>
        <c:tickLblPos val="nextTo"/>
        <c:crossAx val="47238144"/>
        <c:crosses val="autoZero"/>
        <c:crossBetween val="between"/>
        <c:dispUnits>
          <c:builtInUnit val="millions"/>
        </c:dispUnits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700" baseline="0"/>
              <a:t>Revenue vs Expenditure (excl. Capital Rev.)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Charts!$A$65</c:f>
              <c:strCache>
                <c:ptCount val="1"/>
                <c:pt idx="0">
                  <c:v>Revenue - Sustainable Scenario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Charts!$B$65:$K$65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29931771.763946757</c:v>
                </c:pt>
                <c:pt idx="2">
                  <c:v>30543300.703064054</c:v>
                </c:pt>
                <c:pt idx="3">
                  <c:v>31378048.061686885</c:v>
                </c:pt>
                <c:pt idx="4">
                  <c:v>32239617.012554929</c:v>
                </c:pt>
                <c:pt idx="5">
                  <c:v>33141877.514262926</c:v>
                </c:pt>
                <c:pt idx="6">
                  <c:v>34055233.684222482</c:v>
                </c:pt>
                <c:pt idx="7">
                  <c:v>34948396.924093261</c:v>
                </c:pt>
                <c:pt idx="8">
                  <c:v>35924379.24230542</c:v>
                </c:pt>
                <c:pt idx="9">
                  <c:v>36923358.174733177</c:v>
                </c:pt>
              </c:numCache>
            </c:numRef>
          </c:val>
        </c:ser>
        <c:ser>
          <c:idx val="1"/>
          <c:order val="1"/>
          <c:tx>
            <c:strRef>
              <c:f>Charts!$A$66</c:f>
              <c:strCache>
                <c:ptCount val="1"/>
                <c:pt idx="0">
                  <c:v>Expenditure - Sustainable Scenario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Charts!$B$66:$K$66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30825682</c:v>
                </c:pt>
                <c:pt idx="2">
                  <c:v>31256982</c:v>
                </c:pt>
                <c:pt idx="3">
                  <c:v>31991414</c:v>
                </c:pt>
                <c:pt idx="4">
                  <c:v>32938824</c:v>
                </c:pt>
                <c:pt idx="5">
                  <c:v>33915087</c:v>
                </c:pt>
                <c:pt idx="6">
                  <c:v>35121102</c:v>
                </c:pt>
                <c:pt idx="7">
                  <c:v>35957805</c:v>
                </c:pt>
                <c:pt idx="8">
                  <c:v>37026152</c:v>
                </c:pt>
                <c:pt idx="9">
                  <c:v>38127138</c:v>
                </c:pt>
              </c:numCache>
            </c:numRef>
          </c:val>
        </c:ser>
        <c:ser>
          <c:idx val="2"/>
          <c:order val="2"/>
          <c:tx>
            <c:strRef>
              <c:f>Charts!$A$67</c:f>
              <c:strCache>
                <c:ptCount val="1"/>
                <c:pt idx="0">
                  <c:v>Revenue - Pessimistic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Charts!$B$67:$K$67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29920836.695160974</c:v>
                </c:pt>
                <c:pt idx="2">
                  <c:v>30532158.282697562</c:v>
                </c:pt>
                <c:pt idx="3">
                  <c:v>31366697.397768464</c:v>
                </c:pt>
                <c:pt idx="4">
                  <c:v>32228285.514672585</c:v>
                </c:pt>
                <c:pt idx="5">
                  <c:v>33130256.435455162</c:v>
                </c:pt>
                <c:pt idx="6">
                  <c:v>34043497.13437365</c:v>
                </c:pt>
                <c:pt idx="7">
                  <c:v>34937104.976976313</c:v>
                </c:pt>
                <c:pt idx="8">
                  <c:v>35912860.119743086</c:v>
                </c:pt>
                <c:pt idx="9">
                  <c:v>36911670.379236221</c:v>
                </c:pt>
              </c:numCache>
            </c:numRef>
          </c:val>
        </c:ser>
        <c:ser>
          <c:idx val="3"/>
          <c:order val="3"/>
          <c:tx>
            <c:strRef>
              <c:f>Charts!$A$68</c:f>
              <c:strCache>
                <c:ptCount val="1"/>
                <c:pt idx="0">
                  <c:v>Expenditure - Pessimistic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Charts!$B$68:$K$68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30825682</c:v>
                </c:pt>
                <c:pt idx="2">
                  <c:v>31256982</c:v>
                </c:pt>
                <c:pt idx="3">
                  <c:v>31991414</c:v>
                </c:pt>
                <c:pt idx="4">
                  <c:v>32938824</c:v>
                </c:pt>
                <c:pt idx="5">
                  <c:v>33915087</c:v>
                </c:pt>
                <c:pt idx="6">
                  <c:v>35121102</c:v>
                </c:pt>
                <c:pt idx="7">
                  <c:v>35957805</c:v>
                </c:pt>
                <c:pt idx="8">
                  <c:v>37026152</c:v>
                </c:pt>
                <c:pt idx="9">
                  <c:v>38127138</c:v>
                </c:pt>
              </c:numCache>
            </c:numRef>
          </c:val>
        </c:ser>
        <c:ser>
          <c:idx val="4"/>
          <c:order val="4"/>
          <c:tx>
            <c:strRef>
              <c:f>Charts!$A$69</c:f>
              <c:strCache>
                <c:ptCount val="1"/>
                <c:pt idx="0">
                  <c:v>Revenue - Optimistic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Charts!$B$69:$K$69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29920836.695160974</c:v>
                </c:pt>
                <c:pt idx="2">
                  <c:v>30532158.282697562</c:v>
                </c:pt>
                <c:pt idx="3">
                  <c:v>31366697.397768464</c:v>
                </c:pt>
                <c:pt idx="4">
                  <c:v>32228285.514672585</c:v>
                </c:pt>
                <c:pt idx="5">
                  <c:v>33130256.435455162</c:v>
                </c:pt>
                <c:pt idx="6">
                  <c:v>34043497.13437365</c:v>
                </c:pt>
                <c:pt idx="7">
                  <c:v>34937104.976976313</c:v>
                </c:pt>
                <c:pt idx="8">
                  <c:v>35912860.119743086</c:v>
                </c:pt>
                <c:pt idx="9">
                  <c:v>36911670.379236221</c:v>
                </c:pt>
              </c:numCache>
            </c:numRef>
          </c:val>
        </c:ser>
        <c:ser>
          <c:idx val="5"/>
          <c:order val="5"/>
          <c:tx>
            <c:strRef>
              <c:f>Charts!$A$70</c:f>
              <c:strCache>
                <c:ptCount val="1"/>
                <c:pt idx="0">
                  <c:v>Expenditure - Optimistic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Charts!$B$70:$K$70</c:f>
              <c:numCache>
                <c:formatCode>#,##0_ ;[Red]\-#,##0\ </c:formatCode>
                <c:ptCount val="10"/>
                <c:pt idx="0">
                  <c:v>0</c:v>
                </c:pt>
                <c:pt idx="1">
                  <c:v>30825682</c:v>
                </c:pt>
                <c:pt idx="2">
                  <c:v>31256982</c:v>
                </c:pt>
                <c:pt idx="3">
                  <c:v>31991414</c:v>
                </c:pt>
                <c:pt idx="4">
                  <c:v>32938824</c:v>
                </c:pt>
                <c:pt idx="5">
                  <c:v>33915087</c:v>
                </c:pt>
                <c:pt idx="6">
                  <c:v>35121102</c:v>
                </c:pt>
                <c:pt idx="7">
                  <c:v>35957805</c:v>
                </c:pt>
                <c:pt idx="8">
                  <c:v>37026152</c:v>
                </c:pt>
                <c:pt idx="9">
                  <c:v>38127138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89856"/>
        <c:axId val="47291392"/>
      </c:barChart>
      <c:catAx>
        <c:axId val="47289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7291392"/>
        <c:crosses val="autoZero"/>
        <c:auto val="1"/>
        <c:lblAlgn val="ctr"/>
        <c:lblOffset val="100"/>
        <c:noMultiLvlLbl val="0"/>
      </c:catAx>
      <c:valAx>
        <c:axId val="47291392"/>
        <c:scaling>
          <c:orientation val="minMax"/>
          <c:min val="250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,##0_ ;[Red]\-#,##0\ " sourceLinked="1"/>
        <c:majorTickMark val="out"/>
        <c:minorTickMark val="none"/>
        <c:tickLblPos val="nextTo"/>
        <c:crossAx val="47289856"/>
        <c:crosses val="autoZero"/>
        <c:crossBetween val="between"/>
        <c:majorUnit val="2000000"/>
        <c:dispUnits>
          <c:builtInUnit val="millions"/>
        </c:dispUnits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Closing Cash &amp; Cash Equivalents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Charts!$A$74</c:f>
              <c:strCache>
                <c:ptCount val="1"/>
                <c:pt idx="0">
                  <c:v>Sustainable Scenario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Charts!$B$74:$K$74</c:f>
              <c:numCache>
                <c:formatCode>#,##0_ ;[Red]\-#,##0\ </c:formatCode>
                <c:ptCount val="10"/>
                <c:pt idx="0">
                  <c:v>19737226.320483372</c:v>
                </c:pt>
                <c:pt idx="1">
                  <c:v>17582276.586215254</c:v>
                </c:pt>
                <c:pt idx="2">
                  <c:v>16646499.57954637</c:v>
                </c:pt>
                <c:pt idx="3">
                  <c:v>15294615.117019048</c:v>
                </c:pt>
                <c:pt idx="4">
                  <c:v>9526340.7713235207</c:v>
                </c:pt>
                <c:pt idx="5">
                  <c:v>8415801.0251902863</c:v>
                </c:pt>
                <c:pt idx="6">
                  <c:v>4523202.11660612</c:v>
                </c:pt>
                <c:pt idx="7">
                  <c:v>5026173.043099843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Charts!$A$75</c:f>
              <c:strCache>
                <c:ptCount val="1"/>
                <c:pt idx="0">
                  <c:v>Pessimistic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Charts!$B$75:$K$75</c:f>
              <c:numCache>
                <c:formatCode>#,##0_ ;[Red]\-#,##0\ </c:formatCode>
                <c:ptCount val="10"/>
                <c:pt idx="0">
                  <c:v>19737226.320483372</c:v>
                </c:pt>
                <c:pt idx="1">
                  <c:v>17571341.517429471</c:v>
                </c:pt>
                <c:pt idx="2">
                  <c:v>16624422.090394095</c:v>
                </c:pt>
                <c:pt idx="3">
                  <c:v>15261186.963948352</c:v>
                </c:pt>
                <c:pt idx="4">
                  <c:v>9481581.1203704849</c:v>
                </c:pt>
                <c:pt idx="5">
                  <c:v>8359420.2954294868</c:v>
                </c:pt>
                <c:pt idx="6">
                  <c:v>4455084.8369964957</c:v>
                </c:pt>
                <c:pt idx="7">
                  <c:v>4946763.81637327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Charts!$A$76</c:f>
              <c:strCache>
                <c:ptCount val="1"/>
                <c:pt idx="0">
                  <c:v>Optimistic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Charts!$B$76:$K$76</c:f>
              <c:numCache>
                <c:formatCode>#,##0_ ;[Red]\-#,##0\ </c:formatCode>
                <c:ptCount val="10"/>
                <c:pt idx="0">
                  <c:v>19737226.320483372</c:v>
                </c:pt>
                <c:pt idx="1">
                  <c:v>17571341.517429471</c:v>
                </c:pt>
                <c:pt idx="2">
                  <c:v>16624422.090394095</c:v>
                </c:pt>
                <c:pt idx="3">
                  <c:v>15261186.963948352</c:v>
                </c:pt>
                <c:pt idx="4">
                  <c:v>9481581.1203704849</c:v>
                </c:pt>
                <c:pt idx="5">
                  <c:v>8359420.2954294868</c:v>
                </c:pt>
                <c:pt idx="6">
                  <c:v>4455084.8369964957</c:v>
                </c:pt>
                <c:pt idx="7">
                  <c:v>4946763.81637327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55104"/>
        <c:axId val="47856640"/>
      </c:barChart>
      <c:catAx>
        <c:axId val="47855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7856640"/>
        <c:crosses val="autoZero"/>
        <c:auto val="1"/>
        <c:lblAlgn val="ctr"/>
        <c:lblOffset val="100"/>
        <c:noMultiLvlLbl val="0"/>
      </c:catAx>
      <c:valAx>
        <c:axId val="47856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,##0_ ;[Red]\-#,##0\ " sourceLinked="1"/>
        <c:majorTickMark val="out"/>
        <c:minorTickMark val="none"/>
        <c:tickLblPos val="nextTo"/>
        <c:crossAx val="47855104"/>
        <c:crosses val="autoZero"/>
        <c:crossBetween val="between"/>
        <c:dispUnits>
          <c:builtInUnit val="millions"/>
        </c:dispUnits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Asset</a:t>
            </a:r>
            <a:r>
              <a:rPr lang="en-US" baseline="0"/>
              <a:t> Renewal Ratio - Financially Sustainable </a:t>
            </a:r>
            <a:endParaRPr lang="en-US"/>
          </a:p>
        </c:rich>
      </c:tx>
      <c:layout>
        <c:manualLayout>
          <c:xMode val="edge"/>
          <c:yMode val="edge"/>
          <c:x val="0.13677934994967733"/>
          <c:y val="1.265822784810126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Charts!$A$79</c:f>
              <c:strCache>
                <c:ptCount val="1"/>
                <c:pt idx="0">
                  <c:v>Asset Renewal Ratio - Building &amp; Infrastructure</c:v>
                </c:pt>
              </c:strCache>
            </c:strRef>
          </c:tx>
          <c:marker>
            <c:symbol val="none"/>
          </c:marker>
          <c:cat>
            <c:strRef>
              <c:f>Charts!$B$78:$K$78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Charts!$B$79:$K$79</c:f>
              <c:numCache>
                <c:formatCode>0%</c:formatCode>
                <c:ptCount val="10"/>
                <c:pt idx="0">
                  <c:v>0.77277891243800989</c:v>
                </c:pt>
                <c:pt idx="1">
                  <c:v>1.2527068853226928</c:v>
                </c:pt>
                <c:pt idx="2">
                  <c:v>1.0794570236086474</c:v>
                </c:pt>
                <c:pt idx="3">
                  <c:v>1.1766614245343772</c:v>
                </c:pt>
                <c:pt idx="4">
                  <c:v>1.3274333628270467</c:v>
                </c:pt>
                <c:pt idx="5">
                  <c:v>1.4364180570094172</c:v>
                </c:pt>
                <c:pt idx="6">
                  <c:v>0.99068545069247671</c:v>
                </c:pt>
                <c:pt idx="7">
                  <c:v>1.0011686945446798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Charts!$A$80</c:f>
              <c:strCache>
                <c:ptCount val="1"/>
                <c:pt idx="0">
                  <c:v>Asset Renewal Ratio - All Assets</c:v>
                </c:pt>
              </c:strCache>
            </c:strRef>
          </c:tx>
          <c:marker>
            <c:symbol val="none"/>
          </c:marker>
          <c:cat>
            <c:strRef>
              <c:f>Charts!$B$78:$K$78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Charts!$B$80:$K$80</c:f>
              <c:numCache>
                <c:formatCode>0%</c:formatCode>
                <c:ptCount val="10"/>
                <c:pt idx="0">
                  <c:v>0</c:v>
                </c:pt>
                <c:pt idx="1">
                  <c:v>1.2493589417143505</c:v>
                </c:pt>
                <c:pt idx="2">
                  <c:v>1.1058506485163888</c:v>
                </c:pt>
                <c:pt idx="3">
                  <c:v>1.1767347721090675</c:v>
                </c:pt>
                <c:pt idx="4">
                  <c:v>1.2902013354472062</c:v>
                </c:pt>
                <c:pt idx="5">
                  <c:v>1.3707118586147924</c:v>
                </c:pt>
                <c:pt idx="6">
                  <c:v>1.0119464793516675</c:v>
                </c:pt>
                <c:pt idx="7">
                  <c:v>1.0147097678201664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Charts!$A$81</c:f>
              <c:strCache>
                <c:ptCount val="1"/>
                <c:pt idx="0">
                  <c:v>Target</c:v>
                </c:pt>
              </c:strCache>
            </c:strRef>
          </c:tx>
          <c:marker>
            <c:symbol val="none"/>
          </c:marker>
          <c:cat>
            <c:strRef>
              <c:f>Charts!$B$78:$K$78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Charts!$B$81:$K$81</c:f>
              <c:numCache>
                <c:formatCode>0%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6064"/>
        <c:axId val="47897600"/>
      </c:lineChart>
      <c:catAx>
        <c:axId val="47896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2400000" vert="horz" anchor="ctr" anchorCtr="0"/>
          <a:lstStyle/>
          <a:p>
            <a:pPr>
              <a:defRPr/>
            </a:pPr>
            <a:endParaRPr lang="en-US"/>
          </a:p>
        </c:txPr>
        <c:crossAx val="47897600"/>
        <c:crosses val="autoZero"/>
        <c:auto val="1"/>
        <c:lblAlgn val="ctr"/>
        <c:lblOffset val="100"/>
        <c:noMultiLvlLbl val="0"/>
      </c:catAx>
      <c:valAx>
        <c:axId val="478976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7896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Capital</a:t>
            </a:r>
            <a:r>
              <a:rPr lang="en-US" baseline="0"/>
              <a:t> Program - Financially Sustainable</a:t>
            </a:r>
            <a:endParaRPr lang="en-US"/>
          </a:p>
        </c:rich>
      </c:tx>
      <c:layout>
        <c:manualLayout>
          <c:xMode val="edge"/>
          <c:yMode val="edge"/>
          <c:x val="0.14350209038129158"/>
          <c:y val="3.3333322397203942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Charts!$A$84</c:f>
              <c:strCache>
                <c:ptCount val="1"/>
                <c:pt idx="0">
                  <c:v>Renewals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Charts!$B$84:$K$84</c:f>
              <c:numCache>
                <c:formatCode>#,##0_ ;[Red]\-#,##0\ </c:formatCode>
                <c:ptCount val="10"/>
                <c:pt idx="0">
                  <c:v>3938411.2650166294</c:v>
                </c:pt>
                <c:pt idx="1">
                  <c:v>5759979.4982148726</c:v>
                </c:pt>
                <c:pt idx="2">
                  <c:v>5225814.4597329386</c:v>
                </c:pt>
                <c:pt idx="3">
                  <c:v>5699804.3454642072</c:v>
                </c:pt>
                <c:pt idx="4">
                  <c:v>6405643.1982817072</c:v>
                </c:pt>
                <c:pt idx="5">
                  <c:v>6975499.1907281922</c:v>
                </c:pt>
                <c:pt idx="6">
                  <c:v>5278500.0463969782</c:v>
                </c:pt>
                <c:pt idx="7">
                  <c:v>5425237.0975296237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Charts!$A$85</c:f>
              <c:strCache>
                <c:ptCount val="1"/>
                <c:pt idx="0">
                  <c:v>New Assets</c:v>
                </c:pt>
              </c:strCache>
            </c:strRef>
          </c:tx>
          <c:invertIfNegative val="0"/>
          <c:cat>
            <c:strRef>
              <c:f>Charts!$B$2:$K$2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Charts!$B$85:$K$85</c:f>
              <c:numCache>
                <c:formatCode>#,##0_ ;[Red]\-#,##0\ </c:formatCode>
                <c:ptCount val="10"/>
                <c:pt idx="0">
                  <c:v>1448362.4145000002</c:v>
                </c:pt>
                <c:pt idx="1">
                  <c:v>1109058</c:v>
                </c:pt>
                <c:pt idx="2">
                  <c:v>744478.5</c:v>
                </c:pt>
                <c:pt idx="3">
                  <c:v>930616.21</c:v>
                </c:pt>
                <c:pt idx="4">
                  <c:v>5152624.0920000002</c:v>
                </c:pt>
                <c:pt idx="5">
                  <c:v>13261</c:v>
                </c:pt>
                <c:pt idx="6">
                  <c:v>4365946.2</c:v>
                </c:pt>
                <c:pt idx="7">
                  <c:v>50542.82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992832"/>
        <c:axId val="47994368"/>
      </c:barChart>
      <c:catAx>
        <c:axId val="47992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47994368"/>
        <c:crosses val="autoZero"/>
        <c:auto val="1"/>
        <c:lblAlgn val="ctr"/>
        <c:lblOffset val="100"/>
        <c:noMultiLvlLbl val="0"/>
      </c:catAx>
      <c:valAx>
        <c:axId val="47994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,##0_ ;[Red]\-#,##0\ " sourceLinked="1"/>
        <c:majorTickMark val="out"/>
        <c:minorTickMark val="none"/>
        <c:tickLblPos val="nextTo"/>
        <c:crossAx val="47992832"/>
        <c:crosses val="autoZero"/>
        <c:crossBetween val="between"/>
        <c:dispUnits>
          <c:builtInUnit val="millions"/>
        </c:dispUnits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Operating Expenditure per Capita - Scenario 1</a:t>
            </a:r>
            <a:endParaRPr lang="en-NZ">
              <a:effectLst/>
            </a:endParaRP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'Muswellbrook FFF Ratios'!$D$242:$O$242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xVal>
          <c:yVal>
            <c:numRef>
              <c:f>'Muswellbrook FFF Ratios'!$D$255:$O$255</c:f>
              <c:numCache>
                <c:formatCode>_-"$"* #,##0_-;\-"$"* #,##0_-;_-"$"* "-"??_-;_-@_-</c:formatCode>
                <c:ptCount val="12"/>
                <c:pt idx="0">
                  <c:v>1948.3505592524425</c:v>
                </c:pt>
                <c:pt idx="1">
                  <c:v>2093.0326906360388</c:v>
                </c:pt>
                <c:pt idx="2">
                  <c:v>2032.6667745911852</c:v>
                </c:pt>
                <c:pt idx="3">
                  <c:v>2021.5595042229556</c:v>
                </c:pt>
                <c:pt idx="4">
                  <c:v>2004.3045718564874</c:v>
                </c:pt>
                <c:pt idx="5">
                  <c:v>1999.96379708564</c:v>
                </c:pt>
                <c:pt idx="6">
                  <c:v>1978.5851857434325</c:v>
                </c:pt>
                <c:pt idx="7">
                  <c:v>1957.4985528890484</c:v>
                </c:pt>
                <c:pt idx="8">
                  <c:v>1937.2164338665013</c:v>
                </c:pt>
                <c:pt idx="9">
                  <c:v>1917.3781726862455</c:v>
                </c:pt>
                <c:pt idx="10">
                  <c:v>1900.3046476239467</c:v>
                </c:pt>
                <c:pt idx="11">
                  <c:v>1880.975396063626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69440"/>
        <c:axId val="169471360"/>
      </c:scatterChart>
      <c:valAx>
        <c:axId val="169469440"/>
        <c:scaling>
          <c:orientation val="minMax"/>
          <c:max val="2026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Year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9471360"/>
        <c:crosses val="autoZero"/>
        <c:crossBetween val="midCat"/>
      </c:valAx>
      <c:valAx>
        <c:axId val="169471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NZ" sz="1000" b="1" i="0" baseline="0">
                    <a:effectLst/>
                  </a:rPr>
                  <a:t>Expentditure / Capita</a:t>
                </a:r>
                <a:endParaRPr lang="en-NZ" sz="400">
                  <a:effectLst/>
                </a:endParaRP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1694694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Operating Performance Ratio - Scenario 2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'Muswellbrook FFF Ratios'!$D$242:$O$242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xVal>
          <c:yVal>
            <c:numRef>
              <c:f>'Muswellbrook FFF Ratios'!$D$248:$O$248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-1.2625051997187818E-2</c:v>
                </c:pt>
                <c:pt idx="3">
                  <c:v>1.0398161787175448E-2</c:v>
                </c:pt>
                <c:pt idx="4">
                  <c:v>1.619835660923372E-2</c:v>
                </c:pt>
                <c:pt idx="5">
                  <c:v>1.5410001324382134E-2</c:v>
                </c:pt>
                <c:pt idx="6">
                  <c:v>1.2804372610127093E-2</c:v>
                </c:pt>
                <c:pt idx="7">
                  <c:v>8.6574295475843523E-3</c:v>
                </c:pt>
                <c:pt idx="8">
                  <c:v>5.8029353808200148E-3</c:v>
                </c:pt>
                <c:pt idx="9">
                  <c:v>5.2667481604024239E-3</c:v>
                </c:pt>
                <c:pt idx="10">
                  <c:v>4.6755603805826934E-3</c:v>
                </c:pt>
                <c:pt idx="11">
                  <c:v>4.0890819868293496E-3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49056"/>
        <c:axId val="168359424"/>
      </c:scatterChart>
      <c:valAx>
        <c:axId val="168349056"/>
        <c:scaling>
          <c:orientation val="minMax"/>
          <c:max val="2026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Year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8359424"/>
        <c:crosses val="autoZero"/>
        <c:crossBetween val="midCat"/>
      </c:valAx>
      <c:valAx>
        <c:axId val="16835942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1683490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NZ"/>
              <a:t>Own Source Revenue - Scenario 2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'Muswellbrook FFF Ratios'!$D$242:$O$242</c:f>
              <c:numCache>
                <c:formatCode>General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</c:numCache>
            </c:numRef>
          </c:xVal>
          <c:yVal>
            <c:numRef>
              <c:f>'Muswellbrook FFF Ratios'!$D$249:$O$249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0.74135751938037875</c:v>
                </c:pt>
                <c:pt idx="3">
                  <c:v>0.78330332890749022</c:v>
                </c:pt>
                <c:pt idx="4">
                  <c:v>0.78628367390414611</c:v>
                </c:pt>
                <c:pt idx="5">
                  <c:v>0.78803446532289201</c:v>
                </c:pt>
                <c:pt idx="6">
                  <c:v>0.78853136528569923</c:v>
                </c:pt>
                <c:pt idx="7">
                  <c:v>0.78803930046675852</c:v>
                </c:pt>
                <c:pt idx="8">
                  <c:v>0.78710505630802108</c:v>
                </c:pt>
                <c:pt idx="9">
                  <c:v>0.78665215828739066</c:v>
                </c:pt>
                <c:pt idx="10">
                  <c:v>0.78621696552033993</c:v>
                </c:pt>
                <c:pt idx="11">
                  <c:v>0.78579431389126453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01440"/>
        <c:axId val="169503360"/>
      </c:scatterChart>
      <c:valAx>
        <c:axId val="169501440"/>
        <c:scaling>
          <c:orientation val="minMax"/>
          <c:max val="2030"/>
          <c:min val="201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Year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9503360"/>
        <c:crosses val="autoZero"/>
        <c:crossBetween val="midCat"/>
      </c:valAx>
      <c:valAx>
        <c:axId val="16950336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1695014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CheckBox" checked="Checked" fmlaLink="$D$7" lockText="1" noThreeD="1"/>
</file>

<file path=xl/ctrlProps/ctrlProp2.xml><?xml version="1.0" encoding="utf-8"?>
<formControlPr xmlns="http://schemas.microsoft.com/office/spreadsheetml/2009/9/main" objectType="CheckBox" fmlaLink="$E$7" lockText="1" noThreeD="1"/>
</file>

<file path=xl/ctrlProps/ctrlProp3.xml><?xml version="1.0" encoding="utf-8"?>
<formControlPr xmlns="http://schemas.microsoft.com/office/spreadsheetml/2009/9/main" objectType="CheckBox" checked="Checked" fmlaLink="$D$12" lockText="1" noThreeD="1"/>
</file>

<file path=xl/ctrlProps/ctrlProp4.xml><?xml version="1.0" encoding="utf-8"?>
<formControlPr xmlns="http://schemas.microsoft.com/office/spreadsheetml/2009/9/main" objectType="CheckBox" checked="Checked" fmlaLink="$D$8" lockText="1" noThreeD="1"/>
</file>

<file path=xl/ctrlProps/ctrlProp5.xml><?xml version="1.0" encoding="utf-8"?>
<formControlPr xmlns="http://schemas.microsoft.com/office/spreadsheetml/2009/9/main" objectType="CheckBox" fmlaLink="$E$8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5.xml"/><Relationship Id="rId3" Type="http://schemas.openxmlformats.org/officeDocument/2006/relationships/chart" Target="../charts/chart2.xml"/><Relationship Id="rId21" Type="http://schemas.openxmlformats.org/officeDocument/2006/relationships/chart" Target="../charts/chart18.xml"/><Relationship Id="rId7" Type="http://schemas.openxmlformats.org/officeDocument/2006/relationships/chart" Target="../charts/chart6.xml"/><Relationship Id="rId12" Type="http://schemas.openxmlformats.org/officeDocument/2006/relationships/chart" Target="../charts/chart10.xml"/><Relationship Id="rId17" Type="http://schemas.openxmlformats.org/officeDocument/2006/relationships/image" Target="../media/image3.png"/><Relationship Id="rId2" Type="http://schemas.openxmlformats.org/officeDocument/2006/relationships/chart" Target="../charts/chart1.xml"/><Relationship Id="rId16" Type="http://schemas.openxmlformats.org/officeDocument/2006/relationships/chart" Target="../charts/chart14.xml"/><Relationship Id="rId20" Type="http://schemas.openxmlformats.org/officeDocument/2006/relationships/chart" Target="../charts/chart17.xml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11" Type="http://schemas.openxmlformats.org/officeDocument/2006/relationships/chart" Target="../charts/chart9.xml"/><Relationship Id="rId24" Type="http://schemas.openxmlformats.org/officeDocument/2006/relationships/chart" Target="../charts/chart21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0.xml"/><Relationship Id="rId10" Type="http://schemas.openxmlformats.org/officeDocument/2006/relationships/chart" Target="../charts/chart8.xml"/><Relationship Id="rId19" Type="http://schemas.openxmlformats.org/officeDocument/2006/relationships/chart" Target="../charts/chart16.xml"/><Relationship Id="rId4" Type="http://schemas.openxmlformats.org/officeDocument/2006/relationships/chart" Target="../charts/chart3.xml"/><Relationship Id="rId9" Type="http://schemas.openxmlformats.org/officeDocument/2006/relationships/image" Target="../media/image2.png"/><Relationship Id="rId14" Type="http://schemas.openxmlformats.org/officeDocument/2006/relationships/chart" Target="../charts/chart12.xml"/><Relationship Id="rId22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3" Type="http://schemas.openxmlformats.org/officeDocument/2006/relationships/chart" Target="../charts/chart24.xml"/><Relationship Id="rId21" Type="http://schemas.openxmlformats.org/officeDocument/2006/relationships/chart" Target="../charts/chart42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5" Type="http://schemas.openxmlformats.org/officeDocument/2006/relationships/chart" Target="../charts/chart46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20" Type="http://schemas.openxmlformats.org/officeDocument/2006/relationships/chart" Target="../charts/chart41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24" Type="http://schemas.openxmlformats.org/officeDocument/2006/relationships/chart" Target="../charts/chart45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23" Type="http://schemas.openxmlformats.org/officeDocument/2006/relationships/chart" Target="../charts/chart44.xml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Relationship Id="rId22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13" Type="http://schemas.openxmlformats.org/officeDocument/2006/relationships/chart" Target="../charts/chart65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12" Type="http://schemas.openxmlformats.org/officeDocument/2006/relationships/chart" Target="../charts/chart64.xml"/><Relationship Id="rId2" Type="http://schemas.openxmlformats.org/officeDocument/2006/relationships/chart" Target="../charts/chart54.xml"/><Relationship Id="rId16" Type="http://schemas.openxmlformats.org/officeDocument/2006/relationships/chart" Target="../charts/chart68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11" Type="http://schemas.openxmlformats.org/officeDocument/2006/relationships/chart" Target="../charts/chart63.xml"/><Relationship Id="rId5" Type="http://schemas.openxmlformats.org/officeDocument/2006/relationships/chart" Target="../charts/chart57.xml"/><Relationship Id="rId15" Type="http://schemas.openxmlformats.org/officeDocument/2006/relationships/chart" Target="../charts/chart67.xml"/><Relationship Id="rId10" Type="http://schemas.openxmlformats.org/officeDocument/2006/relationships/chart" Target="../charts/chart62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Relationship Id="rId14" Type="http://schemas.openxmlformats.org/officeDocument/2006/relationships/chart" Target="../charts/chart6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2171701</xdr:colOff>
      <xdr:row>241</xdr:row>
      <xdr:rowOff>119064</xdr:rowOff>
    </xdr:from>
    <xdr:to>
      <xdr:col>1</xdr:col>
      <xdr:colOff>5095293</xdr:colOff>
      <xdr:row>245</xdr:row>
      <xdr:rowOff>107157</xdr:rowOff>
    </xdr:to>
    <xdr:pic>
      <xdr:nvPicPr>
        <xdr:cNvPr id="2" name="Picture 2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1" y="34199514"/>
          <a:ext cx="1161467" cy="759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214313</xdr:colOff>
      <xdr:row>263</xdr:row>
      <xdr:rowOff>78441</xdr:rowOff>
    </xdr:from>
    <xdr:to>
      <xdr:col>15</xdr:col>
      <xdr:colOff>9246</xdr:colOff>
      <xdr:row>279</xdr:row>
      <xdr:rowOff>87406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225519</xdr:colOff>
      <xdr:row>281</xdr:row>
      <xdr:rowOff>22410</xdr:rowOff>
    </xdr:from>
    <xdr:to>
      <xdr:col>15</xdr:col>
      <xdr:colOff>98893</xdr:colOff>
      <xdr:row>296</xdr:row>
      <xdr:rowOff>8964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739589</xdr:colOff>
      <xdr:row>263</xdr:row>
      <xdr:rowOff>123265</xdr:rowOff>
    </xdr:from>
    <xdr:to>
      <xdr:col>8</xdr:col>
      <xdr:colOff>661147</xdr:colOff>
      <xdr:row>278</xdr:row>
      <xdr:rowOff>143435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160245</xdr:colOff>
      <xdr:row>263</xdr:row>
      <xdr:rowOff>89647</xdr:rowOff>
    </xdr:from>
    <xdr:to>
      <xdr:col>3</xdr:col>
      <xdr:colOff>0</xdr:colOff>
      <xdr:row>278</xdr:row>
      <xdr:rowOff>21291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209550</xdr:colOff>
      <xdr:row>281</xdr:row>
      <xdr:rowOff>44824</xdr:rowOff>
    </xdr:from>
    <xdr:to>
      <xdr:col>3</xdr:col>
      <xdr:colOff>67235</xdr:colOff>
      <xdr:row>295</xdr:row>
      <xdr:rowOff>127747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22411</xdr:colOff>
      <xdr:row>281</xdr:row>
      <xdr:rowOff>112059</xdr:rowOff>
    </xdr:from>
    <xdr:to>
      <xdr:col>8</xdr:col>
      <xdr:colOff>739589</xdr:colOff>
      <xdr:row>295</xdr:row>
      <xdr:rowOff>159123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140353</xdr:colOff>
      <xdr:row>298</xdr:row>
      <xdr:rowOff>136151</xdr:rowOff>
    </xdr:from>
    <xdr:to>
      <xdr:col>3</xdr:col>
      <xdr:colOff>784412</xdr:colOff>
      <xdr:row>315</xdr:row>
      <xdr:rowOff>56030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84667</xdr:colOff>
      <xdr:row>0</xdr:row>
      <xdr:rowOff>0</xdr:rowOff>
    </xdr:from>
    <xdr:to>
      <xdr:col>11</xdr:col>
      <xdr:colOff>803640</xdr:colOff>
      <xdr:row>3</xdr:row>
      <xdr:rowOff>158750</xdr:rowOff>
    </xdr:to>
    <xdr:pic>
      <xdr:nvPicPr>
        <xdr:cNvPr id="11" name="Picture 10" descr="MorrisonLow-log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2892" y="0"/>
          <a:ext cx="718973" cy="76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84667</xdr:colOff>
      <xdr:row>0</xdr:row>
      <xdr:rowOff>0</xdr:rowOff>
    </xdr:from>
    <xdr:to>
      <xdr:col>11</xdr:col>
      <xdr:colOff>803640</xdr:colOff>
      <xdr:row>3</xdr:row>
      <xdr:rowOff>158750</xdr:rowOff>
    </xdr:to>
    <xdr:pic>
      <xdr:nvPicPr>
        <xdr:cNvPr id="13" name="Picture 12" descr="MorrisonLow-log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2892" y="0"/>
          <a:ext cx="718973" cy="76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2171701</xdr:colOff>
      <xdr:row>560</xdr:row>
      <xdr:rowOff>119064</xdr:rowOff>
    </xdr:from>
    <xdr:to>
      <xdr:col>1</xdr:col>
      <xdr:colOff>5095293</xdr:colOff>
      <xdr:row>564</xdr:row>
      <xdr:rowOff>107157</xdr:rowOff>
    </xdr:to>
    <xdr:pic>
      <xdr:nvPicPr>
        <xdr:cNvPr id="12" name="Picture 2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6672" y="34061682"/>
          <a:ext cx="1161467" cy="761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214313</xdr:colOff>
      <xdr:row>582</xdr:row>
      <xdr:rowOff>78441</xdr:rowOff>
    </xdr:from>
    <xdr:to>
      <xdr:col>15</xdr:col>
      <xdr:colOff>9246</xdr:colOff>
      <xdr:row>598</xdr:row>
      <xdr:rowOff>87406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225519</xdr:colOff>
      <xdr:row>600</xdr:row>
      <xdr:rowOff>22410</xdr:rowOff>
    </xdr:from>
    <xdr:to>
      <xdr:col>15</xdr:col>
      <xdr:colOff>98893</xdr:colOff>
      <xdr:row>615</xdr:row>
      <xdr:rowOff>8964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739589</xdr:colOff>
      <xdr:row>582</xdr:row>
      <xdr:rowOff>123265</xdr:rowOff>
    </xdr:from>
    <xdr:to>
      <xdr:col>8</xdr:col>
      <xdr:colOff>661147</xdr:colOff>
      <xdr:row>597</xdr:row>
      <xdr:rowOff>143435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160245</xdr:colOff>
      <xdr:row>582</xdr:row>
      <xdr:rowOff>89647</xdr:rowOff>
    </xdr:from>
    <xdr:to>
      <xdr:col>3</xdr:col>
      <xdr:colOff>0</xdr:colOff>
      <xdr:row>597</xdr:row>
      <xdr:rowOff>21291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209550</xdr:colOff>
      <xdr:row>600</xdr:row>
      <xdr:rowOff>44824</xdr:rowOff>
    </xdr:from>
    <xdr:to>
      <xdr:col>3</xdr:col>
      <xdr:colOff>67235</xdr:colOff>
      <xdr:row>614</xdr:row>
      <xdr:rowOff>127747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22411</xdr:colOff>
      <xdr:row>600</xdr:row>
      <xdr:rowOff>112059</xdr:rowOff>
    </xdr:from>
    <xdr:to>
      <xdr:col>8</xdr:col>
      <xdr:colOff>739589</xdr:colOff>
      <xdr:row>614</xdr:row>
      <xdr:rowOff>159123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140353</xdr:colOff>
      <xdr:row>617</xdr:row>
      <xdr:rowOff>136151</xdr:rowOff>
    </xdr:from>
    <xdr:to>
      <xdr:col>3</xdr:col>
      <xdr:colOff>784412</xdr:colOff>
      <xdr:row>634</xdr:row>
      <xdr:rowOff>56030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84667</xdr:colOff>
      <xdr:row>319</xdr:row>
      <xdr:rowOff>0</xdr:rowOff>
    </xdr:from>
    <xdr:to>
      <xdr:col>11</xdr:col>
      <xdr:colOff>803640</xdr:colOff>
      <xdr:row>322</xdr:row>
      <xdr:rowOff>158750</xdr:rowOff>
    </xdr:to>
    <xdr:pic>
      <xdr:nvPicPr>
        <xdr:cNvPr id="21" name="Picture 20" descr="MorrisonLow-log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2108" y="0"/>
          <a:ext cx="718973" cy="775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84667</xdr:colOff>
      <xdr:row>319</xdr:row>
      <xdr:rowOff>0</xdr:rowOff>
    </xdr:from>
    <xdr:to>
      <xdr:col>11</xdr:col>
      <xdr:colOff>803640</xdr:colOff>
      <xdr:row>322</xdr:row>
      <xdr:rowOff>158750</xdr:rowOff>
    </xdr:to>
    <xdr:pic>
      <xdr:nvPicPr>
        <xdr:cNvPr id="22" name="Picture 21" descr="MorrisonLow-log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2108" y="0"/>
          <a:ext cx="718973" cy="775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2171701</xdr:colOff>
      <xdr:row>880</xdr:row>
      <xdr:rowOff>119064</xdr:rowOff>
    </xdr:from>
    <xdr:to>
      <xdr:col>1</xdr:col>
      <xdr:colOff>5095293</xdr:colOff>
      <xdr:row>884</xdr:row>
      <xdr:rowOff>107157</xdr:rowOff>
    </xdr:to>
    <xdr:pic>
      <xdr:nvPicPr>
        <xdr:cNvPr id="23" name="Picture 2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6672" y="83210682"/>
          <a:ext cx="1161467" cy="761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214313</xdr:colOff>
      <xdr:row>902</xdr:row>
      <xdr:rowOff>78441</xdr:rowOff>
    </xdr:from>
    <xdr:to>
      <xdr:col>15</xdr:col>
      <xdr:colOff>9246</xdr:colOff>
      <xdr:row>918</xdr:row>
      <xdr:rowOff>87406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225519</xdr:colOff>
      <xdr:row>920</xdr:row>
      <xdr:rowOff>22410</xdr:rowOff>
    </xdr:from>
    <xdr:to>
      <xdr:col>15</xdr:col>
      <xdr:colOff>98893</xdr:colOff>
      <xdr:row>935</xdr:row>
      <xdr:rowOff>8964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739589</xdr:colOff>
      <xdr:row>902</xdr:row>
      <xdr:rowOff>123265</xdr:rowOff>
    </xdr:from>
    <xdr:to>
      <xdr:col>8</xdr:col>
      <xdr:colOff>661147</xdr:colOff>
      <xdr:row>917</xdr:row>
      <xdr:rowOff>143435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160245</xdr:colOff>
      <xdr:row>902</xdr:row>
      <xdr:rowOff>89647</xdr:rowOff>
    </xdr:from>
    <xdr:to>
      <xdr:col>3</xdr:col>
      <xdr:colOff>0</xdr:colOff>
      <xdr:row>917</xdr:row>
      <xdr:rowOff>21291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209550</xdr:colOff>
      <xdr:row>920</xdr:row>
      <xdr:rowOff>44824</xdr:rowOff>
    </xdr:from>
    <xdr:to>
      <xdr:col>3</xdr:col>
      <xdr:colOff>67235</xdr:colOff>
      <xdr:row>934</xdr:row>
      <xdr:rowOff>127747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22411</xdr:colOff>
      <xdr:row>920</xdr:row>
      <xdr:rowOff>112059</xdr:rowOff>
    </xdr:from>
    <xdr:to>
      <xdr:col>8</xdr:col>
      <xdr:colOff>739589</xdr:colOff>
      <xdr:row>934</xdr:row>
      <xdr:rowOff>159123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140353</xdr:colOff>
      <xdr:row>937</xdr:row>
      <xdr:rowOff>136151</xdr:rowOff>
    </xdr:from>
    <xdr:to>
      <xdr:col>3</xdr:col>
      <xdr:colOff>784412</xdr:colOff>
      <xdr:row>954</xdr:row>
      <xdr:rowOff>56030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84667</xdr:colOff>
      <xdr:row>639</xdr:row>
      <xdr:rowOff>0</xdr:rowOff>
    </xdr:from>
    <xdr:to>
      <xdr:col>11</xdr:col>
      <xdr:colOff>803640</xdr:colOff>
      <xdr:row>642</xdr:row>
      <xdr:rowOff>158750</xdr:rowOff>
    </xdr:to>
    <xdr:pic>
      <xdr:nvPicPr>
        <xdr:cNvPr id="31" name="Picture 30" descr="MorrisonLow-log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2108" y="49059353"/>
          <a:ext cx="718973" cy="775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84667</xdr:colOff>
      <xdr:row>639</xdr:row>
      <xdr:rowOff>0</xdr:rowOff>
    </xdr:from>
    <xdr:to>
      <xdr:col>11</xdr:col>
      <xdr:colOff>803640</xdr:colOff>
      <xdr:row>642</xdr:row>
      <xdr:rowOff>158750</xdr:rowOff>
    </xdr:to>
    <xdr:pic>
      <xdr:nvPicPr>
        <xdr:cNvPr id="32" name="Picture 31" descr="MorrisonLow-log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2108" y="49059353"/>
          <a:ext cx="718973" cy="775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5</xdr:row>
      <xdr:rowOff>127000</xdr:rowOff>
    </xdr:from>
    <xdr:to>
      <xdr:col>3</xdr:col>
      <xdr:colOff>774700</xdr:colOff>
      <xdr:row>89</xdr:row>
      <xdr:rowOff>114300</xdr:rowOff>
    </xdr:to>
    <xdr:sp macro="" textlink="">
      <xdr:nvSpPr>
        <xdr:cNvPr id="2" name="Check Box 1" hidden="1">
          <a:extLst>
            <a:ext uri="{63B3BB69-23CF-44E3-9099-C40C66FF867C}">
              <a14:compatExt xmlns:a14="http://schemas.microsoft.com/office/drawing/2010/main" spid="_x0000_s56321"/>
            </a:ext>
          </a:extLst>
        </xdr:cNvPr>
        <xdr:cNvSpPr/>
      </xdr:nvSpPr>
      <xdr:spPr>
        <a:xfrm>
          <a:off x="6067425" y="1184275"/>
          <a:ext cx="279400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482600</xdr:colOff>
      <xdr:row>5</xdr:row>
      <xdr:rowOff>127000</xdr:rowOff>
    </xdr:from>
    <xdr:to>
      <xdr:col>4</xdr:col>
      <xdr:colOff>762000</xdr:colOff>
      <xdr:row>89</xdr:row>
      <xdr:rowOff>114300</xdr:rowOff>
    </xdr:to>
    <xdr:sp macro="" textlink="">
      <xdr:nvSpPr>
        <xdr:cNvPr id="3" name="Check Box 2" hidden="1">
          <a:extLst>
            <a:ext uri="{63B3BB69-23CF-44E3-9099-C40C66FF867C}">
              <a14:compatExt xmlns:a14="http://schemas.microsoft.com/office/drawing/2010/main" spid="_x0000_s56322"/>
            </a:ext>
          </a:extLst>
        </xdr:cNvPr>
        <xdr:cNvSpPr/>
      </xdr:nvSpPr>
      <xdr:spPr>
        <a:xfrm>
          <a:off x="7207250" y="1184275"/>
          <a:ext cx="279400" cy="304800"/>
        </a:xfrm>
        <a:prstGeom prst="rect">
          <a:avLst/>
        </a:prstGeom>
      </xdr:spPr>
    </xdr:sp>
    <xdr:clientData/>
  </xdr:twoCellAnchor>
  <xdr:twoCellAnchor editAs="oneCell">
    <xdr:from>
      <xdr:col>3</xdr:col>
      <xdr:colOff>495300</xdr:colOff>
      <xdr:row>10</xdr:row>
      <xdr:rowOff>114300</xdr:rowOff>
    </xdr:from>
    <xdr:to>
      <xdr:col>3</xdr:col>
      <xdr:colOff>774700</xdr:colOff>
      <xdr:row>89</xdr:row>
      <xdr:rowOff>108101</xdr:rowOff>
    </xdr:to>
    <xdr:sp macro="" textlink="">
      <xdr:nvSpPr>
        <xdr:cNvPr id="4" name="Check Box 3" hidden="1">
          <a:extLst>
            <a:ext uri="{63B3BB69-23CF-44E3-9099-C40C66FF867C}">
              <a14:compatExt xmlns:a14="http://schemas.microsoft.com/office/drawing/2010/main" spid="_x0000_s56323"/>
            </a:ext>
          </a:extLst>
        </xdr:cNvPr>
        <xdr:cNvSpPr/>
      </xdr:nvSpPr>
      <xdr:spPr>
        <a:xfrm>
          <a:off x="6067425" y="2162175"/>
          <a:ext cx="279400" cy="298601"/>
        </a:xfrm>
        <a:prstGeom prst="rect">
          <a:avLst/>
        </a:prstGeom>
      </xdr:spPr>
    </xdr:sp>
    <xdr:clientData/>
  </xdr:twoCellAnchor>
  <xdr:twoCellAnchor editAs="oneCell">
    <xdr:from>
      <xdr:col>4</xdr:col>
      <xdr:colOff>457200</xdr:colOff>
      <xdr:row>10</xdr:row>
      <xdr:rowOff>127000</xdr:rowOff>
    </xdr:from>
    <xdr:to>
      <xdr:col>4</xdr:col>
      <xdr:colOff>736600</xdr:colOff>
      <xdr:row>89</xdr:row>
      <xdr:rowOff>95401</xdr:rowOff>
    </xdr:to>
    <xdr:sp macro="" textlink="">
      <xdr:nvSpPr>
        <xdr:cNvPr id="5" name="Check Box 4" hidden="1">
          <a:extLst>
            <a:ext uri="{63B3BB69-23CF-44E3-9099-C40C66FF867C}">
              <a14:compatExt xmlns:a14="http://schemas.microsoft.com/office/drawing/2010/main" spid="_x0000_s56324"/>
            </a:ext>
          </a:extLst>
        </xdr:cNvPr>
        <xdr:cNvSpPr/>
      </xdr:nvSpPr>
      <xdr:spPr>
        <a:xfrm>
          <a:off x="7181850" y="2174875"/>
          <a:ext cx="279400" cy="285901"/>
        </a:xfrm>
        <a:prstGeom prst="rect">
          <a:avLst/>
        </a:prstGeom>
      </xdr:spPr>
    </xdr:sp>
    <xdr:clientData/>
  </xdr:twoCellAnchor>
  <xdr:twoCellAnchor editAs="oneCell">
    <xdr:from>
      <xdr:col>3</xdr:col>
      <xdr:colOff>495300</xdr:colOff>
      <xdr:row>6</xdr:row>
      <xdr:rowOff>139700</xdr:rowOff>
    </xdr:from>
    <xdr:to>
      <xdr:col>3</xdr:col>
      <xdr:colOff>774700</xdr:colOff>
      <xdr:row>89</xdr:row>
      <xdr:rowOff>125846</xdr:rowOff>
    </xdr:to>
    <xdr:sp macro="" textlink="">
      <xdr:nvSpPr>
        <xdr:cNvPr id="6" name="Check Box 5" hidden="1">
          <a:extLst>
            <a:ext uri="{63B3BB69-23CF-44E3-9099-C40C66FF867C}">
              <a14:compatExt xmlns:a14="http://schemas.microsoft.com/office/drawing/2010/main" spid="_x0000_s56325"/>
            </a:ext>
          </a:extLst>
        </xdr:cNvPr>
        <xdr:cNvSpPr/>
      </xdr:nvSpPr>
      <xdr:spPr>
        <a:xfrm>
          <a:off x="6067425" y="1387475"/>
          <a:ext cx="279400" cy="316346"/>
        </a:xfrm>
        <a:prstGeom prst="rect">
          <a:avLst/>
        </a:prstGeom>
      </xdr:spPr>
    </xdr:sp>
    <xdr:clientData/>
  </xdr:twoCellAnchor>
  <xdr:twoCellAnchor editAs="oneCell">
    <xdr:from>
      <xdr:col>4</xdr:col>
      <xdr:colOff>482600</xdr:colOff>
      <xdr:row>6</xdr:row>
      <xdr:rowOff>127000</xdr:rowOff>
    </xdr:from>
    <xdr:to>
      <xdr:col>4</xdr:col>
      <xdr:colOff>762000</xdr:colOff>
      <xdr:row>89</xdr:row>
      <xdr:rowOff>125846</xdr:rowOff>
    </xdr:to>
    <xdr:sp macro="" textlink="">
      <xdr:nvSpPr>
        <xdr:cNvPr id="7" name="Check Box 6" hidden="1">
          <a:extLst>
            <a:ext uri="{63B3BB69-23CF-44E3-9099-C40C66FF867C}">
              <a14:compatExt xmlns:a14="http://schemas.microsoft.com/office/drawing/2010/main" spid="_x0000_s56326"/>
            </a:ext>
          </a:extLst>
        </xdr:cNvPr>
        <xdr:cNvSpPr/>
      </xdr:nvSpPr>
      <xdr:spPr>
        <a:xfrm>
          <a:off x="7207250" y="1374775"/>
          <a:ext cx="279400" cy="316346"/>
        </a:xfrm>
        <a:prstGeom prst="rect">
          <a:avLst/>
        </a:prstGeom>
      </xdr:spPr>
    </xdr:sp>
    <xdr:clientData/>
  </xdr:twoCellAnchor>
  <xdr:twoCellAnchor>
    <xdr:from>
      <xdr:col>1</xdr:col>
      <xdr:colOff>0</xdr:colOff>
      <xdr:row>15</xdr:row>
      <xdr:rowOff>33130</xdr:rowOff>
    </xdr:from>
    <xdr:to>
      <xdr:col>4</xdr:col>
      <xdr:colOff>1062587</xdr:colOff>
      <xdr:row>37</xdr:row>
      <xdr:rowOff>162130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126928</xdr:colOff>
      <xdr:row>15</xdr:row>
      <xdr:rowOff>53837</xdr:rowOff>
    </xdr:from>
    <xdr:to>
      <xdr:col>12</xdr:col>
      <xdr:colOff>13385</xdr:colOff>
      <xdr:row>37</xdr:row>
      <xdr:rowOff>182837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31302</xdr:colOff>
      <xdr:row>40</xdr:row>
      <xdr:rowOff>124397</xdr:rowOff>
    </xdr:from>
    <xdr:to>
      <xdr:col>4</xdr:col>
      <xdr:colOff>1093889</xdr:colOff>
      <xdr:row>63</xdr:row>
      <xdr:rowOff>62897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75558</xdr:colOff>
      <xdr:row>40</xdr:row>
      <xdr:rowOff>185869</xdr:rowOff>
    </xdr:from>
    <xdr:to>
      <xdr:col>11</xdr:col>
      <xdr:colOff>740580</xdr:colOff>
      <xdr:row>63</xdr:row>
      <xdr:rowOff>124369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14793</xdr:colOff>
      <xdr:row>41</xdr:row>
      <xdr:rowOff>4481</xdr:rowOff>
    </xdr:from>
    <xdr:to>
      <xdr:col>25</xdr:col>
      <xdr:colOff>158010</xdr:colOff>
      <xdr:row>63</xdr:row>
      <xdr:rowOff>133481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509107</xdr:colOff>
      <xdr:row>15</xdr:row>
      <xdr:rowOff>85587</xdr:rowOff>
    </xdr:from>
    <xdr:to>
      <xdr:col>25</xdr:col>
      <xdr:colOff>64259</xdr:colOff>
      <xdr:row>38</xdr:row>
      <xdr:rowOff>24087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56923</xdr:colOff>
      <xdr:row>64</xdr:row>
      <xdr:rowOff>51886</xdr:rowOff>
    </xdr:from>
    <xdr:to>
      <xdr:col>4</xdr:col>
      <xdr:colOff>1119510</xdr:colOff>
      <xdr:row>86</xdr:row>
      <xdr:rowOff>180886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373380</xdr:colOff>
          <xdr:row>4</xdr:row>
          <xdr:rowOff>0</xdr:rowOff>
        </xdr:from>
        <xdr:to>
          <xdr:col>3</xdr:col>
          <xdr:colOff>579120</xdr:colOff>
          <xdr:row>89</xdr:row>
          <xdr:rowOff>121920</xdr:rowOff>
        </xdr:to>
        <xdr:sp macro="" textlink="">
          <xdr:nvSpPr>
            <xdr:cNvPr id="32769" name="Check Box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373380</xdr:colOff>
          <xdr:row>4</xdr:row>
          <xdr:rowOff>0</xdr:rowOff>
        </xdr:from>
        <xdr:to>
          <xdr:col>4</xdr:col>
          <xdr:colOff>571500</xdr:colOff>
          <xdr:row>89</xdr:row>
          <xdr:rowOff>121920</xdr:rowOff>
        </xdr:to>
        <xdr:sp macro="" textlink="">
          <xdr:nvSpPr>
            <xdr:cNvPr id="32770" name="Check Box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502920</xdr:colOff>
          <xdr:row>4</xdr:row>
          <xdr:rowOff>0</xdr:rowOff>
        </xdr:from>
        <xdr:to>
          <xdr:col>3</xdr:col>
          <xdr:colOff>670560</xdr:colOff>
          <xdr:row>89</xdr:row>
          <xdr:rowOff>22860</xdr:rowOff>
        </xdr:to>
        <xdr:sp macro="" textlink="">
          <xdr:nvSpPr>
            <xdr:cNvPr id="32771" name="Check Box 3" hidden="1">
              <a:extLst>
                <a:ext uri="{63B3BB69-23CF-44E3-9099-C40C66FF867C}">
                  <a14:compatExt spid="_x0000_s3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373380</xdr:colOff>
          <xdr:row>4</xdr:row>
          <xdr:rowOff>0</xdr:rowOff>
        </xdr:from>
        <xdr:to>
          <xdr:col>3</xdr:col>
          <xdr:colOff>579120</xdr:colOff>
          <xdr:row>89</xdr:row>
          <xdr:rowOff>152400</xdr:rowOff>
        </xdr:to>
        <xdr:sp macro="" textlink="">
          <xdr:nvSpPr>
            <xdr:cNvPr id="32772" name="Check Box 4" hidden="1">
              <a:extLst>
                <a:ext uri="{63B3BB69-23CF-44E3-9099-C40C66FF867C}">
                  <a14:compatExt spid="_x0000_s3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373380</xdr:colOff>
          <xdr:row>4</xdr:row>
          <xdr:rowOff>0</xdr:rowOff>
        </xdr:from>
        <xdr:to>
          <xdr:col>4</xdr:col>
          <xdr:colOff>571500</xdr:colOff>
          <xdr:row>89</xdr:row>
          <xdr:rowOff>144780</xdr:rowOff>
        </xdr:to>
        <xdr:sp macro="" textlink="">
          <xdr:nvSpPr>
            <xdr:cNvPr id="32773" name="Check Box 5" hidden="1">
              <a:extLst>
                <a:ext uri="{63B3BB69-23CF-44E3-9099-C40C66FF867C}">
                  <a14:compatExt spid="_x0000_s3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190500</xdr:colOff>
      <xdr:row>64</xdr:row>
      <xdr:rowOff>111125</xdr:rowOff>
    </xdr:from>
    <xdr:to>
      <xdr:col>12</xdr:col>
      <xdr:colOff>457200</xdr:colOff>
      <xdr:row>87</xdr:row>
      <xdr:rowOff>104775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579782</xdr:colOff>
      <xdr:row>117</xdr:row>
      <xdr:rowOff>165653</xdr:rowOff>
    </xdr:from>
    <xdr:to>
      <xdr:col>4</xdr:col>
      <xdr:colOff>1054304</xdr:colOff>
      <xdr:row>139</xdr:row>
      <xdr:rowOff>72403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143</xdr:row>
      <xdr:rowOff>0</xdr:rowOff>
    </xdr:from>
    <xdr:to>
      <xdr:col>4</xdr:col>
      <xdr:colOff>1065072</xdr:colOff>
      <xdr:row>164</xdr:row>
      <xdr:rowOff>97250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196</xdr:row>
      <xdr:rowOff>0</xdr:rowOff>
    </xdr:from>
    <xdr:to>
      <xdr:col>4</xdr:col>
      <xdr:colOff>1065072</xdr:colOff>
      <xdr:row>217</xdr:row>
      <xdr:rowOff>97250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4</xdr:col>
      <xdr:colOff>1065072</xdr:colOff>
      <xdr:row>246</xdr:row>
      <xdr:rowOff>97250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249</xdr:row>
      <xdr:rowOff>0</xdr:rowOff>
    </xdr:from>
    <xdr:to>
      <xdr:col>4</xdr:col>
      <xdr:colOff>1065072</xdr:colOff>
      <xdr:row>270</xdr:row>
      <xdr:rowOff>97250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277</xdr:row>
      <xdr:rowOff>0</xdr:rowOff>
    </xdr:from>
    <xdr:to>
      <xdr:col>4</xdr:col>
      <xdr:colOff>1065072</xdr:colOff>
      <xdr:row>298</xdr:row>
      <xdr:rowOff>97250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303</xdr:row>
      <xdr:rowOff>0</xdr:rowOff>
    </xdr:from>
    <xdr:to>
      <xdr:col>4</xdr:col>
      <xdr:colOff>1065072</xdr:colOff>
      <xdr:row>324</xdr:row>
      <xdr:rowOff>97250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171</xdr:row>
      <xdr:rowOff>0</xdr:rowOff>
    </xdr:from>
    <xdr:to>
      <xdr:col>4</xdr:col>
      <xdr:colOff>1065072</xdr:colOff>
      <xdr:row>192</xdr:row>
      <xdr:rowOff>97250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91</xdr:row>
      <xdr:rowOff>0</xdr:rowOff>
    </xdr:from>
    <xdr:to>
      <xdr:col>3</xdr:col>
      <xdr:colOff>1022002</xdr:colOff>
      <xdr:row>111</xdr:row>
      <xdr:rowOff>81375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400050</xdr:colOff>
      <xdr:row>91</xdr:row>
      <xdr:rowOff>47625</xdr:rowOff>
    </xdr:from>
    <xdr:to>
      <xdr:col>10</xdr:col>
      <xdr:colOff>479077</xdr:colOff>
      <xdr:row>111</xdr:row>
      <xdr:rowOff>81375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190500</xdr:colOff>
      <xdr:row>118</xdr:row>
      <xdr:rowOff>9525</xdr:rowOff>
    </xdr:from>
    <xdr:to>
      <xdr:col>12</xdr:col>
      <xdr:colOff>74472</xdr:colOff>
      <xdr:row>139</xdr:row>
      <xdr:rowOff>106775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143</xdr:row>
      <xdr:rowOff>0</xdr:rowOff>
    </xdr:from>
    <xdr:to>
      <xdr:col>13</xdr:col>
      <xdr:colOff>417372</xdr:colOff>
      <xdr:row>164</xdr:row>
      <xdr:rowOff>97250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196</xdr:row>
      <xdr:rowOff>0</xdr:rowOff>
    </xdr:from>
    <xdr:to>
      <xdr:col>13</xdr:col>
      <xdr:colOff>417372</xdr:colOff>
      <xdr:row>217</xdr:row>
      <xdr:rowOff>97250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225</xdr:row>
      <xdr:rowOff>0</xdr:rowOff>
    </xdr:from>
    <xdr:to>
      <xdr:col>13</xdr:col>
      <xdr:colOff>417372</xdr:colOff>
      <xdr:row>246</xdr:row>
      <xdr:rowOff>97250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277</xdr:row>
      <xdr:rowOff>0</xdr:rowOff>
    </xdr:from>
    <xdr:to>
      <xdr:col>13</xdr:col>
      <xdr:colOff>417372</xdr:colOff>
      <xdr:row>298</xdr:row>
      <xdr:rowOff>97250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303</xdr:row>
      <xdr:rowOff>0</xdr:rowOff>
    </xdr:from>
    <xdr:to>
      <xdr:col>13</xdr:col>
      <xdr:colOff>417372</xdr:colOff>
      <xdr:row>324</xdr:row>
      <xdr:rowOff>97250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249</xdr:row>
      <xdr:rowOff>0</xdr:rowOff>
    </xdr:from>
    <xdr:to>
      <xdr:col>13</xdr:col>
      <xdr:colOff>417372</xdr:colOff>
      <xdr:row>270</xdr:row>
      <xdr:rowOff>97250</xdr:rowOff>
    </xdr:to>
    <xdr:graphicFrame macro="">
      <xdr:nvGraphicFramePr>
        <xdr:cNvPr id="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133350</xdr:colOff>
      <xdr:row>2</xdr:row>
      <xdr:rowOff>38100</xdr:rowOff>
    </xdr:from>
    <xdr:to>
      <xdr:col>21</xdr:col>
      <xdr:colOff>323850</xdr:colOff>
      <xdr:row>18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333374</xdr:colOff>
      <xdr:row>18</xdr:row>
      <xdr:rowOff>161924</xdr:rowOff>
    </xdr:from>
    <xdr:to>
      <xdr:col>21</xdr:col>
      <xdr:colOff>533399</xdr:colOff>
      <xdr:row>34</xdr:row>
      <xdr:rowOff>161925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57150</xdr:colOff>
      <xdr:row>35</xdr:row>
      <xdr:rowOff>66675</xdr:rowOff>
    </xdr:from>
    <xdr:to>
      <xdr:col>21</xdr:col>
      <xdr:colOff>523875</xdr:colOff>
      <xdr:row>48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49</xdr:row>
      <xdr:rowOff>38100</xdr:rowOff>
    </xdr:from>
    <xdr:to>
      <xdr:col>21</xdr:col>
      <xdr:colOff>323850</xdr:colOff>
      <xdr:row>65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885824</xdr:colOff>
      <xdr:row>66</xdr:row>
      <xdr:rowOff>76200</xdr:rowOff>
    </xdr:from>
    <xdr:to>
      <xdr:col>21</xdr:col>
      <xdr:colOff>228599</xdr:colOff>
      <xdr:row>82</xdr:row>
      <xdr:rowOff>95250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9525</xdr:colOff>
      <xdr:row>86</xdr:row>
      <xdr:rowOff>19050</xdr:rowOff>
    </xdr:from>
    <xdr:to>
      <xdr:col>21</xdr:col>
      <xdr:colOff>276225</xdr:colOff>
      <xdr:row>102</xdr:row>
      <xdr:rowOff>28575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638175</xdr:colOff>
      <xdr:row>15</xdr:row>
      <xdr:rowOff>85725</xdr:rowOff>
    </xdr:from>
    <xdr:to>
      <xdr:col>4</xdr:col>
      <xdr:colOff>723900</xdr:colOff>
      <xdr:row>20</xdr:row>
      <xdr:rowOff>19050</xdr:rowOff>
    </xdr:to>
    <xdr:cxnSp macro="">
      <xdr:nvCxnSpPr>
        <xdr:cNvPr id="3" name="Straight Arrow Connector 2"/>
        <xdr:cNvCxnSpPr/>
      </xdr:nvCxnSpPr>
      <xdr:spPr>
        <a:xfrm flipH="1" flipV="1">
          <a:off x="4552950" y="2876550"/>
          <a:ext cx="85725" cy="8477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2</xdr:row>
      <xdr:rowOff>38100</xdr:rowOff>
    </xdr:from>
    <xdr:to>
      <xdr:col>19</xdr:col>
      <xdr:colOff>323850</xdr:colOff>
      <xdr:row>18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152399</xdr:colOff>
      <xdr:row>18</xdr:row>
      <xdr:rowOff>180974</xdr:rowOff>
    </xdr:from>
    <xdr:to>
      <xdr:col>19</xdr:col>
      <xdr:colOff>352424</xdr:colOff>
      <xdr:row>34</xdr:row>
      <xdr:rowOff>180975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36</xdr:row>
      <xdr:rowOff>9525</xdr:rowOff>
    </xdr:from>
    <xdr:to>
      <xdr:col>19</xdr:col>
      <xdr:colOff>361949</xdr:colOff>
      <xdr:row>52</xdr:row>
      <xdr:rowOff>1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142874</xdr:colOff>
      <xdr:row>53</xdr:row>
      <xdr:rowOff>9524</xdr:rowOff>
    </xdr:from>
    <xdr:to>
      <xdr:col>19</xdr:col>
      <xdr:colOff>361949</xdr:colOff>
      <xdr:row>69</xdr:row>
      <xdr:rowOff>9525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133349</xdr:colOff>
      <xdr:row>70</xdr:row>
      <xdr:rowOff>0</xdr:rowOff>
    </xdr:from>
    <xdr:to>
      <xdr:col>19</xdr:col>
      <xdr:colOff>371474</xdr:colOff>
      <xdr:row>85</xdr:row>
      <xdr:rowOff>152400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123825</xdr:colOff>
      <xdr:row>105</xdr:row>
      <xdr:rowOff>0</xdr:rowOff>
    </xdr:from>
    <xdr:to>
      <xdr:col>19</xdr:col>
      <xdr:colOff>371475</xdr:colOff>
      <xdr:row>120</xdr:row>
      <xdr:rowOff>180975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114299</xdr:colOff>
      <xdr:row>122</xdr:row>
      <xdr:rowOff>0</xdr:rowOff>
    </xdr:from>
    <xdr:to>
      <xdr:col>19</xdr:col>
      <xdr:colOff>352424</xdr:colOff>
      <xdr:row>138</xdr:row>
      <xdr:rowOff>19050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104775</xdr:colOff>
      <xdr:row>139</xdr:row>
      <xdr:rowOff>9525</xdr:rowOff>
    </xdr:from>
    <xdr:to>
      <xdr:col>19</xdr:col>
      <xdr:colOff>371475</xdr:colOff>
      <xdr:row>155</xdr:row>
      <xdr:rowOff>19050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9525</xdr:colOff>
      <xdr:row>35</xdr:row>
      <xdr:rowOff>190499</xdr:rowOff>
    </xdr:from>
    <xdr:to>
      <xdr:col>28</xdr:col>
      <xdr:colOff>38100</xdr:colOff>
      <xdr:row>51</xdr:row>
      <xdr:rowOff>180974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20</xdr:col>
      <xdr:colOff>0</xdr:colOff>
      <xdr:row>52</xdr:row>
      <xdr:rowOff>180974</xdr:rowOff>
    </xdr:from>
    <xdr:to>
      <xdr:col>28</xdr:col>
      <xdr:colOff>19050</xdr:colOff>
      <xdr:row>69</xdr:row>
      <xdr:rowOff>19049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20</xdr:col>
      <xdr:colOff>0</xdr:colOff>
      <xdr:row>70</xdr:row>
      <xdr:rowOff>9524</xdr:rowOff>
    </xdr:from>
    <xdr:to>
      <xdr:col>28</xdr:col>
      <xdr:colOff>19050</xdr:colOff>
      <xdr:row>85</xdr:row>
      <xdr:rowOff>190499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590549</xdr:colOff>
      <xdr:row>105</xdr:row>
      <xdr:rowOff>9525</xdr:rowOff>
    </xdr:from>
    <xdr:to>
      <xdr:col>28</xdr:col>
      <xdr:colOff>9524</xdr:colOff>
      <xdr:row>120</xdr:row>
      <xdr:rowOff>180975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600075</xdr:colOff>
      <xdr:row>121</xdr:row>
      <xdr:rowOff>190499</xdr:rowOff>
    </xdr:from>
    <xdr:to>
      <xdr:col>27</xdr:col>
      <xdr:colOff>600075</xdr:colOff>
      <xdr:row>138</xdr:row>
      <xdr:rowOff>28574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20</xdr:col>
      <xdr:colOff>9524</xdr:colOff>
      <xdr:row>138</xdr:row>
      <xdr:rowOff>190499</xdr:rowOff>
    </xdr:from>
    <xdr:to>
      <xdr:col>27</xdr:col>
      <xdr:colOff>609599</xdr:colOff>
      <xdr:row>155</xdr:row>
      <xdr:rowOff>28574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20</xdr:col>
      <xdr:colOff>0</xdr:colOff>
      <xdr:row>2</xdr:row>
      <xdr:rowOff>57150</xdr:rowOff>
    </xdr:from>
    <xdr:to>
      <xdr:col>28</xdr:col>
      <xdr:colOff>190500</xdr:colOff>
      <xdr:row>18</xdr:row>
      <xdr:rowOff>19050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0</xdr:colOff>
      <xdr:row>19</xdr:row>
      <xdr:rowOff>0</xdr:rowOff>
    </xdr:from>
    <xdr:to>
      <xdr:col>28</xdr:col>
      <xdr:colOff>200025</xdr:colOff>
      <xdr:row>35</xdr:row>
      <xdr:rowOff>1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Budget%20Review/2011%202012%20Budget%20Reviews/Dec%202011/1.%20QBRS%20-%20Dec%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.franklin/AppData/Local/Microsoft/Windows/Temporary%20Internet%20Files/Content.Outlook/JLCYU73Z/2017-18%20Capital%20Budge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.franklin/AppData/Local/Microsoft/Windows/Temporary%20Internet%20Files/Content.Outlook/JLCYU73Z/2017-18%20Capital%20no%20SRV%20this%20on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Budget%20Review/2012%202013%20Budget%20Reviews/3.Mar%2013/3.%20QBRS%20Mar13%20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Variations Summary"/>
      <sheetName val="Projected YE Bal"/>
      <sheetName val="Sheet2"/>
      <sheetName val="TB 130112"/>
      <sheetName val="Table of Contents"/>
      <sheetName val="1. RAO Statement"/>
      <sheetName val="2. Variation Detail"/>
      <sheetName val="2. I&amp;E Statments - Prog Consol"/>
      <sheetName val="2. I&amp;E Statments - Urban Design"/>
      <sheetName val="2. I&amp;E Statments - Sustain Env"/>
      <sheetName val="2. I&amp;E Statments - Org &amp; Gov"/>
      <sheetName val="2. I&amp;E Statments - Comm Devt"/>
      <sheetName val="2. I&amp;E Statments - Econ Devt"/>
      <sheetName val="2. I&amp;E Statments - S94"/>
      <sheetName val="3. Capital Budget"/>
      <sheetName val="3. Variation Detail"/>
      <sheetName val="4. Cash &amp; Investments"/>
      <sheetName val="4. Variation Detail"/>
      <sheetName val="5. KPI's"/>
      <sheetName val="KPI workings"/>
      <sheetName val="6. Contracts"/>
      <sheetName val="6. Variation Detail"/>
      <sheetName val="6. and Other Exps"/>
      <sheetName val="Parameters"/>
      <sheetName val="QBR Dissection"/>
      <sheetName val="QBR Vlookup"/>
      <sheetName val="Orig Bud June Cnl Mtg"/>
      <sheetName val="Orig Bud Fujitsu"/>
      <sheetName val="Orig Man Plan Rec"/>
      <sheetName val="2. I&amp;E Statments - by type"/>
      <sheetName val="Formatting"/>
      <sheetName val="Icons"/>
      <sheetName val="&gt;&gt;&gt;"/>
      <sheetName val="Sheet1"/>
      <sheetName val="Sheet3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S1" t="str">
            <v># : 1</v>
          </cell>
        </row>
        <row r="2">
          <cell r="AS2" t="str">
            <v>#.# : 1</v>
          </cell>
        </row>
        <row r="3">
          <cell r="AS3" t="str">
            <v>#.## : 1</v>
          </cell>
        </row>
        <row r="4">
          <cell r="AS4" t="str">
            <v># (0 digit)</v>
          </cell>
        </row>
        <row r="5">
          <cell r="AS5" t="str">
            <v>#.# (1 digit)</v>
          </cell>
        </row>
        <row r="6">
          <cell r="AS6" t="str">
            <v>#.## (2 digit)</v>
          </cell>
        </row>
        <row r="7">
          <cell r="AS7" t="str">
            <v>% (0 digit)</v>
          </cell>
        </row>
        <row r="8">
          <cell r="AS8" t="str">
            <v>% (1 digit)</v>
          </cell>
        </row>
        <row r="9">
          <cell r="AS9" t="str">
            <v>% (2 digit)</v>
          </cell>
        </row>
        <row r="14">
          <cell r="AK14" t="str">
            <v/>
          </cell>
          <cell r="AL14" t="str">
            <v>2009/10</v>
          </cell>
          <cell r="AM14" t="str">
            <v>2010/11</v>
          </cell>
          <cell r="AN14" t="str">
            <v>2011/12 (O)</v>
          </cell>
          <cell r="AO14" t="str">
            <v>2011/12 (P)</v>
          </cell>
        </row>
        <row r="15">
          <cell r="AK15" t="str">
            <v/>
          </cell>
          <cell r="AL15">
            <v>2.65</v>
          </cell>
          <cell r="AM15">
            <v>3.04</v>
          </cell>
          <cell r="AN15">
            <v>0</v>
          </cell>
          <cell r="AO15">
            <v>3.2864367240322339</v>
          </cell>
        </row>
        <row r="23">
          <cell r="AK23" t="str">
            <v/>
          </cell>
          <cell r="AL23" t="str">
            <v>2009/10</v>
          </cell>
          <cell r="AM23" t="str">
            <v>2010/11</v>
          </cell>
          <cell r="AN23" t="str">
            <v>2011/12 (O)</v>
          </cell>
          <cell r="AO23" t="str">
            <v>2011/12 (P)</v>
          </cell>
        </row>
        <row r="24">
          <cell r="AK24" t="str">
            <v/>
          </cell>
          <cell r="AL24">
            <v>6.7400000000000002E-2</v>
          </cell>
          <cell r="AM24">
            <v>7.4999999999999997E-2</v>
          </cell>
          <cell r="AN24">
            <v>1</v>
          </cell>
          <cell r="AO24">
            <v>8.6503669050790141E-2</v>
          </cell>
        </row>
        <row r="32">
          <cell r="AK32" t="str">
            <v/>
          </cell>
          <cell r="AL32" t="str">
            <v>2009/10</v>
          </cell>
          <cell r="AM32" t="str">
            <v>2010/11</v>
          </cell>
          <cell r="AN32" t="str">
            <v>2011/12 (O)</v>
          </cell>
          <cell r="AO32" t="str">
            <v>2011/12 (P)</v>
          </cell>
        </row>
        <row r="33">
          <cell r="AK33" t="str">
            <v/>
          </cell>
          <cell r="AL33">
            <v>0.11799999999999999</v>
          </cell>
          <cell r="AM33">
            <v>0.27310000000000001</v>
          </cell>
          <cell r="AN33">
            <v>1</v>
          </cell>
          <cell r="AO33">
            <v>0.31623677577023229</v>
          </cell>
        </row>
        <row r="41">
          <cell r="AK41" t="str">
            <v>2008/09</v>
          </cell>
          <cell r="AL41" t="str">
            <v>2009/10</v>
          </cell>
          <cell r="AM41" t="str">
            <v>2010/11</v>
          </cell>
          <cell r="AN41" t="str">
            <v>2011/12 (O)</v>
          </cell>
          <cell r="AO41" t="str">
            <v>2011/12 (P)</v>
          </cell>
        </row>
        <row r="42">
          <cell r="AK42">
            <v>1</v>
          </cell>
          <cell r="AL42">
            <v>1</v>
          </cell>
          <cell r="AM42">
            <v>1</v>
          </cell>
          <cell r="AN42">
            <v>1</v>
          </cell>
          <cell r="AO42">
            <v>1</v>
          </cell>
        </row>
        <row r="50">
          <cell r="AK50" t="str">
            <v>2008/09</v>
          </cell>
          <cell r="AL50" t="str">
            <v>2009/10</v>
          </cell>
          <cell r="AM50" t="str">
            <v>2010/11</v>
          </cell>
          <cell r="AN50" t="str">
            <v>2011/12 (O)</v>
          </cell>
          <cell r="AO50" t="str">
            <v>2011/12 (P)</v>
          </cell>
        </row>
        <row r="51">
          <cell r="AK51">
            <v>1</v>
          </cell>
          <cell r="AL51">
            <v>1</v>
          </cell>
          <cell r="AM51">
            <v>1</v>
          </cell>
          <cell r="AN51">
            <v>1</v>
          </cell>
          <cell r="AO51">
            <v>1</v>
          </cell>
        </row>
        <row r="59">
          <cell r="AK59" t="str">
            <v>2008/09</v>
          </cell>
          <cell r="AL59" t="str">
            <v>2009/10</v>
          </cell>
          <cell r="AM59" t="str">
            <v>2010/11</v>
          </cell>
          <cell r="AN59" t="str">
            <v>2011/12 (O)</v>
          </cell>
          <cell r="AO59" t="str">
            <v>2011/12 (P)</v>
          </cell>
        </row>
        <row r="60">
          <cell r="AK60">
            <v>1</v>
          </cell>
          <cell r="AL60">
            <v>1</v>
          </cell>
          <cell r="AM60">
            <v>1</v>
          </cell>
          <cell r="AN60">
            <v>1</v>
          </cell>
          <cell r="AO60">
            <v>1</v>
          </cell>
        </row>
        <row r="68">
          <cell r="AK68" t="str">
            <v>2008/09</v>
          </cell>
          <cell r="AL68" t="str">
            <v>2009/10</v>
          </cell>
          <cell r="AM68" t="str">
            <v>2010/11</v>
          </cell>
          <cell r="AN68" t="str">
            <v>2011/12 (O)</v>
          </cell>
          <cell r="AO68" t="str">
            <v>2011/12 (P)</v>
          </cell>
        </row>
        <row r="69">
          <cell r="AK69">
            <v>1</v>
          </cell>
          <cell r="AL69">
            <v>1</v>
          </cell>
          <cell r="AM69">
            <v>1</v>
          </cell>
          <cell r="AN69">
            <v>1</v>
          </cell>
          <cell r="AO69">
            <v>1</v>
          </cell>
        </row>
        <row r="77">
          <cell r="AK77" t="str">
            <v>2008/09</v>
          </cell>
          <cell r="AL77" t="str">
            <v>2009/10</v>
          </cell>
          <cell r="AM77" t="str">
            <v>2010/11</v>
          </cell>
          <cell r="AN77" t="str">
            <v>2011/12 (O)</v>
          </cell>
          <cell r="AO77" t="str">
            <v>2011/12 (P)</v>
          </cell>
        </row>
        <row r="78">
          <cell r="AK78">
            <v>1</v>
          </cell>
          <cell r="AL78">
            <v>1</v>
          </cell>
          <cell r="AM78">
            <v>1</v>
          </cell>
          <cell r="AN78">
            <v>1</v>
          </cell>
          <cell r="AO78">
            <v>1</v>
          </cell>
        </row>
        <row r="86">
          <cell r="AK86" t="str">
            <v>2008/09</v>
          </cell>
          <cell r="AL86" t="str">
            <v>2009/10</v>
          </cell>
          <cell r="AM86" t="str">
            <v>2010/11</v>
          </cell>
          <cell r="AN86" t="str">
            <v>2011/12 (O)</v>
          </cell>
          <cell r="AO86" t="str">
            <v>2011/12 (P)</v>
          </cell>
        </row>
        <row r="87">
          <cell r="AK87">
            <v>1</v>
          </cell>
          <cell r="AL87">
            <v>1</v>
          </cell>
          <cell r="AM87">
            <v>1</v>
          </cell>
          <cell r="AN87">
            <v>1</v>
          </cell>
          <cell r="AO87">
            <v>1</v>
          </cell>
        </row>
        <row r="95">
          <cell r="AK95" t="str">
            <v>2008/09</v>
          </cell>
          <cell r="AL95" t="str">
            <v>2009/10</v>
          </cell>
          <cell r="AM95" t="str">
            <v>2010/11</v>
          </cell>
          <cell r="AN95" t="str">
            <v>2011/12 (O)</v>
          </cell>
          <cell r="AO95" t="str">
            <v>2011/12 (P)</v>
          </cell>
        </row>
        <row r="96">
          <cell r="AK96">
            <v>1</v>
          </cell>
          <cell r="AL96">
            <v>1</v>
          </cell>
          <cell r="AM96">
            <v>1</v>
          </cell>
          <cell r="AN96">
            <v>1</v>
          </cell>
          <cell r="AO96">
            <v>1</v>
          </cell>
        </row>
        <row r="104">
          <cell r="AK104" t="str">
            <v>2008/09</v>
          </cell>
          <cell r="AL104" t="str">
            <v>2009/10</v>
          </cell>
          <cell r="AM104" t="str">
            <v>2010/11</v>
          </cell>
          <cell r="AN104" t="str">
            <v>2011/12 (O)</v>
          </cell>
          <cell r="AO104" t="str">
            <v>2011/12 (P)</v>
          </cell>
        </row>
        <row r="105">
          <cell r="AK105">
            <v>1</v>
          </cell>
          <cell r="AL105">
            <v>1</v>
          </cell>
          <cell r="AM105">
            <v>1</v>
          </cell>
          <cell r="AN105">
            <v>1</v>
          </cell>
          <cell r="AO105">
            <v>1</v>
          </cell>
        </row>
        <row r="113">
          <cell r="AK113" t="str">
            <v>2008/09</v>
          </cell>
          <cell r="AL113" t="str">
            <v>2009/10</v>
          </cell>
          <cell r="AM113" t="str">
            <v>2010/11</v>
          </cell>
          <cell r="AN113" t="str">
            <v>2011/12 (O)</v>
          </cell>
          <cell r="AO113" t="str">
            <v>2011/12 (P)</v>
          </cell>
        </row>
        <row r="114"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</row>
        <row r="122">
          <cell r="AK122" t="str">
            <v>2008/09</v>
          </cell>
          <cell r="AL122" t="str">
            <v>2009/10</v>
          </cell>
          <cell r="AM122" t="str">
            <v>2010/11</v>
          </cell>
          <cell r="AN122" t="str">
            <v>2011/12 (O)</v>
          </cell>
          <cell r="AO122" t="str">
            <v>2011/12 (P)</v>
          </cell>
        </row>
        <row r="123">
          <cell r="AK123">
            <v>1</v>
          </cell>
          <cell r="AL123">
            <v>1</v>
          </cell>
          <cell r="AM123">
            <v>1</v>
          </cell>
          <cell r="AN123">
            <v>1</v>
          </cell>
          <cell r="AO123">
            <v>1</v>
          </cell>
        </row>
        <row r="131">
          <cell r="AK131" t="str">
            <v>2008/09</v>
          </cell>
          <cell r="AL131" t="str">
            <v>2009/10</v>
          </cell>
          <cell r="AM131" t="str">
            <v>2010/11</v>
          </cell>
          <cell r="AN131" t="str">
            <v>2011/12 (O)</v>
          </cell>
          <cell r="AO131" t="str">
            <v>2011/12 (P)</v>
          </cell>
        </row>
        <row r="132">
          <cell r="AK132">
            <v>1</v>
          </cell>
          <cell r="AL132">
            <v>1</v>
          </cell>
          <cell r="AM132">
            <v>1</v>
          </cell>
          <cell r="AN132">
            <v>1</v>
          </cell>
          <cell r="AO132">
            <v>1</v>
          </cell>
        </row>
        <row r="140">
          <cell r="AK140" t="str">
            <v>2008/09</v>
          </cell>
          <cell r="AL140" t="str">
            <v>2009/10</v>
          </cell>
          <cell r="AM140" t="str">
            <v>2010/11</v>
          </cell>
          <cell r="AN140" t="str">
            <v>2011/12 (O)</v>
          </cell>
          <cell r="AO140" t="str">
            <v>2011/12 (P)</v>
          </cell>
        </row>
        <row r="141">
          <cell r="AK141">
            <v>1</v>
          </cell>
          <cell r="AL141">
            <v>1</v>
          </cell>
          <cell r="AM141">
            <v>1</v>
          </cell>
          <cell r="AN141">
            <v>1</v>
          </cell>
          <cell r="AO141">
            <v>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S7" t="str">
            <v>September</v>
          </cell>
        </row>
        <row r="8">
          <cell r="S8" t="str">
            <v>December</v>
          </cell>
        </row>
        <row r="9">
          <cell r="B9" t="str">
            <v>satisfactory</v>
          </cell>
          <cell r="M9" t="str">
            <v>satisfactory / unsatisfactory</v>
          </cell>
          <cell r="S9" t="str">
            <v>March</v>
          </cell>
        </row>
        <row r="10">
          <cell r="M10" t="str">
            <v>satisfactory</v>
          </cell>
        </row>
        <row r="11">
          <cell r="M11" t="str">
            <v>unsatisfactory</v>
          </cell>
        </row>
        <row r="15">
          <cell r="S15" t="str">
            <v>Council Consolidated</v>
          </cell>
        </row>
        <row r="16">
          <cell r="S16" t="str">
            <v>General Fund</v>
          </cell>
        </row>
        <row r="17">
          <cell r="S17" t="str">
            <v>Water Fund</v>
          </cell>
        </row>
        <row r="18">
          <cell r="S18" t="str">
            <v>Sewer Fund</v>
          </cell>
        </row>
        <row r="19">
          <cell r="S19" t="str">
            <v/>
          </cell>
        </row>
        <row r="20">
          <cell r="S20" t="str">
            <v/>
          </cell>
        </row>
        <row r="21">
          <cell r="S21" t="str">
            <v/>
          </cell>
        </row>
        <row r="22">
          <cell r="S22" t="str">
            <v/>
          </cell>
        </row>
        <row r="23">
          <cell r="S23" t="str">
            <v/>
          </cell>
        </row>
        <row r="24">
          <cell r="S24" t="str">
            <v/>
          </cell>
        </row>
        <row r="25">
          <cell r="S25" t="str">
            <v/>
          </cell>
        </row>
        <row r="26">
          <cell r="S26" t="str">
            <v/>
          </cell>
        </row>
        <row r="27">
          <cell r="S27" t="str">
            <v/>
          </cell>
        </row>
        <row r="28">
          <cell r="S28" t="str">
            <v/>
          </cell>
        </row>
        <row r="29">
          <cell r="S29" t="str">
            <v/>
          </cell>
        </row>
        <row r="30">
          <cell r="S30" t="str">
            <v/>
          </cell>
        </row>
        <row r="31">
          <cell r="S31" t="str">
            <v/>
          </cell>
        </row>
        <row r="32">
          <cell r="S32" t="str">
            <v/>
          </cell>
        </row>
        <row r="33">
          <cell r="S33" t="str">
            <v/>
          </cell>
        </row>
        <row r="34">
          <cell r="S34" t="str">
            <v/>
          </cell>
        </row>
        <row r="35">
          <cell r="S35" t="str">
            <v/>
          </cell>
        </row>
        <row r="36">
          <cell r="S36" t="str">
            <v/>
          </cell>
        </row>
        <row r="37">
          <cell r="S37" t="str">
            <v/>
          </cell>
        </row>
        <row r="38">
          <cell r="S38" t="str">
            <v/>
          </cell>
        </row>
        <row r="39">
          <cell r="S39" t="str">
            <v/>
          </cell>
        </row>
        <row r="40">
          <cell r="S40" t="str">
            <v/>
          </cell>
        </row>
        <row r="41">
          <cell r="S41" t="str">
            <v/>
          </cell>
        </row>
        <row r="42">
          <cell r="S42" t="str">
            <v/>
          </cell>
        </row>
        <row r="43">
          <cell r="S43" t="str">
            <v/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solidated Funds Summary"/>
      <sheetName val="General Fund Cover"/>
      <sheetName val="General Fund Summary"/>
      <sheetName val="Roads Summary"/>
      <sheetName val="Roads Income"/>
      <sheetName val="Roads"/>
      <sheetName val="Other CI Works"/>
      <sheetName val="DCCS &amp; Enviro Summary"/>
      <sheetName val="DCCS &amp; Environ Revenue"/>
      <sheetName val="DCCS and Enviro"/>
      <sheetName val="Sheet2"/>
      <sheetName val="Water Cover Sheet"/>
      <sheetName val="Water Summary"/>
      <sheetName val="Water Revenue"/>
      <sheetName val="Water"/>
      <sheetName val="Sheet5"/>
      <sheetName val="Sewer Cover"/>
      <sheetName val="Sewer Summary"/>
      <sheetName val="Sewer Revenue"/>
      <sheetName val="Sewer"/>
      <sheetName val="Sheet6"/>
      <sheetName val="Com Bldg Cover"/>
      <sheetName val="Com Bldg Summary"/>
      <sheetName val="Comm Building revenue"/>
      <sheetName val="Comm Bldgs"/>
      <sheetName val="Reserves"/>
      <sheetName val="Loans"/>
    </sheetNames>
    <sheetDataSet>
      <sheetData sheetId="0"/>
      <sheetData sheetId="1">
        <row r="1">
          <cell r="B1" t="str">
            <v>Muswellbrook Shire Council Capital Budget 2017/18 - 2020/21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solidated Funds Summary"/>
      <sheetName val="General Fund Cover"/>
      <sheetName val="General Fund Summary"/>
      <sheetName val="Roads Summary"/>
      <sheetName val="Roads Income"/>
      <sheetName val="Roads"/>
      <sheetName val="Other CI Works"/>
      <sheetName val="DCCS &amp; Enviro Summary"/>
      <sheetName val="DCCS &amp; Environ Revenue"/>
      <sheetName val="DCCS and Enviro"/>
      <sheetName val="Sheet2"/>
      <sheetName val="Water Cover Sheet"/>
      <sheetName val="Water Summary"/>
      <sheetName val="Water Revenue"/>
      <sheetName val="Water"/>
      <sheetName val="Sheet5"/>
      <sheetName val="Sewer Cover"/>
      <sheetName val="Sewer Summary"/>
      <sheetName val="Sewer Revenue"/>
      <sheetName val="Sewer"/>
      <sheetName val="Sheet6"/>
      <sheetName val="Com Bldg Cover"/>
      <sheetName val="Com Bldg Summary"/>
      <sheetName val="Comm Building revenue"/>
      <sheetName val="Comm Bldgs"/>
      <sheetName val="Reserves"/>
      <sheetName val="Loans"/>
    </sheetNames>
    <sheetDataSet>
      <sheetData sheetId="0"/>
      <sheetData sheetId="1">
        <row r="1">
          <cell r="B1" t="str">
            <v>Muswellbrook Shire Council Capital Budget 2017/18 - 2020/21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AO Statement"/>
      <sheetName val="TB Mar13"/>
      <sheetName val="Sheet2"/>
      <sheetName val="TB Current"/>
      <sheetName val="Summary"/>
      <sheetName val="2. Variation Detail"/>
      <sheetName val="2. I&amp;E - Consolidated"/>
      <sheetName val="2. I&amp;E - Connectivity"/>
      <sheetName val="2. I&amp;E - Comm Wellbeing"/>
      <sheetName val="2. I&amp;E - Prosp &amp; Opp"/>
      <sheetName val="2. I&amp;E - Live Neigh"/>
      <sheetName val="2. I&amp;E - Resp Mgt"/>
      <sheetName val="3. Capital Budget"/>
      <sheetName val="3. Variation Detail"/>
      <sheetName val="4. Cash &amp; Investments"/>
      <sheetName val="4. Variation Detail"/>
      <sheetName val="5. KPI's"/>
      <sheetName val="KPI workings"/>
      <sheetName val="6. Contracts"/>
      <sheetName val="6. Variation Detail"/>
      <sheetName val="6. and Other Exps"/>
      <sheetName val="Parameters"/>
      <sheetName val="2. I&amp;E - Type"/>
      <sheetName val="Deposits"/>
      <sheetName val="Table of Contents"/>
      <sheetName val="BFWD Bal"/>
      <sheetName val="QBR Vlookup"/>
      <sheetName val="QBR Dissection"/>
      <sheetName val="Orig Bud"/>
      <sheetName val="Carry Forwards for Exec"/>
      <sheetName val="Formatting"/>
      <sheetName val="Icons"/>
      <sheetName val="&gt;&gt;&gt;"/>
      <sheetName val="Sheet1"/>
    </sheetNames>
    <sheetDataSet>
      <sheetData sheetId="0" refreshError="1"/>
      <sheetData sheetId="1">
        <row r="1">
          <cell r="AG1" t="str">
            <v>Variance</v>
          </cell>
        </row>
      </sheetData>
      <sheetData sheetId="2" refreshError="1"/>
      <sheetData sheetId="3">
        <row r="5">
          <cell r="C5" t="str">
            <v>02-71-03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S1" t="str">
            <v># : 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>
        <row r="7">
          <cell r="S7" t="str">
            <v>September</v>
          </cell>
          <cell r="Z7">
            <v>2013</v>
          </cell>
        </row>
        <row r="8">
          <cell r="Z8">
            <v>2014</v>
          </cell>
        </row>
        <row r="9">
          <cell r="Z9">
            <v>2015</v>
          </cell>
        </row>
        <row r="10">
          <cell r="Z10">
            <v>2016</v>
          </cell>
        </row>
        <row r="11">
          <cell r="Z11">
            <v>2017</v>
          </cell>
        </row>
        <row r="12">
          <cell r="Z12">
            <v>2018</v>
          </cell>
        </row>
        <row r="13">
          <cell r="Z13">
            <v>2019</v>
          </cell>
        </row>
        <row r="14">
          <cell r="Z14">
            <v>2020</v>
          </cell>
        </row>
        <row r="15">
          <cell r="Z15">
            <v>2021</v>
          </cell>
        </row>
        <row r="16">
          <cell r="Z16">
            <v>2022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>
        <row r="1">
          <cell r="A1" t="str">
            <v>QBR (Form2A) No:</v>
          </cell>
        </row>
      </sheetData>
      <sheetData sheetId="27">
        <row r="1">
          <cell r="A1" t="str">
            <v>QBR Dissection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7"/>
  <sheetViews>
    <sheetView tabSelected="1" workbookViewId="0"/>
  </sheetViews>
  <sheetFormatPr defaultRowHeight="14.4" x14ac:dyDescent="0.3"/>
  <cols>
    <col min="1" max="1" width="11" customWidth="1"/>
    <col min="2" max="2" width="12.33203125" customWidth="1"/>
    <col min="3" max="3" width="8.109375" customWidth="1"/>
    <col min="4" max="4" width="8.6640625" customWidth="1"/>
    <col min="5" max="5" width="8.109375" customWidth="1"/>
    <col min="6" max="6" width="82" customWidth="1"/>
  </cols>
  <sheetData>
    <row r="1" spans="1:6" ht="21" x14ac:dyDescent="0.35">
      <c r="A1" s="314" t="s">
        <v>1044</v>
      </c>
    </row>
    <row r="2" spans="1:6" ht="21" x14ac:dyDescent="0.35">
      <c r="A2" s="314" t="s">
        <v>1057</v>
      </c>
    </row>
    <row r="3" spans="1:6" ht="21" x14ac:dyDescent="0.35">
      <c r="A3" s="314" t="s">
        <v>1058</v>
      </c>
    </row>
    <row r="5" spans="1:6" ht="15" x14ac:dyDescent="0.25">
      <c r="A5" s="202" t="s">
        <v>1059</v>
      </c>
    </row>
    <row r="6" spans="1:6" s="221" customFormat="1" ht="15" x14ac:dyDescent="0.25"/>
    <row r="7" spans="1:6" ht="15" x14ac:dyDescent="0.25">
      <c r="A7" s="202" t="s">
        <v>1262</v>
      </c>
    </row>
    <row r="8" spans="1:6" s="221" customFormat="1" ht="15" x14ac:dyDescent="0.25">
      <c r="B8" s="317" t="s">
        <v>4</v>
      </c>
      <c r="C8" s="317" t="s">
        <v>5</v>
      </c>
      <c r="D8" s="317" t="s">
        <v>6</v>
      </c>
      <c r="E8" s="317" t="s">
        <v>7</v>
      </c>
    </row>
    <row r="9" spans="1:6" s="221" customFormat="1" ht="15" x14ac:dyDescent="0.25">
      <c r="A9" s="221" t="s">
        <v>1399</v>
      </c>
      <c r="B9" s="351">
        <v>2.5000000000000001E-2</v>
      </c>
      <c r="C9" s="351">
        <v>2.5000000000000001E-2</v>
      </c>
      <c r="D9" s="351">
        <v>2.5000000000000001E-2</v>
      </c>
      <c r="E9" s="351">
        <v>2.5000000000000001E-2</v>
      </c>
      <c r="F9" s="221" t="s">
        <v>1400</v>
      </c>
    </row>
    <row r="10" spans="1:6" s="221" customFormat="1" ht="15" x14ac:dyDescent="0.25">
      <c r="B10" s="351" t="s">
        <v>1617</v>
      </c>
      <c r="C10" s="351"/>
      <c r="D10" s="351"/>
      <c r="E10" s="351"/>
    </row>
    <row r="11" spans="1:6" ht="15" x14ac:dyDescent="0.25">
      <c r="A11" s="202" t="s">
        <v>1324</v>
      </c>
    </row>
    <row r="13" spans="1:6" ht="15.75" thickBot="1" x14ac:dyDescent="0.3"/>
    <row r="14" spans="1:6" ht="21" x14ac:dyDescent="0.35">
      <c r="A14" s="1381" t="s">
        <v>1456</v>
      </c>
      <c r="B14" s="1382"/>
      <c r="C14" s="1382"/>
      <c r="D14" s="1382"/>
      <c r="E14" s="1382"/>
      <c r="F14" s="1383"/>
    </row>
    <row r="15" spans="1:6" s="202" customFormat="1" ht="15" x14ac:dyDescent="0.25">
      <c r="A15" s="1385" t="s">
        <v>1457</v>
      </c>
      <c r="B15" s="1392" t="s">
        <v>1475</v>
      </c>
      <c r="C15" s="1386" t="s">
        <v>1476</v>
      </c>
      <c r="D15" s="1386"/>
      <c r="E15" s="1386"/>
      <c r="F15" s="1387"/>
    </row>
    <row r="16" spans="1:6" ht="20.100000000000001" customHeight="1" x14ac:dyDescent="0.25">
      <c r="A16" s="1388" t="s">
        <v>1458</v>
      </c>
      <c r="B16" s="1393">
        <v>42727</v>
      </c>
      <c r="C16" s="1546" t="s">
        <v>1477</v>
      </c>
      <c r="D16" s="1546"/>
      <c r="E16" s="1546"/>
      <c r="F16" s="1550"/>
    </row>
    <row r="17" spans="1:6" ht="30" customHeight="1" x14ac:dyDescent="0.25">
      <c r="A17" s="1388" t="s">
        <v>1459</v>
      </c>
      <c r="B17" s="1393">
        <v>42745</v>
      </c>
      <c r="C17" s="1546" t="s">
        <v>1487</v>
      </c>
      <c r="D17" s="1546"/>
      <c r="E17" s="1546"/>
      <c r="F17" s="1550"/>
    </row>
    <row r="18" spans="1:6" ht="20.100000000000001" customHeight="1" x14ac:dyDescent="0.25">
      <c r="A18" s="1388" t="s">
        <v>1460</v>
      </c>
      <c r="B18" s="1393">
        <v>42751</v>
      </c>
      <c r="C18" s="1389" t="s">
        <v>1488</v>
      </c>
      <c r="D18" s="1389"/>
      <c r="E18" s="1389"/>
      <c r="F18" s="1390"/>
    </row>
    <row r="19" spans="1:6" ht="20.100000000000001" customHeight="1" x14ac:dyDescent="0.25">
      <c r="A19" s="1388" t="s">
        <v>1462</v>
      </c>
      <c r="B19" s="1393">
        <v>42751</v>
      </c>
      <c r="C19" s="1389" t="s">
        <v>1478</v>
      </c>
      <c r="D19" s="1389"/>
      <c r="E19" s="1389"/>
      <c r="F19" s="1390"/>
    </row>
    <row r="20" spans="1:6" ht="20.100000000000001" customHeight="1" x14ac:dyDescent="0.25">
      <c r="A20" s="1388" t="s">
        <v>1461</v>
      </c>
      <c r="B20" s="1393">
        <v>42752</v>
      </c>
      <c r="C20" s="1389" t="s">
        <v>1489</v>
      </c>
      <c r="D20" s="1389"/>
      <c r="E20" s="1389"/>
      <c r="F20" s="1390"/>
    </row>
    <row r="21" spans="1:6" ht="20.100000000000001" customHeight="1" x14ac:dyDescent="0.25">
      <c r="A21" s="1388" t="s">
        <v>1463</v>
      </c>
      <c r="B21" s="1393">
        <v>42754</v>
      </c>
      <c r="C21" s="1389" t="s">
        <v>1489</v>
      </c>
      <c r="D21" s="1389"/>
      <c r="E21" s="1389"/>
      <c r="F21" s="1390"/>
    </row>
    <row r="22" spans="1:6" ht="35.25" customHeight="1" x14ac:dyDescent="0.25">
      <c r="A22" s="1388" t="s">
        <v>1464</v>
      </c>
      <c r="B22" s="1393">
        <v>42753</v>
      </c>
      <c r="C22" s="1546" t="s">
        <v>1479</v>
      </c>
      <c r="D22" s="1546"/>
      <c r="E22" s="1546"/>
      <c r="F22" s="1550"/>
    </row>
    <row r="23" spans="1:6" ht="27" customHeight="1" x14ac:dyDescent="0.25">
      <c r="A23" s="1388" t="s">
        <v>1465</v>
      </c>
      <c r="B23" s="1393">
        <v>42754</v>
      </c>
      <c r="C23" s="1546" t="s">
        <v>1491</v>
      </c>
      <c r="D23" s="1546"/>
      <c r="E23" s="1546"/>
      <c r="F23" s="1550"/>
    </row>
    <row r="24" spans="1:6" ht="20.100000000000001" customHeight="1" x14ac:dyDescent="0.25">
      <c r="A24" s="1388" t="s">
        <v>1466</v>
      </c>
      <c r="B24" s="1393">
        <v>42755</v>
      </c>
      <c r="C24" s="1389" t="s">
        <v>1490</v>
      </c>
      <c r="D24" s="1389"/>
      <c r="E24" s="1389"/>
      <c r="F24" s="1390"/>
    </row>
    <row r="25" spans="1:6" ht="20.100000000000001" customHeight="1" x14ac:dyDescent="0.3">
      <c r="A25" s="1388" t="s">
        <v>1467</v>
      </c>
      <c r="B25" s="1393">
        <v>42755</v>
      </c>
      <c r="C25" s="1389" t="s">
        <v>1480</v>
      </c>
      <c r="D25" s="1389"/>
      <c r="E25" s="1389"/>
      <c r="F25" s="1390"/>
    </row>
    <row r="26" spans="1:6" ht="20.100000000000001" customHeight="1" x14ac:dyDescent="0.3">
      <c r="A26" s="1388" t="s">
        <v>1468</v>
      </c>
      <c r="B26" s="1393">
        <v>42758</v>
      </c>
      <c r="C26" s="1389" t="s">
        <v>1485</v>
      </c>
      <c r="D26" s="1389"/>
      <c r="E26" s="1389"/>
      <c r="F26" s="1390"/>
    </row>
    <row r="27" spans="1:6" ht="20.100000000000001" customHeight="1" x14ac:dyDescent="0.3">
      <c r="A27" s="1388" t="s">
        <v>1469</v>
      </c>
      <c r="B27" s="1393">
        <v>42758</v>
      </c>
      <c r="C27" s="1389" t="s">
        <v>1481</v>
      </c>
      <c r="D27" s="1389"/>
      <c r="E27" s="1389"/>
      <c r="F27" s="1390"/>
    </row>
    <row r="28" spans="1:6" ht="20.100000000000001" customHeight="1" x14ac:dyDescent="0.3">
      <c r="A28" s="1388" t="s">
        <v>1470</v>
      </c>
      <c r="B28" s="1393">
        <v>42758</v>
      </c>
      <c r="C28" s="1389" t="s">
        <v>1483</v>
      </c>
      <c r="D28" s="1389"/>
      <c r="E28" s="1389"/>
      <c r="F28" s="1390"/>
    </row>
    <row r="29" spans="1:6" ht="20.100000000000001" customHeight="1" x14ac:dyDescent="0.3">
      <c r="A29" s="1388" t="s">
        <v>1471</v>
      </c>
      <c r="B29" s="1393">
        <v>42758</v>
      </c>
      <c r="C29" s="1389" t="s">
        <v>1484</v>
      </c>
      <c r="D29" s="1389"/>
      <c r="E29" s="1389"/>
      <c r="F29" s="1390"/>
    </row>
    <row r="30" spans="1:6" ht="20.100000000000001" customHeight="1" x14ac:dyDescent="0.3">
      <c r="A30" s="1388" t="s">
        <v>1472</v>
      </c>
      <c r="B30" s="1393">
        <v>42758</v>
      </c>
      <c r="C30" s="1389" t="s">
        <v>1486</v>
      </c>
      <c r="D30" s="1389"/>
      <c r="E30" s="1389"/>
      <c r="F30" s="1390"/>
    </row>
    <row r="31" spans="1:6" ht="33.75" customHeight="1" x14ac:dyDescent="0.3">
      <c r="A31" s="1388" t="s">
        <v>1473</v>
      </c>
      <c r="B31" s="1393">
        <v>42759</v>
      </c>
      <c r="C31" s="1546" t="s">
        <v>1482</v>
      </c>
      <c r="D31" s="1546"/>
      <c r="E31" s="1546"/>
      <c r="F31" s="1550"/>
    </row>
    <row r="32" spans="1:6" ht="29.25" customHeight="1" x14ac:dyDescent="0.3">
      <c r="A32" s="1388" t="s">
        <v>1474</v>
      </c>
      <c r="B32" s="1393">
        <v>42762</v>
      </c>
      <c r="C32" s="1545" t="s">
        <v>1570</v>
      </c>
      <c r="D32" s="1546"/>
      <c r="E32" s="1546"/>
      <c r="F32" s="1547"/>
    </row>
    <row r="33" spans="1:6" ht="27.75" customHeight="1" x14ac:dyDescent="0.3">
      <c r="A33" s="1388" t="s">
        <v>1563</v>
      </c>
      <c r="B33" s="1487">
        <v>42762</v>
      </c>
      <c r="C33" s="1545" t="s">
        <v>1569</v>
      </c>
      <c r="D33" s="1546"/>
      <c r="E33" s="1546"/>
      <c r="F33" s="1547"/>
    </row>
    <row r="34" spans="1:6" ht="33.75" customHeight="1" x14ac:dyDescent="0.3">
      <c r="A34" s="1384" t="s">
        <v>1564</v>
      </c>
      <c r="B34" s="1487">
        <v>42765</v>
      </c>
      <c r="C34" s="1545" t="s">
        <v>1568</v>
      </c>
      <c r="D34" s="1546"/>
      <c r="E34" s="1546"/>
      <c r="F34" s="1547"/>
    </row>
    <row r="35" spans="1:6" ht="21" customHeight="1" x14ac:dyDescent="0.3">
      <c r="A35" s="1384" t="s">
        <v>1565</v>
      </c>
      <c r="B35" s="1487">
        <v>42765</v>
      </c>
      <c r="C35" s="1548" t="s">
        <v>1571</v>
      </c>
      <c r="D35" s="1548"/>
      <c r="E35" s="1548"/>
      <c r="F35" s="1549"/>
    </row>
    <row r="36" spans="1:6" ht="18.75" customHeight="1" x14ac:dyDescent="0.3">
      <c r="A36" s="1384" t="s">
        <v>1566</v>
      </c>
      <c r="B36" s="1487">
        <v>42768</v>
      </c>
      <c r="C36" s="1548" t="s">
        <v>1567</v>
      </c>
      <c r="D36" s="1548"/>
      <c r="E36" s="1548"/>
      <c r="F36" s="1549"/>
    </row>
    <row r="37" spans="1:6" ht="28.5" customHeight="1" x14ac:dyDescent="0.3">
      <c r="A37" s="1388" t="s">
        <v>1600</v>
      </c>
      <c r="B37" s="1393">
        <v>42768</v>
      </c>
      <c r="C37" s="1545" t="s">
        <v>1601</v>
      </c>
      <c r="D37" s="1546"/>
      <c r="E37" s="1546"/>
      <c r="F37" s="1547"/>
    </row>
    <row r="38" spans="1:6" ht="28.5" customHeight="1" x14ac:dyDescent="0.3">
      <c r="A38" s="1384" t="s">
        <v>1613</v>
      </c>
      <c r="B38" s="1487">
        <v>42769</v>
      </c>
      <c r="C38" s="1545" t="s">
        <v>1615</v>
      </c>
      <c r="D38" s="1546"/>
      <c r="E38" s="1546"/>
      <c r="F38" s="1547"/>
    </row>
    <row r="39" spans="1:6" ht="24.75" customHeight="1" x14ac:dyDescent="0.3">
      <c r="A39" s="1384" t="s">
        <v>1614</v>
      </c>
      <c r="B39" s="1487">
        <v>42769</v>
      </c>
      <c r="C39" s="1548" t="s">
        <v>1616</v>
      </c>
      <c r="D39" s="1548"/>
      <c r="E39" s="1548"/>
      <c r="F39" s="1549"/>
    </row>
    <row r="40" spans="1:6" x14ac:dyDescent="0.3">
      <c r="A40" s="1384" t="s">
        <v>1618</v>
      </c>
      <c r="B40" s="1487">
        <v>42769</v>
      </c>
      <c r="C40" s="1548" t="s">
        <v>1619</v>
      </c>
      <c r="D40" s="1548"/>
      <c r="E40" s="1548"/>
      <c r="F40" s="1549"/>
    </row>
    <row r="41" spans="1:6" x14ac:dyDescent="0.3">
      <c r="A41" s="1384"/>
      <c r="B41" s="1165"/>
      <c r="C41" s="1548"/>
      <c r="D41" s="1548"/>
      <c r="E41" s="1548"/>
      <c r="F41" s="1549"/>
    </row>
    <row r="42" spans="1:6" x14ac:dyDescent="0.3">
      <c r="A42" s="1384"/>
      <c r="B42" s="1165"/>
      <c r="C42" s="1548"/>
      <c r="D42" s="1548"/>
      <c r="E42" s="1548"/>
      <c r="F42" s="1549"/>
    </row>
    <row r="43" spans="1:6" x14ac:dyDescent="0.3">
      <c r="A43" s="1384"/>
      <c r="B43" s="1165"/>
      <c r="C43" s="1548"/>
      <c r="D43" s="1548"/>
      <c r="E43" s="1548"/>
      <c r="F43" s="1549"/>
    </row>
    <row r="44" spans="1:6" x14ac:dyDescent="0.3">
      <c r="A44" s="1384"/>
      <c r="B44" s="1165"/>
      <c r="C44" s="1548"/>
      <c r="D44" s="1548"/>
      <c r="E44" s="1548"/>
      <c r="F44" s="1549"/>
    </row>
    <row r="45" spans="1:6" x14ac:dyDescent="0.3">
      <c r="A45" s="1384"/>
      <c r="B45" s="1165"/>
      <c r="C45" s="1548"/>
      <c r="D45" s="1548"/>
      <c r="E45" s="1548"/>
      <c r="F45" s="1549"/>
    </row>
    <row r="46" spans="1:6" x14ac:dyDescent="0.3">
      <c r="A46" s="1384"/>
      <c r="B46" s="1165"/>
      <c r="C46" s="1548"/>
      <c r="D46" s="1548"/>
      <c r="E46" s="1548"/>
      <c r="F46" s="1549"/>
    </row>
    <row r="47" spans="1:6" x14ac:dyDescent="0.3">
      <c r="A47" s="1384"/>
      <c r="B47" s="1165"/>
      <c r="C47" s="1548"/>
      <c r="D47" s="1548"/>
      <c r="E47" s="1548"/>
      <c r="F47" s="1549"/>
    </row>
    <row r="48" spans="1:6" x14ac:dyDescent="0.3">
      <c r="A48" s="1384"/>
      <c r="B48" s="1165"/>
      <c r="C48" s="1548"/>
      <c r="D48" s="1548"/>
      <c r="E48" s="1548"/>
      <c r="F48" s="1549"/>
    </row>
    <row r="49" spans="1:6" x14ac:dyDescent="0.3">
      <c r="A49" s="1384"/>
      <c r="B49" s="1165"/>
      <c r="C49" s="1548"/>
      <c r="D49" s="1548"/>
      <c r="E49" s="1548"/>
      <c r="F49" s="1549"/>
    </row>
    <row r="50" spans="1:6" x14ac:dyDescent="0.3">
      <c r="A50" s="1384"/>
      <c r="B50" s="1165"/>
      <c r="C50" s="1548"/>
      <c r="D50" s="1548"/>
      <c r="E50" s="1548"/>
      <c r="F50" s="1549"/>
    </row>
    <row r="51" spans="1:6" ht="15" thickBot="1" x14ac:dyDescent="0.35">
      <c r="A51" s="1391"/>
      <c r="B51" s="1394"/>
      <c r="C51" s="1552"/>
      <c r="D51" s="1552"/>
      <c r="E51" s="1552"/>
      <c r="F51" s="1553"/>
    </row>
    <row r="52" spans="1:6" x14ac:dyDescent="0.3">
      <c r="C52" s="1551"/>
      <c r="D52" s="1551"/>
      <c r="E52" s="1551"/>
      <c r="F52" s="1551"/>
    </row>
    <row r="53" spans="1:6" x14ac:dyDescent="0.3">
      <c r="C53" s="1551"/>
      <c r="D53" s="1551"/>
      <c r="E53" s="1551"/>
      <c r="F53" s="1551"/>
    </row>
    <row r="54" spans="1:6" x14ac:dyDescent="0.3">
      <c r="C54" s="1380"/>
      <c r="D54" s="1380"/>
      <c r="E54" s="1380"/>
      <c r="F54" s="1380"/>
    </row>
    <row r="55" spans="1:6" x14ac:dyDescent="0.3">
      <c r="C55" s="1380"/>
      <c r="D55" s="1380"/>
      <c r="E55" s="1380"/>
      <c r="F55" s="1380"/>
    </row>
    <row r="56" spans="1:6" x14ac:dyDescent="0.3">
      <c r="C56" s="1380"/>
      <c r="D56" s="1380"/>
      <c r="E56" s="1380"/>
      <c r="F56" s="1380"/>
    </row>
    <row r="57" spans="1:6" x14ac:dyDescent="0.3">
      <c r="C57" s="1380"/>
      <c r="D57" s="1380"/>
      <c r="E57" s="1380"/>
      <c r="F57" s="1380"/>
    </row>
  </sheetData>
  <mergeCells count="27">
    <mergeCell ref="C53:F53"/>
    <mergeCell ref="C23:F23"/>
    <mergeCell ref="C47:F47"/>
    <mergeCell ref="C48:F48"/>
    <mergeCell ref="C49:F49"/>
    <mergeCell ref="C50:F50"/>
    <mergeCell ref="C51:F51"/>
    <mergeCell ref="C52:F52"/>
    <mergeCell ref="C41:F41"/>
    <mergeCell ref="C42:F42"/>
    <mergeCell ref="C43:F43"/>
    <mergeCell ref="C44:F44"/>
    <mergeCell ref="C45:F45"/>
    <mergeCell ref="C46:F46"/>
    <mergeCell ref="C35:F35"/>
    <mergeCell ref="C36:F36"/>
    <mergeCell ref="C37:F37"/>
    <mergeCell ref="C38:F38"/>
    <mergeCell ref="C39:F39"/>
    <mergeCell ref="C40:F40"/>
    <mergeCell ref="C16:F16"/>
    <mergeCell ref="C17:F17"/>
    <mergeCell ref="C22:F22"/>
    <mergeCell ref="C31:F31"/>
    <mergeCell ref="C33:F33"/>
    <mergeCell ref="C34:F34"/>
    <mergeCell ref="C32:F3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E216"/>
  <sheetViews>
    <sheetView zoomScaleNormal="100" workbookViewId="0">
      <pane xSplit="3" ySplit="3" topLeftCell="D4" activePane="bottomRight" state="frozen"/>
      <selection activeCell="A164" sqref="A164:XFD164"/>
      <selection pane="topRight" activeCell="A164" sqref="A164:XFD164"/>
      <selection pane="bottomLeft" activeCell="A164" sqref="A164:XFD164"/>
      <selection pane="bottomRight" activeCell="G85" sqref="G85"/>
    </sheetView>
  </sheetViews>
  <sheetFormatPr defaultColWidth="9.109375" defaultRowHeight="10.199999999999999" outlineLevelRow="1" outlineLevelCol="1" x14ac:dyDescent="0.2"/>
  <cols>
    <col min="1" max="1" width="35.44140625" style="600" customWidth="1"/>
    <col min="2" max="2" width="12.6640625" style="599" hidden="1" customWidth="1" outlineLevel="1"/>
    <col min="3" max="3" width="11" style="599" hidden="1" customWidth="1" outlineLevel="1"/>
    <col min="4" max="4" width="10.109375" style="599" hidden="1" customWidth="1" outlineLevel="1" collapsed="1"/>
    <col min="5" max="5" width="9" style="599" customWidth="1" collapsed="1"/>
    <col min="6" max="6" width="10.109375" style="599" customWidth="1"/>
    <col min="7" max="7" width="9.5546875" style="599" bestFit="1" customWidth="1"/>
    <col min="8" max="8" width="9.88671875" style="599" bestFit="1" customWidth="1"/>
    <col min="9" max="9" width="9.5546875" style="599" bestFit="1" customWidth="1"/>
    <col min="10" max="11" width="10.109375" style="599" bestFit="1" customWidth="1"/>
    <col min="12" max="12" width="9.88671875" style="599" bestFit="1" customWidth="1"/>
    <col min="13" max="15" width="10.109375" style="599" bestFit="1" customWidth="1"/>
    <col min="16" max="16" width="9.88671875" style="599" customWidth="1"/>
    <col min="17" max="17" width="9.109375" style="599" customWidth="1"/>
    <col min="18" max="29" width="9.109375" style="599"/>
    <col min="30" max="30" width="49.6640625" style="599" bestFit="1" customWidth="1"/>
    <col min="31" max="31" width="10.6640625" style="599" bestFit="1" customWidth="1"/>
    <col min="32" max="16384" width="9.109375" style="599"/>
  </cols>
  <sheetData>
    <row r="1" spans="1:31" ht="12.75" x14ac:dyDescent="0.2">
      <c r="A1" s="1091" t="s">
        <v>1365</v>
      </c>
    </row>
    <row r="2" spans="1:31" ht="12" x14ac:dyDescent="0.2">
      <c r="A2" s="693" t="s">
        <v>80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31" ht="11.25" x14ac:dyDescent="0.2">
      <c r="A3" s="693" t="s">
        <v>73</v>
      </c>
      <c r="B3" s="741" t="s">
        <v>68</v>
      </c>
      <c r="C3" s="694" t="s">
        <v>0</v>
      </c>
      <c r="D3" s="694" t="s">
        <v>1</v>
      </c>
      <c r="E3" s="694" t="s">
        <v>2</v>
      </c>
      <c r="F3" s="694" t="s">
        <v>3</v>
      </c>
      <c r="G3" s="694" t="s">
        <v>4</v>
      </c>
      <c r="H3" s="694" t="s">
        <v>5</v>
      </c>
      <c r="I3" s="694" t="s">
        <v>6</v>
      </c>
      <c r="J3" s="694" t="s">
        <v>7</v>
      </c>
      <c r="K3" s="694" t="s">
        <v>8</v>
      </c>
      <c r="L3" s="694" t="s">
        <v>9</v>
      </c>
      <c r="M3" s="694" t="s">
        <v>514</v>
      </c>
      <c r="N3" s="694" t="s">
        <v>515</v>
      </c>
      <c r="O3" s="694" t="s">
        <v>904</v>
      </c>
      <c r="P3" s="694" t="s">
        <v>1046</v>
      </c>
    </row>
    <row r="4" spans="1:31" ht="11.25" hidden="1" outlineLevel="1" x14ac:dyDescent="0.2">
      <c r="A4" s="695" t="s">
        <v>906</v>
      </c>
      <c r="B4" s="696"/>
      <c r="C4" s="697"/>
      <c r="D4" s="698"/>
      <c r="E4" s="698"/>
      <c r="F4" s="699"/>
      <c r="G4" s="757">
        <f>(G11-F11)/F11</f>
        <v>5.6304998195541134E-2</v>
      </c>
      <c r="H4" s="757">
        <f t="shared" ref="H4:P4" si="0">(H11-G11)/G11</f>
        <v>3.3539015243872705E-2</v>
      </c>
      <c r="I4" s="757">
        <f t="shared" si="0"/>
        <v>4.2864734533570065E-2</v>
      </c>
      <c r="J4" s="757">
        <f t="shared" si="0"/>
        <v>2.7375956760284155E-2</v>
      </c>
      <c r="K4" s="757">
        <f t="shared" si="0"/>
        <v>2.4999999999999908E-2</v>
      </c>
      <c r="L4" s="757">
        <f t="shared" si="0"/>
        <v>2.4999999999999984E-2</v>
      </c>
      <c r="M4" s="757">
        <f t="shared" si="0"/>
        <v>2.4999999999999835E-2</v>
      </c>
      <c r="N4" s="757">
        <f t="shared" si="0"/>
        <v>2.4999999999999904E-2</v>
      </c>
      <c r="O4" s="757">
        <f t="shared" si="0"/>
        <v>2.4999999999999852E-2</v>
      </c>
      <c r="P4" s="757">
        <f t="shared" si="0"/>
        <v>2.4999999999999918E-2</v>
      </c>
      <c r="R4" s="599" t="s">
        <v>1042</v>
      </c>
      <c r="AD4" s="601" t="s">
        <v>10</v>
      </c>
    </row>
    <row r="5" spans="1:31" s="603" customFormat="1" ht="13.5" hidden="1" customHeight="1" outlineLevel="1" x14ac:dyDescent="0.2">
      <c r="A5" s="700" t="s">
        <v>1113</v>
      </c>
      <c r="B5" s="701"/>
      <c r="C5" s="702"/>
      <c r="D5" s="703"/>
      <c r="E5" s="703"/>
      <c r="F5" s="703"/>
      <c r="G5" s="704"/>
      <c r="H5" s="745"/>
      <c r="I5" s="745"/>
      <c r="J5" s="818">
        <f>J24/('GF &amp; FF  Bal Sheet'!I32+'GF &amp; FF  Bal Sheet'!I26)</f>
        <v>4.6680725343427758E-2</v>
      </c>
      <c r="K5" s="745"/>
      <c r="L5" s="745"/>
      <c r="M5" s="745"/>
      <c r="N5" s="745"/>
      <c r="O5" s="745"/>
      <c r="P5" s="745"/>
      <c r="R5" s="603" t="s">
        <v>1043</v>
      </c>
      <c r="AD5" s="602"/>
    </row>
    <row r="6" spans="1:31" s="603" customFormat="1" ht="13.5" hidden="1" customHeight="1" outlineLevel="1" x14ac:dyDescent="0.2">
      <c r="A6" s="700" t="s">
        <v>1076</v>
      </c>
      <c r="B6" s="701"/>
      <c r="C6" s="702"/>
      <c r="D6" s="703"/>
      <c r="E6" s="703"/>
      <c r="F6" s="703"/>
      <c r="G6" s="812">
        <v>12660.767</v>
      </c>
      <c r="H6" s="716">
        <v>12980.338</v>
      </c>
      <c r="I6" s="716">
        <v>13278.694</v>
      </c>
      <c r="J6" s="746">
        <v>13588.244000000001</v>
      </c>
      <c r="K6" s="745"/>
      <c r="L6" s="745"/>
      <c r="M6" s="745"/>
      <c r="N6" s="745"/>
      <c r="O6" s="745"/>
      <c r="P6" s="745"/>
      <c r="AD6" s="602"/>
    </row>
    <row r="7" spans="1:31" s="603" customFormat="1" ht="17.25" hidden="1" customHeight="1" outlineLevel="1" x14ac:dyDescent="0.2">
      <c r="A7" s="700" t="s">
        <v>1075</v>
      </c>
      <c r="B7" s="701"/>
      <c r="C7" s="702"/>
      <c r="D7" s="703"/>
      <c r="E7" s="703"/>
      <c r="F7" s="776">
        <v>2020</v>
      </c>
      <c r="G7" s="812">
        <v>2124.6749999999997</v>
      </c>
      <c r="H7" s="711">
        <v>2170.4029999999998</v>
      </c>
      <c r="I7" s="711">
        <v>2214.7129999999997</v>
      </c>
      <c r="J7" s="813">
        <v>2115.9480000000003</v>
      </c>
      <c r="K7" s="711"/>
      <c r="L7" s="711"/>
      <c r="M7" s="711"/>
      <c r="N7" s="711"/>
      <c r="O7" s="711"/>
      <c r="P7" s="711"/>
      <c r="AD7" s="602"/>
    </row>
    <row r="8" spans="1:31" s="603" customFormat="1" ht="17.25" customHeight="1" collapsed="1" x14ac:dyDescent="0.2">
      <c r="A8" s="700"/>
      <c r="B8" s="701"/>
      <c r="C8" s="702"/>
      <c r="D8" s="703"/>
      <c r="E8" s="703"/>
      <c r="F8" s="776"/>
      <c r="G8" s="704"/>
      <c r="H8" s="711"/>
      <c r="I8" s="711"/>
      <c r="K8" s="711"/>
      <c r="L8" s="711"/>
      <c r="M8" s="711"/>
      <c r="N8" s="711"/>
      <c r="O8" s="711"/>
      <c r="P8" s="711"/>
      <c r="AD8" s="602"/>
    </row>
    <row r="9" spans="1:31" ht="11.25" x14ac:dyDescent="0.2">
      <c r="A9" s="705" t="s">
        <v>61</v>
      </c>
      <c r="B9" s="706"/>
      <c r="C9" s="706"/>
      <c r="D9" s="702"/>
      <c r="E9" s="707"/>
      <c r="F9" s="707"/>
      <c r="G9" s="707"/>
      <c r="AD9" s="599" t="s">
        <v>11</v>
      </c>
      <c r="AE9" s="606">
        <f>+D11</f>
        <v>0</v>
      </c>
    </row>
    <row r="10" spans="1:31" ht="11.25" x14ac:dyDescent="0.2">
      <c r="A10" s="708" t="s">
        <v>62</v>
      </c>
      <c r="B10" s="709"/>
      <c r="C10" s="709"/>
      <c r="D10" s="710"/>
      <c r="E10" s="710"/>
      <c r="F10" s="711"/>
      <c r="G10" s="711"/>
      <c r="AE10" s="606"/>
    </row>
    <row r="11" spans="1:31" ht="11.25" x14ac:dyDescent="0.2">
      <c r="A11" s="700" t="s">
        <v>11</v>
      </c>
      <c r="B11" s="712"/>
      <c r="C11" s="712"/>
      <c r="D11" s="707"/>
      <c r="E11" s="707">
        <f>11625+2065</f>
        <v>13690</v>
      </c>
      <c r="F11" s="713">
        <f>'Future Fund  Inc Exp Statement'!F11+'Gen Fund  Inc Exp Statement'!F12</f>
        <v>14450.315000000001</v>
      </c>
      <c r="G11" s="713">
        <f>'Future Fund  Inc Exp Statement'!G11+'Gen Fund  Inc Exp Statement'!G12</f>
        <v>15263.939960000002</v>
      </c>
      <c r="H11" s="713">
        <f>'Future Fund  Inc Exp Statement'!H11+'Gen Fund  Inc Exp Statement'!H12</f>
        <v>15775.877474999999</v>
      </c>
      <c r="I11" s="713">
        <f>'Future Fund  Inc Exp Statement'!I11+'Gen Fund  Inc Exp Statement'!I12</f>
        <v>16452.106275000002</v>
      </c>
      <c r="J11" s="713">
        <f>'Future Fund  Inc Exp Statement'!J11+'Gen Fund  Inc Exp Statement'!J12</f>
        <v>16902.498425000002</v>
      </c>
      <c r="K11" s="713">
        <f>'Future Fund  Inc Exp Statement'!K11+'Gen Fund  Inc Exp Statement'!K12</f>
        <v>17325.060885625</v>
      </c>
      <c r="L11" s="713">
        <f>'Future Fund  Inc Exp Statement'!L11+'Gen Fund  Inc Exp Statement'!L12</f>
        <v>17758.187407765625</v>
      </c>
      <c r="M11" s="713">
        <f>'Future Fund  Inc Exp Statement'!M11+'Gen Fund  Inc Exp Statement'!M12</f>
        <v>18202.142092959763</v>
      </c>
      <c r="N11" s="713">
        <f>'Future Fund  Inc Exp Statement'!N11+'Gen Fund  Inc Exp Statement'!N12</f>
        <v>18657.195645283755</v>
      </c>
      <c r="O11" s="713">
        <f>'Future Fund  Inc Exp Statement'!O11+'Gen Fund  Inc Exp Statement'!O12</f>
        <v>19123.625536415846</v>
      </c>
      <c r="P11" s="713">
        <f>'Future Fund  Inc Exp Statement'!P11+'Gen Fund  Inc Exp Statement'!P12</f>
        <v>19601.716174826241</v>
      </c>
      <c r="AD11" s="599" t="s">
        <v>12</v>
      </c>
      <c r="AE11" s="606">
        <f t="shared" ref="AE11:AE15" si="1">+D12</f>
        <v>0</v>
      </c>
    </row>
    <row r="12" spans="1:31" ht="11.25" x14ac:dyDescent="0.2">
      <c r="A12" s="695" t="s">
        <v>12</v>
      </c>
      <c r="B12" s="714"/>
      <c r="C12" s="714"/>
      <c r="D12" s="715"/>
      <c r="E12" s="715">
        <f>9+7634</f>
        <v>7643</v>
      </c>
      <c r="F12" s="713">
        <f>'Future Fund  Inc Exp Statement'!F12+'Gen Fund  Inc Exp Statement'!F13</f>
        <v>9486.969000000001</v>
      </c>
      <c r="G12" s="713">
        <f>'Future Fund  Inc Exp Statement'!G12+'Gen Fund  Inc Exp Statement'!G13</f>
        <v>9897.5250000000015</v>
      </c>
      <c r="H12" s="713">
        <f>'Future Fund  Inc Exp Statement'!H12+'Gen Fund  Inc Exp Statement'!H13</f>
        <v>10068</v>
      </c>
      <c r="I12" s="713">
        <f>'Future Fund  Inc Exp Statement'!I12+'Gen Fund  Inc Exp Statement'!I13</f>
        <v>10252.253000000001</v>
      </c>
      <c r="J12" s="713">
        <f>'Future Fund  Inc Exp Statement'!J12+'Gen Fund  Inc Exp Statement'!J13</f>
        <v>10485.2922</v>
      </c>
      <c r="K12" s="713">
        <f>'Future Fund  Inc Exp Statement'!K12+'Gen Fund  Inc Exp Statement'!K13</f>
        <v>10694.998044</v>
      </c>
      <c r="L12" s="713">
        <f>'Future Fund  Inc Exp Statement'!L12+'Gen Fund  Inc Exp Statement'!L13</f>
        <v>10908.89800488</v>
      </c>
      <c r="M12" s="713">
        <f>'Future Fund  Inc Exp Statement'!M12+'Gen Fund  Inc Exp Statement'!M13</f>
        <v>11127.075964977601</v>
      </c>
      <c r="N12" s="713">
        <f>'Future Fund  Inc Exp Statement'!N12+'Gen Fund  Inc Exp Statement'!N13</f>
        <v>11349.617484277152</v>
      </c>
      <c r="O12" s="713">
        <f>'Future Fund  Inc Exp Statement'!O12+'Gen Fund  Inc Exp Statement'!O13</f>
        <v>11576.609833962695</v>
      </c>
      <c r="P12" s="713">
        <f>'Future Fund  Inc Exp Statement'!P12+'Gen Fund  Inc Exp Statement'!P13</f>
        <v>11808.14203064195</v>
      </c>
      <c r="AD12" s="599" t="s">
        <v>13</v>
      </c>
      <c r="AE12" s="606">
        <f t="shared" si="1"/>
        <v>0</v>
      </c>
    </row>
    <row r="13" spans="1:31" s="603" customFormat="1" ht="11.25" x14ac:dyDescent="0.2">
      <c r="A13" s="700" t="s">
        <v>13</v>
      </c>
      <c r="B13" s="712"/>
      <c r="C13" s="712"/>
      <c r="D13" s="707"/>
      <c r="E13" s="707">
        <f>11+1042</f>
        <v>1053</v>
      </c>
      <c r="F13" s="713">
        <f>'Future Fund  Inc Exp Statement'!F13+'Gen Fund  Inc Exp Statement'!F14</f>
        <v>931.5</v>
      </c>
      <c r="G13" s="713">
        <f>'Future Fund  Inc Exp Statement'!G13+'Gen Fund  Inc Exp Statement'!G14</f>
        <v>938.20899999999995</v>
      </c>
      <c r="H13" s="713">
        <f>'Future Fund  Inc Exp Statement'!H13+'Gen Fund  Inc Exp Statement'!H14</f>
        <v>947.19299999999998</v>
      </c>
      <c r="I13" s="713">
        <f>'Future Fund  Inc Exp Statement'!I13+'Gen Fund  Inc Exp Statement'!I14</f>
        <v>956.88900000000001</v>
      </c>
      <c r="J13" s="713">
        <f>'Future Fund  Inc Exp Statement'!J13+'Gen Fund  Inc Exp Statement'!J14</f>
        <v>965.43299999999999</v>
      </c>
      <c r="K13" s="713">
        <f>'Future Fund  Inc Exp Statement'!K13+'Gen Fund  Inc Exp Statement'!K14</f>
        <v>665.95123412236012</v>
      </c>
      <c r="L13" s="713">
        <f>'Future Fund  Inc Exp Statement'!L13+'Gen Fund  Inc Exp Statement'!L14</f>
        <v>667.94846667024865</v>
      </c>
      <c r="M13" s="713">
        <f>'Future Fund  Inc Exp Statement'!M13+'Gen Fund  Inc Exp Statement'!M14</f>
        <v>672.94786350282743</v>
      </c>
      <c r="N13" s="713">
        <f>'Future Fund  Inc Exp Statement'!N13+'Gen Fund  Inc Exp Statement'!N14</f>
        <v>692.51450252355767</v>
      </c>
      <c r="O13" s="713">
        <f>'Future Fund  Inc Exp Statement'!O13+'Gen Fund  Inc Exp Statement'!O14</f>
        <v>706.94833283437345</v>
      </c>
      <c r="P13" s="713">
        <f>'Future Fund  Inc Exp Statement'!P13+'Gen Fund  Inc Exp Statement'!P14</f>
        <v>721.43375179095733</v>
      </c>
      <c r="AD13" s="603" t="s">
        <v>14</v>
      </c>
      <c r="AE13" s="605">
        <f t="shared" si="1"/>
        <v>0</v>
      </c>
    </row>
    <row r="14" spans="1:31" ht="11.25" x14ac:dyDescent="0.2">
      <c r="A14" s="695" t="s">
        <v>14</v>
      </c>
      <c r="B14" s="714"/>
      <c r="C14" s="714"/>
      <c r="D14" s="715"/>
      <c r="E14" s="715">
        <f>1018</f>
        <v>1018</v>
      </c>
      <c r="F14" s="713">
        <f>'Future Fund  Inc Exp Statement'!F14+'Gen Fund  Inc Exp Statement'!F15</f>
        <v>2424.5369999999998</v>
      </c>
      <c r="G14" s="713">
        <f>'Future Fund  Inc Exp Statement'!G14+'Gen Fund  Inc Exp Statement'!G15</f>
        <v>2409.788</v>
      </c>
      <c r="H14" s="713">
        <f>'Future Fund  Inc Exp Statement'!H14+'Gen Fund  Inc Exp Statement'!H15</f>
        <v>2463.8040000000001</v>
      </c>
      <c r="I14" s="713">
        <f>'Future Fund  Inc Exp Statement'!I14+'Gen Fund  Inc Exp Statement'!I15</f>
        <v>2520.3789999999999</v>
      </c>
      <c r="J14" s="713">
        <f>'Future Fund  Inc Exp Statement'!J14+'Gen Fund  Inc Exp Statement'!J15</f>
        <v>2578.0160000000001</v>
      </c>
      <c r="K14" s="713">
        <f>'Future Fund  Inc Exp Statement'!K14+'Gen Fund  Inc Exp Statement'!K15</f>
        <v>2629.5763200000001</v>
      </c>
      <c r="L14" s="713">
        <f>'Future Fund  Inc Exp Statement'!L14+'Gen Fund  Inc Exp Statement'!L15</f>
        <v>2682.1678464000001</v>
      </c>
      <c r="M14" s="713">
        <f>'Future Fund  Inc Exp Statement'!M14+'Gen Fund  Inc Exp Statement'!M15</f>
        <v>2735.8112033280004</v>
      </c>
      <c r="N14" s="713">
        <f>'Future Fund  Inc Exp Statement'!N14+'Gen Fund  Inc Exp Statement'!N15</f>
        <v>2790.5274273945606</v>
      </c>
      <c r="O14" s="713">
        <f>'Future Fund  Inc Exp Statement'!O14+'Gen Fund  Inc Exp Statement'!O15</f>
        <v>2846.337975942452</v>
      </c>
      <c r="P14" s="713">
        <f>'Future Fund  Inc Exp Statement'!P14+'Gen Fund  Inc Exp Statement'!P15</f>
        <v>2903.2647354613009</v>
      </c>
      <c r="AD14" s="599" t="s">
        <v>15</v>
      </c>
      <c r="AE14" s="606">
        <f t="shared" si="1"/>
        <v>0</v>
      </c>
    </row>
    <row r="15" spans="1:31" ht="12.75" customHeight="1" x14ac:dyDescent="0.2">
      <c r="A15" s="695" t="s">
        <v>15</v>
      </c>
      <c r="B15" s="714"/>
      <c r="C15" s="714"/>
      <c r="D15" s="715"/>
      <c r="E15" s="715">
        <f>32+8921</f>
        <v>8953</v>
      </c>
      <c r="F15" s="713">
        <f>'Future Fund  Inc Exp Statement'!F15+'Gen Fund  Inc Exp Statement'!F16</f>
        <v>6174.7439999999997</v>
      </c>
      <c r="G15" s="713">
        <f>'Future Fund  Inc Exp Statement'!G15+'Gen Fund  Inc Exp Statement'!G16</f>
        <v>5450.8890000000001</v>
      </c>
      <c r="H15" s="713">
        <f>'Future Fund  Inc Exp Statement'!H15+'Gen Fund  Inc Exp Statement'!H16</f>
        <v>5547.3509999999997</v>
      </c>
      <c r="I15" s="713">
        <f>'Future Fund  Inc Exp Statement'!I15+'Gen Fund  Inc Exp Statement'!I16</f>
        <v>5643.5889999999999</v>
      </c>
      <c r="J15" s="713">
        <f>'Future Fund  Inc Exp Statement'!J15+'Gen Fund  Inc Exp Statement'!J16</f>
        <v>5741.7657600000002</v>
      </c>
      <c r="K15" s="713">
        <f>'Future Fund  Inc Exp Statement'!K15+'Gen Fund  Inc Exp Statement'!K16</f>
        <v>5885.3099039999997</v>
      </c>
      <c r="L15" s="713">
        <f>'Future Fund  Inc Exp Statement'!L15+'Gen Fund  Inc Exp Statement'!L16</f>
        <v>6032.4426515999994</v>
      </c>
      <c r="M15" s="713">
        <f>'Future Fund  Inc Exp Statement'!M15+'Gen Fund  Inc Exp Statement'!M16</f>
        <v>6183.2537178899993</v>
      </c>
      <c r="N15" s="713">
        <f>'Future Fund  Inc Exp Statement'!N15+'Gen Fund  Inc Exp Statement'!N16</f>
        <v>6337.8350608372484</v>
      </c>
      <c r="O15" s="713">
        <f>'Future Fund  Inc Exp Statement'!O15+'Gen Fund  Inc Exp Statement'!O16</f>
        <v>6496.2809373581795</v>
      </c>
      <c r="P15" s="713">
        <f>'Future Fund  Inc Exp Statement'!P15+'Gen Fund  Inc Exp Statement'!P16</f>
        <v>6658.6879607921337</v>
      </c>
      <c r="AD15" s="599" t="s">
        <v>18</v>
      </c>
      <c r="AE15" s="606">
        <f t="shared" si="1"/>
        <v>0</v>
      </c>
    </row>
    <row r="16" spans="1:31" ht="11.25" customHeight="1" x14ac:dyDescent="0.2">
      <c r="A16" s="695" t="s">
        <v>18</v>
      </c>
      <c r="B16" s="714"/>
      <c r="C16" s="714"/>
      <c r="D16" s="715"/>
      <c r="E16" s="715">
        <f>14459</f>
        <v>14459</v>
      </c>
      <c r="F16" s="713">
        <f>'Future Fund  Inc Exp Statement'!F16+'Gen Fund  Inc Exp Statement'!F17</f>
        <v>2898.0070000000001</v>
      </c>
      <c r="G16" s="713">
        <f>'Future Fund  Inc Exp Statement'!G16+'Gen Fund  Inc Exp Statement'!G17</f>
        <v>3787.9670000000001</v>
      </c>
      <c r="H16" s="713">
        <f>'Future Fund  Inc Exp Statement'!H16+'Gen Fund  Inc Exp Statement'!H17</f>
        <v>3844.3710099999998</v>
      </c>
      <c r="I16" s="713">
        <f>'Future Fund  Inc Exp Statement'!I16+'Gen Fund  Inc Exp Statement'!I17</f>
        <v>3902.4590153000004</v>
      </c>
      <c r="J16" s="713">
        <f>'Future Fund  Inc Exp Statement'!J16+'Gen Fund  Inc Exp Statement'!J17</f>
        <v>3962.2813326340001</v>
      </c>
      <c r="K16" s="713">
        <f>'Future Fund  Inc Exp Statement'!K16+'Gen Fund  Inc Exp Statement'!K17</f>
        <v>4061.33836594985</v>
      </c>
      <c r="L16" s="713">
        <f>'Future Fund  Inc Exp Statement'!L16+'Gen Fund  Inc Exp Statement'!L17</f>
        <v>4162.8718250985949</v>
      </c>
      <c r="M16" s="713">
        <f>'Future Fund  Inc Exp Statement'!M16+'Gen Fund  Inc Exp Statement'!M17</f>
        <v>4266.9436207260605</v>
      </c>
      <c r="N16" s="713">
        <f>'Future Fund  Inc Exp Statement'!N16+'Gen Fund  Inc Exp Statement'!N17</f>
        <v>4373.6172112442109</v>
      </c>
      <c r="O16" s="713">
        <f>'Future Fund  Inc Exp Statement'!O16+'Gen Fund  Inc Exp Statement'!O17</f>
        <v>4482.9576415253168</v>
      </c>
      <c r="P16" s="713">
        <f>'Future Fund  Inc Exp Statement'!P16+'Gen Fund  Inc Exp Statement'!P17</f>
        <v>4595.0315825634489</v>
      </c>
      <c r="AD16" s="599" t="s">
        <v>21</v>
      </c>
      <c r="AE16" s="606">
        <f>+D19</f>
        <v>0</v>
      </c>
    </row>
    <row r="17" spans="1:31" ht="11.25" customHeight="1" x14ac:dyDescent="0.2">
      <c r="A17" s="1149" t="s">
        <v>1180</v>
      </c>
      <c r="B17" s="714"/>
      <c r="C17" s="714"/>
      <c r="D17" s="715"/>
      <c r="E17" s="715"/>
      <c r="F17" s="713">
        <f>'Future Fund  Inc Exp Statement'!F17+'Gen Fund  Inc Exp Statement'!F18</f>
        <v>4783.3530000000001</v>
      </c>
      <c r="G17" s="713">
        <f>'Future Fund  Inc Exp Statement'!G17+'Gen Fund  Inc Exp Statement'!G18</f>
        <v>5059.8519999999999</v>
      </c>
      <c r="H17" s="713">
        <f>'Future Fund  Inc Exp Statement'!H17+'Gen Fund  Inc Exp Statement'!H18</f>
        <v>5239.6229999999996</v>
      </c>
      <c r="I17" s="713">
        <f>'Future Fund  Inc Exp Statement'!I17+'Gen Fund  Inc Exp Statement'!I18</f>
        <v>5419.1779999999999</v>
      </c>
      <c r="J17" s="713">
        <f>'Future Fund  Inc Exp Statement'!J17+'Gen Fund  Inc Exp Statement'!J18</f>
        <v>5456.5190000000002</v>
      </c>
      <c r="K17" s="713">
        <f>'Future Fund  Inc Exp Statement'!K17+'Gen Fund  Inc Exp Statement'!K18</f>
        <v>5565.6493800000007</v>
      </c>
      <c r="L17" s="713">
        <f>'Future Fund  Inc Exp Statement'!L17+'Gen Fund  Inc Exp Statement'!L18</f>
        <v>5676.962367600001</v>
      </c>
      <c r="M17" s="713">
        <f>'Future Fund  Inc Exp Statement'!M17+'Gen Fund  Inc Exp Statement'!M18</f>
        <v>5790.5016149520015</v>
      </c>
      <c r="N17" s="713">
        <f>'Future Fund  Inc Exp Statement'!N17+'Gen Fund  Inc Exp Statement'!N18</f>
        <v>5906.3116472510419</v>
      </c>
      <c r="O17" s="713">
        <f>'Future Fund  Inc Exp Statement'!O17+'Gen Fund  Inc Exp Statement'!O18</f>
        <v>6024.4378801960629</v>
      </c>
      <c r="P17" s="713">
        <f>'Future Fund  Inc Exp Statement'!P17+'Gen Fund  Inc Exp Statement'!P18</f>
        <v>6144.9266377999838</v>
      </c>
      <c r="AE17" s="606"/>
    </row>
    <row r="18" spans="1:31" ht="11.25" x14ac:dyDescent="0.2">
      <c r="A18" s="708" t="s">
        <v>63</v>
      </c>
      <c r="B18" s="714"/>
      <c r="C18" s="714"/>
      <c r="D18" s="715"/>
      <c r="E18" s="715"/>
      <c r="F18" s="715"/>
      <c r="G18" s="715"/>
      <c r="H18" s="715"/>
      <c r="I18" s="715"/>
      <c r="J18" s="711"/>
      <c r="K18" s="711"/>
      <c r="L18" s="711"/>
      <c r="M18" s="711"/>
      <c r="N18" s="711"/>
      <c r="O18" s="711"/>
      <c r="P18" s="711"/>
      <c r="AE18" s="606"/>
    </row>
    <row r="19" spans="1:31" ht="11.25" x14ac:dyDescent="0.2">
      <c r="A19" s="758" t="s">
        <v>74</v>
      </c>
      <c r="B19" s="718"/>
      <c r="C19" s="718"/>
      <c r="D19" s="707"/>
      <c r="E19" s="711">
        <v>-5</v>
      </c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609"/>
      <c r="AD19" s="599" t="s">
        <v>22</v>
      </c>
      <c r="AE19" s="606">
        <f>+D63</f>
        <v>0</v>
      </c>
    </row>
    <row r="20" spans="1:31" ht="11.25" x14ac:dyDescent="0.2">
      <c r="A20" s="758" t="s">
        <v>1047</v>
      </c>
      <c r="B20" s="718"/>
      <c r="C20" s="718"/>
      <c r="D20" s="707"/>
      <c r="E20" s="711">
        <v>2</v>
      </c>
      <c r="F20" s="711"/>
      <c r="G20" s="711"/>
      <c r="H20" s="711"/>
      <c r="I20" s="711"/>
      <c r="J20" s="711"/>
      <c r="K20" s="711"/>
      <c r="L20" s="711"/>
      <c r="M20" s="711"/>
      <c r="N20" s="711"/>
      <c r="O20" s="711"/>
      <c r="P20" s="711"/>
      <c r="Q20" s="609"/>
      <c r="AE20" s="606"/>
    </row>
    <row r="21" spans="1:31" s="611" customFormat="1" ht="11.25" x14ac:dyDescent="0.2">
      <c r="A21" s="759" t="s">
        <v>64</v>
      </c>
      <c r="B21" s="719">
        <f>SUM(B11:B19)</f>
        <v>0</v>
      </c>
      <c r="C21" s="719">
        <f>SUM(C11:C19)</f>
        <v>0</v>
      </c>
      <c r="D21" s="719">
        <f>SUM(D11:D20)</f>
        <v>0</v>
      </c>
      <c r="E21" s="719">
        <f t="shared" ref="E21:P21" si="2">SUM(E11:E20)</f>
        <v>46813</v>
      </c>
      <c r="F21" s="719">
        <f t="shared" si="2"/>
        <v>41149.425000000003</v>
      </c>
      <c r="G21" s="719">
        <f t="shared" si="2"/>
        <v>42808.169959999999</v>
      </c>
      <c r="H21" s="719">
        <f t="shared" si="2"/>
        <v>43886.219485000001</v>
      </c>
      <c r="I21" s="719">
        <f t="shared" si="2"/>
        <v>45146.853290300001</v>
      </c>
      <c r="J21" s="719">
        <f t="shared" si="2"/>
        <v>46091.805717634008</v>
      </c>
      <c r="K21" s="719">
        <f t="shared" si="2"/>
        <v>46827.884133697211</v>
      </c>
      <c r="L21" s="719">
        <f t="shared" si="2"/>
        <v>47889.478570014471</v>
      </c>
      <c r="M21" s="719">
        <f t="shared" si="2"/>
        <v>48978.676078336255</v>
      </c>
      <c r="N21" s="719">
        <f t="shared" si="2"/>
        <v>50107.61897881153</v>
      </c>
      <c r="O21" s="719">
        <f t="shared" si="2"/>
        <v>51257.198138234926</v>
      </c>
      <c r="P21" s="719">
        <f t="shared" si="2"/>
        <v>52433.202873876013</v>
      </c>
      <c r="AD21" s="612" t="s">
        <v>23</v>
      </c>
      <c r="AE21" s="613">
        <f>SUM(AE9:AE19)</f>
        <v>0</v>
      </c>
    </row>
    <row r="22" spans="1:31" ht="11.25" x14ac:dyDescent="0.2">
      <c r="A22" s="705" t="s">
        <v>65</v>
      </c>
      <c r="B22" s="714"/>
      <c r="C22" s="714"/>
      <c r="D22" s="710"/>
      <c r="E22" s="710"/>
      <c r="F22" s="710"/>
      <c r="G22" s="710"/>
      <c r="H22" s="710"/>
      <c r="I22" s="710"/>
      <c r="J22" s="710"/>
      <c r="K22" s="711"/>
      <c r="L22" s="711"/>
      <c r="M22" s="711"/>
      <c r="N22" s="711"/>
      <c r="O22" s="711"/>
      <c r="P22" s="711"/>
      <c r="AD22" s="601" t="s">
        <v>24</v>
      </c>
    </row>
    <row r="23" spans="1:31" ht="11.25" x14ac:dyDescent="0.2">
      <c r="A23" s="695" t="s">
        <v>25</v>
      </c>
      <c r="B23" s="714"/>
      <c r="C23" s="714"/>
      <c r="D23" s="715"/>
      <c r="E23" s="715">
        <f>84+10896</f>
        <v>10980</v>
      </c>
      <c r="F23" s="715">
        <f>'Future Fund  Inc Exp Statement'!F23+'Gen Fund  Inc Exp Statement'!F24</f>
        <v>11311.316000000001</v>
      </c>
      <c r="G23" s="715">
        <f>'Future Fund  Inc Exp Statement'!G23+'Gen Fund  Inc Exp Statement'!G24</f>
        <v>11644.458000000001</v>
      </c>
      <c r="H23" s="715">
        <f>'Future Fund  Inc Exp Statement'!H23+'Gen Fund  Inc Exp Statement'!H24</f>
        <v>12065.505999999999</v>
      </c>
      <c r="I23" s="715">
        <f>'Future Fund  Inc Exp Statement'!I23+'Gen Fund  Inc Exp Statement'!I24</f>
        <v>12400.875</v>
      </c>
      <c r="J23" s="715">
        <f>'Future Fund  Inc Exp Statement'!J23+'Gen Fund  Inc Exp Statement'!J24</f>
        <v>12761.976000000001</v>
      </c>
      <c r="K23" s="715">
        <f>'Future Fund  Inc Exp Statement'!K23+'Gen Fund  Inc Exp Statement'!K24</f>
        <v>13144.835280000001</v>
      </c>
      <c r="L23" s="715">
        <f>'Future Fund  Inc Exp Statement'!L23+'Gen Fund  Inc Exp Statement'!L24</f>
        <v>13539.180338400003</v>
      </c>
      <c r="M23" s="715">
        <f>'Future Fund  Inc Exp Statement'!M23+'Gen Fund  Inc Exp Statement'!M24</f>
        <v>13945.355748552003</v>
      </c>
      <c r="N23" s="715">
        <f>'Future Fund  Inc Exp Statement'!N23+'Gen Fund  Inc Exp Statement'!N24</f>
        <v>14363.716421008563</v>
      </c>
      <c r="O23" s="715">
        <f>'Future Fund  Inc Exp Statement'!O23+'Gen Fund  Inc Exp Statement'!O24</f>
        <v>14794.627913638822</v>
      </c>
      <c r="P23" s="715">
        <f>'Future Fund  Inc Exp Statement'!P23+'Gen Fund  Inc Exp Statement'!P24</f>
        <v>15238.466751047987</v>
      </c>
      <c r="AD23" s="599" t="s">
        <v>25</v>
      </c>
      <c r="AE23" s="606">
        <f>+D23</f>
        <v>0</v>
      </c>
    </row>
    <row r="24" spans="1:31" ht="11.25" x14ac:dyDescent="0.2">
      <c r="A24" s="695" t="s">
        <v>926</v>
      </c>
      <c r="B24" s="714"/>
      <c r="C24" s="714"/>
      <c r="D24" s="715"/>
      <c r="E24" s="715">
        <f>743</f>
        <v>743</v>
      </c>
      <c r="F24" s="715">
        <f>'Future Fund  Inc Exp Statement'!F24+'Gen Fund  Inc Exp Statement'!F25</f>
        <v>1500.3620000000001</v>
      </c>
      <c r="G24" s="715">
        <f>'Future Fund  Inc Exp Statement'!G24+'Gen Fund  Inc Exp Statement'!G25</f>
        <v>1497.172</v>
      </c>
      <c r="H24" s="715">
        <f>'Future Fund  Inc Exp Statement'!H24+'Gen Fund  Inc Exp Statement'!H25</f>
        <v>1494.3220000000001</v>
      </c>
      <c r="I24" s="715">
        <f>'Future Fund  Inc Exp Statement'!I24+'Gen Fund  Inc Exp Statement'!I25</f>
        <v>1491.566</v>
      </c>
      <c r="J24" s="715">
        <f>'Future Fund  Inc Exp Statement'!J24+'Gen Fund  Inc Exp Statement'!J25</f>
        <v>1488.5889999999999</v>
      </c>
      <c r="K24" s="715">
        <f>'Future Fund  Inc Exp Statement'!K24+'Gen Fund  Inc Exp Statement'!K25</f>
        <v>1469.6289999999999</v>
      </c>
      <c r="L24" s="715">
        <f>'Future Fund  Inc Exp Statement'!L24+'Gen Fund  Inc Exp Statement'!L25</f>
        <v>1449.5889999999999</v>
      </c>
      <c r="M24" s="715">
        <f>'Future Fund  Inc Exp Statement'!M24+'Gen Fund  Inc Exp Statement'!M25</f>
        <v>1440.3090000000002</v>
      </c>
      <c r="N24" s="715">
        <f>'Future Fund  Inc Exp Statement'!N24+'Gen Fund  Inc Exp Statement'!N25</f>
        <v>1434.509</v>
      </c>
      <c r="O24" s="715">
        <f>'Future Fund  Inc Exp Statement'!O24+'Gen Fund  Inc Exp Statement'!O25</f>
        <v>1428.4290000000001</v>
      </c>
      <c r="P24" s="715">
        <f>'Future Fund  Inc Exp Statement'!P24+'Gen Fund  Inc Exp Statement'!P25</f>
        <v>1422.029</v>
      </c>
      <c r="AE24" s="606"/>
    </row>
    <row r="25" spans="1:31" ht="11.25" x14ac:dyDescent="0.2">
      <c r="A25" s="695" t="s">
        <v>27</v>
      </c>
      <c r="B25" s="714"/>
      <c r="C25" s="714"/>
      <c r="D25" s="715"/>
      <c r="E25" s="715">
        <f>1917+6984</f>
        <v>8901</v>
      </c>
      <c r="F25" s="715">
        <f>'Future Fund  Inc Exp Statement'!F25+'Gen Fund  Inc Exp Statement'!F26</f>
        <v>11489.848</v>
      </c>
      <c r="G25" s="715">
        <f>'Future Fund  Inc Exp Statement'!G25+'Gen Fund  Inc Exp Statement'!G26</f>
        <v>11910.767</v>
      </c>
      <c r="H25" s="715">
        <f>'Future Fund  Inc Exp Statement'!H25+'Gen Fund  Inc Exp Statement'!H26</f>
        <v>12215.338</v>
      </c>
      <c r="I25" s="715">
        <f>'Future Fund  Inc Exp Statement'!I25+'Gen Fund  Inc Exp Statement'!I26</f>
        <v>12498.394</v>
      </c>
      <c r="J25" s="715">
        <f>'Future Fund  Inc Exp Statement'!J25+'Gen Fund  Inc Exp Statement'!J26</f>
        <v>12792.337999999998</v>
      </c>
      <c r="K25" s="715">
        <f>'Future Fund  Inc Exp Statement'!K25+'Gen Fund  Inc Exp Statement'!K26</f>
        <v>13048.184759999998</v>
      </c>
      <c r="L25" s="715">
        <f>'Future Fund  Inc Exp Statement'!L25+'Gen Fund  Inc Exp Statement'!L26</f>
        <v>13309.148455199998</v>
      </c>
      <c r="M25" s="715">
        <f>'Future Fund  Inc Exp Statement'!M25+'Gen Fund  Inc Exp Statement'!M26</f>
        <v>13575.331424303999</v>
      </c>
      <c r="N25" s="715">
        <f>'Future Fund  Inc Exp Statement'!N25+'Gen Fund  Inc Exp Statement'!N26</f>
        <v>13846.838052790079</v>
      </c>
      <c r="O25" s="715">
        <f>'Future Fund  Inc Exp Statement'!O25+'Gen Fund  Inc Exp Statement'!O26</f>
        <v>14123.774813845881</v>
      </c>
      <c r="P25" s="715">
        <f>'Future Fund  Inc Exp Statement'!P25+'Gen Fund  Inc Exp Statement'!P26</f>
        <v>14406.250310122799</v>
      </c>
      <c r="AD25" s="599" t="s">
        <v>28</v>
      </c>
      <c r="AE25" s="606">
        <f>+D30</f>
        <v>0</v>
      </c>
    </row>
    <row r="26" spans="1:31" ht="11.25" x14ac:dyDescent="0.2">
      <c r="A26" s="600" t="s">
        <v>1077</v>
      </c>
      <c r="B26" s="714"/>
      <c r="C26" s="714"/>
      <c r="D26" s="715"/>
      <c r="E26" s="715"/>
      <c r="F26" s="715">
        <f>'Future Fund  Inc Exp Statement'!F26+'Gen Fund  Inc Exp Statement'!F27</f>
        <v>2763.3530000000001</v>
      </c>
      <c r="G26" s="715">
        <f>'Future Fund  Inc Exp Statement'!G26+'Gen Fund  Inc Exp Statement'!G27</f>
        <v>2935.1769999999997</v>
      </c>
      <c r="H26" s="715">
        <f>'Future Fund  Inc Exp Statement'!H26+'Gen Fund  Inc Exp Statement'!H27</f>
        <v>3069.2200000000003</v>
      </c>
      <c r="I26" s="715">
        <f>'Future Fund  Inc Exp Statement'!I26+'Gen Fund  Inc Exp Statement'!I27</f>
        <v>3204.4650000000001</v>
      </c>
      <c r="J26" s="715">
        <f>'Future Fund  Inc Exp Statement'!J26+'Gen Fund  Inc Exp Statement'!J27</f>
        <v>3340.5709999999999</v>
      </c>
      <c r="K26" s="715">
        <f>'Future Fund  Inc Exp Statement'!K26+'Gen Fund  Inc Exp Statement'!K27</f>
        <v>3407.3824199999999</v>
      </c>
      <c r="L26" s="715">
        <f>'Future Fund  Inc Exp Statement'!L26+'Gen Fund  Inc Exp Statement'!L27</f>
        <v>3475.5300683999999</v>
      </c>
      <c r="M26" s="715">
        <f>'Future Fund  Inc Exp Statement'!M26+'Gen Fund  Inc Exp Statement'!M27</f>
        <v>3545.040669768</v>
      </c>
      <c r="N26" s="715">
        <f>'Future Fund  Inc Exp Statement'!N26+'Gen Fund  Inc Exp Statement'!N27</f>
        <v>3615.9414831633594</v>
      </c>
      <c r="O26" s="715">
        <f>'Future Fund  Inc Exp Statement'!O26+'Gen Fund  Inc Exp Statement'!O27</f>
        <v>3688.2603128266273</v>
      </c>
      <c r="P26" s="715">
        <f>'Future Fund  Inc Exp Statement'!P26+'Gen Fund  Inc Exp Statement'!P27</f>
        <v>3762.0255190831599</v>
      </c>
      <c r="AE26" s="606"/>
    </row>
    <row r="27" spans="1:31" s="603" customFormat="1" ht="11.25" x14ac:dyDescent="0.2">
      <c r="A27" s="700" t="s">
        <v>29</v>
      </c>
      <c r="B27" s="712"/>
      <c r="C27" s="712"/>
      <c r="D27" s="707"/>
      <c r="E27" s="715">
        <f>7182</f>
        <v>7182</v>
      </c>
      <c r="F27" s="715">
        <f>'Future Fund  Inc Exp Statement'!F27+'Gen Fund  Inc Exp Statement'!F28</f>
        <v>8510.6460000000006</v>
      </c>
      <c r="G27" s="715">
        <f>'Future Fund  Inc Exp Statement'!G27+'Gen Fund  Inc Exp Statement'!G28</f>
        <v>7625.4650000000001</v>
      </c>
      <c r="H27" s="715">
        <f>'Future Fund  Inc Exp Statement'!H27+'Gen Fund  Inc Exp Statement'!H28</f>
        <v>7813.7809999999999</v>
      </c>
      <c r="I27" s="715">
        <f>'Future Fund  Inc Exp Statement'!I27+'Gen Fund  Inc Exp Statement'!I28</f>
        <v>8004.9439999999995</v>
      </c>
      <c r="J27" s="715">
        <f>'Future Fund  Inc Exp Statement'!J27+'Gen Fund  Inc Exp Statement'!J28</f>
        <v>8204.5040000000008</v>
      </c>
      <c r="K27" s="715">
        <f>'Future Fund  Inc Exp Statement'!K27+'Gen Fund  Inc Exp Statement'!K28</f>
        <v>8409.6165999999994</v>
      </c>
      <c r="L27" s="715">
        <f>'Future Fund  Inc Exp Statement'!L27+'Gen Fund  Inc Exp Statement'!L28</f>
        <v>8619.8570149999996</v>
      </c>
      <c r="M27" s="715">
        <f>'Future Fund  Inc Exp Statement'!M27+'Gen Fund  Inc Exp Statement'!M28</f>
        <v>8835.3534403749982</v>
      </c>
      <c r="N27" s="715">
        <f>'Future Fund  Inc Exp Statement'!N27+'Gen Fund  Inc Exp Statement'!N28</f>
        <v>9056.2372763843741</v>
      </c>
      <c r="O27" s="715">
        <f>'Future Fund  Inc Exp Statement'!O27+'Gen Fund  Inc Exp Statement'!O28</f>
        <v>9282.6432082939809</v>
      </c>
      <c r="P27" s="715">
        <f>'Future Fund  Inc Exp Statement'!P27+'Gen Fund  Inc Exp Statement'!P28</f>
        <v>9514.7092885013317</v>
      </c>
      <c r="AD27" s="603" t="s">
        <v>30</v>
      </c>
      <c r="AE27" s="605">
        <f>-D51</f>
        <v>0</v>
      </c>
    </row>
    <row r="28" spans="1:31" s="603" customFormat="1" ht="11.25" x14ac:dyDescent="0.2">
      <c r="A28" s="700" t="s">
        <v>1048</v>
      </c>
      <c r="B28" s="712"/>
      <c r="C28" s="712"/>
      <c r="D28" s="707"/>
      <c r="E28" s="707">
        <v>600</v>
      </c>
      <c r="F28" s="715">
        <f>'Future Fund  Inc Exp Statement'!F28+'Gen Fund  Inc Exp Statement'!F29</f>
        <v>0</v>
      </c>
      <c r="G28" s="715">
        <f>'Future Fund  Inc Exp Statement'!G28+'Gen Fund  Inc Exp Statement'!G29</f>
        <v>0</v>
      </c>
      <c r="H28" s="715">
        <f>'Future Fund  Inc Exp Statement'!H28+'Gen Fund  Inc Exp Statement'!H29</f>
        <v>0</v>
      </c>
      <c r="I28" s="715">
        <f>'Future Fund  Inc Exp Statement'!I28+'Gen Fund  Inc Exp Statement'!I29</f>
        <v>0</v>
      </c>
      <c r="J28" s="715">
        <f>'Future Fund  Inc Exp Statement'!J28+'Gen Fund  Inc Exp Statement'!J29</f>
        <v>0</v>
      </c>
      <c r="K28" s="715">
        <f>'Future Fund  Inc Exp Statement'!K28+'Gen Fund  Inc Exp Statement'!K29</f>
        <v>0</v>
      </c>
      <c r="L28" s="715">
        <f>'Future Fund  Inc Exp Statement'!L28+'Gen Fund  Inc Exp Statement'!L29</f>
        <v>0</v>
      </c>
      <c r="M28" s="715">
        <f>'Future Fund  Inc Exp Statement'!M28+'Gen Fund  Inc Exp Statement'!M29</f>
        <v>0</v>
      </c>
      <c r="N28" s="715">
        <f>'Future Fund  Inc Exp Statement'!N28+'Gen Fund  Inc Exp Statement'!N29</f>
        <v>0</v>
      </c>
      <c r="O28" s="715">
        <f>'Future Fund  Inc Exp Statement'!O28+'Gen Fund  Inc Exp Statement'!O29</f>
        <v>0</v>
      </c>
      <c r="P28" s="715">
        <f>'Future Fund  Inc Exp Statement'!P28+'Gen Fund  Inc Exp Statement'!P29</f>
        <v>0</v>
      </c>
      <c r="AE28" s="605"/>
    </row>
    <row r="29" spans="1:31" s="603" customFormat="1" ht="11.25" x14ac:dyDescent="0.2">
      <c r="A29" s="700" t="s">
        <v>1049</v>
      </c>
      <c r="B29" s="712"/>
      <c r="C29" s="712"/>
      <c r="D29" s="707"/>
      <c r="F29" s="715">
        <f>'Future Fund  Inc Exp Statement'!F29+'Gen Fund  Inc Exp Statement'!F30</f>
        <v>0</v>
      </c>
      <c r="G29" s="715">
        <f>'Future Fund  Inc Exp Statement'!G29+'Gen Fund  Inc Exp Statement'!G30</f>
        <v>0</v>
      </c>
      <c r="H29" s="715">
        <f>'Future Fund  Inc Exp Statement'!H29+'Gen Fund  Inc Exp Statement'!H30</f>
        <v>0</v>
      </c>
      <c r="I29" s="715">
        <f>'Future Fund  Inc Exp Statement'!I29+'Gen Fund  Inc Exp Statement'!I30</f>
        <v>0</v>
      </c>
      <c r="J29" s="715">
        <f>'Future Fund  Inc Exp Statement'!J29+'Gen Fund  Inc Exp Statement'!J30</f>
        <v>0</v>
      </c>
      <c r="K29" s="715">
        <f>'Future Fund  Inc Exp Statement'!K29+'Gen Fund  Inc Exp Statement'!K30</f>
        <v>0</v>
      </c>
      <c r="L29" s="715">
        <f>'Future Fund  Inc Exp Statement'!L29+'Gen Fund  Inc Exp Statement'!L30</f>
        <v>0</v>
      </c>
      <c r="M29" s="715">
        <f>'Future Fund  Inc Exp Statement'!M29+'Gen Fund  Inc Exp Statement'!M30</f>
        <v>0</v>
      </c>
      <c r="N29" s="715">
        <f>'Future Fund  Inc Exp Statement'!N29+'Gen Fund  Inc Exp Statement'!N30</f>
        <v>0</v>
      </c>
      <c r="O29" s="715">
        <f>'Future Fund  Inc Exp Statement'!O29+'Gen Fund  Inc Exp Statement'!O30</f>
        <v>0</v>
      </c>
      <c r="P29" s="715">
        <f>'Future Fund  Inc Exp Statement'!P29+'Gen Fund  Inc Exp Statement'!P30</f>
        <v>0</v>
      </c>
      <c r="AE29" s="605"/>
    </row>
    <row r="30" spans="1:31" ht="11.25" x14ac:dyDescent="0.2">
      <c r="A30" s="721" t="s">
        <v>28</v>
      </c>
      <c r="B30" s="722"/>
      <c r="C30" s="722"/>
      <c r="D30" s="723"/>
      <c r="E30" s="707">
        <f>3+6594</f>
        <v>6597</v>
      </c>
      <c r="F30" s="715">
        <f>'Future Fund  Inc Exp Statement'!F30+'Gen Fund  Inc Exp Statement'!F31</f>
        <v>2645.893</v>
      </c>
      <c r="G30" s="715">
        <f>'Future Fund  Inc Exp Statement'!G30+'Gen Fund  Inc Exp Statement'!G31</f>
        <v>2775.2309999999998</v>
      </c>
      <c r="H30" s="715">
        <f>'Future Fund  Inc Exp Statement'!H30+'Gen Fund  Inc Exp Statement'!H31</f>
        <v>2825.77</v>
      </c>
      <c r="I30" s="715">
        <f>'Future Fund  Inc Exp Statement'!I30+'Gen Fund  Inc Exp Statement'!I31</f>
        <v>2885.2280000000001</v>
      </c>
      <c r="J30" s="715">
        <f>'Future Fund  Inc Exp Statement'!J30+'Gen Fund  Inc Exp Statement'!J31</f>
        <v>2956.5429999999997</v>
      </c>
      <c r="K30" s="715">
        <f>'Future Fund  Inc Exp Statement'!K30+'Gen Fund  Inc Exp Statement'!K31</f>
        <v>3015.6738599999999</v>
      </c>
      <c r="L30" s="715">
        <f>'Future Fund  Inc Exp Statement'!L30+'Gen Fund  Inc Exp Statement'!L31</f>
        <v>3075.9873372000002</v>
      </c>
      <c r="M30" s="715">
        <f>'Future Fund  Inc Exp Statement'!M30+'Gen Fund  Inc Exp Statement'!M31</f>
        <v>3137.5070839440004</v>
      </c>
      <c r="N30" s="715">
        <f>'Future Fund  Inc Exp Statement'!N30+'Gen Fund  Inc Exp Statement'!N31</f>
        <v>3200.2572256228805</v>
      </c>
      <c r="O30" s="715">
        <f>'Future Fund  Inc Exp Statement'!O30+'Gen Fund  Inc Exp Statement'!O31</f>
        <v>3264.2623701353382</v>
      </c>
      <c r="P30" s="715">
        <f>'Future Fund  Inc Exp Statement'!P30+'Gen Fund  Inc Exp Statement'!P31</f>
        <v>3329.5476175380454</v>
      </c>
      <c r="AD30" s="599" t="s">
        <v>31</v>
      </c>
      <c r="AE30" s="606">
        <f>-D67</f>
        <v>0</v>
      </c>
    </row>
    <row r="31" spans="1:31" s="611" customFormat="1" ht="11.25" x14ac:dyDescent="0.2">
      <c r="A31" s="705" t="s">
        <v>66</v>
      </c>
      <c r="B31" s="719">
        <f>SUM(B23:B30)</f>
        <v>0</v>
      </c>
      <c r="C31" s="719">
        <f>SUM(C23:C30)</f>
        <v>0</v>
      </c>
      <c r="D31" s="719">
        <f>SUM(D23:D30)</f>
        <v>0</v>
      </c>
      <c r="E31" s="719">
        <f>SUM(E23:E30)</f>
        <v>35003</v>
      </c>
      <c r="F31" s="719">
        <f>SUM(F23:F30)</f>
        <v>38221.417999999991</v>
      </c>
      <c r="G31" s="719">
        <f t="shared" ref="G31:M31" si="3">SUM(G23:G30)</f>
        <v>38388.270000000004</v>
      </c>
      <c r="H31" s="719">
        <f t="shared" si="3"/>
        <v>39483.936999999998</v>
      </c>
      <c r="I31" s="719">
        <f t="shared" si="3"/>
        <v>40485.472000000002</v>
      </c>
      <c r="J31" s="719">
        <f t="shared" si="3"/>
        <v>41544.521000000001</v>
      </c>
      <c r="K31" s="719">
        <f t="shared" si="3"/>
        <v>42495.321920000002</v>
      </c>
      <c r="L31" s="719">
        <f t="shared" si="3"/>
        <v>43469.292214200002</v>
      </c>
      <c r="M31" s="719">
        <f t="shared" si="3"/>
        <v>44478.897366942998</v>
      </c>
      <c r="N31" s="719">
        <f t="shared" ref="N31:O31" si="4">SUM(N23:N30)</f>
        <v>45517.499458969258</v>
      </c>
      <c r="O31" s="719">
        <f t="shared" si="4"/>
        <v>46581.997618740643</v>
      </c>
      <c r="P31" s="719">
        <f t="shared" ref="P31" si="5">SUM(P23:P30)</f>
        <v>47673.028486293326</v>
      </c>
      <c r="AD31" s="612" t="s">
        <v>23</v>
      </c>
      <c r="AE31" s="613">
        <f>SUM(AE23:AE30)</f>
        <v>0</v>
      </c>
    </row>
    <row r="32" spans="1:31" ht="3.75" customHeight="1" x14ac:dyDescent="0.2">
      <c r="A32" s="695"/>
      <c r="B32" s="714"/>
      <c r="C32" s="710"/>
      <c r="D32" s="710"/>
      <c r="E32" s="710"/>
      <c r="F32" s="710"/>
      <c r="G32" s="710"/>
      <c r="H32" s="710"/>
      <c r="I32" s="710"/>
      <c r="J32" s="710"/>
      <c r="K32" s="710"/>
      <c r="L32" s="710"/>
      <c r="M32" s="710"/>
      <c r="N32" s="710"/>
      <c r="O32" s="710"/>
      <c r="P32" s="710"/>
    </row>
    <row r="33" spans="1:16" s="612" customFormat="1" ht="12" thickBot="1" x14ac:dyDescent="0.25">
      <c r="A33" s="705" t="s">
        <v>67</v>
      </c>
      <c r="B33" s="724">
        <f t="shared" ref="B33:P33" si="6">+B21-B31</f>
        <v>0</v>
      </c>
      <c r="C33" s="725">
        <f t="shared" si="6"/>
        <v>0</v>
      </c>
      <c r="D33" s="724">
        <f t="shared" si="6"/>
        <v>0</v>
      </c>
      <c r="E33" s="725">
        <f t="shared" si="6"/>
        <v>11810</v>
      </c>
      <c r="F33" s="725">
        <f t="shared" si="6"/>
        <v>2928.0070000000123</v>
      </c>
      <c r="G33" s="725">
        <f t="shared" si="6"/>
        <v>4419.8999599999952</v>
      </c>
      <c r="H33" s="725">
        <f t="shared" si="6"/>
        <v>4402.2824850000034</v>
      </c>
      <c r="I33" s="725">
        <f t="shared" si="6"/>
        <v>4661.3812902999998</v>
      </c>
      <c r="J33" s="725">
        <f t="shared" si="6"/>
        <v>4547.2847176340074</v>
      </c>
      <c r="K33" s="725">
        <f t="shared" si="6"/>
        <v>4332.5622136972088</v>
      </c>
      <c r="L33" s="725">
        <f t="shared" si="6"/>
        <v>4420.1863558144687</v>
      </c>
      <c r="M33" s="725">
        <f t="shared" si="6"/>
        <v>4499.7787113932573</v>
      </c>
      <c r="N33" s="725">
        <f t="shared" si="6"/>
        <v>4590.119519842272</v>
      </c>
      <c r="O33" s="725">
        <f t="shared" si="6"/>
        <v>4675.2005194942831</v>
      </c>
      <c r="P33" s="725">
        <f t="shared" si="6"/>
        <v>4760.1743875826869</v>
      </c>
    </row>
    <row r="34" spans="1:16" ht="4.5" customHeight="1" x14ac:dyDescent="0.2">
      <c r="A34" s="726"/>
      <c r="B34" s="714"/>
      <c r="C34" s="710"/>
      <c r="D34" s="710"/>
      <c r="E34" s="710"/>
      <c r="F34" s="710"/>
      <c r="G34" s="710"/>
      <c r="H34" s="710"/>
      <c r="I34" s="710"/>
      <c r="J34" s="710"/>
      <c r="K34" s="710"/>
      <c r="L34" s="710"/>
      <c r="M34" s="710"/>
      <c r="N34" s="710"/>
      <c r="O34" s="710"/>
      <c r="P34" s="710"/>
    </row>
    <row r="35" spans="1:16" s="611" customFormat="1" ht="11.25" x14ac:dyDescent="0.2">
      <c r="A35" s="705" t="s">
        <v>75</v>
      </c>
      <c r="B35" s="727"/>
      <c r="C35" s="728"/>
      <c r="D35" s="728"/>
      <c r="E35" s="728"/>
      <c r="F35" s="728"/>
      <c r="G35" s="728"/>
      <c r="H35" s="728"/>
      <c r="I35" s="728"/>
      <c r="J35" s="728"/>
      <c r="K35" s="728"/>
      <c r="L35" s="728"/>
      <c r="M35" s="728"/>
      <c r="N35" s="728"/>
      <c r="O35" s="728"/>
      <c r="P35" s="728"/>
    </row>
    <row r="36" spans="1:16" ht="12.75" customHeight="1" x14ac:dyDescent="0.2">
      <c r="A36" s="721" t="s">
        <v>322</v>
      </c>
      <c r="B36" s="729">
        <v>0</v>
      </c>
      <c r="C36" s="729">
        <v>0</v>
      </c>
      <c r="D36" s="729">
        <v>0</v>
      </c>
      <c r="E36" s="729">
        <v>0</v>
      </c>
      <c r="F36" s="729">
        <v>0</v>
      </c>
      <c r="G36" s="729">
        <v>0</v>
      </c>
      <c r="H36" s="729">
        <v>0</v>
      </c>
      <c r="I36" s="729">
        <v>0</v>
      </c>
      <c r="J36" s="729">
        <v>0</v>
      </c>
      <c r="K36" s="729">
        <v>0</v>
      </c>
      <c r="L36" s="729">
        <v>0</v>
      </c>
      <c r="M36" s="729">
        <v>0</v>
      </c>
      <c r="N36" s="729">
        <v>0</v>
      </c>
      <c r="O36" s="729">
        <v>0</v>
      </c>
      <c r="P36" s="729">
        <v>0</v>
      </c>
    </row>
    <row r="37" spans="1:16" ht="4.5" customHeight="1" x14ac:dyDescent="0.2">
      <c r="A37" s="695"/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</row>
    <row r="38" spans="1:16" s="611" customFormat="1" ht="11.25" x14ac:dyDescent="0.2">
      <c r="A38" s="730" t="s">
        <v>76</v>
      </c>
      <c r="B38" s="731">
        <f>+B33+B36</f>
        <v>0</v>
      </c>
      <c r="C38" s="732">
        <f>+C33+C36</f>
        <v>0</v>
      </c>
      <c r="D38" s="731">
        <f>+D33+D36</f>
        <v>0</v>
      </c>
      <c r="E38" s="732">
        <f t="shared" ref="E38:M38" si="7">+E33+E36</f>
        <v>11810</v>
      </c>
      <c r="F38" s="732">
        <f t="shared" si="7"/>
        <v>2928.0070000000123</v>
      </c>
      <c r="G38" s="732">
        <f t="shared" si="7"/>
        <v>4419.8999599999952</v>
      </c>
      <c r="H38" s="732">
        <f t="shared" si="7"/>
        <v>4402.2824850000034</v>
      </c>
      <c r="I38" s="732">
        <f t="shared" si="7"/>
        <v>4661.3812902999998</v>
      </c>
      <c r="J38" s="732">
        <f t="shared" si="7"/>
        <v>4547.2847176340074</v>
      </c>
      <c r="K38" s="732">
        <f t="shared" si="7"/>
        <v>4332.5622136972088</v>
      </c>
      <c r="L38" s="732">
        <f t="shared" si="7"/>
        <v>4420.1863558144687</v>
      </c>
      <c r="M38" s="732">
        <f t="shared" si="7"/>
        <v>4499.7787113932573</v>
      </c>
      <c r="N38" s="732">
        <f t="shared" ref="N38:O38" si="8">+N33+N36</f>
        <v>4590.119519842272</v>
      </c>
      <c r="O38" s="732">
        <f t="shared" si="8"/>
        <v>4675.2005194942831</v>
      </c>
      <c r="P38" s="732">
        <f t="shared" ref="P38" si="9">+P33+P36</f>
        <v>4760.1743875826869</v>
      </c>
    </row>
    <row r="39" spans="1:16" ht="3.75" customHeight="1" x14ac:dyDescent="0.2">
      <c r="A39" s="695"/>
      <c r="B39" s="710"/>
      <c r="C39" s="710"/>
      <c r="D39" s="710"/>
      <c r="E39" s="710"/>
      <c r="F39" s="710"/>
      <c r="G39" s="710"/>
      <c r="H39" s="710"/>
      <c r="I39" s="710"/>
      <c r="J39" s="710"/>
      <c r="K39" s="710"/>
      <c r="L39" s="710"/>
      <c r="M39" s="710"/>
      <c r="N39" s="710"/>
      <c r="O39" s="710"/>
      <c r="P39" s="710"/>
    </row>
    <row r="40" spans="1:16" s="601" customFormat="1" ht="11.25" x14ac:dyDescent="0.2">
      <c r="A40" s="733" t="s">
        <v>77</v>
      </c>
      <c r="B40" s="715">
        <f>+B38</f>
        <v>0</v>
      </c>
      <c r="C40" s="734">
        <f>+C35+C38</f>
        <v>0</v>
      </c>
      <c r="D40" s="715">
        <f>+D38</f>
        <v>0</v>
      </c>
      <c r="E40" s="734">
        <f t="shared" ref="E40:M40" si="10">+E35+E38</f>
        <v>11810</v>
      </c>
      <c r="F40" s="734">
        <f t="shared" si="10"/>
        <v>2928.0070000000123</v>
      </c>
      <c r="G40" s="734">
        <f t="shared" si="10"/>
        <v>4419.8999599999952</v>
      </c>
      <c r="H40" s="734">
        <f t="shared" si="10"/>
        <v>4402.2824850000034</v>
      </c>
      <c r="I40" s="734">
        <f t="shared" si="10"/>
        <v>4661.3812902999998</v>
      </c>
      <c r="J40" s="734">
        <f t="shared" si="10"/>
        <v>4547.2847176340074</v>
      </c>
      <c r="K40" s="734">
        <f t="shared" si="10"/>
        <v>4332.5622136972088</v>
      </c>
      <c r="L40" s="734">
        <f t="shared" si="10"/>
        <v>4420.1863558144687</v>
      </c>
      <c r="M40" s="734">
        <f t="shared" si="10"/>
        <v>4499.7787113932573</v>
      </c>
      <c r="N40" s="734">
        <f t="shared" ref="N40:O40" si="11">+N35+N38</f>
        <v>4590.119519842272</v>
      </c>
      <c r="O40" s="734">
        <f t="shared" si="11"/>
        <v>4675.2005194942831</v>
      </c>
      <c r="P40" s="734">
        <f t="shared" ref="P40" si="12">+P35+P38</f>
        <v>4760.1743875826869</v>
      </c>
    </row>
    <row r="41" spans="1:16" s="601" customFormat="1" ht="10.5" customHeight="1" thickBot="1" x14ac:dyDescent="0.25">
      <c r="A41" s="739" t="s">
        <v>78</v>
      </c>
      <c r="B41" s="735">
        <v>0</v>
      </c>
      <c r="C41" s="735">
        <v>0</v>
      </c>
      <c r="D41" s="735">
        <v>0</v>
      </c>
      <c r="E41" s="735">
        <v>0</v>
      </c>
      <c r="F41" s="735"/>
      <c r="G41" s="735">
        <v>0</v>
      </c>
      <c r="H41" s="735">
        <v>0</v>
      </c>
      <c r="I41" s="735">
        <v>0</v>
      </c>
      <c r="J41" s="735">
        <v>0</v>
      </c>
      <c r="K41" s="735">
        <v>0</v>
      </c>
      <c r="L41" s="735">
        <v>0</v>
      </c>
      <c r="M41" s="735">
        <v>0</v>
      </c>
      <c r="N41" s="735">
        <v>0</v>
      </c>
      <c r="O41" s="735">
        <v>0</v>
      </c>
      <c r="P41" s="735">
        <v>0</v>
      </c>
    </row>
    <row r="42" spans="1:16" ht="3.75" customHeight="1" thickTop="1" x14ac:dyDescent="0.2">
      <c r="A42" s="726"/>
      <c r="B42" s="714"/>
      <c r="C42" s="714"/>
      <c r="D42" s="710"/>
      <c r="E42" s="710"/>
      <c r="F42" s="710"/>
      <c r="G42" s="710"/>
      <c r="H42" s="710"/>
      <c r="I42" s="710"/>
      <c r="J42" s="710"/>
      <c r="K42" s="710"/>
      <c r="L42" s="710"/>
      <c r="M42" s="710"/>
      <c r="N42" s="710"/>
      <c r="O42" s="710"/>
      <c r="P42" s="710"/>
    </row>
    <row r="43" spans="1:16" ht="31.5" customHeight="1" thickBot="1" x14ac:dyDescent="0.25">
      <c r="A43" s="705" t="s">
        <v>79</v>
      </c>
      <c r="B43" s="736">
        <f t="shared" ref="B43:P43" si="13">+B38-B16-B19</f>
        <v>0</v>
      </c>
      <c r="C43" s="736">
        <f t="shared" si="13"/>
        <v>0</v>
      </c>
      <c r="D43" s="736">
        <f t="shared" si="13"/>
        <v>0</v>
      </c>
      <c r="E43" s="736">
        <f t="shared" si="13"/>
        <v>-2644</v>
      </c>
      <c r="F43" s="736">
        <f t="shared" si="13"/>
        <v>30.000000000012278</v>
      </c>
      <c r="G43" s="736">
        <f t="shared" si="13"/>
        <v>631.93295999999509</v>
      </c>
      <c r="H43" s="736">
        <f t="shared" si="13"/>
        <v>557.91147500000352</v>
      </c>
      <c r="I43" s="736">
        <f t="shared" si="13"/>
        <v>758.92227499999944</v>
      </c>
      <c r="J43" s="736">
        <f t="shared" si="13"/>
        <v>585.00338500000726</v>
      </c>
      <c r="K43" s="736">
        <f t="shared" si="13"/>
        <v>271.22384774735883</v>
      </c>
      <c r="L43" s="736">
        <f t="shared" si="13"/>
        <v>257.31453071587384</v>
      </c>
      <c r="M43" s="736">
        <f t="shared" si="13"/>
        <v>232.83509066719671</v>
      </c>
      <c r="N43" s="736">
        <f t="shared" si="13"/>
        <v>216.50230859806106</v>
      </c>
      <c r="O43" s="736">
        <f t="shared" si="13"/>
        <v>192.24287796896624</v>
      </c>
      <c r="P43" s="736">
        <f t="shared" si="13"/>
        <v>165.14280501923804</v>
      </c>
    </row>
    <row r="44" spans="1:16" ht="4.5" customHeight="1" thickTop="1" x14ac:dyDescent="0.2">
      <c r="A44" s="705"/>
      <c r="B44" s="734"/>
      <c r="C44" s="734"/>
      <c r="D44" s="734"/>
      <c r="E44" s="734"/>
      <c r="F44" s="734"/>
      <c r="G44" s="734"/>
      <c r="H44" s="734"/>
      <c r="I44" s="734"/>
      <c r="J44" s="734"/>
      <c r="K44" s="734"/>
      <c r="L44" s="734"/>
      <c r="M44" s="734"/>
      <c r="N44" s="734"/>
      <c r="O44" s="734"/>
      <c r="P44" s="734"/>
    </row>
    <row r="45" spans="1:16" ht="11.25" x14ac:dyDescent="0.2">
      <c r="A45" s="730" t="s">
        <v>76</v>
      </c>
      <c r="B45" s="732">
        <f t="shared" ref="B45:P45" si="14">B38</f>
        <v>0</v>
      </c>
      <c r="C45" s="732">
        <f t="shared" si="14"/>
        <v>0</v>
      </c>
      <c r="D45" s="732">
        <f t="shared" si="14"/>
        <v>0</v>
      </c>
      <c r="E45" s="732">
        <f t="shared" si="14"/>
        <v>11810</v>
      </c>
      <c r="F45" s="732">
        <f t="shared" si="14"/>
        <v>2928.0070000000123</v>
      </c>
      <c r="G45" s="732">
        <f t="shared" si="14"/>
        <v>4419.8999599999952</v>
      </c>
      <c r="H45" s="732">
        <f t="shared" si="14"/>
        <v>4402.2824850000034</v>
      </c>
      <c r="I45" s="732">
        <f t="shared" si="14"/>
        <v>4661.3812902999998</v>
      </c>
      <c r="J45" s="732">
        <f t="shared" si="14"/>
        <v>4547.2847176340074</v>
      </c>
      <c r="K45" s="732">
        <f t="shared" si="14"/>
        <v>4332.5622136972088</v>
      </c>
      <c r="L45" s="732">
        <f t="shared" si="14"/>
        <v>4420.1863558144687</v>
      </c>
      <c r="M45" s="732">
        <f t="shared" si="14"/>
        <v>4499.7787113932573</v>
      </c>
      <c r="N45" s="732">
        <f t="shared" si="14"/>
        <v>4590.119519842272</v>
      </c>
      <c r="O45" s="732">
        <f t="shared" si="14"/>
        <v>4675.2005194942831</v>
      </c>
      <c r="P45" s="732">
        <f t="shared" si="14"/>
        <v>4760.1743875826869</v>
      </c>
    </row>
    <row r="46" spans="1:16" ht="9.75" customHeight="1" x14ac:dyDescent="0.2">
      <c r="A46" s="737" t="s">
        <v>1015</v>
      </c>
      <c r="B46" s="734"/>
      <c r="C46" s="734"/>
      <c r="D46" s="734"/>
      <c r="E46" s="734"/>
      <c r="F46" s="734"/>
      <c r="G46" s="734"/>
      <c r="H46" s="734"/>
      <c r="I46" s="734"/>
      <c r="J46" s="734"/>
      <c r="K46" s="734"/>
      <c r="L46" s="734"/>
      <c r="M46" s="734"/>
      <c r="N46" s="734"/>
      <c r="O46" s="734"/>
      <c r="P46" s="734"/>
    </row>
    <row r="47" spans="1:16" ht="11.25" x14ac:dyDescent="0.2">
      <c r="A47" s="705" t="s">
        <v>1014</v>
      </c>
      <c r="B47" s="734"/>
      <c r="C47" s="734"/>
      <c r="D47" s="734"/>
      <c r="E47" s="734"/>
      <c r="F47" s="734"/>
      <c r="G47" s="734"/>
      <c r="H47" s="734"/>
      <c r="I47" s="734"/>
      <c r="J47" s="734"/>
      <c r="K47" s="734"/>
      <c r="L47" s="734"/>
      <c r="M47" s="734"/>
      <c r="N47" s="734"/>
      <c r="O47" s="734"/>
      <c r="P47" s="734"/>
    </row>
    <row r="48" spans="1:16" ht="1.5" customHeight="1" x14ac:dyDescent="0.2">
      <c r="A48" s="705"/>
      <c r="B48" s="734"/>
      <c r="C48" s="734"/>
      <c r="D48" s="734"/>
      <c r="E48" s="734"/>
      <c r="F48" s="734"/>
      <c r="G48" s="734"/>
      <c r="H48" s="734"/>
      <c r="I48" s="734"/>
      <c r="J48" s="734"/>
      <c r="K48" s="734"/>
      <c r="L48" s="734"/>
      <c r="M48" s="734"/>
      <c r="N48" s="734"/>
      <c r="O48" s="734"/>
      <c r="P48" s="734"/>
    </row>
    <row r="49" spans="1:18" ht="12" thickBot="1" x14ac:dyDescent="0.25">
      <c r="A49" s="705" t="s">
        <v>309</v>
      </c>
      <c r="B49" s="738">
        <f t="shared" ref="B49:P49" si="15">SUM(B45:B48)</f>
        <v>0</v>
      </c>
      <c r="C49" s="738">
        <f t="shared" si="15"/>
        <v>0</v>
      </c>
      <c r="D49" s="738">
        <f t="shared" si="15"/>
        <v>0</v>
      </c>
      <c r="E49" s="738">
        <f t="shared" si="15"/>
        <v>11810</v>
      </c>
      <c r="F49" s="738">
        <f t="shared" si="15"/>
        <v>2928.0070000000123</v>
      </c>
      <c r="G49" s="738">
        <f t="shared" si="15"/>
        <v>4419.8999599999952</v>
      </c>
      <c r="H49" s="738">
        <f t="shared" si="15"/>
        <v>4402.2824850000034</v>
      </c>
      <c r="I49" s="738">
        <f t="shared" si="15"/>
        <v>4661.3812902999998</v>
      </c>
      <c r="J49" s="738">
        <f t="shared" si="15"/>
        <v>4547.2847176340074</v>
      </c>
      <c r="K49" s="738">
        <f t="shared" si="15"/>
        <v>4332.5622136972088</v>
      </c>
      <c r="L49" s="738">
        <f t="shared" si="15"/>
        <v>4420.1863558144687</v>
      </c>
      <c r="M49" s="738">
        <f t="shared" si="15"/>
        <v>4499.7787113932573</v>
      </c>
      <c r="N49" s="738">
        <f t="shared" si="15"/>
        <v>4590.119519842272</v>
      </c>
      <c r="O49" s="738">
        <f t="shared" si="15"/>
        <v>4675.2005194942831</v>
      </c>
      <c r="P49" s="738">
        <f t="shared" si="15"/>
        <v>4760.1743875826869</v>
      </c>
    </row>
    <row r="50" spans="1:18" ht="12" thickTop="1" x14ac:dyDescent="0.2">
      <c r="A50" s="616"/>
      <c r="B50" s="621"/>
      <c r="C50" s="621"/>
      <c r="D50" s="621"/>
      <c r="E50" s="621"/>
      <c r="F50" s="621"/>
      <c r="G50" s="621"/>
      <c r="H50" s="621"/>
      <c r="I50" s="621"/>
      <c r="J50" s="621"/>
      <c r="K50" s="621"/>
      <c r="L50" s="621"/>
      <c r="M50" s="621"/>
      <c r="N50" s="621"/>
      <c r="O50" s="621"/>
      <c r="P50" s="621"/>
    </row>
    <row r="51" spans="1:18" ht="11.25" hidden="1" outlineLevel="1" x14ac:dyDescent="0.2">
      <c r="A51" s="604" t="s">
        <v>1081</v>
      </c>
      <c r="B51" s="621"/>
      <c r="C51" s="621"/>
      <c r="D51" s="621"/>
      <c r="E51" s="622"/>
      <c r="F51" s="811">
        <f>'Future Fund  Inc Exp Statement'!F51+'Gen Fund  Inc Exp Statement'!F52</f>
        <v>11320.421999999999</v>
      </c>
      <c r="G51" s="811">
        <f>'Future Fund  Inc Exp Statement'!G51+'Gen Fund  Inc Exp Statement'!G52</f>
        <v>3222.8580000000002</v>
      </c>
      <c r="H51" s="811">
        <f>'Future Fund  Inc Exp Statement'!H51+'Gen Fund  Inc Exp Statement'!H52</f>
        <v>4748.0245000000004</v>
      </c>
      <c r="I51" s="811">
        <f>'Future Fund  Inc Exp Statement'!I51+'Gen Fund  Inc Exp Statement'!I52</f>
        <v>3849.145</v>
      </c>
      <c r="J51" s="811">
        <f>'Future Fund  Inc Exp Statement'!J51+'Gen Fund  Inc Exp Statement'!J52</f>
        <v>3839.348</v>
      </c>
      <c r="K51" s="811">
        <f>'Future Fund  Inc Exp Statement'!K51+'Gen Fund  Inc Exp Statement'!K52</f>
        <v>3674.7064999999998</v>
      </c>
      <c r="L51" s="811">
        <f>'Future Fund  Inc Exp Statement'!L51+'Gen Fund  Inc Exp Statement'!L52</f>
        <v>3724.1991625000001</v>
      </c>
      <c r="M51" s="811">
        <f>'Future Fund  Inc Exp Statement'!M51+'Gen Fund  Inc Exp Statement'!M52</f>
        <v>3743.9291415625003</v>
      </c>
      <c r="N51" s="811">
        <f>'Future Fund  Inc Exp Statement'!N51+'Gen Fund  Inc Exp Statement'!N52</f>
        <v>4053.9023701015626</v>
      </c>
      <c r="O51" s="811">
        <f>'Future Fund  Inc Exp Statement'!O51+'Gen Fund  Inc Exp Statement'!O52</f>
        <v>4204.1249293541014</v>
      </c>
      <c r="P51" s="811">
        <f>'Future Fund  Inc Exp Statement'!P51+'Gen Fund  Inc Exp Statement'!P52</f>
        <v>4029.6030525879537</v>
      </c>
      <c r="Q51" s="599" t="s">
        <v>32</v>
      </c>
    </row>
    <row r="52" spans="1:18" ht="11.25" hidden="1" outlineLevel="1" x14ac:dyDescent="0.2">
      <c r="A52" s="817" t="s">
        <v>1111</v>
      </c>
      <c r="B52" s="621"/>
      <c r="C52" s="621"/>
      <c r="D52" s="621"/>
      <c r="E52" s="622"/>
      <c r="F52" s="811">
        <f>'Future Fund  Inc Exp Statement'!F52+'Gen Fund  Inc Exp Statement'!F53</f>
        <v>10000</v>
      </c>
      <c r="G52" s="811">
        <f>'Future Fund  Inc Exp Statement'!G52+'Gen Fund  Inc Exp Statement'!G53</f>
        <v>0</v>
      </c>
      <c r="H52" s="811">
        <f>'Future Fund  Inc Exp Statement'!H52+'Gen Fund  Inc Exp Statement'!H53</f>
        <v>0</v>
      </c>
      <c r="I52" s="811">
        <f>'Future Fund  Inc Exp Statement'!I52+'Gen Fund  Inc Exp Statement'!I53</f>
        <v>0</v>
      </c>
      <c r="J52" s="811">
        <f>'Future Fund  Inc Exp Statement'!J52+'Gen Fund  Inc Exp Statement'!J53</f>
        <v>0</v>
      </c>
      <c r="K52" s="811">
        <f>'Future Fund  Inc Exp Statement'!K52+'Gen Fund  Inc Exp Statement'!K53</f>
        <v>0</v>
      </c>
      <c r="L52" s="811">
        <f>'Future Fund  Inc Exp Statement'!L52+'Gen Fund  Inc Exp Statement'!L53</f>
        <v>0</v>
      </c>
      <c r="M52" s="811">
        <f>'Future Fund  Inc Exp Statement'!M52+'Gen Fund  Inc Exp Statement'!M53</f>
        <v>0</v>
      </c>
      <c r="N52" s="811">
        <f>'Future Fund  Inc Exp Statement'!N52+'Gen Fund  Inc Exp Statement'!N53</f>
        <v>0</v>
      </c>
      <c r="O52" s="811">
        <f>'Future Fund  Inc Exp Statement'!O52+'Gen Fund  Inc Exp Statement'!O53</f>
        <v>0</v>
      </c>
      <c r="P52" s="811">
        <f>'Future Fund  Inc Exp Statement'!P52+'Gen Fund  Inc Exp Statement'!P53</f>
        <v>0</v>
      </c>
      <c r="Q52" s="599" t="s">
        <v>32</v>
      </c>
    </row>
    <row r="53" spans="1:18" ht="11.25" hidden="1" outlineLevel="1" x14ac:dyDescent="0.2">
      <c r="A53" s="604" t="s">
        <v>1082</v>
      </c>
      <c r="B53" s="621"/>
      <c r="C53" s="621"/>
      <c r="D53" s="621"/>
      <c r="E53" s="622"/>
      <c r="F53" s="811">
        <f>'Future Fund  Inc Exp Statement'!F53+'Gen Fund  Inc Exp Statement'!F54</f>
        <v>0</v>
      </c>
      <c r="G53" s="811">
        <f>'Future Fund  Inc Exp Statement'!G53+'Gen Fund  Inc Exp Statement'!G54</f>
        <v>8236.1360000000004</v>
      </c>
      <c r="H53" s="811">
        <f>'Future Fund  Inc Exp Statement'!H53+'Gen Fund  Inc Exp Statement'!H54</f>
        <v>12599.570300000001</v>
      </c>
      <c r="I53" s="811">
        <f>'Future Fund  Inc Exp Statement'!I53+'Gen Fund  Inc Exp Statement'!I54</f>
        <v>8360.2773949999992</v>
      </c>
      <c r="J53" s="811">
        <f>'Future Fund  Inc Exp Statement'!J53+'Gen Fund  Inc Exp Statement'!J54</f>
        <v>8506.4374048749996</v>
      </c>
      <c r="K53" s="811">
        <f>'Future Fund  Inc Exp Statement'!K53+'Gen Fund  Inc Exp Statement'!K54</f>
        <v>8691.8165000000008</v>
      </c>
      <c r="L53" s="811">
        <f>'Future Fund  Inc Exp Statement'!L53+'Gen Fund  Inc Exp Statement'!L54</f>
        <v>8841.484162499999</v>
      </c>
      <c r="M53" s="811">
        <f>'Future Fund  Inc Exp Statement'!M53+'Gen Fund  Inc Exp Statement'!M54</f>
        <v>9025.0883915625</v>
      </c>
      <c r="N53" s="811">
        <f>'Future Fund  Inc Exp Statement'!N53+'Gen Fund  Inc Exp Statement'!N54</f>
        <v>9245.1648863515638</v>
      </c>
      <c r="O53" s="811">
        <f>'Future Fund  Inc Exp Statement'!O53+'Gen Fund  Inc Exp Statement'!O54</f>
        <v>9401.7245967103499</v>
      </c>
      <c r="P53" s="811">
        <f>'Future Fund  Inc Exp Statement'!P53+'Gen Fund  Inc Exp Statement'!P54</f>
        <v>9628.7787290921096</v>
      </c>
      <c r="Q53" s="599" t="s">
        <v>32</v>
      </c>
    </row>
    <row r="54" spans="1:18" ht="11.25" hidden="1" outlineLevel="1" x14ac:dyDescent="0.2">
      <c r="A54" s="604" t="s">
        <v>1083</v>
      </c>
      <c r="B54" s="621"/>
      <c r="C54" s="621"/>
      <c r="D54" s="621"/>
      <c r="E54" s="622"/>
      <c r="F54" s="811">
        <f>'Future Fund  Inc Exp Statement'!F54+'Gen Fund  Inc Exp Statement'!F55</f>
        <v>570.28700000000003</v>
      </c>
      <c r="G54" s="811">
        <f>'Future Fund  Inc Exp Statement'!G54+'Gen Fund  Inc Exp Statement'!G55</f>
        <v>621.83900000000006</v>
      </c>
      <c r="H54" s="811">
        <f>'Future Fund  Inc Exp Statement'!H54+'Gen Fund  Inc Exp Statement'!H55</f>
        <v>555.48599999999999</v>
      </c>
      <c r="I54" s="811">
        <f>'Future Fund  Inc Exp Statement'!I54+'Gen Fund  Inc Exp Statement'!I55</f>
        <v>422.65899999999999</v>
      </c>
      <c r="J54" s="811">
        <f>'Future Fund  Inc Exp Statement'!J54+'Gen Fund  Inc Exp Statement'!J55</f>
        <v>446.92500000000001</v>
      </c>
      <c r="K54" s="811">
        <f>'Future Fund  Inc Exp Statement'!K54+'Gen Fund  Inc Exp Statement'!K55</f>
        <v>474</v>
      </c>
      <c r="L54" s="811">
        <f>'Future Fund  Inc Exp Statement'!L54+'Gen Fund  Inc Exp Statement'!L55</f>
        <v>501</v>
      </c>
      <c r="M54" s="811">
        <f>'Future Fund  Inc Exp Statement'!M54+'Gen Fund  Inc Exp Statement'!M55</f>
        <v>232</v>
      </c>
      <c r="N54" s="811">
        <f>'Future Fund  Inc Exp Statement'!N54+'Gen Fund  Inc Exp Statement'!N55</f>
        <v>145</v>
      </c>
      <c r="O54" s="811">
        <f>'Future Fund  Inc Exp Statement'!O54+'Gen Fund  Inc Exp Statement'!O55</f>
        <v>152</v>
      </c>
      <c r="P54" s="811">
        <f>'Future Fund  Inc Exp Statement'!P54+'Gen Fund  Inc Exp Statement'!P55</f>
        <v>160</v>
      </c>
    </row>
    <row r="55" spans="1:18" ht="11.25" hidden="1" outlineLevel="1" x14ac:dyDescent="0.2">
      <c r="A55" s="604" t="s">
        <v>1089</v>
      </c>
      <c r="B55" s="621"/>
      <c r="C55" s="621"/>
      <c r="D55" s="621"/>
      <c r="E55" s="622"/>
      <c r="F55" s="811">
        <f>'Future Fund  Inc Exp Statement'!F55+'Gen Fund  Inc Exp Statement'!F56</f>
        <v>1850.8820000000001</v>
      </c>
      <c r="G55" s="811">
        <f>'Future Fund  Inc Exp Statement'!G55+'Gen Fund  Inc Exp Statement'!G56</f>
        <v>2144.2849999999999</v>
      </c>
      <c r="H55" s="811">
        <f>'Future Fund  Inc Exp Statement'!H55+'Gen Fund  Inc Exp Statement'!H56</f>
        <v>2218.1630099999998</v>
      </c>
      <c r="I55" s="811">
        <f>'Future Fund  Inc Exp Statement'!I55+'Gen Fund  Inc Exp Statement'!I56</f>
        <v>2294.8213903000001</v>
      </c>
      <c r="J55" s="811">
        <f>'Future Fund  Inc Exp Statement'!J55+'Gen Fund  Inc Exp Statement'!J56</f>
        <v>2374.4054420090001</v>
      </c>
      <c r="K55" s="811">
        <f>'Future Fund  Inc Exp Statement'!K55+'Gen Fund  Inc Exp Statement'!K56</f>
        <v>2421.89355084918</v>
      </c>
      <c r="L55" s="811">
        <f>'Future Fund  Inc Exp Statement'!L55+'Gen Fund  Inc Exp Statement'!L56</f>
        <v>2470.3314218661635</v>
      </c>
      <c r="M55" s="811">
        <f>'Future Fund  Inc Exp Statement'!M55+'Gen Fund  Inc Exp Statement'!M56</f>
        <v>2519.7380503034869</v>
      </c>
      <c r="N55" s="811">
        <f>'Future Fund  Inc Exp Statement'!N55+'Gen Fund  Inc Exp Statement'!N56</f>
        <v>2570.1328113095569</v>
      </c>
      <c r="O55" s="811">
        <f>'Future Fund  Inc Exp Statement'!O55+'Gen Fund  Inc Exp Statement'!O56</f>
        <v>2621.535467535748</v>
      </c>
      <c r="P55" s="811">
        <f>'Future Fund  Inc Exp Statement'!P55+'Gen Fund  Inc Exp Statement'!P56</f>
        <v>2673.966176886463</v>
      </c>
      <c r="Q55" s="934"/>
      <c r="R55" s="599" t="s">
        <v>1314</v>
      </c>
    </row>
    <row r="56" spans="1:18" ht="11.25" hidden="1" outlineLevel="1" x14ac:dyDescent="0.2">
      <c r="A56" s="604"/>
      <c r="B56" s="621"/>
      <c r="C56" s="621"/>
      <c r="D56" s="771">
        <f>SUM(D51:D55)</f>
        <v>0</v>
      </c>
      <c r="E56" s="771">
        <f t="shared" ref="E56" si="16">SUM(E51:E54)</f>
        <v>0</v>
      </c>
      <c r="F56" s="771">
        <f>SUM(F51:F55)</f>
        <v>23741.591</v>
      </c>
      <c r="G56" s="771">
        <f t="shared" ref="G56:P56" si="17">SUM(G51:G55)</f>
        <v>14225.118</v>
      </c>
      <c r="H56" s="771">
        <f t="shared" si="17"/>
        <v>20121.243810000004</v>
      </c>
      <c r="I56" s="771">
        <f t="shared" si="17"/>
        <v>14926.902785299999</v>
      </c>
      <c r="J56" s="771">
        <f t="shared" si="17"/>
        <v>15167.115846883999</v>
      </c>
      <c r="K56" s="771">
        <f t="shared" si="17"/>
        <v>15262.416550849181</v>
      </c>
      <c r="L56" s="771">
        <f t="shared" si="17"/>
        <v>15537.014746866162</v>
      </c>
      <c r="M56" s="771">
        <f t="shared" si="17"/>
        <v>15520.755583428487</v>
      </c>
      <c r="N56" s="771">
        <f t="shared" si="17"/>
        <v>16014.200067762684</v>
      </c>
      <c r="O56" s="771">
        <f t="shared" si="17"/>
        <v>16379.384993600201</v>
      </c>
      <c r="P56" s="771">
        <f t="shared" si="17"/>
        <v>16492.347958566526</v>
      </c>
    </row>
    <row r="57" spans="1:18" s="608" customFormat="1" ht="11.25" hidden="1" outlineLevel="1" x14ac:dyDescent="0.2">
      <c r="A57" s="623" t="s">
        <v>1084</v>
      </c>
      <c r="B57" s="621"/>
      <c r="C57" s="621"/>
      <c r="D57" s="621"/>
      <c r="E57" s="621"/>
      <c r="F57" s="621"/>
      <c r="G57" s="621"/>
      <c r="H57" s="621"/>
      <c r="I57" s="621"/>
      <c r="J57" s="621"/>
      <c r="K57" s="621"/>
      <c r="L57" s="621"/>
      <c r="M57" s="621"/>
      <c r="N57" s="621"/>
      <c r="O57" s="621"/>
      <c r="P57" s="621"/>
    </row>
    <row r="58" spans="1:18" ht="11.25" hidden="1" outlineLevel="1" x14ac:dyDescent="0.2">
      <c r="A58" s="604" t="s">
        <v>931</v>
      </c>
      <c r="B58" s="621"/>
      <c r="C58" s="621"/>
      <c r="D58" s="621"/>
      <c r="E58" s="621"/>
      <c r="F58" s="622">
        <f>'Future Fund  Inc Exp Statement'!F58+'Gen Fund  Inc Exp Statement'!F59</f>
        <v>30</v>
      </c>
      <c r="G58" s="622">
        <f>'Future Fund  Inc Exp Statement'!G58+'Gen Fund  Inc Exp Statement'!G59</f>
        <v>512.15200000000004</v>
      </c>
      <c r="H58" s="622">
        <f>'Future Fund  Inc Exp Statement'!H58+'Gen Fund  Inc Exp Statement'!H59</f>
        <v>597.30700000000002</v>
      </c>
      <c r="I58" s="622">
        <f>'Future Fund  Inc Exp Statement'!I58+'Gen Fund  Inc Exp Statement'!I59</f>
        <v>909.67899999999997</v>
      </c>
      <c r="J58" s="622">
        <f>'Future Fund  Inc Exp Statement'!J58+'Gen Fund  Inc Exp Statement'!J59</f>
        <v>848.21299999999997</v>
      </c>
      <c r="K58" s="622">
        <f>'Future Fund  Inc Exp Statement'!K58+'Gen Fund  Inc Exp Statement'!K59</f>
        <v>-197.25101299999915</v>
      </c>
      <c r="L58" s="622">
        <f>'Future Fund  Inc Exp Statement'!L58+'Gen Fund  Inc Exp Statement'!L59</f>
        <v>-181.97344136499942</v>
      </c>
      <c r="M58" s="622">
        <f>'Future Fund  Inc Exp Statement'!M58+'Gen Fund  Inc Exp Statement'!M59</f>
        <v>-165.62668540812501</v>
      </c>
      <c r="N58" s="622">
        <f>'Future Fund  Inc Exp Statement'!N58+'Gen Fund  Inc Exp Statement'!N59</f>
        <v>-148.15908536186544</v>
      </c>
      <c r="O58" s="622">
        <f>'Future Fund  Inc Exp Statement'!O58+'Gen Fund  Inc Exp Statement'!O59</f>
        <v>-129.51674807492873</v>
      </c>
      <c r="P58" s="622">
        <f>'Future Fund  Inc Exp Statement'!P58+'Gen Fund  Inc Exp Statement'!P59</f>
        <v>-109.64345473210778</v>
      </c>
    </row>
    <row r="59" spans="1:18" ht="11.25" hidden="1" outlineLevel="1" x14ac:dyDescent="0.2">
      <c r="A59" s="604" t="s">
        <v>244</v>
      </c>
      <c r="B59" s="621"/>
      <c r="C59" s="621"/>
      <c r="D59" s="621"/>
      <c r="E59" s="621"/>
      <c r="F59" s="622">
        <f>'Future Fund  Inc Exp Statement'!F59+'Gen Fund  Inc Exp Statement'!F60</f>
        <v>1554.0070000000001</v>
      </c>
      <c r="G59" s="622">
        <f>'Future Fund  Inc Exp Statement'!G59+'Gen Fund  Inc Exp Statement'!G60</f>
        <v>1981.9670000000001</v>
      </c>
      <c r="H59" s="622">
        <f>'Future Fund  Inc Exp Statement'!H59+'Gen Fund  Inc Exp Statement'!H60</f>
        <v>2036.7460100000001</v>
      </c>
      <c r="I59" s="622">
        <f>'Future Fund  Inc Exp Statement'!I59+'Gen Fund  Inc Exp Statement'!I60</f>
        <v>2093.1683903000003</v>
      </c>
      <c r="J59" s="622">
        <f>'Future Fund  Inc Exp Statement'!J59+'Gen Fund  Inc Exp Statement'!J60</f>
        <v>2151.2834420090003</v>
      </c>
      <c r="K59" s="622">
        <f>'Future Fund  Inc Exp Statement'!K59+'Gen Fund  Inc Exp Statement'!K60</f>
        <v>2205.065528059225</v>
      </c>
      <c r="L59" s="622">
        <f>'Future Fund  Inc Exp Statement'!L59+'Gen Fund  Inc Exp Statement'!L60</f>
        <v>2260.1921662607051</v>
      </c>
      <c r="M59" s="622">
        <f>'Future Fund  Inc Exp Statement'!M59+'Gen Fund  Inc Exp Statement'!M60</f>
        <v>2316.6969704172229</v>
      </c>
      <c r="N59" s="622">
        <f>'Future Fund  Inc Exp Statement'!N59+'Gen Fund  Inc Exp Statement'!N60</f>
        <v>2374.6143946776533</v>
      </c>
      <c r="O59" s="622">
        <f>'Future Fund  Inc Exp Statement'!O59+'Gen Fund  Inc Exp Statement'!O60</f>
        <v>2433.9797545445949</v>
      </c>
      <c r="P59" s="622">
        <f>'Future Fund  Inc Exp Statement'!P59+'Gen Fund  Inc Exp Statement'!P60</f>
        <v>2494.8292484082094</v>
      </c>
    </row>
    <row r="60" spans="1:18" ht="11.25" hidden="1" outlineLevel="1" x14ac:dyDescent="0.2">
      <c r="A60" s="604" t="s">
        <v>1085</v>
      </c>
      <c r="B60" s="621"/>
      <c r="C60" s="621"/>
      <c r="D60" s="621"/>
      <c r="E60" s="621"/>
      <c r="F60" s="622">
        <f>'Future Fund  Inc Exp Statement'!F60+'Gen Fund  Inc Exp Statement'!F61</f>
        <v>1266</v>
      </c>
      <c r="G60" s="622">
        <f>'Future Fund  Inc Exp Statement'!G60+'Gen Fund  Inc Exp Statement'!G61</f>
        <v>1741</v>
      </c>
      <c r="H60" s="622">
        <f>'Future Fund  Inc Exp Statement'!H60+'Gen Fund  Inc Exp Statement'!H61</f>
        <v>1741</v>
      </c>
      <c r="I60" s="622">
        <f>'Future Fund  Inc Exp Statement'!I60+'Gen Fund  Inc Exp Statement'!I61</f>
        <v>1741</v>
      </c>
      <c r="J60" s="622">
        <f>'Future Fund  Inc Exp Statement'!J60+'Gen Fund  Inc Exp Statement'!J61</f>
        <v>1741</v>
      </c>
      <c r="K60" s="622">
        <f>'Future Fund  Inc Exp Statement'!K60+'Gen Fund  Inc Exp Statement'!K61</f>
        <v>1784.5249999999999</v>
      </c>
      <c r="L60" s="622">
        <f>'Future Fund  Inc Exp Statement'!L60+'Gen Fund  Inc Exp Statement'!L61</f>
        <v>1829.1381249999995</v>
      </c>
      <c r="M60" s="622">
        <f>'Future Fund  Inc Exp Statement'!M60+'Gen Fund  Inc Exp Statement'!M61</f>
        <v>1874.8665781249993</v>
      </c>
      <c r="N60" s="622">
        <f>'Future Fund  Inc Exp Statement'!N60+'Gen Fund  Inc Exp Statement'!N61</f>
        <v>1921.7382425781241</v>
      </c>
      <c r="O60" s="622">
        <f>'Future Fund  Inc Exp Statement'!O60+'Gen Fund  Inc Exp Statement'!O61</f>
        <v>1969.7816986425771</v>
      </c>
      <c r="P60" s="622">
        <f>'Future Fund  Inc Exp Statement'!P60+'Gen Fund  Inc Exp Statement'!P61</f>
        <v>2019.0262411086412</v>
      </c>
    </row>
    <row r="61" spans="1:18" ht="11.25" hidden="1" outlineLevel="1" x14ac:dyDescent="0.2">
      <c r="A61" s="604" t="s">
        <v>1086</v>
      </c>
      <c r="B61" s="621"/>
      <c r="C61" s="621"/>
      <c r="D61" s="621"/>
      <c r="E61" s="621"/>
      <c r="F61" s="622">
        <f>'Future Fund  Inc Exp Statement'!F61+'Gen Fund  Inc Exp Statement'!F62</f>
        <v>78</v>
      </c>
      <c r="G61" s="622">
        <f>'Future Fund  Inc Exp Statement'!G61+'Gen Fund  Inc Exp Statement'!G62</f>
        <v>65</v>
      </c>
      <c r="H61" s="622">
        <f>'Future Fund  Inc Exp Statement'!H61+'Gen Fund  Inc Exp Statement'!H62</f>
        <v>66.625</v>
      </c>
      <c r="I61" s="622">
        <f>'Future Fund  Inc Exp Statement'!I61+'Gen Fund  Inc Exp Statement'!I62</f>
        <v>68.290625000000006</v>
      </c>
      <c r="J61" s="622">
        <f>'Future Fund  Inc Exp Statement'!J61+'Gen Fund  Inc Exp Statement'!J62</f>
        <v>69.997890624999997</v>
      </c>
      <c r="K61" s="622">
        <f>'Future Fund  Inc Exp Statement'!K61+'Gen Fund  Inc Exp Statement'!K62</f>
        <v>71.747837890624993</v>
      </c>
      <c r="L61" s="622">
        <f>'Future Fund  Inc Exp Statement'!L61+'Gen Fund  Inc Exp Statement'!L62</f>
        <v>73.541533837890611</v>
      </c>
      <c r="M61" s="622">
        <f>'Future Fund  Inc Exp Statement'!M61+'Gen Fund  Inc Exp Statement'!M62</f>
        <v>75.380072183837882</v>
      </c>
      <c r="N61" s="622">
        <f>'Future Fund  Inc Exp Statement'!N61+'Gen Fund  Inc Exp Statement'!N62</f>
        <v>77.264573988433824</v>
      </c>
      <c r="O61" s="622">
        <f>'Future Fund  Inc Exp Statement'!O61+'Gen Fund  Inc Exp Statement'!O62</f>
        <v>79.196188338144665</v>
      </c>
      <c r="P61" s="622">
        <f>'Future Fund  Inc Exp Statement'!P61+'Gen Fund  Inc Exp Statement'!P62</f>
        <v>81.176093046598282</v>
      </c>
    </row>
    <row r="62" spans="1:18" ht="11.25" hidden="1" outlineLevel="1" x14ac:dyDescent="0.2">
      <c r="A62" s="604" t="s">
        <v>33</v>
      </c>
      <c r="B62" s="621">
        <f>+B27</f>
        <v>0</v>
      </c>
      <c r="C62" s="621">
        <f>C27</f>
        <v>0</v>
      </c>
      <c r="D62" s="621">
        <f>D27</f>
        <v>0</v>
      </c>
      <c r="E62" s="621">
        <f>E27</f>
        <v>7182</v>
      </c>
      <c r="F62" s="622">
        <f>'Future Fund  Inc Exp Statement'!F62+'Gen Fund  Inc Exp Statement'!F63</f>
        <v>8510.6460000000006</v>
      </c>
      <c r="G62" s="622">
        <f>'Future Fund  Inc Exp Statement'!G62+'Gen Fund  Inc Exp Statement'!G63</f>
        <v>7625.4650000000001</v>
      </c>
      <c r="H62" s="622">
        <f>'Future Fund  Inc Exp Statement'!H62+'Gen Fund  Inc Exp Statement'!H63</f>
        <v>7813.7811700000002</v>
      </c>
      <c r="I62" s="622">
        <f>'Future Fund  Inc Exp Statement'!I62+'Gen Fund  Inc Exp Statement'!I63</f>
        <v>8004.9436536499989</v>
      </c>
      <c r="J62" s="622">
        <f>'Future Fund  Inc Exp Statement'!J62+'Gen Fund  Inc Exp Statement'!J63</f>
        <v>8204.5042279792488</v>
      </c>
      <c r="K62" s="622">
        <f>'Future Fund  Inc Exp Statement'!K62+'Gen Fund  Inc Exp Statement'!K63</f>
        <v>8409.8064586787295</v>
      </c>
      <c r="L62" s="622">
        <f>'Future Fund  Inc Exp Statement'!L62+'Gen Fund  Inc Exp Statement'!L63</f>
        <v>8620.0516201456958</v>
      </c>
      <c r="M62" s="622">
        <f>'Future Fund  Inc Exp Statement'!M62+'Gen Fund  Inc Exp Statement'!M63</f>
        <v>8835.5529106493359</v>
      </c>
      <c r="N62" s="622">
        <f>'Future Fund  Inc Exp Statement'!N62+'Gen Fund  Inc Exp Statement'!N63</f>
        <v>9056.4417334155696</v>
      </c>
      <c r="O62" s="622">
        <f>'Future Fund  Inc Exp Statement'!O62+'Gen Fund  Inc Exp Statement'!O63</f>
        <v>9282.8527767509568</v>
      </c>
      <c r="P62" s="622">
        <f>'Future Fund  Inc Exp Statement'!P62+'Gen Fund  Inc Exp Statement'!P63</f>
        <v>9514.9240961697305</v>
      </c>
    </row>
    <row r="63" spans="1:18" ht="11.25" hidden="1" outlineLevel="1" x14ac:dyDescent="0.2">
      <c r="A63" s="604" t="s">
        <v>22</v>
      </c>
      <c r="B63" s="621"/>
      <c r="C63" s="621"/>
      <c r="D63" s="621"/>
      <c r="E63" s="621"/>
      <c r="F63" s="622">
        <f>'Future Fund  Inc Exp Statement'!F63+'Gen Fund  Inc Exp Statement'!F64</f>
        <v>2262.9380000000001</v>
      </c>
      <c r="G63" s="622">
        <f>'Future Fund  Inc Exp Statement'!G63+'Gen Fund  Inc Exp Statement'!G64</f>
        <v>2200</v>
      </c>
      <c r="H63" s="622">
        <f>'Future Fund  Inc Exp Statement'!H63+'Gen Fund  Inc Exp Statement'!H64</f>
        <v>8000</v>
      </c>
      <c r="I63" s="622">
        <f>'Future Fund  Inc Exp Statement'!I63+'Gen Fund  Inc Exp Statement'!I64</f>
        <v>2000</v>
      </c>
      <c r="J63" s="622">
        <f>'Future Fund  Inc Exp Statement'!J63+'Gen Fund  Inc Exp Statement'!J64</f>
        <v>2000</v>
      </c>
      <c r="K63" s="622">
        <f>'Future Fund  Inc Exp Statement'!K63+'Gen Fund  Inc Exp Statement'!K64</f>
        <v>2040</v>
      </c>
      <c r="L63" s="622">
        <f>'Future Fund  Inc Exp Statement'!L63+'Gen Fund  Inc Exp Statement'!L64</f>
        <v>2080.8000000000002</v>
      </c>
      <c r="M63" s="622">
        <f>'Future Fund  Inc Exp Statement'!M63+'Gen Fund  Inc Exp Statement'!M64</f>
        <v>2122.4160000000002</v>
      </c>
      <c r="N63" s="622">
        <f>'Future Fund  Inc Exp Statement'!N63+'Gen Fund  Inc Exp Statement'!N64</f>
        <v>2164.8643199999997</v>
      </c>
      <c r="O63" s="622">
        <f>'Future Fund  Inc Exp Statement'!O63+'Gen Fund  Inc Exp Statement'!O64</f>
        <v>2208.1616064</v>
      </c>
      <c r="P63" s="622">
        <f>'Future Fund  Inc Exp Statement'!P63+'Gen Fund  Inc Exp Statement'!P64</f>
        <v>2252.3248385279999</v>
      </c>
    </row>
    <row r="64" spans="1:18" ht="11.25" hidden="1" outlineLevel="1" x14ac:dyDescent="0.2">
      <c r="A64" s="604" t="s">
        <v>1087</v>
      </c>
      <c r="B64" s="621"/>
      <c r="C64" s="621"/>
      <c r="D64" s="621"/>
      <c r="E64" s="621"/>
      <c r="F64" s="622">
        <f>'Future Fund  Inc Exp Statement'!F64+'Gen Fund  Inc Exp Statement'!F65</f>
        <v>10000</v>
      </c>
      <c r="G64" s="622">
        <f>'Future Fund  Inc Exp Statement'!G64+'Gen Fund  Inc Exp Statement'!G65</f>
        <v>0</v>
      </c>
      <c r="H64" s="622">
        <f>'Future Fund  Inc Exp Statement'!H64+'Gen Fund  Inc Exp Statement'!H65</f>
        <v>0</v>
      </c>
      <c r="I64" s="622">
        <f>'Future Fund  Inc Exp Statement'!I64+'Gen Fund  Inc Exp Statement'!I65</f>
        <v>0</v>
      </c>
      <c r="J64" s="622">
        <f>'Future Fund  Inc Exp Statement'!J64+'Gen Fund  Inc Exp Statement'!J65</f>
        <v>0</v>
      </c>
      <c r="K64" s="622">
        <f>'Future Fund  Inc Exp Statement'!K64+'Gen Fund  Inc Exp Statement'!K65</f>
        <v>0</v>
      </c>
      <c r="L64" s="622">
        <f>'Future Fund  Inc Exp Statement'!L64+'Gen Fund  Inc Exp Statement'!L65</f>
        <v>0</v>
      </c>
      <c r="M64" s="622">
        <f>'Future Fund  Inc Exp Statement'!M64+'Gen Fund  Inc Exp Statement'!M65</f>
        <v>0</v>
      </c>
      <c r="N64" s="622">
        <f>'Future Fund  Inc Exp Statement'!N64+'Gen Fund  Inc Exp Statement'!N65</f>
        <v>0</v>
      </c>
      <c r="O64" s="622">
        <f>'Future Fund  Inc Exp Statement'!O64+'Gen Fund  Inc Exp Statement'!O65</f>
        <v>0</v>
      </c>
      <c r="P64" s="622">
        <f>'Future Fund  Inc Exp Statement'!P64+'Gen Fund  Inc Exp Statement'!P65</f>
        <v>0</v>
      </c>
    </row>
    <row r="65" spans="1:28" ht="11.25" hidden="1" outlineLevel="1" x14ac:dyDescent="0.2">
      <c r="A65" s="604" t="s">
        <v>1344</v>
      </c>
      <c r="B65" s="621"/>
      <c r="C65" s="621"/>
      <c r="D65" s="621"/>
      <c r="E65" s="621"/>
      <c r="F65" s="622">
        <f>'Future Fund  Inc Exp Statement'!F65+'Gen Fund  Inc Exp Statement'!F66</f>
        <v>70</v>
      </c>
      <c r="G65" s="622">
        <f>'Future Fund  Inc Exp Statement'!G65+'Gen Fund  Inc Exp Statement'!G66</f>
        <v>70</v>
      </c>
      <c r="H65" s="622">
        <f>'Future Fund  Inc Exp Statement'!H65+'Gen Fund  Inc Exp Statement'!H66</f>
        <v>70</v>
      </c>
      <c r="I65" s="622">
        <f>'Future Fund  Inc Exp Statement'!I65+'Gen Fund  Inc Exp Statement'!I66</f>
        <v>70</v>
      </c>
      <c r="J65" s="622">
        <f>'Future Fund  Inc Exp Statement'!J65+'Gen Fund  Inc Exp Statement'!J66</f>
        <v>70</v>
      </c>
      <c r="K65" s="622">
        <f>'Future Fund  Inc Exp Statement'!K65+'Gen Fund  Inc Exp Statement'!K66</f>
        <v>71.400000000000006</v>
      </c>
      <c r="L65" s="622">
        <f>'Future Fund  Inc Exp Statement'!L65+'Gen Fund  Inc Exp Statement'!L66</f>
        <v>72.828000000000003</v>
      </c>
      <c r="M65" s="622">
        <f>'Future Fund  Inc Exp Statement'!M65+'Gen Fund  Inc Exp Statement'!M66</f>
        <v>74.284559999999999</v>
      </c>
      <c r="N65" s="622">
        <f>'Future Fund  Inc Exp Statement'!N65+'Gen Fund  Inc Exp Statement'!N66</f>
        <v>75.770251200000004</v>
      </c>
      <c r="O65" s="622">
        <f>'Future Fund  Inc Exp Statement'!O65+'Gen Fund  Inc Exp Statement'!O66</f>
        <v>77.285656224000007</v>
      </c>
      <c r="P65" s="622">
        <f>'Future Fund  Inc Exp Statement'!P65+'Gen Fund  Inc Exp Statement'!P66</f>
        <v>78.831369348479996</v>
      </c>
    </row>
    <row r="66" spans="1:28" ht="11.25" hidden="1" outlineLevel="1" x14ac:dyDescent="0.2">
      <c r="A66" s="604"/>
      <c r="B66" s="621"/>
      <c r="C66" s="621"/>
      <c r="D66" s="771">
        <f>SUM(D58:D65)</f>
        <v>0</v>
      </c>
      <c r="E66" s="771">
        <f>SUM(E58:E65)</f>
        <v>7182</v>
      </c>
      <c r="F66" s="771">
        <f>SUM(F58:F65)</f>
        <v>23771.591</v>
      </c>
      <c r="G66" s="771">
        <f t="shared" ref="G66:J66" si="18">SUM(G58:G65)</f>
        <v>14195.584000000001</v>
      </c>
      <c r="H66" s="771">
        <f t="shared" si="18"/>
        <v>20325.459179999998</v>
      </c>
      <c r="I66" s="771">
        <f t="shared" si="18"/>
        <v>14887.081668949999</v>
      </c>
      <c r="J66" s="771">
        <f t="shared" si="18"/>
        <v>15084.998560613249</v>
      </c>
      <c r="K66" s="771">
        <f t="shared" ref="K66" si="19">SUM(K58:K65)</f>
        <v>14385.29381162858</v>
      </c>
      <c r="L66" s="771">
        <f t="shared" ref="L66" si="20">SUM(L58:L65)</f>
        <v>14754.578003879293</v>
      </c>
      <c r="M66" s="771">
        <f t="shared" ref="M66" si="21">SUM(M58:M65)</f>
        <v>15133.570405967272</v>
      </c>
      <c r="N66" s="771">
        <f t="shared" ref="N66" si="22">SUM(N58:N65)</f>
        <v>15522.534430497915</v>
      </c>
      <c r="O66" s="771">
        <f t="shared" ref="O66" si="23">SUM(O58:O65)</f>
        <v>15921.740932825343</v>
      </c>
      <c r="P66" s="771">
        <f t="shared" ref="P66" si="24">SUM(P58:P65)</f>
        <v>16331.468431877551</v>
      </c>
    </row>
    <row r="67" spans="1:28" ht="11.25" hidden="1" outlineLevel="1" x14ac:dyDescent="0.2">
      <c r="A67" s="599"/>
      <c r="B67" s="621"/>
      <c r="C67" s="621"/>
      <c r="D67" s="622"/>
      <c r="E67" s="622"/>
      <c r="F67" s="622"/>
      <c r="G67" s="622"/>
      <c r="H67" s="622"/>
      <c r="I67" s="622"/>
      <c r="J67" s="624"/>
      <c r="K67" s="624"/>
      <c r="L67" s="624"/>
      <c r="M67" s="624"/>
      <c r="N67" s="624"/>
      <c r="O67" s="624"/>
      <c r="P67" s="624"/>
    </row>
    <row r="68" spans="1:28" ht="11.25" hidden="1" outlineLevel="1" x14ac:dyDescent="0.2">
      <c r="A68" s="604"/>
      <c r="B68" s="621"/>
      <c r="C68" s="621"/>
      <c r="D68" s="621"/>
      <c r="E68" s="621"/>
      <c r="F68" s="621"/>
      <c r="G68" s="621"/>
      <c r="H68" s="621"/>
      <c r="I68" s="621"/>
      <c r="J68" s="621"/>
      <c r="K68" s="621"/>
      <c r="L68" s="621"/>
      <c r="M68" s="621"/>
      <c r="N68" s="621"/>
      <c r="O68" s="621"/>
      <c r="P68" s="621"/>
    </row>
    <row r="69" spans="1:28" ht="11.25" hidden="1" outlineLevel="1" x14ac:dyDescent="0.2">
      <c r="A69" s="604" t="s">
        <v>34</v>
      </c>
      <c r="B69" s="621">
        <f>+B38+SUM(B51:B68)</f>
        <v>0</v>
      </c>
      <c r="C69" s="621">
        <f>+C38+SUM(C51:C68)</f>
        <v>0</v>
      </c>
      <c r="D69" s="625">
        <f>D66-D56</f>
        <v>0</v>
      </c>
      <c r="E69" s="625">
        <f t="shared" ref="E69:P69" si="25">E66-E56</f>
        <v>7182</v>
      </c>
      <c r="F69" s="625">
        <f t="shared" si="25"/>
        <v>30</v>
      </c>
      <c r="G69" s="625">
        <f t="shared" si="25"/>
        <v>-29.533999999999651</v>
      </c>
      <c r="H69" s="625">
        <f t="shared" si="25"/>
        <v>204.21536999999444</v>
      </c>
      <c r="I69" s="625">
        <f t="shared" si="25"/>
        <v>-39.821116350000011</v>
      </c>
      <c r="J69" s="625">
        <f t="shared" si="25"/>
        <v>-82.117286270749901</v>
      </c>
      <c r="K69" s="625">
        <f t="shared" si="25"/>
        <v>-877.12273922060012</v>
      </c>
      <c r="L69" s="625">
        <f t="shared" si="25"/>
        <v>-782.43674298686892</v>
      </c>
      <c r="M69" s="625">
        <f t="shared" si="25"/>
        <v>-387.18517746121506</v>
      </c>
      <c r="N69" s="625">
        <f t="shared" si="25"/>
        <v>-491.66563726476852</v>
      </c>
      <c r="O69" s="625">
        <f t="shared" si="25"/>
        <v>-457.64406077485728</v>
      </c>
      <c r="P69" s="625">
        <f t="shared" si="25"/>
        <v>-160.8795266889756</v>
      </c>
    </row>
    <row r="70" spans="1:28" ht="11.25" hidden="1" outlineLevel="1" x14ac:dyDescent="0.2">
      <c r="A70" s="600" t="s">
        <v>451</v>
      </c>
      <c r="C70" s="606">
        <f>B71</f>
        <v>0</v>
      </c>
      <c r="D70" s="606">
        <f t="shared" ref="D70:M70" si="26">C71</f>
        <v>0</v>
      </c>
      <c r="E70" s="606">
        <f t="shared" si="26"/>
        <v>0</v>
      </c>
      <c r="F70" s="606">
        <v>0</v>
      </c>
      <c r="G70" s="606">
        <f t="shared" si="26"/>
        <v>30</v>
      </c>
      <c r="H70" s="606">
        <f t="shared" si="26"/>
        <v>0.46600000000034925</v>
      </c>
      <c r="I70" s="606">
        <f t="shared" si="26"/>
        <v>204.68136999999479</v>
      </c>
      <c r="J70" s="606">
        <f t="shared" si="26"/>
        <v>164.86025364999477</v>
      </c>
      <c r="K70" s="606">
        <f t="shared" si="26"/>
        <v>82.742967379244874</v>
      </c>
      <c r="L70" s="606">
        <f t="shared" si="26"/>
        <v>-794.37977184135525</v>
      </c>
      <c r="M70" s="606">
        <f t="shared" si="26"/>
        <v>-1576.8165148282242</v>
      </c>
      <c r="N70" s="606">
        <f t="shared" ref="N70" si="27">M71</f>
        <v>-1964.0016922894392</v>
      </c>
      <c r="O70" s="606">
        <f t="shared" ref="O70:P70" si="28">N71</f>
        <v>-2455.6673295542078</v>
      </c>
      <c r="P70" s="606">
        <f t="shared" si="28"/>
        <v>-2913.311390329065</v>
      </c>
    </row>
    <row r="71" spans="1:28" ht="11.25" hidden="1" outlineLevel="1" x14ac:dyDescent="0.2">
      <c r="A71" s="620" t="s">
        <v>452</v>
      </c>
      <c r="B71" s="626"/>
      <c r="C71" s="627">
        <f>SUM(C69:C70)</f>
        <v>0</v>
      </c>
      <c r="D71" s="627">
        <f t="shared" ref="D71:M71" si="29">SUM(D69:D70)</f>
        <v>0</v>
      </c>
      <c r="E71" s="627">
        <f t="shared" si="29"/>
        <v>7182</v>
      </c>
      <c r="F71" s="627">
        <f t="shared" si="29"/>
        <v>30</v>
      </c>
      <c r="G71" s="627">
        <f t="shared" si="29"/>
        <v>0.46600000000034925</v>
      </c>
      <c r="H71" s="627">
        <f t="shared" si="29"/>
        <v>204.68136999999479</v>
      </c>
      <c r="I71" s="627">
        <f t="shared" si="29"/>
        <v>164.86025364999477</v>
      </c>
      <c r="J71" s="627">
        <f t="shared" si="29"/>
        <v>82.742967379244874</v>
      </c>
      <c r="K71" s="627">
        <f t="shared" si="29"/>
        <v>-794.37977184135525</v>
      </c>
      <c r="L71" s="627">
        <f t="shared" si="29"/>
        <v>-1576.8165148282242</v>
      </c>
      <c r="M71" s="627">
        <f t="shared" si="29"/>
        <v>-1964.0016922894392</v>
      </c>
      <c r="N71" s="627">
        <f t="shared" ref="N71:O71" si="30">SUM(N69:N70)</f>
        <v>-2455.6673295542078</v>
      </c>
      <c r="O71" s="627">
        <f t="shared" si="30"/>
        <v>-2913.311390329065</v>
      </c>
      <c r="P71" s="627">
        <f t="shared" ref="P71" si="31">SUM(P69:P70)</f>
        <v>-3074.1909170180406</v>
      </c>
    </row>
    <row r="72" spans="1:28" ht="11.25" collapsed="1" x14ac:dyDescent="0.2">
      <c r="A72" s="620"/>
      <c r="B72" s="626"/>
      <c r="C72" s="627"/>
      <c r="D72" s="627"/>
      <c r="E72" s="627"/>
      <c r="F72" s="627"/>
      <c r="G72" s="627"/>
      <c r="H72" s="627"/>
      <c r="I72" s="627"/>
      <c r="J72" s="627"/>
      <c r="K72" s="627"/>
      <c r="L72" s="627"/>
      <c r="M72" s="627"/>
      <c r="N72" s="627"/>
      <c r="O72" s="627"/>
      <c r="P72" s="627"/>
    </row>
    <row r="73" spans="1:28" s="631" customFormat="1" ht="11.25" hidden="1" outlineLevel="1" x14ac:dyDescent="0.2">
      <c r="A73" s="628"/>
      <c r="B73" s="629"/>
      <c r="C73" s="630"/>
      <c r="D73" s="630"/>
      <c r="E73" s="630"/>
      <c r="F73" s="630"/>
      <c r="G73" s="630"/>
      <c r="H73" s="630"/>
      <c r="I73" s="630"/>
      <c r="J73" s="630"/>
      <c r="K73" s="630"/>
      <c r="L73" s="630"/>
      <c r="M73" s="630"/>
      <c r="N73" s="630"/>
      <c r="O73" s="630"/>
      <c r="P73" s="630"/>
    </row>
    <row r="74" spans="1:28" s="631" customFormat="1" ht="11.25" hidden="1" outlineLevel="1" x14ac:dyDescent="0.2">
      <c r="A74" s="628"/>
      <c r="B74" s="629"/>
      <c r="C74" s="630"/>
      <c r="D74" s="630"/>
      <c r="E74" s="630"/>
      <c r="F74" s="630"/>
      <c r="G74" s="630"/>
      <c r="H74" s="630"/>
      <c r="I74" s="630"/>
      <c r="J74" s="630"/>
      <c r="K74" s="630"/>
      <c r="L74" s="630"/>
      <c r="M74" s="630"/>
      <c r="N74" s="630"/>
      <c r="O74" s="630"/>
      <c r="P74" s="630"/>
    </row>
    <row r="75" spans="1:28" ht="15.75" collapsed="1" x14ac:dyDescent="0.25">
      <c r="A75" s="1091" t="s">
        <v>1365</v>
      </c>
      <c r="S75" s="1370" t="s">
        <v>1395</v>
      </c>
      <c r="T75" s="1336"/>
      <c r="U75" s="1336"/>
      <c r="V75" s="1336"/>
      <c r="W75" s="1336"/>
      <c r="X75" s="1336"/>
      <c r="Y75" s="1336"/>
      <c r="Z75" s="1336"/>
      <c r="AA75" s="1336"/>
      <c r="AB75" s="1336"/>
    </row>
    <row r="76" spans="1:28" ht="12" x14ac:dyDescent="0.25">
      <c r="A76" s="632" t="s">
        <v>1065</v>
      </c>
      <c r="B76" s="586" t="s">
        <v>69</v>
      </c>
      <c r="C76" s="586" t="s">
        <v>69</v>
      </c>
      <c r="D76" s="586" t="s">
        <v>69</v>
      </c>
      <c r="E76" s="586" t="s">
        <v>69</v>
      </c>
      <c r="F76" s="586" t="s">
        <v>70</v>
      </c>
      <c r="G76" s="586" t="s">
        <v>70</v>
      </c>
      <c r="H76" s="586" t="s">
        <v>71</v>
      </c>
      <c r="I76" s="586" t="s">
        <v>71</v>
      </c>
      <c r="J76" s="586" t="s">
        <v>71</v>
      </c>
      <c r="K76" s="586" t="s">
        <v>71</v>
      </c>
      <c r="L76" s="586" t="s">
        <v>71</v>
      </c>
      <c r="M76" s="586" t="s">
        <v>71</v>
      </c>
      <c r="N76" s="586" t="s">
        <v>71</v>
      </c>
      <c r="O76" s="586" t="s">
        <v>71</v>
      </c>
      <c r="P76" s="586" t="s">
        <v>71</v>
      </c>
      <c r="S76" s="586" t="s">
        <v>70</v>
      </c>
      <c r="T76" s="586" t="s">
        <v>71</v>
      </c>
      <c r="U76" s="586" t="s">
        <v>71</v>
      </c>
      <c r="V76" s="586" t="s">
        <v>71</v>
      </c>
      <c r="W76" s="586" t="s">
        <v>71</v>
      </c>
      <c r="X76" s="586" t="s">
        <v>71</v>
      </c>
      <c r="Y76" s="586" t="s">
        <v>71</v>
      </c>
      <c r="Z76" s="586" t="s">
        <v>71</v>
      </c>
      <c r="AA76" s="586" t="s">
        <v>71</v>
      </c>
      <c r="AB76" s="586" t="s">
        <v>71</v>
      </c>
    </row>
    <row r="77" spans="1:28" x14ac:dyDescent="0.2">
      <c r="A77" s="598" t="s">
        <v>73</v>
      </c>
      <c r="B77" s="741" t="s">
        <v>68</v>
      </c>
      <c r="C77" s="694" t="s">
        <v>0</v>
      </c>
      <c r="D77" s="694" t="s">
        <v>1</v>
      </c>
      <c r="E77" s="694" t="s">
        <v>2</v>
      </c>
      <c r="F77" s="694" t="s">
        <v>3</v>
      </c>
      <c r="G77" s="694" t="s">
        <v>4</v>
      </c>
      <c r="H77" s="694" t="s">
        <v>5</v>
      </c>
      <c r="I77" s="694" t="s">
        <v>6</v>
      </c>
      <c r="J77" s="694" t="s">
        <v>7</v>
      </c>
      <c r="K77" s="694" t="s">
        <v>8</v>
      </c>
      <c r="L77" s="694" t="s">
        <v>9</v>
      </c>
      <c r="M77" s="694" t="s">
        <v>514</v>
      </c>
      <c r="N77" s="694" t="s">
        <v>515</v>
      </c>
      <c r="O77" s="694" t="s">
        <v>904</v>
      </c>
      <c r="P77" s="694" t="s">
        <v>1046</v>
      </c>
      <c r="S77" s="694" t="s">
        <v>4</v>
      </c>
      <c r="T77" s="694" t="s">
        <v>5</v>
      </c>
      <c r="U77" s="694" t="s">
        <v>6</v>
      </c>
      <c r="V77" s="694" t="s">
        <v>7</v>
      </c>
      <c r="W77" s="694" t="s">
        <v>8</v>
      </c>
      <c r="X77" s="694" t="s">
        <v>9</v>
      </c>
      <c r="Y77" s="694" t="s">
        <v>514</v>
      </c>
      <c r="Z77" s="694" t="s">
        <v>515</v>
      </c>
      <c r="AA77" s="694" t="s">
        <v>904</v>
      </c>
      <c r="AB77" s="694" t="s">
        <v>1046</v>
      </c>
    </row>
    <row r="78" spans="1:28" s="603" customFormat="1" ht="11.25" hidden="1" outlineLevel="1" x14ac:dyDescent="0.2">
      <c r="A78" s="1087" t="s">
        <v>1360</v>
      </c>
      <c r="B78" s="1088"/>
      <c r="C78" s="1089"/>
      <c r="D78" s="1089"/>
      <c r="E78" s="1089"/>
      <c r="F78" s="1089"/>
      <c r="G78" s="1090">
        <f>(G84-F84)/F84</f>
        <v>7.7068354565281119E-2</v>
      </c>
      <c r="H78" s="1090">
        <f t="shared" ref="H78:P78" si="32">(H84-G84)/G84</f>
        <v>5.089862314754124E-2</v>
      </c>
      <c r="I78" s="1090">
        <f t="shared" si="32"/>
        <v>6.7833211727787862E-2</v>
      </c>
      <c r="J78" s="1090">
        <f t="shared" si="32"/>
        <v>4.8121075118119E-2</v>
      </c>
      <c r="K78" s="1090">
        <f t="shared" si="32"/>
        <v>2.4999999999999852E-2</v>
      </c>
      <c r="L78" s="1090">
        <f t="shared" si="32"/>
        <v>2.4999999999999981E-2</v>
      </c>
      <c r="M78" s="1090">
        <f t="shared" si="32"/>
        <v>2.499999999999997E-2</v>
      </c>
      <c r="N78" s="1090">
        <f t="shared" si="32"/>
        <v>2.4999999999999922E-2</v>
      </c>
      <c r="O78" s="1090">
        <f t="shared" si="32"/>
        <v>2.4999999999999915E-2</v>
      </c>
      <c r="P78" s="1090">
        <f t="shared" si="32"/>
        <v>2.4999999999999873E-2</v>
      </c>
    </row>
    <row r="79" spans="1:28" s="603" customFormat="1" ht="11.25" hidden="1" outlineLevel="1" x14ac:dyDescent="0.2">
      <c r="A79" s="1087"/>
      <c r="B79" s="1088"/>
      <c r="C79" s="1089"/>
      <c r="D79" s="1089"/>
      <c r="E79" s="1089"/>
      <c r="F79" s="1089"/>
      <c r="G79" s="1323">
        <f>G78-G4</f>
        <v>2.0763356369739985E-2</v>
      </c>
      <c r="H79" s="1323">
        <f t="shared" ref="H79:J79" si="33">H78-H4</f>
        <v>1.7359607903668535E-2</v>
      </c>
      <c r="I79" s="1323">
        <f t="shared" si="33"/>
        <v>2.4968477194217797E-2</v>
      </c>
      <c r="J79" s="1323">
        <f t="shared" si="33"/>
        <v>2.0745118357834845E-2</v>
      </c>
      <c r="K79" s="1089"/>
      <c r="L79" s="1089"/>
      <c r="M79" s="1089"/>
      <c r="N79" s="1089"/>
      <c r="O79" s="1089"/>
      <c r="P79" s="1089"/>
    </row>
    <row r="80" spans="1:28" s="603" customFormat="1" ht="11.25" hidden="1" outlineLevel="1" x14ac:dyDescent="0.2">
      <c r="A80" s="1087"/>
      <c r="B80" s="1088"/>
      <c r="C80" s="1089"/>
      <c r="D80" s="1089"/>
      <c r="E80" s="1089"/>
      <c r="F80" s="1089"/>
      <c r="G80" s="1089"/>
      <c r="H80" s="1089"/>
      <c r="I80" s="1089"/>
      <c r="J80" s="1089"/>
      <c r="K80" s="1089"/>
      <c r="L80" s="1089"/>
      <c r="M80" s="1089"/>
      <c r="N80" s="1089"/>
      <c r="O80" s="1089"/>
      <c r="P80" s="1089"/>
    </row>
    <row r="81" spans="1:28" s="603" customFormat="1" ht="11.25" hidden="1" outlineLevel="1" x14ac:dyDescent="0.2">
      <c r="A81" s="1087"/>
      <c r="B81" s="1088"/>
      <c r="C81" s="1089"/>
      <c r="D81" s="1089"/>
      <c r="E81" s="1089"/>
      <c r="F81" s="1089"/>
      <c r="G81" s="1089"/>
      <c r="H81" s="1089"/>
      <c r="I81" s="1089"/>
      <c r="J81" s="1089"/>
      <c r="K81" s="1089"/>
      <c r="L81" s="1089"/>
      <c r="M81" s="1089"/>
      <c r="N81" s="1089"/>
      <c r="O81" s="1089"/>
      <c r="P81" s="1089"/>
    </row>
    <row r="82" spans="1:28" collapsed="1" x14ac:dyDescent="0.2">
      <c r="A82" s="604" t="s">
        <v>61</v>
      </c>
      <c r="S82" s="603"/>
      <c r="T82" s="603"/>
      <c r="U82" s="603"/>
      <c r="V82" s="603"/>
      <c r="W82" s="603"/>
      <c r="X82" s="603"/>
      <c r="Y82" s="603"/>
      <c r="Z82" s="603"/>
      <c r="AA82" s="603"/>
      <c r="AB82" s="603"/>
    </row>
    <row r="83" spans="1:28" x14ac:dyDescent="0.2">
      <c r="A83" s="607" t="s">
        <v>62</v>
      </c>
      <c r="S83" s="599" t="s">
        <v>1396</v>
      </c>
    </row>
    <row r="84" spans="1:28" x14ac:dyDescent="0.2">
      <c r="A84" s="600" t="s">
        <v>11</v>
      </c>
      <c r="B84" s="606">
        <f t="shared" ref="B84:E89" si="34">+B11</f>
        <v>0</v>
      </c>
      <c r="C84" s="606">
        <f t="shared" si="34"/>
        <v>0</v>
      </c>
      <c r="D84" s="606">
        <f t="shared" si="34"/>
        <v>0</v>
      </c>
      <c r="E84" s="606">
        <f t="shared" si="34"/>
        <v>13690</v>
      </c>
      <c r="F84" s="606">
        <f>'Future Fund  Inc Exp Statement'!F84+'Gen Fund  Inc Exp Statement'!F87</f>
        <v>14450.315000000001</v>
      </c>
      <c r="G84" s="606">
        <f>'Future Fund  Inc Exp Statement'!G84+'Gen Fund  Inc Exp Statement'!G87</f>
        <v>15563.977000000001</v>
      </c>
      <c r="H84" s="606">
        <f>'Future Fund  Inc Exp Statement'!H84+'Gen Fund  Inc Exp Statement'!H87</f>
        <v>16356.162</v>
      </c>
      <c r="I84" s="606">
        <f>'Future Fund  Inc Exp Statement'!I84+'Gen Fund  Inc Exp Statement'!I87</f>
        <v>17465.652999999998</v>
      </c>
      <c r="J84" s="606">
        <f>'Future Fund  Inc Exp Statement'!J84+'Gen Fund  Inc Exp Statement'!J87</f>
        <v>18306.118999999999</v>
      </c>
      <c r="K84" s="606">
        <f>'Future Fund  Inc Exp Statement'!K84+'Gen Fund  Inc Exp Statement'!K87</f>
        <v>18763.771974999996</v>
      </c>
      <c r="L84" s="606">
        <f>'Future Fund  Inc Exp Statement'!L84+'Gen Fund  Inc Exp Statement'!L87</f>
        <v>19232.866274374996</v>
      </c>
      <c r="M84" s="606">
        <f>'Future Fund  Inc Exp Statement'!M84+'Gen Fund  Inc Exp Statement'!M87</f>
        <v>19713.68793123437</v>
      </c>
      <c r="N84" s="606">
        <f>'Future Fund  Inc Exp Statement'!N84+'Gen Fund  Inc Exp Statement'!N87</f>
        <v>20206.530129515228</v>
      </c>
      <c r="O84" s="606">
        <f>'Future Fund  Inc Exp Statement'!O84+'Gen Fund  Inc Exp Statement'!O87</f>
        <v>20711.693382753107</v>
      </c>
      <c r="P84" s="606">
        <f>'Future Fund  Inc Exp Statement'!P84+'Gen Fund  Inc Exp Statement'!P87</f>
        <v>21229.485717321932</v>
      </c>
      <c r="S84" s="606">
        <f>G84-G11</f>
        <v>300.03703999999925</v>
      </c>
      <c r="T84" s="606">
        <f t="shared" ref="T84:AB84" si="35">H84-H11</f>
        <v>580.28452500000094</v>
      </c>
      <c r="U84" s="606">
        <f t="shared" si="35"/>
        <v>1013.5467249999965</v>
      </c>
      <c r="V84" s="606">
        <f t="shared" si="35"/>
        <v>1403.6205749999972</v>
      </c>
      <c r="W84" s="606">
        <f t="shared" si="35"/>
        <v>1438.7110893749959</v>
      </c>
      <c r="X84" s="606">
        <f t="shared" si="35"/>
        <v>1474.6788666093707</v>
      </c>
      <c r="Y84" s="606">
        <f t="shared" si="35"/>
        <v>1511.5458382746074</v>
      </c>
      <c r="Z84" s="606">
        <f t="shared" si="35"/>
        <v>1549.3344842314727</v>
      </c>
      <c r="AA84" s="606">
        <f t="shared" si="35"/>
        <v>1588.0678463372606</v>
      </c>
      <c r="AB84" s="606">
        <f t="shared" si="35"/>
        <v>1627.769542495691</v>
      </c>
    </row>
    <row r="85" spans="1:28" x14ac:dyDescent="0.2">
      <c r="A85" s="600" t="s">
        <v>12</v>
      </c>
      <c r="B85" s="606">
        <f t="shared" si="34"/>
        <v>0</v>
      </c>
      <c r="C85" s="606">
        <f t="shared" si="34"/>
        <v>0</v>
      </c>
      <c r="D85" s="606">
        <f t="shared" si="34"/>
        <v>0</v>
      </c>
      <c r="E85" s="606">
        <f t="shared" si="34"/>
        <v>7643</v>
      </c>
      <c r="F85" s="606">
        <f>'Future Fund  Inc Exp Statement'!F85+'Gen Fund  Inc Exp Statement'!F88</f>
        <v>9486.969000000001</v>
      </c>
      <c r="G85" s="606">
        <f>'Future Fund  Inc Exp Statement'!G85+'Gen Fund  Inc Exp Statement'!G88</f>
        <v>9897.5250000000015</v>
      </c>
      <c r="H85" s="606">
        <f>'Future Fund  Inc Exp Statement'!H85+'Gen Fund  Inc Exp Statement'!H88</f>
        <v>9797.2430000000004</v>
      </c>
      <c r="I85" s="606">
        <f>'Future Fund  Inc Exp Statement'!I85+'Gen Fund  Inc Exp Statement'!I88</f>
        <v>10156.66</v>
      </c>
      <c r="J85" s="606">
        <f>'Future Fund  Inc Exp Statement'!J85+'Gen Fund  Inc Exp Statement'!J88</f>
        <v>10598.714</v>
      </c>
      <c r="K85" s="606">
        <f>'Future Fund  Inc Exp Statement'!K85+'Gen Fund  Inc Exp Statement'!K88</f>
        <v>10810.68828</v>
      </c>
      <c r="L85" s="606">
        <f>'Future Fund  Inc Exp Statement'!L85+'Gen Fund  Inc Exp Statement'!L88</f>
        <v>11026.9020456</v>
      </c>
      <c r="M85" s="606">
        <f>'Future Fund  Inc Exp Statement'!M85+'Gen Fund  Inc Exp Statement'!M88</f>
        <v>11247.440086512001</v>
      </c>
      <c r="N85" s="606">
        <f>'Future Fund  Inc Exp Statement'!N85+'Gen Fund  Inc Exp Statement'!N88</f>
        <v>11472.38888824224</v>
      </c>
      <c r="O85" s="606">
        <f>'Future Fund  Inc Exp Statement'!O85+'Gen Fund  Inc Exp Statement'!O88</f>
        <v>11701.836666007086</v>
      </c>
      <c r="P85" s="606">
        <f>'Future Fund  Inc Exp Statement'!P85+'Gen Fund  Inc Exp Statement'!P88</f>
        <v>11935.873399327229</v>
      </c>
      <c r="S85" s="606">
        <f t="shared" ref="S85:S92" si="36">G85-G12</f>
        <v>0</v>
      </c>
      <c r="T85" s="606">
        <f t="shared" ref="T85:T92" si="37">H85-H12</f>
        <v>-270.75699999999961</v>
      </c>
      <c r="U85" s="606">
        <f t="shared" ref="U85:U92" si="38">I85-I12</f>
        <v>-95.593000000000757</v>
      </c>
      <c r="V85" s="606">
        <f t="shared" ref="V85:V92" si="39">J85-J12</f>
        <v>113.42180000000008</v>
      </c>
      <c r="W85" s="606">
        <f t="shared" ref="W85:W92" si="40">K85-K12</f>
        <v>115.69023600000037</v>
      </c>
      <c r="X85" s="606">
        <f t="shared" ref="X85:X92" si="41">L85-L12</f>
        <v>118.00404071999947</v>
      </c>
      <c r="Y85" s="606">
        <f t="shared" ref="Y85:Y92" si="42">M85-M12</f>
        <v>120.3641215343996</v>
      </c>
      <c r="Z85" s="606">
        <f t="shared" ref="Z85:Z92" si="43">N85-N12</f>
        <v>122.7714039650873</v>
      </c>
      <c r="AA85" s="606">
        <f t="shared" ref="AA85:AA92" si="44">O85-O12</f>
        <v>125.2268320443909</v>
      </c>
      <c r="AB85" s="606">
        <f t="shared" ref="AB85:AB92" si="45">P85-P12</f>
        <v>127.73136868527945</v>
      </c>
    </row>
    <row r="86" spans="1:28" x14ac:dyDescent="0.2">
      <c r="A86" s="600" t="s">
        <v>13</v>
      </c>
      <c r="B86" s="606">
        <f t="shared" si="34"/>
        <v>0</v>
      </c>
      <c r="C86" s="606">
        <f t="shared" si="34"/>
        <v>0</v>
      </c>
      <c r="D86" s="606">
        <f t="shared" si="34"/>
        <v>0</v>
      </c>
      <c r="E86" s="606">
        <f t="shared" si="34"/>
        <v>1053</v>
      </c>
      <c r="F86" s="606">
        <f>'Future Fund  Inc Exp Statement'!F86+'Gen Fund  Inc Exp Statement'!F89</f>
        <v>931.5</v>
      </c>
      <c r="G86" s="606">
        <f>'Future Fund  Inc Exp Statement'!G86+'Gen Fund  Inc Exp Statement'!G89</f>
        <v>938.20899999999995</v>
      </c>
      <c r="H86" s="606">
        <f>'Future Fund  Inc Exp Statement'!H86+'Gen Fund  Inc Exp Statement'!H89</f>
        <v>947.19299999999998</v>
      </c>
      <c r="I86" s="606">
        <f>'Future Fund  Inc Exp Statement'!I86+'Gen Fund  Inc Exp Statement'!I89</f>
        <v>956.88900000000001</v>
      </c>
      <c r="J86" s="606">
        <f>'Future Fund  Inc Exp Statement'!J86+'Gen Fund  Inc Exp Statement'!J89</f>
        <v>965.43299999999999</v>
      </c>
      <c r="K86" s="606">
        <f>'Future Fund  Inc Exp Statement'!K86+'Gen Fund  Inc Exp Statement'!K89</f>
        <v>823.88358072235985</v>
      </c>
      <c r="L86" s="606">
        <f>'Future Fund  Inc Exp Statement'!L86+'Gen Fund  Inc Exp Statement'!L89</f>
        <v>889.10882305084647</v>
      </c>
      <c r="M86" s="606">
        <f>'Future Fund  Inc Exp Statement'!M86+'Gen Fund  Inc Exp Statement'!M89</f>
        <v>923.62613593826484</v>
      </c>
      <c r="N86" s="606">
        <f>'Future Fund  Inc Exp Statement'!N86+'Gen Fund  Inc Exp Statement'!N89</f>
        <v>925.5196853801832</v>
      </c>
      <c r="O86" s="606">
        <f>'Future Fund  Inc Exp Statement'!O86+'Gen Fund  Inc Exp Statement'!O89</f>
        <v>949.96085188058635</v>
      </c>
      <c r="P86" s="606">
        <f>'Future Fund  Inc Exp Statement'!P86+'Gen Fund  Inc Exp Statement'!P89</f>
        <v>978.6517640903254</v>
      </c>
      <c r="S86" s="606">
        <f t="shared" si="36"/>
        <v>0</v>
      </c>
      <c r="T86" s="606">
        <f t="shared" si="37"/>
        <v>0</v>
      </c>
      <c r="U86" s="606">
        <f t="shared" si="38"/>
        <v>0</v>
      </c>
      <c r="V86" s="606">
        <f t="shared" si="39"/>
        <v>0</v>
      </c>
      <c r="W86" s="606">
        <f t="shared" si="40"/>
        <v>157.93234659999973</v>
      </c>
      <c r="X86" s="606">
        <f t="shared" si="41"/>
        <v>221.16035638059782</v>
      </c>
      <c r="Y86" s="606">
        <f t="shared" si="42"/>
        <v>250.67827243543741</v>
      </c>
      <c r="Z86" s="606">
        <f t="shared" si="43"/>
        <v>233.00518285662554</v>
      </c>
      <c r="AA86" s="606">
        <f t="shared" si="44"/>
        <v>243.0125190462129</v>
      </c>
      <c r="AB86" s="606">
        <f t="shared" si="45"/>
        <v>257.21801229936807</v>
      </c>
    </row>
    <row r="87" spans="1:28" x14ac:dyDescent="0.2">
      <c r="A87" s="600" t="s">
        <v>14</v>
      </c>
      <c r="B87" s="606">
        <f t="shared" si="34"/>
        <v>0</v>
      </c>
      <c r="C87" s="606">
        <f t="shared" si="34"/>
        <v>0</v>
      </c>
      <c r="D87" s="606">
        <f t="shared" si="34"/>
        <v>0</v>
      </c>
      <c r="E87" s="606">
        <f t="shared" si="34"/>
        <v>1018</v>
      </c>
      <c r="F87" s="606">
        <f>'Future Fund  Inc Exp Statement'!F87+'Gen Fund  Inc Exp Statement'!F90</f>
        <v>2424.5369999999998</v>
      </c>
      <c r="G87" s="606">
        <f>'Future Fund  Inc Exp Statement'!G87+'Gen Fund  Inc Exp Statement'!G90</f>
        <v>2409.788</v>
      </c>
      <c r="H87" s="606">
        <f>'Future Fund  Inc Exp Statement'!H87+'Gen Fund  Inc Exp Statement'!H90</f>
        <v>2463.8040000000001</v>
      </c>
      <c r="I87" s="606">
        <f>'Future Fund  Inc Exp Statement'!I87+'Gen Fund  Inc Exp Statement'!I90</f>
        <v>2520.3789999999999</v>
      </c>
      <c r="J87" s="606">
        <f>'Future Fund  Inc Exp Statement'!J87+'Gen Fund  Inc Exp Statement'!J90</f>
        <v>2578.0160000000001</v>
      </c>
      <c r="K87" s="606">
        <f>'Future Fund  Inc Exp Statement'!K87+'Gen Fund  Inc Exp Statement'!K90</f>
        <v>2629.5763200000001</v>
      </c>
      <c r="L87" s="606">
        <f>'Future Fund  Inc Exp Statement'!L87+'Gen Fund  Inc Exp Statement'!L90</f>
        <v>2682.1678464000001</v>
      </c>
      <c r="M87" s="606">
        <f>'Future Fund  Inc Exp Statement'!M87+'Gen Fund  Inc Exp Statement'!M90</f>
        <v>2735.8112033280004</v>
      </c>
      <c r="N87" s="606">
        <f>'Future Fund  Inc Exp Statement'!N87+'Gen Fund  Inc Exp Statement'!N90</f>
        <v>2790.5274273945606</v>
      </c>
      <c r="O87" s="606">
        <f>'Future Fund  Inc Exp Statement'!O87+'Gen Fund  Inc Exp Statement'!O90</f>
        <v>2846.337975942452</v>
      </c>
      <c r="P87" s="606">
        <f>'Future Fund  Inc Exp Statement'!P87+'Gen Fund  Inc Exp Statement'!P90</f>
        <v>2903.2647354613009</v>
      </c>
      <c r="S87" s="606">
        <f t="shared" si="36"/>
        <v>0</v>
      </c>
      <c r="T87" s="606">
        <f t="shared" si="37"/>
        <v>0</v>
      </c>
      <c r="U87" s="606">
        <f t="shared" si="38"/>
        <v>0</v>
      </c>
      <c r="V87" s="606">
        <f t="shared" si="39"/>
        <v>0</v>
      </c>
      <c r="W87" s="606">
        <f t="shared" si="40"/>
        <v>0</v>
      </c>
      <c r="X87" s="606">
        <f t="shared" si="41"/>
        <v>0</v>
      </c>
      <c r="Y87" s="606">
        <f t="shared" si="42"/>
        <v>0</v>
      </c>
      <c r="Z87" s="606">
        <f t="shared" si="43"/>
        <v>0</v>
      </c>
      <c r="AA87" s="606">
        <f t="shared" si="44"/>
        <v>0</v>
      </c>
      <c r="AB87" s="606">
        <f t="shared" si="45"/>
        <v>0</v>
      </c>
    </row>
    <row r="88" spans="1:28" ht="20.399999999999999" x14ac:dyDescent="0.2">
      <c r="A88" s="600" t="s">
        <v>15</v>
      </c>
      <c r="B88" s="606">
        <f t="shared" si="34"/>
        <v>0</v>
      </c>
      <c r="C88" s="606">
        <f t="shared" si="34"/>
        <v>0</v>
      </c>
      <c r="D88" s="606">
        <f t="shared" si="34"/>
        <v>0</v>
      </c>
      <c r="E88" s="606">
        <f t="shared" si="34"/>
        <v>8953</v>
      </c>
      <c r="F88" s="606">
        <f>'Future Fund  Inc Exp Statement'!F88+'Gen Fund  Inc Exp Statement'!F91</f>
        <v>6174.7439999999997</v>
      </c>
      <c r="G88" s="606">
        <f>'Future Fund  Inc Exp Statement'!G88+'Gen Fund  Inc Exp Statement'!G91</f>
        <v>5450.8890000000001</v>
      </c>
      <c r="H88" s="606">
        <f>'Future Fund  Inc Exp Statement'!H88+'Gen Fund  Inc Exp Statement'!H91</f>
        <v>5547.3509999999997</v>
      </c>
      <c r="I88" s="606">
        <f>'Future Fund  Inc Exp Statement'!I88+'Gen Fund  Inc Exp Statement'!I91</f>
        <v>5643.5889999999999</v>
      </c>
      <c r="J88" s="606">
        <f>'Future Fund  Inc Exp Statement'!J88+'Gen Fund  Inc Exp Statement'!J91</f>
        <v>5741.7657600000002</v>
      </c>
      <c r="K88" s="606">
        <f>'Future Fund  Inc Exp Statement'!K88+'Gen Fund  Inc Exp Statement'!K91</f>
        <v>5885.3099039999997</v>
      </c>
      <c r="L88" s="606">
        <f>'Future Fund  Inc Exp Statement'!L88+'Gen Fund  Inc Exp Statement'!L91</f>
        <v>6032.4426515999994</v>
      </c>
      <c r="M88" s="606">
        <f>'Future Fund  Inc Exp Statement'!M88+'Gen Fund  Inc Exp Statement'!M91</f>
        <v>6183.2537178899993</v>
      </c>
      <c r="N88" s="606">
        <f>'Future Fund  Inc Exp Statement'!N88+'Gen Fund  Inc Exp Statement'!N91</f>
        <v>6337.8350608372484</v>
      </c>
      <c r="O88" s="606">
        <f>'Future Fund  Inc Exp Statement'!O88+'Gen Fund  Inc Exp Statement'!O91</f>
        <v>6496.2809373581795</v>
      </c>
      <c r="P88" s="606">
        <f>'Future Fund  Inc Exp Statement'!P88+'Gen Fund  Inc Exp Statement'!P91</f>
        <v>6658.6879607921337</v>
      </c>
      <c r="S88" s="606">
        <f t="shared" si="36"/>
        <v>0</v>
      </c>
      <c r="T88" s="606">
        <f t="shared" si="37"/>
        <v>0</v>
      </c>
      <c r="U88" s="606">
        <f t="shared" si="38"/>
        <v>0</v>
      </c>
      <c r="V88" s="606">
        <f t="shared" si="39"/>
        <v>0</v>
      </c>
      <c r="W88" s="606">
        <f t="shared" si="40"/>
        <v>0</v>
      </c>
      <c r="X88" s="606">
        <f t="shared" si="41"/>
        <v>0</v>
      </c>
      <c r="Y88" s="606">
        <f t="shared" si="42"/>
        <v>0</v>
      </c>
      <c r="Z88" s="606">
        <f t="shared" si="43"/>
        <v>0</v>
      </c>
      <c r="AA88" s="606">
        <f t="shared" si="44"/>
        <v>0</v>
      </c>
      <c r="AB88" s="606">
        <f t="shared" si="45"/>
        <v>0</v>
      </c>
    </row>
    <row r="89" spans="1:28" ht="20.399999999999999" x14ac:dyDescent="0.2">
      <c r="A89" s="600" t="s">
        <v>18</v>
      </c>
      <c r="B89" s="606">
        <f t="shared" si="34"/>
        <v>0</v>
      </c>
      <c r="C89" s="606">
        <f t="shared" si="34"/>
        <v>0</v>
      </c>
      <c r="D89" s="606">
        <f t="shared" si="34"/>
        <v>0</v>
      </c>
      <c r="E89" s="606">
        <f t="shared" si="34"/>
        <v>14459</v>
      </c>
      <c r="F89" s="606">
        <f>'Future Fund  Inc Exp Statement'!F89+'Gen Fund  Inc Exp Statement'!F92</f>
        <v>2898.0070000000001</v>
      </c>
      <c r="G89" s="606">
        <f>'Future Fund  Inc Exp Statement'!G89+'Gen Fund  Inc Exp Statement'!G92</f>
        <v>3787.9670000000001</v>
      </c>
      <c r="H89" s="606">
        <f>'Future Fund  Inc Exp Statement'!H89+'Gen Fund  Inc Exp Statement'!H92</f>
        <v>3844.3710099999998</v>
      </c>
      <c r="I89" s="606">
        <f>'Future Fund  Inc Exp Statement'!I89+'Gen Fund  Inc Exp Statement'!I92</f>
        <v>7402.4590152999999</v>
      </c>
      <c r="J89" s="606">
        <f>'Future Fund  Inc Exp Statement'!J89+'Gen Fund  Inc Exp Statement'!J92</f>
        <v>3962.2813326340001</v>
      </c>
      <c r="K89" s="606">
        <f>'Future Fund  Inc Exp Statement'!K89+'Gen Fund  Inc Exp Statement'!K92</f>
        <v>4050.2319592866806</v>
      </c>
      <c r="L89" s="606">
        <f>'Future Fund  Inc Exp Statement'!L89+'Gen Fund  Inc Exp Statement'!L92</f>
        <v>4140.1592234724139</v>
      </c>
      <c r="M89" s="606">
        <f>'Future Fund  Inc Exp Statement'!M89+'Gen Fund  Inc Exp Statement'!M92</f>
        <v>4232.1080985668623</v>
      </c>
      <c r="N89" s="606">
        <f>'Future Fund  Inc Exp Statement'!N89+'Gen Fund  Inc Exp Statement'!N92</f>
        <v>4326.1245934288236</v>
      </c>
      <c r="O89" s="606">
        <f>'Future Fund  Inc Exp Statement'!O89+'Gen Fund  Inc Exp Statement'!O92</f>
        <v>4422.2557765102902</v>
      </c>
      <c r="P89" s="606">
        <f>'Future Fund  Inc Exp Statement'!P89+'Gen Fund  Inc Exp Statement'!P92</f>
        <v>4520.5498005337095</v>
      </c>
      <c r="S89" s="606">
        <f t="shared" si="36"/>
        <v>0</v>
      </c>
      <c r="T89" s="606">
        <f t="shared" si="37"/>
        <v>0</v>
      </c>
      <c r="U89" s="606">
        <f t="shared" si="38"/>
        <v>3499.9999999999995</v>
      </c>
      <c r="V89" s="606">
        <f t="shared" si="39"/>
        <v>0</v>
      </c>
      <c r="W89" s="606">
        <f t="shared" si="40"/>
        <v>-11.106406663169309</v>
      </c>
      <c r="X89" s="606">
        <f t="shared" si="41"/>
        <v>-22.712601626180913</v>
      </c>
      <c r="Y89" s="606">
        <f t="shared" si="42"/>
        <v>-34.835522159198263</v>
      </c>
      <c r="Z89" s="606">
        <f t="shared" si="43"/>
        <v>-47.492617815387348</v>
      </c>
      <c r="AA89" s="606">
        <f t="shared" si="44"/>
        <v>-60.701865015026669</v>
      </c>
      <c r="AB89" s="606">
        <f t="shared" si="45"/>
        <v>-74.481782029739406</v>
      </c>
    </row>
    <row r="90" spans="1:28" x14ac:dyDescent="0.2">
      <c r="A90" s="1149" t="s">
        <v>1180</v>
      </c>
      <c r="B90" s="606"/>
      <c r="C90" s="606"/>
      <c r="D90" s="606"/>
      <c r="E90" s="606"/>
      <c r="F90" s="606">
        <f>'Future Fund  Inc Exp Statement'!F90+'Gen Fund  Inc Exp Statement'!F93</f>
        <v>4783.3530000000001</v>
      </c>
      <c r="G90" s="606">
        <f>'Future Fund  Inc Exp Statement'!G90+'Gen Fund  Inc Exp Statement'!G93</f>
        <v>5059.8519999999999</v>
      </c>
      <c r="H90" s="606">
        <f>'Future Fund  Inc Exp Statement'!H90+'Gen Fund  Inc Exp Statement'!H93</f>
        <v>5239.6229999999996</v>
      </c>
      <c r="I90" s="606">
        <f>'Future Fund  Inc Exp Statement'!I90+'Gen Fund  Inc Exp Statement'!I93</f>
        <v>5419.1779999999999</v>
      </c>
      <c r="J90" s="606">
        <f>'Future Fund  Inc Exp Statement'!J90+'Gen Fund  Inc Exp Statement'!J93</f>
        <v>5456.5190000000002</v>
      </c>
      <c r="K90" s="606">
        <f>'Future Fund  Inc Exp Statement'!K90+'Gen Fund  Inc Exp Statement'!K93</f>
        <v>5565.6493800000007</v>
      </c>
      <c r="L90" s="606">
        <f>'Future Fund  Inc Exp Statement'!L90+'Gen Fund  Inc Exp Statement'!L93</f>
        <v>5676.962367600001</v>
      </c>
      <c r="M90" s="606">
        <f>'Future Fund  Inc Exp Statement'!M90+'Gen Fund  Inc Exp Statement'!M93</f>
        <v>5790.5016149520015</v>
      </c>
      <c r="N90" s="606">
        <f>'Future Fund  Inc Exp Statement'!N90+'Gen Fund  Inc Exp Statement'!N93</f>
        <v>5906.3116472510419</v>
      </c>
      <c r="O90" s="606">
        <f>'Future Fund  Inc Exp Statement'!O90+'Gen Fund  Inc Exp Statement'!O93</f>
        <v>6024.4378801960629</v>
      </c>
      <c r="P90" s="606">
        <f>'Future Fund  Inc Exp Statement'!P90+'Gen Fund  Inc Exp Statement'!P93</f>
        <v>6144.9266377999838</v>
      </c>
      <c r="S90" s="606">
        <f t="shared" si="36"/>
        <v>0</v>
      </c>
      <c r="T90" s="606">
        <f t="shared" si="37"/>
        <v>0</v>
      </c>
      <c r="U90" s="606">
        <f t="shared" si="38"/>
        <v>0</v>
      </c>
      <c r="V90" s="606">
        <f t="shared" si="39"/>
        <v>0</v>
      </c>
      <c r="W90" s="606">
        <f t="shared" si="40"/>
        <v>0</v>
      </c>
      <c r="X90" s="606">
        <f t="shared" si="41"/>
        <v>0</v>
      </c>
      <c r="Y90" s="606">
        <f t="shared" si="42"/>
        <v>0</v>
      </c>
      <c r="Z90" s="606">
        <f t="shared" si="43"/>
        <v>0</v>
      </c>
      <c r="AA90" s="606">
        <f t="shared" si="44"/>
        <v>0</v>
      </c>
      <c r="AB90" s="606">
        <f t="shared" si="45"/>
        <v>0</v>
      </c>
    </row>
    <row r="91" spans="1:28" x14ac:dyDescent="0.2">
      <c r="A91" s="607" t="s">
        <v>63</v>
      </c>
      <c r="B91" s="606"/>
      <c r="C91" s="606"/>
      <c r="D91" s="606"/>
      <c r="E91" s="606"/>
      <c r="F91" s="606">
        <f>'Future Fund  Inc Exp Statement'!F91+'Gen Fund  Inc Exp Statement'!F94</f>
        <v>0</v>
      </c>
      <c r="G91" s="606">
        <f>'Future Fund  Inc Exp Statement'!G91+'Gen Fund  Inc Exp Statement'!G94</f>
        <v>0</v>
      </c>
      <c r="H91" s="606">
        <f>'Future Fund  Inc Exp Statement'!H91+'Gen Fund  Inc Exp Statement'!H94</f>
        <v>0</v>
      </c>
      <c r="I91" s="606">
        <f>'Future Fund  Inc Exp Statement'!I91+'Gen Fund  Inc Exp Statement'!I94</f>
        <v>0</v>
      </c>
      <c r="J91" s="606">
        <f>'Future Fund  Inc Exp Statement'!J91+'Gen Fund  Inc Exp Statement'!J94</f>
        <v>0</v>
      </c>
      <c r="K91" s="606">
        <f>'Future Fund  Inc Exp Statement'!K91+'Gen Fund  Inc Exp Statement'!K94</f>
        <v>0</v>
      </c>
      <c r="L91" s="606">
        <f>'Future Fund  Inc Exp Statement'!L91+'Gen Fund  Inc Exp Statement'!L94</f>
        <v>0</v>
      </c>
      <c r="M91" s="606">
        <f>'Future Fund  Inc Exp Statement'!M91+'Gen Fund  Inc Exp Statement'!M94</f>
        <v>0</v>
      </c>
      <c r="N91" s="606">
        <f>'Future Fund  Inc Exp Statement'!N91+'Gen Fund  Inc Exp Statement'!N94</f>
        <v>0</v>
      </c>
      <c r="O91" s="606">
        <f>'Future Fund  Inc Exp Statement'!O91+'Gen Fund  Inc Exp Statement'!O94</f>
        <v>0</v>
      </c>
      <c r="P91" s="606">
        <f>'Future Fund  Inc Exp Statement'!P91+'Gen Fund  Inc Exp Statement'!P94</f>
        <v>0</v>
      </c>
      <c r="S91" s="606">
        <f t="shared" si="36"/>
        <v>0</v>
      </c>
      <c r="T91" s="606">
        <f t="shared" si="37"/>
        <v>0</v>
      </c>
      <c r="U91" s="606">
        <f t="shared" si="38"/>
        <v>0</v>
      </c>
      <c r="V91" s="606">
        <f t="shared" si="39"/>
        <v>0</v>
      </c>
      <c r="W91" s="606">
        <f t="shared" si="40"/>
        <v>0</v>
      </c>
      <c r="X91" s="606">
        <f t="shared" si="41"/>
        <v>0</v>
      </c>
      <c r="Y91" s="606">
        <f t="shared" si="42"/>
        <v>0</v>
      </c>
      <c r="Z91" s="606">
        <f t="shared" si="43"/>
        <v>0</v>
      </c>
      <c r="AA91" s="606">
        <f t="shared" si="44"/>
        <v>0</v>
      </c>
      <c r="AB91" s="606">
        <f t="shared" si="45"/>
        <v>0</v>
      </c>
    </row>
    <row r="92" spans="1:28" x14ac:dyDescent="0.2">
      <c r="A92" s="764" t="s">
        <v>74</v>
      </c>
      <c r="B92" s="765">
        <f>+B19</f>
        <v>0</v>
      </c>
      <c r="C92" s="765">
        <f>+C19</f>
        <v>0</v>
      </c>
      <c r="D92" s="765">
        <f>+D19</f>
        <v>0</v>
      </c>
      <c r="E92" s="765">
        <f>+E19</f>
        <v>-5</v>
      </c>
      <c r="F92" s="606">
        <f>'Future Fund  Inc Exp Statement'!F92+'Gen Fund  Inc Exp Statement'!F95</f>
        <v>0</v>
      </c>
      <c r="G92" s="606">
        <f>'Future Fund  Inc Exp Statement'!G92+'Gen Fund  Inc Exp Statement'!G95</f>
        <v>0</v>
      </c>
      <c r="H92" s="606">
        <f>'Future Fund  Inc Exp Statement'!H92+'Gen Fund  Inc Exp Statement'!H95</f>
        <v>0</v>
      </c>
      <c r="I92" s="606">
        <f>'Future Fund  Inc Exp Statement'!I92+'Gen Fund  Inc Exp Statement'!I95</f>
        <v>0</v>
      </c>
      <c r="J92" s="606">
        <f>'Future Fund  Inc Exp Statement'!J92+'Gen Fund  Inc Exp Statement'!J95</f>
        <v>0</v>
      </c>
      <c r="K92" s="606">
        <f>'Future Fund  Inc Exp Statement'!K92+'Gen Fund  Inc Exp Statement'!K95</f>
        <v>0</v>
      </c>
      <c r="L92" s="606">
        <f>'Future Fund  Inc Exp Statement'!L92+'Gen Fund  Inc Exp Statement'!L95</f>
        <v>0</v>
      </c>
      <c r="M92" s="606">
        <f>'Future Fund  Inc Exp Statement'!M92+'Gen Fund  Inc Exp Statement'!M95</f>
        <v>0</v>
      </c>
      <c r="N92" s="606">
        <f>'Future Fund  Inc Exp Statement'!N92+'Gen Fund  Inc Exp Statement'!N95</f>
        <v>0</v>
      </c>
      <c r="O92" s="606">
        <f>'Future Fund  Inc Exp Statement'!O92+'Gen Fund  Inc Exp Statement'!O95</f>
        <v>0</v>
      </c>
      <c r="P92" s="606">
        <f>'Future Fund  Inc Exp Statement'!P92+'Gen Fund  Inc Exp Statement'!P95</f>
        <v>0</v>
      </c>
      <c r="S92" s="606">
        <f t="shared" si="36"/>
        <v>0</v>
      </c>
      <c r="T92" s="606">
        <f t="shared" si="37"/>
        <v>0</v>
      </c>
      <c r="U92" s="606">
        <f t="shared" si="38"/>
        <v>0</v>
      </c>
      <c r="V92" s="606">
        <f t="shared" si="39"/>
        <v>0</v>
      </c>
      <c r="W92" s="606">
        <f t="shared" si="40"/>
        <v>0</v>
      </c>
      <c r="X92" s="606">
        <f t="shared" si="41"/>
        <v>0</v>
      </c>
      <c r="Y92" s="606">
        <f t="shared" si="42"/>
        <v>0</v>
      </c>
      <c r="Z92" s="606">
        <f t="shared" si="43"/>
        <v>0</v>
      </c>
      <c r="AA92" s="606">
        <f t="shared" si="44"/>
        <v>0</v>
      </c>
      <c r="AB92" s="606">
        <f t="shared" si="45"/>
        <v>0</v>
      </c>
    </row>
    <row r="93" spans="1:28" x14ac:dyDescent="0.2">
      <c r="A93" s="758" t="s">
        <v>1047</v>
      </c>
      <c r="B93" s="765"/>
      <c r="C93" s="765"/>
      <c r="D93" s="765">
        <f>+D20</f>
        <v>0</v>
      </c>
      <c r="E93" s="765">
        <f>+E20</f>
        <v>2</v>
      </c>
      <c r="F93" s="606">
        <f>'Future Fund  Inc Exp Statement'!F93+'Gen Fund  Inc Exp Statement'!F96</f>
        <v>0</v>
      </c>
      <c r="G93" s="606">
        <f>'Future Fund  Inc Exp Statement'!G93+'Gen Fund  Inc Exp Statement'!G96</f>
        <v>0</v>
      </c>
      <c r="H93" s="606">
        <f>'Future Fund  Inc Exp Statement'!H93+'Gen Fund  Inc Exp Statement'!H96</f>
        <v>0</v>
      </c>
      <c r="I93" s="606">
        <f>'Future Fund  Inc Exp Statement'!I93+'Gen Fund  Inc Exp Statement'!I96</f>
        <v>0</v>
      </c>
      <c r="J93" s="606">
        <f>'Future Fund  Inc Exp Statement'!J93+'Gen Fund  Inc Exp Statement'!J96</f>
        <v>0</v>
      </c>
      <c r="K93" s="606">
        <f>'Future Fund  Inc Exp Statement'!K93+'Gen Fund  Inc Exp Statement'!K96</f>
        <v>0</v>
      </c>
      <c r="L93" s="606">
        <f>'Future Fund  Inc Exp Statement'!L93+'Gen Fund  Inc Exp Statement'!L96</f>
        <v>0</v>
      </c>
      <c r="M93" s="606">
        <f>'Future Fund  Inc Exp Statement'!M93+'Gen Fund  Inc Exp Statement'!M96</f>
        <v>0</v>
      </c>
      <c r="N93" s="606">
        <f>'Future Fund  Inc Exp Statement'!N93+'Gen Fund  Inc Exp Statement'!N96</f>
        <v>0</v>
      </c>
      <c r="O93" s="606">
        <f>'Future Fund  Inc Exp Statement'!O93+'Gen Fund  Inc Exp Statement'!O96</f>
        <v>0</v>
      </c>
      <c r="P93" s="606">
        <f>'Future Fund  Inc Exp Statement'!P93+'Gen Fund  Inc Exp Statement'!P96</f>
        <v>0</v>
      </c>
      <c r="S93" s="606">
        <f t="shared" ref="S93:AB93" si="46">H95-H20</f>
        <v>0</v>
      </c>
      <c r="T93" s="606">
        <f t="shared" si="46"/>
        <v>0</v>
      </c>
      <c r="U93" s="606">
        <f t="shared" si="46"/>
        <v>0</v>
      </c>
      <c r="V93" s="606">
        <f t="shared" si="46"/>
        <v>0</v>
      </c>
      <c r="W93" s="606">
        <f t="shared" si="46"/>
        <v>0</v>
      </c>
      <c r="X93" s="606">
        <f t="shared" si="46"/>
        <v>0</v>
      </c>
      <c r="Y93" s="606">
        <f t="shared" si="46"/>
        <v>0</v>
      </c>
      <c r="Z93" s="606">
        <f t="shared" si="46"/>
        <v>0</v>
      </c>
      <c r="AA93" s="606">
        <f t="shared" si="46"/>
        <v>0</v>
      </c>
      <c r="AB93" s="606">
        <f t="shared" si="46"/>
        <v>0</v>
      </c>
    </row>
    <row r="94" spans="1:28" ht="10.8" thickBot="1" x14ac:dyDescent="0.25">
      <c r="A94" s="768" t="s">
        <v>64</v>
      </c>
      <c r="B94" s="767">
        <f>SUM(B84:B92)</f>
        <v>0</v>
      </c>
      <c r="C94" s="767">
        <f>SUM(C84:C92)</f>
        <v>0</v>
      </c>
      <c r="D94" s="767">
        <f t="shared" ref="D94:P94" si="47">SUM(D84:D93)</f>
        <v>0</v>
      </c>
      <c r="E94" s="767">
        <f t="shared" si="47"/>
        <v>46813</v>
      </c>
      <c r="F94" s="767">
        <f t="shared" si="47"/>
        <v>41149.425000000003</v>
      </c>
      <c r="G94" s="767">
        <f t="shared" si="47"/>
        <v>43108.206999999995</v>
      </c>
      <c r="H94" s="767">
        <f t="shared" si="47"/>
        <v>44195.747009999999</v>
      </c>
      <c r="I94" s="767">
        <f t="shared" si="47"/>
        <v>49564.807015300001</v>
      </c>
      <c r="J94" s="767">
        <f t="shared" si="47"/>
        <v>47608.848092633998</v>
      </c>
      <c r="K94" s="767">
        <f t="shared" si="47"/>
        <v>48529.111399009038</v>
      </c>
      <c r="L94" s="767">
        <f t="shared" si="47"/>
        <v>49680.609232098257</v>
      </c>
      <c r="M94" s="767">
        <f t="shared" si="47"/>
        <v>50826.428788421501</v>
      </c>
      <c r="N94" s="767">
        <f t="shared" si="47"/>
        <v>51965.237432049325</v>
      </c>
      <c r="O94" s="767">
        <f t="shared" si="47"/>
        <v>53152.803470647756</v>
      </c>
      <c r="P94" s="767">
        <f t="shared" si="47"/>
        <v>54371.440015326611</v>
      </c>
      <c r="S94" s="1335">
        <f>SUM(S84:S93)</f>
        <v>300.03703999999925</v>
      </c>
      <c r="T94" s="1335">
        <f t="shared" ref="T94:AB94" si="48">SUM(T84:T93)</f>
        <v>309.52752500000133</v>
      </c>
      <c r="U94" s="1335">
        <f t="shared" si="48"/>
        <v>4417.9537249999958</v>
      </c>
      <c r="V94" s="1335">
        <f t="shared" si="48"/>
        <v>1517.0423749999973</v>
      </c>
      <c r="W94" s="1335">
        <f t="shared" si="48"/>
        <v>1701.2272653118266</v>
      </c>
      <c r="X94" s="1335">
        <f t="shared" si="48"/>
        <v>1791.1306620837872</v>
      </c>
      <c r="Y94" s="1335">
        <f t="shared" si="48"/>
        <v>1847.7527100852462</v>
      </c>
      <c r="Z94" s="1335">
        <f t="shared" si="48"/>
        <v>1857.6184532377983</v>
      </c>
      <c r="AA94" s="1335">
        <f t="shared" si="48"/>
        <v>1895.6053324128377</v>
      </c>
      <c r="AB94" s="1335">
        <f t="shared" si="48"/>
        <v>1938.2371414505992</v>
      </c>
    </row>
    <row r="97" spans="1:28" x14ac:dyDescent="0.2">
      <c r="A97" s="604" t="s">
        <v>65</v>
      </c>
    </row>
    <row r="98" spans="1:28" x14ac:dyDescent="0.2">
      <c r="A98" s="600" t="str">
        <f>A23</f>
        <v>Employee Benefits and On-Costs</v>
      </c>
      <c r="B98" s="606">
        <f>+B23</f>
        <v>0</v>
      </c>
      <c r="C98" s="606">
        <f>+C23</f>
        <v>0</v>
      </c>
      <c r="D98" s="606">
        <f>+D23</f>
        <v>0</v>
      </c>
      <c r="E98" s="606">
        <f>+E23</f>
        <v>10980</v>
      </c>
      <c r="F98" s="606">
        <f>'Future Fund  Inc Exp Statement'!F98+'Gen Fund  Inc Exp Statement'!F101</f>
        <v>11311.316000000001</v>
      </c>
      <c r="G98" s="606">
        <f>'Future Fund  Inc Exp Statement'!G98+'Gen Fund  Inc Exp Statement'!G101</f>
        <v>11644.458000000001</v>
      </c>
      <c r="H98" s="606">
        <f>'Future Fund  Inc Exp Statement'!H98+'Gen Fund  Inc Exp Statement'!H101</f>
        <v>11891.706</v>
      </c>
      <c r="I98" s="606">
        <f>'Future Fund  Inc Exp Statement'!I98+'Gen Fund  Inc Exp Statement'!I101</f>
        <v>12397.860999999999</v>
      </c>
      <c r="J98" s="606">
        <f>'Future Fund  Inc Exp Statement'!J98+'Gen Fund  Inc Exp Statement'!J101</f>
        <v>12951.976000000001</v>
      </c>
      <c r="K98" s="606">
        <f>'Future Fund  Inc Exp Statement'!K98+'Gen Fund  Inc Exp Statement'!K101</f>
        <v>13340.53528</v>
      </c>
      <c r="L98" s="606">
        <f>'Future Fund  Inc Exp Statement'!L98+'Gen Fund  Inc Exp Statement'!L101</f>
        <v>13740.751338400001</v>
      </c>
      <c r="M98" s="606">
        <f>'Future Fund  Inc Exp Statement'!M98+'Gen Fund  Inc Exp Statement'!M101</f>
        <v>14152.973878552002</v>
      </c>
      <c r="N98" s="606">
        <f>'Future Fund  Inc Exp Statement'!N98+'Gen Fund  Inc Exp Statement'!N101</f>
        <v>14577.563094908561</v>
      </c>
      <c r="O98" s="606">
        <f>'Future Fund  Inc Exp Statement'!O98+'Gen Fund  Inc Exp Statement'!O101</f>
        <v>15014.88998775582</v>
      </c>
      <c r="P98" s="606">
        <f>'Future Fund  Inc Exp Statement'!P98+'Gen Fund  Inc Exp Statement'!P101</f>
        <v>15465.336687388493</v>
      </c>
      <c r="S98" s="606">
        <f>G98-G23</f>
        <v>0</v>
      </c>
      <c r="T98" s="606">
        <f t="shared" ref="T98:AB98" si="49">H98-H23</f>
        <v>-173.79999999999927</v>
      </c>
      <c r="U98" s="606">
        <f t="shared" si="49"/>
        <v>-3.0140000000010332</v>
      </c>
      <c r="V98" s="606">
        <f t="shared" si="49"/>
        <v>190</v>
      </c>
      <c r="W98" s="606">
        <f t="shared" si="49"/>
        <v>195.69999999999891</v>
      </c>
      <c r="X98" s="606">
        <f t="shared" si="49"/>
        <v>201.57099999999809</v>
      </c>
      <c r="Y98" s="606">
        <f t="shared" si="49"/>
        <v>207.61812999999893</v>
      </c>
      <c r="Z98" s="606">
        <f t="shared" si="49"/>
        <v>213.84667389999777</v>
      </c>
      <c r="AA98" s="606">
        <f t="shared" si="49"/>
        <v>220.26207411699761</v>
      </c>
      <c r="AB98" s="606">
        <f t="shared" si="49"/>
        <v>226.86993634050668</v>
      </c>
    </row>
    <row r="99" spans="1:28" x14ac:dyDescent="0.2">
      <c r="A99" s="600" t="str">
        <f>A24</f>
        <v>Borrowing Costs</v>
      </c>
      <c r="B99" s="606"/>
      <c r="C99" s="606"/>
      <c r="D99" s="606">
        <f>+D24</f>
        <v>0</v>
      </c>
      <c r="E99" s="606">
        <f>+E24</f>
        <v>743</v>
      </c>
      <c r="F99" s="606">
        <f>'Future Fund  Inc Exp Statement'!F99+'Gen Fund  Inc Exp Statement'!F102</f>
        <v>1500.3620000000001</v>
      </c>
      <c r="G99" s="606">
        <f>'Future Fund  Inc Exp Statement'!G99+'Gen Fund  Inc Exp Statement'!G102</f>
        <v>1497.172</v>
      </c>
      <c r="H99" s="606">
        <f>'Future Fund  Inc Exp Statement'!H99+'Gen Fund  Inc Exp Statement'!H102</f>
        <v>1494.3220000000001</v>
      </c>
      <c r="I99" s="606">
        <f>'Future Fund  Inc Exp Statement'!I99+'Gen Fund  Inc Exp Statement'!I102</f>
        <v>1911.231</v>
      </c>
      <c r="J99" s="606">
        <f>'Future Fund  Inc Exp Statement'!J99+'Gen Fund  Inc Exp Statement'!J102</f>
        <v>2341.6210000000001</v>
      </c>
      <c r="K99" s="606">
        <f>'Future Fund  Inc Exp Statement'!K99+'Gen Fund  Inc Exp Statement'!K102</f>
        <v>2301.9348808</v>
      </c>
      <c r="L99" s="606">
        <f>'Future Fund  Inc Exp Statement'!L99+'Gen Fund  Inc Exp Statement'!L102</f>
        <v>2261.4550392159999</v>
      </c>
      <c r="M99" s="606">
        <f>'Future Fund  Inc Exp Statement'!M99+'Gen Fund  Inc Exp Statement'!M102</f>
        <v>2220.1656008003201</v>
      </c>
      <c r="N99" s="606">
        <f>'Future Fund  Inc Exp Statement'!N99+'Gen Fund  Inc Exp Statement'!N102</f>
        <v>2178.0503736163264</v>
      </c>
      <c r="O99" s="606">
        <f>'Future Fund  Inc Exp Statement'!O99+'Gen Fund  Inc Exp Statement'!O102</f>
        <v>2135.0928418886529</v>
      </c>
      <c r="P99" s="606">
        <f>'Future Fund  Inc Exp Statement'!P99+'Gen Fund  Inc Exp Statement'!P102</f>
        <v>2091.276159526426</v>
      </c>
      <c r="S99" s="606">
        <f t="shared" ref="S99:S105" si="50">G99-G24</f>
        <v>0</v>
      </c>
      <c r="T99" s="606">
        <f t="shared" ref="T99:T105" si="51">H99-H24</f>
        <v>0</v>
      </c>
      <c r="U99" s="606">
        <f t="shared" ref="U99:U105" si="52">I99-I24</f>
        <v>419.66499999999996</v>
      </c>
      <c r="V99" s="606">
        <f t="shared" ref="V99:V105" si="53">J99-J24</f>
        <v>853.03200000000015</v>
      </c>
      <c r="W99" s="606">
        <f t="shared" ref="W99:W105" si="54">K99-K24</f>
        <v>832.30588080000007</v>
      </c>
      <c r="X99" s="606">
        <f t="shared" ref="X99:X105" si="55">L99-L24</f>
        <v>811.86603921599999</v>
      </c>
      <c r="Y99" s="606">
        <f t="shared" ref="Y99:Y105" si="56">M99-M24</f>
        <v>779.85660080031994</v>
      </c>
      <c r="Z99" s="606">
        <f t="shared" ref="Z99:Z105" si="57">N99-N24</f>
        <v>743.54137361632638</v>
      </c>
      <c r="AA99" s="606">
        <f t="shared" ref="AA99:AA105" si="58">O99-O24</f>
        <v>706.66384188865277</v>
      </c>
      <c r="AB99" s="606">
        <f t="shared" ref="AB99:AB105" si="59">P99-P24</f>
        <v>669.247159526426</v>
      </c>
    </row>
    <row r="100" spans="1:28" x14ac:dyDescent="0.2">
      <c r="A100" s="600" t="str">
        <f>A25</f>
        <v>Materials and Contracts</v>
      </c>
      <c r="B100" s="606">
        <f>+B25</f>
        <v>0</v>
      </c>
      <c r="C100" s="606">
        <f>+C25</f>
        <v>0</v>
      </c>
      <c r="D100" s="606">
        <f>+D25</f>
        <v>0</v>
      </c>
      <c r="E100" s="606">
        <f>+E25</f>
        <v>8901</v>
      </c>
      <c r="F100" s="606">
        <f>'Future Fund  Inc Exp Statement'!F100+'Gen Fund  Inc Exp Statement'!F103</f>
        <v>11489.848</v>
      </c>
      <c r="G100" s="606">
        <f>'Future Fund  Inc Exp Statement'!G100+'Gen Fund  Inc Exp Statement'!G103</f>
        <v>11910.767</v>
      </c>
      <c r="H100" s="606">
        <f>'Future Fund  Inc Exp Statement'!H100+'Gen Fund  Inc Exp Statement'!H103</f>
        <v>12160.363000000001</v>
      </c>
      <c r="I100" s="606">
        <f>'Future Fund  Inc Exp Statement'!I100+'Gen Fund  Inc Exp Statement'!I103</f>
        <v>12494.333000000001</v>
      </c>
      <c r="J100" s="606">
        <f>'Future Fund  Inc Exp Statement'!J100+'Gen Fund  Inc Exp Statement'!J103</f>
        <v>13161.776999999998</v>
      </c>
      <c r="K100" s="606">
        <f>'Future Fund  Inc Exp Statement'!K100+'Gen Fund  Inc Exp Statement'!K103</f>
        <v>13425.01254</v>
      </c>
      <c r="L100" s="606">
        <f>'Future Fund  Inc Exp Statement'!L100+'Gen Fund  Inc Exp Statement'!L103</f>
        <v>13693.512790799999</v>
      </c>
      <c r="M100" s="606">
        <f>'Future Fund  Inc Exp Statement'!M100+'Gen Fund  Inc Exp Statement'!M103</f>
        <v>13967.383046616</v>
      </c>
      <c r="N100" s="606">
        <f>'Future Fund  Inc Exp Statement'!N100+'Gen Fund  Inc Exp Statement'!N103</f>
        <v>14246.73070754832</v>
      </c>
      <c r="O100" s="606">
        <f>'Future Fund  Inc Exp Statement'!O100+'Gen Fund  Inc Exp Statement'!O103</f>
        <v>14531.665321699287</v>
      </c>
      <c r="P100" s="606">
        <f>'Future Fund  Inc Exp Statement'!P100+'Gen Fund  Inc Exp Statement'!P103</f>
        <v>14822.298628133274</v>
      </c>
      <c r="S100" s="606">
        <f t="shared" si="50"/>
        <v>0</v>
      </c>
      <c r="T100" s="606">
        <f t="shared" si="51"/>
        <v>-54.974999999998545</v>
      </c>
      <c r="U100" s="606">
        <f t="shared" si="52"/>
        <v>-4.0609999999996944</v>
      </c>
      <c r="V100" s="606">
        <f t="shared" si="53"/>
        <v>369.43900000000031</v>
      </c>
      <c r="W100" s="606">
        <f t="shared" si="54"/>
        <v>376.82778000000144</v>
      </c>
      <c r="X100" s="606">
        <f t="shared" si="55"/>
        <v>384.36433560000114</v>
      </c>
      <c r="Y100" s="606">
        <f t="shared" si="56"/>
        <v>392.0516223120012</v>
      </c>
      <c r="Z100" s="606">
        <f t="shared" si="57"/>
        <v>399.89265475824141</v>
      </c>
      <c r="AA100" s="606">
        <f t="shared" si="58"/>
        <v>407.89050785340623</v>
      </c>
      <c r="AB100" s="606">
        <f t="shared" si="59"/>
        <v>416.04831801047476</v>
      </c>
    </row>
    <row r="101" spans="1:28" x14ac:dyDescent="0.2">
      <c r="A101" s="600" t="s">
        <v>1077</v>
      </c>
      <c r="B101" s="606"/>
      <c r="C101" s="606"/>
      <c r="D101" s="606"/>
      <c r="E101" s="606"/>
      <c r="F101" s="606">
        <f>'Future Fund  Inc Exp Statement'!F101+'Gen Fund  Inc Exp Statement'!F104</f>
        <v>2763.3530000000001</v>
      </c>
      <c r="G101" s="606">
        <f>'Future Fund  Inc Exp Statement'!G101+'Gen Fund  Inc Exp Statement'!G104</f>
        <v>2935.1769999999997</v>
      </c>
      <c r="H101" s="606">
        <f>'Future Fund  Inc Exp Statement'!H101+'Gen Fund  Inc Exp Statement'!H104</f>
        <v>3069.2200000000003</v>
      </c>
      <c r="I101" s="606">
        <f>'Future Fund  Inc Exp Statement'!I101+'Gen Fund  Inc Exp Statement'!I104</f>
        <v>3204.4650000000001</v>
      </c>
      <c r="J101" s="606">
        <f>'Future Fund  Inc Exp Statement'!J101+'Gen Fund  Inc Exp Statement'!J104</f>
        <v>3340.5709999999999</v>
      </c>
      <c r="K101" s="606">
        <f>'Future Fund  Inc Exp Statement'!K101+'Gen Fund  Inc Exp Statement'!K104</f>
        <v>3407.3824199999999</v>
      </c>
      <c r="L101" s="606">
        <f>'Future Fund  Inc Exp Statement'!L101+'Gen Fund  Inc Exp Statement'!L104</f>
        <v>3475.5300683999999</v>
      </c>
      <c r="M101" s="606">
        <f>'Future Fund  Inc Exp Statement'!M101+'Gen Fund  Inc Exp Statement'!M104</f>
        <v>3545.040669768</v>
      </c>
      <c r="N101" s="606">
        <f>'Future Fund  Inc Exp Statement'!N101+'Gen Fund  Inc Exp Statement'!N104</f>
        <v>3615.9414831633594</v>
      </c>
      <c r="O101" s="606">
        <f>'Future Fund  Inc Exp Statement'!O101+'Gen Fund  Inc Exp Statement'!O104</f>
        <v>3688.2603128266273</v>
      </c>
      <c r="P101" s="606">
        <f>'Future Fund  Inc Exp Statement'!P101+'Gen Fund  Inc Exp Statement'!P104</f>
        <v>3762.0255190831599</v>
      </c>
      <c r="S101" s="606">
        <f t="shared" si="50"/>
        <v>0</v>
      </c>
      <c r="T101" s="606">
        <f t="shared" si="51"/>
        <v>0</v>
      </c>
      <c r="U101" s="606">
        <f t="shared" si="52"/>
        <v>0</v>
      </c>
      <c r="V101" s="606">
        <f t="shared" si="53"/>
        <v>0</v>
      </c>
      <c r="W101" s="606">
        <f t="shared" si="54"/>
        <v>0</v>
      </c>
      <c r="X101" s="606">
        <f t="shared" si="55"/>
        <v>0</v>
      </c>
      <c r="Y101" s="606">
        <f t="shared" si="56"/>
        <v>0</v>
      </c>
      <c r="Z101" s="606">
        <f t="shared" si="57"/>
        <v>0</v>
      </c>
      <c r="AA101" s="606">
        <f t="shared" si="58"/>
        <v>0</v>
      </c>
      <c r="AB101" s="606">
        <f t="shared" si="59"/>
        <v>0</v>
      </c>
    </row>
    <row r="102" spans="1:28" x14ac:dyDescent="0.2">
      <c r="A102" s="600" t="str">
        <f t="shared" ref="A102:A104" si="60">A27</f>
        <v>Depreciation and Amortisation</v>
      </c>
      <c r="B102" s="606">
        <f>+B27</f>
        <v>0</v>
      </c>
      <c r="C102" s="606">
        <f>+C27</f>
        <v>0</v>
      </c>
      <c r="D102" s="606">
        <f t="shared" ref="D102:D105" si="61">+D27</f>
        <v>0</v>
      </c>
      <c r="E102" s="606">
        <f>+E27</f>
        <v>7182</v>
      </c>
      <c r="F102" s="606">
        <f>'Future Fund  Inc Exp Statement'!F102+'Gen Fund  Inc Exp Statement'!F105</f>
        <v>8510.6460000000006</v>
      </c>
      <c r="G102" s="606">
        <f>'Future Fund  Inc Exp Statement'!G102+'Gen Fund  Inc Exp Statement'!G105</f>
        <v>7625.4650000000001</v>
      </c>
      <c r="H102" s="606">
        <f>'Future Fund  Inc Exp Statement'!H102+'Gen Fund  Inc Exp Statement'!H105</f>
        <v>7756.7839999999997</v>
      </c>
      <c r="I102" s="606">
        <f>'Future Fund  Inc Exp Statement'!I102+'Gen Fund  Inc Exp Statement'!I105</f>
        <v>8074.7730000000001</v>
      </c>
      <c r="J102" s="606">
        <f>'Future Fund  Inc Exp Statement'!J102+'Gen Fund  Inc Exp Statement'!J105</f>
        <v>8631.0789999999997</v>
      </c>
      <c r="K102" s="606">
        <f>'Future Fund  Inc Exp Statement'!K102+'Gen Fund  Inc Exp Statement'!K105</f>
        <v>8846.8559749999986</v>
      </c>
      <c r="L102" s="606">
        <f>'Future Fund  Inc Exp Statement'!L102+'Gen Fund  Inc Exp Statement'!L105</f>
        <v>9068.0273743749985</v>
      </c>
      <c r="M102" s="606">
        <f>'Future Fund  Inc Exp Statement'!M102+'Gen Fund  Inc Exp Statement'!M105</f>
        <v>9294.7280587343721</v>
      </c>
      <c r="N102" s="606">
        <f>'Future Fund  Inc Exp Statement'!N102+'Gen Fund  Inc Exp Statement'!N105</f>
        <v>9527.0962602027321</v>
      </c>
      <c r="O102" s="606">
        <f>'Future Fund  Inc Exp Statement'!O102+'Gen Fund  Inc Exp Statement'!O105</f>
        <v>9765.2736667077988</v>
      </c>
      <c r="P102" s="606">
        <f>'Future Fund  Inc Exp Statement'!P102+'Gen Fund  Inc Exp Statement'!P105</f>
        <v>10009.405508375494</v>
      </c>
      <c r="S102" s="606">
        <f t="shared" si="50"/>
        <v>0</v>
      </c>
      <c r="T102" s="606">
        <f t="shared" si="51"/>
        <v>-56.997000000000298</v>
      </c>
      <c r="U102" s="606">
        <f t="shared" si="52"/>
        <v>69.829000000000633</v>
      </c>
      <c r="V102" s="606">
        <f t="shared" si="53"/>
        <v>426.57499999999891</v>
      </c>
      <c r="W102" s="606">
        <f t="shared" si="54"/>
        <v>437.2393749999992</v>
      </c>
      <c r="X102" s="606">
        <f t="shared" si="55"/>
        <v>448.17035937499895</v>
      </c>
      <c r="Y102" s="606">
        <f t="shared" si="56"/>
        <v>459.37461835937393</v>
      </c>
      <c r="Z102" s="606">
        <f t="shared" si="57"/>
        <v>470.85898381835796</v>
      </c>
      <c r="AA102" s="606">
        <f t="shared" si="58"/>
        <v>482.63045841381791</v>
      </c>
      <c r="AB102" s="606">
        <f t="shared" si="59"/>
        <v>494.69621987416213</v>
      </c>
    </row>
    <row r="103" spans="1:28" ht="12" x14ac:dyDescent="0.25">
      <c r="A103" s="769" t="str">
        <f t="shared" si="60"/>
        <v>Impairment</v>
      </c>
      <c r="B103" s="606"/>
      <c r="C103" s="606"/>
      <c r="D103" s="606">
        <f t="shared" si="61"/>
        <v>0</v>
      </c>
      <c r="E103" s="606">
        <f>+E28</f>
        <v>600</v>
      </c>
      <c r="F103" s="606">
        <f>'Future Fund  Inc Exp Statement'!F103+'Gen Fund  Inc Exp Statement'!F106</f>
        <v>0</v>
      </c>
      <c r="G103" s="606">
        <f>'Future Fund  Inc Exp Statement'!G103+'Gen Fund  Inc Exp Statement'!G106</f>
        <v>0</v>
      </c>
      <c r="H103" s="606">
        <f>'Future Fund  Inc Exp Statement'!H103+'Gen Fund  Inc Exp Statement'!H106</f>
        <v>0</v>
      </c>
      <c r="I103" s="606">
        <f>'Future Fund  Inc Exp Statement'!I103+'Gen Fund  Inc Exp Statement'!I106</f>
        <v>0</v>
      </c>
      <c r="J103" s="606">
        <f>'Future Fund  Inc Exp Statement'!J103+'Gen Fund  Inc Exp Statement'!J106</f>
        <v>0</v>
      </c>
      <c r="K103" s="606">
        <f>'Future Fund  Inc Exp Statement'!K103+'Gen Fund  Inc Exp Statement'!K106</f>
        <v>0</v>
      </c>
      <c r="L103" s="606">
        <f>'Future Fund  Inc Exp Statement'!L103+'Gen Fund  Inc Exp Statement'!L106</f>
        <v>0</v>
      </c>
      <c r="M103" s="606">
        <f>'Future Fund  Inc Exp Statement'!M103+'Gen Fund  Inc Exp Statement'!M106</f>
        <v>0</v>
      </c>
      <c r="N103" s="606">
        <f>'Future Fund  Inc Exp Statement'!N103+'Gen Fund  Inc Exp Statement'!N106</f>
        <v>0</v>
      </c>
      <c r="O103" s="606">
        <f>'Future Fund  Inc Exp Statement'!O103+'Gen Fund  Inc Exp Statement'!O106</f>
        <v>0</v>
      </c>
      <c r="P103" s="606">
        <f>'Future Fund  Inc Exp Statement'!P103+'Gen Fund  Inc Exp Statement'!P106</f>
        <v>0</v>
      </c>
      <c r="S103" s="606">
        <f t="shared" si="50"/>
        <v>0</v>
      </c>
      <c r="T103" s="606">
        <f t="shared" si="51"/>
        <v>0</v>
      </c>
      <c r="U103" s="606">
        <f t="shared" si="52"/>
        <v>0</v>
      </c>
      <c r="V103" s="606">
        <f t="shared" si="53"/>
        <v>0</v>
      </c>
      <c r="W103" s="606">
        <f t="shared" si="54"/>
        <v>0</v>
      </c>
      <c r="X103" s="606">
        <f t="shared" si="55"/>
        <v>0</v>
      </c>
      <c r="Y103" s="606">
        <f t="shared" si="56"/>
        <v>0</v>
      </c>
      <c r="Z103" s="606">
        <f t="shared" si="57"/>
        <v>0</v>
      </c>
      <c r="AA103" s="606">
        <f t="shared" si="58"/>
        <v>0</v>
      </c>
      <c r="AB103" s="606">
        <f t="shared" si="59"/>
        <v>0</v>
      </c>
    </row>
    <row r="104" spans="1:28" ht="12" x14ac:dyDescent="0.25">
      <c r="A104" s="769" t="str">
        <f t="shared" si="60"/>
        <v>Net Losses from the disposal of assets</v>
      </c>
      <c r="B104" s="606"/>
      <c r="C104" s="606"/>
      <c r="D104" s="606">
        <f t="shared" si="61"/>
        <v>0</v>
      </c>
      <c r="E104" s="606">
        <f>+E29</f>
        <v>0</v>
      </c>
      <c r="F104" s="606">
        <f>'Future Fund  Inc Exp Statement'!F104+'Gen Fund  Inc Exp Statement'!F107</f>
        <v>0</v>
      </c>
      <c r="G104" s="606">
        <f>'Future Fund  Inc Exp Statement'!G104+'Gen Fund  Inc Exp Statement'!G107</f>
        <v>0</v>
      </c>
      <c r="H104" s="606">
        <f>'Future Fund  Inc Exp Statement'!H104+'Gen Fund  Inc Exp Statement'!H107</f>
        <v>0</v>
      </c>
      <c r="I104" s="606">
        <f>'Future Fund  Inc Exp Statement'!I104+'Gen Fund  Inc Exp Statement'!I107</f>
        <v>0</v>
      </c>
      <c r="J104" s="606">
        <f>'Future Fund  Inc Exp Statement'!J104+'Gen Fund  Inc Exp Statement'!J107</f>
        <v>0</v>
      </c>
      <c r="K104" s="606">
        <f>'Future Fund  Inc Exp Statement'!K104+'Gen Fund  Inc Exp Statement'!K107</f>
        <v>0</v>
      </c>
      <c r="L104" s="606">
        <f>'Future Fund  Inc Exp Statement'!L104+'Gen Fund  Inc Exp Statement'!L107</f>
        <v>0</v>
      </c>
      <c r="M104" s="606">
        <f>'Future Fund  Inc Exp Statement'!M104+'Gen Fund  Inc Exp Statement'!M107</f>
        <v>0</v>
      </c>
      <c r="N104" s="606">
        <f>'Future Fund  Inc Exp Statement'!N104+'Gen Fund  Inc Exp Statement'!N107</f>
        <v>0</v>
      </c>
      <c r="O104" s="606">
        <f>'Future Fund  Inc Exp Statement'!O104+'Gen Fund  Inc Exp Statement'!O107</f>
        <v>0</v>
      </c>
      <c r="P104" s="606">
        <f>'Future Fund  Inc Exp Statement'!P104+'Gen Fund  Inc Exp Statement'!P107</f>
        <v>0</v>
      </c>
      <c r="S104" s="606">
        <f t="shared" si="50"/>
        <v>0</v>
      </c>
      <c r="T104" s="606">
        <f t="shared" si="51"/>
        <v>0</v>
      </c>
      <c r="U104" s="606">
        <f t="shared" si="52"/>
        <v>0</v>
      </c>
      <c r="V104" s="606">
        <f t="shared" si="53"/>
        <v>0</v>
      </c>
      <c r="W104" s="606">
        <f t="shared" si="54"/>
        <v>0</v>
      </c>
      <c r="X104" s="606">
        <f t="shared" si="55"/>
        <v>0</v>
      </c>
      <c r="Y104" s="606">
        <f t="shared" si="56"/>
        <v>0</v>
      </c>
      <c r="Z104" s="606">
        <f t="shared" si="57"/>
        <v>0</v>
      </c>
      <c r="AA104" s="606">
        <f t="shared" si="58"/>
        <v>0</v>
      </c>
      <c r="AB104" s="606">
        <f t="shared" si="59"/>
        <v>0</v>
      </c>
    </row>
    <row r="105" spans="1:28" x14ac:dyDescent="0.2">
      <c r="A105" s="614" t="s">
        <v>28</v>
      </c>
      <c r="B105" s="606">
        <f>+B30</f>
        <v>0</v>
      </c>
      <c r="C105" s="606">
        <f>+C30</f>
        <v>0</v>
      </c>
      <c r="D105" s="606">
        <f t="shared" si="61"/>
        <v>0</v>
      </c>
      <c r="E105" s="606">
        <f>+E30</f>
        <v>6597</v>
      </c>
      <c r="F105" s="606">
        <f>'Future Fund  Inc Exp Statement'!F105+'Gen Fund  Inc Exp Statement'!F108</f>
        <v>2645.893</v>
      </c>
      <c r="G105" s="606">
        <f>'Future Fund  Inc Exp Statement'!G105+'Gen Fund  Inc Exp Statement'!G108</f>
        <v>2775.2309999999998</v>
      </c>
      <c r="H105" s="606">
        <f>'Future Fund  Inc Exp Statement'!H105+'Gen Fund  Inc Exp Statement'!H108</f>
        <v>2825.77</v>
      </c>
      <c r="I105" s="606">
        <f>'Future Fund  Inc Exp Statement'!I105+'Gen Fund  Inc Exp Statement'!I108</f>
        <v>2900.8040000000001</v>
      </c>
      <c r="J105" s="606">
        <f>'Future Fund  Inc Exp Statement'!J105+'Gen Fund  Inc Exp Statement'!J108</f>
        <v>3049.8710000000001</v>
      </c>
      <c r="K105" s="606">
        <f>'Future Fund  Inc Exp Statement'!K105+'Gen Fund  Inc Exp Statement'!K108</f>
        <v>3110.8684199999998</v>
      </c>
      <c r="L105" s="606">
        <f>'Future Fund  Inc Exp Statement'!L105+'Gen Fund  Inc Exp Statement'!L108</f>
        <v>3173.0857883999997</v>
      </c>
      <c r="M105" s="606">
        <f>'Future Fund  Inc Exp Statement'!M105+'Gen Fund  Inc Exp Statement'!M108</f>
        <v>3236.5475041680002</v>
      </c>
      <c r="N105" s="606">
        <f>'Future Fund  Inc Exp Statement'!N105+'Gen Fund  Inc Exp Statement'!N108</f>
        <v>3301.27845425136</v>
      </c>
      <c r="O105" s="606">
        <f>'Future Fund  Inc Exp Statement'!O105+'Gen Fund  Inc Exp Statement'!O108</f>
        <v>3367.3040233363872</v>
      </c>
      <c r="P105" s="606">
        <f>'Future Fund  Inc Exp Statement'!P105+'Gen Fund  Inc Exp Statement'!P108</f>
        <v>3434.6501038031147</v>
      </c>
      <c r="S105" s="606">
        <f t="shared" si="50"/>
        <v>0</v>
      </c>
      <c r="T105" s="606">
        <f t="shared" si="51"/>
        <v>0</v>
      </c>
      <c r="U105" s="606">
        <f t="shared" si="52"/>
        <v>15.576000000000022</v>
      </c>
      <c r="V105" s="606">
        <f t="shared" si="53"/>
        <v>93.328000000000429</v>
      </c>
      <c r="W105" s="606">
        <f t="shared" si="54"/>
        <v>95.19455999999991</v>
      </c>
      <c r="X105" s="606">
        <f t="shared" si="55"/>
        <v>97.098451199999545</v>
      </c>
      <c r="Y105" s="606">
        <f t="shared" si="56"/>
        <v>99.040420223999718</v>
      </c>
      <c r="Z105" s="606">
        <f t="shared" si="57"/>
        <v>101.02122862847955</v>
      </c>
      <c r="AA105" s="606">
        <f t="shared" si="58"/>
        <v>103.04165320104903</v>
      </c>
      <c r="AB105" s="606">
        <f t="shared" si="59"/>
        <v>105.10248626506927</v>
      </c>
    </row>
    <row r="106" spans="1:28" ht="10.8" thickBot="1" x14ac:dyDescent="0.25">
      <c r="A106" s="604" t="s">
        <v>66</v>
      </c>
      <c r="B106" s="610">
        <f t="shared" ref="B106:P106" si="62">SUM(B98:B105)</f>
        <v>0</v>
      </c>
      <c r="C106" s="610">
        <f t="shared" si="62"/>
        <v>0</v>
      </c>
      <c r="D106" s="610">
        <f t="shared" si="62"/>
        <v>0</v>
      </c>
      <c r="E106" s="610">
        <f t="shared" si="62"/>
        <v>35003</v>
      </c>
      <c r="F106" s="610">
        <f t="shared" si="62"/>
        <v>38221.417999999991</v>
      </c>
      <c r="G106" s="610">
        <f t="shared" si="62"/>
        <v>38388.270000000004</v>
      </c>
      <c r="H106" s="610">
        <f t="shared" si="62"/>
        <v>39198.165000000001</v>
      </c>
      <c r="I106" s="610">
        <f t="shared" si="62"/>
        <v>40983.467000000004</v>
      </c>
      <c r="J106" s="610">
        <f t="shared" si="62"/>
        <v>43476.894999999997</v>
      </c>
      <c r="K106" s="610">
        <f t="shared" si="62"/>
        <v>44432.589515799998</v>
      </c>
      <c r="L106" s="610">
        <f t="shared" si="62"/>
        <v>45412.362399591002</v>
      </c>
      <c r="M106" s="610">
        <f t="shared" si="62"/>
        <v>46416.838758638696</v>
      </c>
      <c r="N106" s="610">
        <f t="shared" si="62"/>
        <v>47446.660373690662</v>
      </c>
      <c r="O106" s="610">
        <f t="shared" si="62"/>
        <v>48502.486154214574</v>
      </c>
      <c r="P106" s="610">
        <f t="shared" si="62"/>
        <v>49584.992606309963</v>
      </c>
      <c r="S106" s="1335">
        <f>SUM(S98:S105)</f>
        <v>0</v>
      </c>
      <c r="T106" s="1335">
        <f t="shared" ref="T106:AB106" si="63">SUM(T98:T105)</f>
        <v>-285.77199999999812</v>
      </c>
      <c r="U106" s="1335">
        <f t="shared" si="63"/>
        <v>497.99499999999989</v>
      </c>
      <c r="V106" s="1335">
        <f t="shared" si="63"/>
        <v>1932.3739999999998</v>
      </c>
      <c r="W106" s="1335">
        <f t="shared" si="63"/>
        <v>1937.2675957999995</v>
      </c>
      <c r="X106" s="1335">
        <f t="shared" si="63"/>
        <v>1943.0701853909977</v>
      </c>
      <c r="Y106" s="1335">
        <f t="shared" si="63"/>
        <v>1937.9413916956937</v>
      </c>
      <c r="Z106" s="1335">
        <f t="shared" si="63"/>
        <v>1929.1609147214031</v>
      </c>
      <c r="AA106" s="1335">
        <f t="shared" si="63"/>
        <v>1920.4885354739235</v>
      </c>
      <c r="AB106" s="1335">
        <f t="shared" si="63"/>
        <v>1911.9641200166388</v>
      </c>
    </row>
    <row r="108" spans="1:28" ht="10.8" thickBot="1" x14ac:dyDescent="0.25">
      <c r="A108" s="604" t="s">
        <v>67</v>
      </c>
      <c r="B108" s="633">
        <f t="shared" ref="B108:P108" si="64">+B94-B106</f>
        <v>0</v>
      </c>
      <c r="C108" s="633">
        <f t="shared" si="64"/>
        <v>0</v>
      </c>
      <c r="D108" s="633">
        <f t="shared" si="64"/>
        <v>0</v>
      </c>
      <c r="E108" s="633">
        <f t="shared" si="64"/>
        <v>11810</v>
      </c>
      <c r="F108" s="633">
        <f t="shared" si="64"/>
        <v>2928.0070000000123</v>
      </c>
      <c r="G108" s="633">
        <f t="shared" si="64"/>
        <v>4719.9369999999908</v>
      </c>
      <c r="H108" s="633">
        <f t="shared" si="64"/>
        <v>4997.5820099999983</v>
      </c>
      <c r="I108" s="633">
        <f t="shared" si="64"/>
        <v>8581.3400152999966</v>
      </c>
      <c r="J108" s="633">
        <f t="shared" si="64"/>
        <v>4131.9530926340012</v>
      </c>
      <c r="K108" s="633">
        <f t="shared" si="64"/>
        <v>4096.5218832090395</v>
      </c>
      <c r="L108" s="633">
        <f t="shared" si="64"/>
        <v>4268.246832507255</v>
      </c>
      <c r="M108" s="633">
        <f t="shared" si="64"/>
        <v>4409.5900297828048</v>
      </c>
      <c r="N108" s="633">
        <f t="shared" si="64"/>
        <v>4518.5770583586636</v>
      </c>
      <c r="O108" s="633">
        <f t="shared" si="64"/>
        <v>4650.317316433182</v>
      </c>
      <c r="P108" s="633">
        <f t="shared" si="64"/>
        <v>4786.4474090166477</v>
      </c>
    </row>
    <row r="109" spans="1:28" x14ac:dyDescent="0.2">
      <c r="A109" s="616"/>
      <c r="B109" s="621"/>
      <c r="C109" s="621"/>
      <c r="D109" s="621"/>
      <c r="E109" s="621"/>
      <c r="F109" s="621"/>
      <c r="G109" s="621"/>
      <c r="H109" s="621"/>
      <c r="I109" s="621"/>
      <c r="J109" s="621"/>
      <c r="K109" s="621"/>
      <c r="L109" s="621"/>
      <c r="M109" s="621"/>
      <c r="N109" s="621"/>
      <c r="O109" s="621"/>
      <c r="P109" s="621"/>
    </row>
    <row r="110" spans="1:28" x14ac:dyDescent="0.2">
      <c r="A110" s="604" t="s">
        <v>75</v>
      </c>
      <c r="B110" s="621"/>
      <c r="C110" s="621"/>
      <c r="D110" s="621"/>
      <c r="E110" s="621"/>
      <c r="F110" s="621"/>
      <c r="G110" s="621"/>
      <c r="H110" s="621"/>
      <c r="I110" s="621"/>
      <c r="J110" s="621"/>
      <c r="K110" s="621"/>
      <c r="L110" s="621"/>
      <c r="M110" s="621"/>
      <c r="N110" s="621"/>
      <c r="O110" s="621"/>
      <c r="P110" s="621"/>
    </row>
    <row r="111" spans="1:28" x14ac:dyDescent="0.2">
      <c r="A111" s="614" t="s">
        <v>322</v>
      </c>
      <c r="B111" s="617">
        <v>0</v>
      </c>
      <c r="C111" s="617">
        <v>0</v>
      </c>
      <c r="D111" s="617">
        <v>0</v>
      </c>
      <c r="E111" s="617">
        <v>0</v>
      </c>
      <c r="F111" s="617">
        <v>0</v>
      </c>
      <c r="G111" s="617">
        <v>0</v>
      </c>
      <c r="H111" s="617">
        <v>0</v>
      </c>
      <c r="I111" s="617">
        <v>0</v>
      </c>
      <c r="J111" s="617">
        <v>0</v>
      </c>
      <c r="K111" s="617">
        <v>0</v>
      </c>
      <c r="L111" s="617">
        <v>0</v>
      </c>
      <c r="M111" s="617">
        <v>0</v>
      </c>
      <c r="N111" s="617">
        <v>0</v>
      </c>
      <c r="O111" s="617">
        <v>0</v>
      </c>
      <c r="P111" s="617">
        <v>0</v>
      </c>
    </row>
    <row r="112" spans="1:28" x14ac:dyDescent="0.2">
      <c r="B112" s="621"/>
      <c r="C112" s="621"/>
      <c r="D112" s="621"/>
      <c r="E112" s="621"/>
      <c r="F112" s="621"/>
      <c r="G112" s="621"/>
      <c r="H112" s="621"/>
      <c r="I112" s="621"/>
      <c r="J112" s="621"/>
      <c r="K112" s="621"/>
      <c r="L112" s="621"/>
      <c r="M112" s="621"/>
      <c r="N112" s="621"/>
      <c r="O112" s="621"/>
      <c r="P112" s="621"/>
    </row>
    <row r="113" spans="1:28" x14ac:dyDescent="0.2">
      <c r="A113" s="618" t="s">
        <v>76</v>
      </c>
      <c r="B113" s="634">
        <f>+B108+B111</f>
        <v>0</v>
      </c>
      <c r="C113" s="634">
        <f>+C108+C111</f>
        <v>0</v>
      </c>
      <c r="D113" s="634">
        <f>+D108+D111</f>
        <v>0</v>
      </c>
      <c r="E113" s="634">
        <f t="shared" ref="E113:M113" si="65">+E108+E111</f>
        <v>11810</v>
      </c>
      <c r="F113" s="634">
        <f t="shared" si="65"/>
        <v>2928.0070000000123</v>
      </c>
      <c r="G113" s="634">
        <f t="shared" si="65"/>
        <v>4719.9369999999908</v>
      </c>
      <c r="H113" s="634">
        <f t="shared" si="65"/>
        <v>4997.5820099999983</v>
      </c>
      <c r="I113" s="634">
        <f t="shared" si="65"/>
        <v>8581.3400152999966</v>
      </c>
      <c r="J113" s="634">
        <f t="shared" si="65"/>
        <v>4131.9530926340012</v>
      </c>
      <c r="K113" s="634">
        <f t="shared" si="65"/>
        <v>4096.5218832090395</v>
      </c>
      <c r="L113" s="634">
        <f t="shared" si="65"/>
        <v>4268.246832507255</v>
      </c>
      <c r="M113" s="634">
        <f t="shared" si="65"/>
        <v>4409.5900297828048</v>
      </c>
      <c r="N113" s="634">
        <f t="shared" ref="N113:O113" si="66">+N108+N111</f>
        <v>4518.5770583586636</v>
      </c>
      <c r="O113" s="634">
        <f t="shared" si="66"/>
        <v>4650.317316433182</v>
      </c>
      <c r="P113" s="634">
        <f t="shared" ref="P113" si="67">+P108+P111</f>
        <v>4786.4474090166477</v>
      </c>
      <c r="S113" s="601"/>
      <c r="T113" s="601"/>
      <c r="U113" s="601"/>
      <c r="V113" s="601"/>
      <c r="W113" s="601"/>
      <c r="X113" s="601"/>
      <c r="Y113" s="601"/>
      <c r="Z113" s="601"/>
      <c r="AA113" s="601"/>
      <c r="AB113" s="601"/>
    </row>
    <row r="114" spans="1:28" x14ac:dyDescent="0.2">
      <c r="B114" s="621"/>
      <c r="C114" s="621"/>
      <c r="D114" s="621"/>
      <c r="E114" s="621"/>
      <c r="F114" s="621"/>
      <c r="G114" s="621"/>
      <c r="H114" s="621"/>
      <c r="I114" s="621"/>
      <c r="J114" s="621"/>
      <c r="K114" s="621"/>
      <c r="L114" s="621"/>
      <c r="M114" s="621"/>
      <c r="N114" s="621"/>
      <c r="O114" s="621"/>
      <c r="P114" s="621"/>
      <c r="S114" s="601"/>
      <c r="T114" s="601"/>
      <c r="U114" s="601"/>
      <c r="V114" s="601"/>
      <c r="W114" s="601"/>
      <c r="X114" s="601"/>
      <c r="Y114" s="601"/>
      <c r="Z114" s="601"/>
      <c r="AA114" s="601"/>
      <c r="AB114" s="601"/>
    </row>
    <row r="115" spans="1:28" s="601" customFormat="1" x14ac:dyDescent="0.2">
      <c r="A115" s="733" t="s">
        <v>77</v>
      </c>
      <c r="B115" s="715">
        <f>+B113</f>
        <v>0</v>
      </c>
      <c r="C115" s="734">
        <f>+C110+C113</f>
        <v>0</v>
      </c>
      <c r="D115" s="715">
        <f>+D113</f>
        <v>0</v>
      </c>
      <c r="E115" s="734">
        <f t="shared" ref="E115:P115" si="68">+E110+E113</f>
        <v>11810</v>
      </c>
      <c r="F115" s="734">
        <f t="shared" si="68"/>
        <v>2928.0070000000123</v>
      </c>
      <c r="G115" s="734">
        <f t="shared" si="68"/>
        <v>4719.9369999999908</v>
      </c>
      <c r="H115" s="734">
        <f t="shared" si="68"/>
        <v>4997.5820099999983</v>
      </c>
      <c r="I115" s="734">
        <f t="shared" si="68"/>
        <v>8581.3400152999966</v>
      </c>
      <c r="J115" s="734">
        <f t="shared" si="68"/>
        <v>4131.9530926340012</v>
      </c>
      <c r="K115" s="734">
        <f t="shared" si="68"/>
        <v>4096.5218832090395</v>
      </c>
      <c r="L115" s="734">
        <f t="shared" si="68"/>
        <v>4268.246832507255</v>
      </c>
      <c r="M115" s="734">
        <f t="shared" si="68"/>
        <v>4409.5900297828048</v>
      </c>
      <c r="N115" s="734">
        <f t="shared" si="68"/>
        <v>4518.5770583586636</v>
      </c>
      <c r="O115" s="734">
        <f t="shared" si="68"/>
        <v>4650.317316433182</v>
      </c>
      <c r="P115" s="734">
        <f t="shared" si="68"/>
        <v>4786.4474090166477</v>
      </c>
      <c r="S115" s="599"/>
      <c r="T115" s="599"/>
      <c r="U115" s="599"/>
      <c r="V115" s="599"/>
      <c r="W115" s="599"/>
      <c r="X115" s="599"/>
      <c r="Y115" s="599"/>
      <c r="Z115" s="599"/>
      <c r="AA115" s="599"/>
      <c r="AB115" s="599"/>
    </row>
    <row r="116" spans="1:28" s="601" customFormat="1" ht="10.5" customHeight="1" thickBot="1" x14ac:dyDescent="0.25">
      <c r="A116" s="739" t="s">
        <v>78</v>
      </c>
      <c r="B116" s="735">
        <v>0</v>
      </c>
      <c r="C116" s="735">
        <v>0</v>
      </c>
      <c r="D116" s="735">
        <v>0</v>
      </c>
      <c r="E116" s="735">
        <v>0</v>
      </c>
      <c r="F116" s="735"/>
      <c r="G116" s="735">
        <v>0</v>
      </c>
      <c r="H116" s="735">
        <v>0</v>
      </c>
      <c r="I116" s="735">
        <v>0</v>
      </c>
      <c r="J116" s="735">
        <v>0</v>
      </c>
      <c r="K116" s="735">
        <v>0</v>
      </c>
      <c r="L116" s="735">
        <v>0</v>
      </c>
      <c r="M116" s="735">
        <v>0</v>
      </c>
      <c r="N116" s="735">
        <v>0</v>
      </c>
      <c r="O116" s="735">
        <v>0</v>
      </c>
      <c r="P116" s="735">
        <v>0</v>
      </c>
      <c r="S116" s="599"/>
      <c r="T116" s="599"/>
      <c r="U116" s="599"/>
      <c r="V116" s="599"/>
      <c r="W116" s="599"/>
      <c r="X116" s="599"/>
      <c r="Y116" s="599"/>
      <c r="Z116" s="599"/>
      <c r="AA116" s="599"/>
      <c r="AB116" s="599"/>
    </row>
    <row r="117" spans="1:28" ht="3.75" customHeight="1" thickTop="1" x14ac:dyDescent="0.2">
      <c r="A117" s="726"/>
      <c r="B117" s="714"/>
      <c r="C117" s="714"/>
      <c r="D117" s="710"/>
      <c r="E117" s="710"/>
      <c r="F117" s="710"/>
      <c r="G117" s="710"/>
      <c r="H117" s="710"/>
      <c r="I117" s="710"/>
      <c r="J117" s="710"/>
      <c r="K117" s="710"/>
      <c r="L117" s="710"/>
      <c r="M117" s="710"/>
      <c r="N117" s="710"/>
      <c r="O117" s="710"/>
      <c r="P117" s="710"/>
    </row>
    <row r="118" spans="1:28" ht="31.5" customHeight="1" thickBot="1" x14ac:dyDescent="0.25">
      <c r="A118" s="705" t="s">
        <v>79</v>
      </c>
      <c r="B118" s="736">
        <f>+B113-B91-B93</f>
        <v>0</v>
      </c>
      <c r="C118" s="736">
        <f>+C113-C91-C93</f>
        <v>0</v>
      </c>
      <c r="D118" s="736">
        <f>+D113-D89-D92</f>
        <v>0</v>
      </c>
      <c r="E118" s="736">
        <f t="shared" ref="E118:P118" si="69">+E113-E89-E92</f>
        <v>-2644</v>
      </c>
      <c r="F118" s="736">
        <f t="shared" si="69"/>
        <v>30.000000000012278</v>
      </c>
      <c r="G118" s="736">
        <f t="shared" si="69"/>
        <v>931.9699999999907</v>
      </c>
      <c r="H118" s="736">
        <f t="shared" si="69"/>
        <v>1153.2109999999984</v>
      </c>
      <c r="I118" s="736">
        <f t="shared" si="69"/>
        <v>1178.8809999999967</v>
      </c>
      <c r="J118" s="736">
        <f t="shared" si="69"/>
        <v>169.67176000000109</v>
      </c>
      <c r="K118" s="736">
        <f t="shared" si="69"/>
        <v>46.289923922358867</v>
      </c>
      <c r="L118" s="736">
        <f t="shared" si="69"/>
        <v>128.08760903484108</v>
      </c>
      <c r="M118" s="736">
        <f t="shared" si="69"/>
        <v>177.4819312159425</v>
      </c>
      <c r="N118" s="736">
        <f t="shared" si="69"/>
        <v>192.45246492984006</v>
      </c>
      <c r="O118" s="736">
        <f t="shared" si="69"/>
        <v>228.06153992289182</v>
      </c>
      <c r="P118" s="736">
        <f t="shared" si="69"/>
        <v>265.89760848293827</v>
      </c>
    </row>
    <row r="119" spans="1:28" ht="4.5" customHeight="1" thickTop="1" x14ac:dyDescent="0.2">
      <c r="A119" s="705"/>
      <c r="B119" s="734"/>
      <c r="C119" s="734"/>
      <c r="D119" s="734"/>
      <c r="E119" s="734"/>
      <c r="F119" s="734"/>
      <c r="G119" s="734"/>
      <c r="H119" s="734"/>
      <c r="I119" s="734"/>
      <c r="J119" s="734"/>
      <c r="K119" s="734"/>
      <c r="L119" s="734"/>
      <c r="M119" s="734"/>
      <c r="N119" s="734"/>
      <c r="O119" s="734"/>
      <c r="P119" s="734"/>
    </row>
    <row r="120" spans="1:28" x14ac:dyDescent="0.2">
      <c r="A120" s="730" t="s">
        <v>76</v>
      </c>
      <c r="B120" s="732">
        <f t="shared" ref="B120:P120" si="70">B113</f>
        <v>0</v>
      </c>
      <c r="C120" s="732">
        <f t="shared" si="70"/>
        <v>0</v>
      </c>
      <c r="D120" s="732">
        <f t="shared" si="70"/>
        <v>0</v>
      </c>
      <c r="E120" s="732">
        <f t="shared" si="70"/>
        <v>11810</v>
      </c>
      <c r="F120" s="732">
        <f t="shared" si="70"/>
        <v>2928.0070000000123</v>
      </c>
      <c r="G120" s="732">
        <f t="shared" si="70"/>
        <v>4719.9369999999908</v>
      </c>
      <c r="H120" s="732">
        <f t="shared" si="70"/>
        <v>4997.5820099999983</v>
      </c>
      <c r="I120" s="732">
        <f t="shared" si="70"/>
        <v>8581.3400152999966</v>
      </c>
      <c r="J120" s="732">
        <f t="shared" si="70"/>
        <v>4131.9530926340012</v>
      </c>
      <c r="K120" s="732">
        <f t="shared" si="70"/>
        <v>4096.5218832090395</v>
      </c>
      <c r="L120" s="732">
        <f t="shared" si="70"/>
        <v>4268.246832507255</v>
      </c>
      <c r="M120" s="732">
        <f t="shared" si="70"/>
        <v>4409.5900297828048</v>
      </c>
      <c r="N120" s="732">
        <f t="shared" si="70"/>
        <v>4518.5770583586636</v>
      </c>
      <c r="O120" s="732">
        <f t="shared" si="70"/>
        <v>4650.317316433182</v>
      </c>
      <c r="P120" s="732">
        <f t="shared" si="70"/>
        <v>4786.4474090166477</v>
      </c>
    </row>
    <row r="121" spans="1:28" ht="9.75" customHeight="1" x14ac:dyDescent="0.2">
      <c r="A121" s="737" t="s">
        <v>1015</v>
      </c>
      <c r="B121" s="734"/>
      <c r="C121" s="734"/>
      <c r="D121" s="734"/>
      <c r="E121" s="734"/>
      <c r="F121" s="734"/>
      <c r="G121" s="734"/>
      <c r="H121" s="734"/>
      <c r="I121" s="734"/>
      <c r="J121" s="734"/>
      <c r="K121" s="734"/>
      <c r="L121" s="734"/>
      <c r="M121" s="734"/>
      <c r="N121" s="734"/>
      <c r="O121" s="734"/>
      <c r="P121" s="734"/>
    </row>
    <row r="122" spans="1:28" x14ac:dyDescent="0.2">
      <c r="A122" s="705" t="s">
        <v>1014</v>
      </c>
      <c r="B122" s="734"/>
      <c r="C122" s="734"/>
      <c r="D122" s="734"/>
      <c r="E122" s="734"/>
      <c r="F122" s="734"/>
      <c r="G122" s="734"/>
      <c r="H122" s="734"/>
      <c r="I122" s="734"/>
      <c r="J122" s="734"/>
      <c r="K122" s="734"/>
      <c r="L122" s="734"/>
      <c r="M122" s="734"/>
      <c r="N122" s="734"/>
      <c r="O122" s="734"/>
      <c r="P122" s="734"/>
    </row>
    <row r="123" spans="1:28" ht="1.5" customHeight="1" x14ac:dyDescent="0.2">
      <c r="A123" s="705"/>
      <c r="B123" s="734"/>
      <c r="C123" s="734"/>
      <c r="D123" s="734"/>
      <c r="E123" s="734"/>
      <c r="F123" s="734"/>
      <c r="G123" s="734"/>
      <c r="H123" s="734"/>
      <c r="I123" s="734"/>
      <c r="J123" s="734"/>
      <c r="K123" s="734"/>
      <c r="L123" s="734"/>
      <c r="M123" s="734"/>
      <c r="N123" s="734"/>
      <c r="O123" s="734"/>
      <c r="P123" s="734"/>
    </row>
    <row r="124" spans="1:28" ht="10.8" thickBot="1" x14ac:dyDescent="0.25">
      <c r="A124" s="705" t="s">
        <v>309</v>
      </c>
      <c r="B124" s="738">
        <f t="shared" ref="B124:P124" si="71">SUM(B120:B123)</f>
        <v>0</v>
      </c>
      <c r="C124" s="738">
        <f t="shared" si="71"/>
        <v>0</v>
      </c>
      <c r="D124" s="738">
        <f t="shared" si="71"/>
        <v>0</v>
      </c>
      <c r="E124" s="738">
        <f t="shared" si="71"/>
        <v>11810</v>
      </c>
      <c r="F124" s="738">
        <f t="shared" si="71"/>
        <v>2928.0070000000123</v>
      </c>
      <c r="G124" s="738">
        <f t="shared" si="71"/>
        <v>4719.9369999999908</v>
      </c>
      <c r="H124" s="738">
        <f t="shared" si="71"/>
        <v>4997.5820099999983</v>
      </c>
      <c r="I124" s="738">
        <f t="shared" si="71"/>
        <v>8581.3400152999966</v>
      </c>
      <c r="J124" s="738">
        <f t="shared" si="71"/>
        <v>4131.9530926340012</v>
      </c>
      <c r="K124" s="738">
        <f t="shared" si="71"/>
        <v>4096.5218832090395</v>
      </c>
      <c r="L124" s="738">
        <f t="shared" si="71"/>
        <v>4268.246832507255</v>
      </c>
      <c r="M124" s="738">
        <f t="shared" si="71"/>
        <v>4409.5900297828048</v>
      </c>
      <c r="N124" s="738">
        <f t="shared" si="71"/>
        <v>4518.5770583586636</v>
      </c>
      <c r="O124" s="738">
        <f t="shared" si="71"/>
        <v>4650.317316433182</v>
      </c>
      <c r="P124" s="738">
        <f t="shared" si="71"/>
        <v>4786.4474090166477</v>
      </c>
    </row>
    <row r="125" spans="1:28" ht="10.8" thickTop="1" x14ac:dyDescent="0.2">
      <c r="A125" s="616"/>
      <c r="B125" s="621"/>
      <c r="C125" s="621"/>
      <c r="D125" s="621"/>
      <c r="E125" s="621"/>
      <c r="F125" s="621"/>
      <c r="G125" s="621"/>
      <c r="H125" s="621"/>
      <c r="I125" s="621"/>
      <c r="J125" s="621"/>
      <c r="K125" s="621"/>
      <c r="L125" s="621"/>
      <c r="M125" s="621"/>
      <c r="N125" s="621"/>
      <c r="O125" s="621"/>
      <c r="P125" s="621"/>
    </row>
    <row r="126" spans="1:28" ht="11.25" hidden="1" outlineLevel="1" x14ac:dyDescent="0.2">
      <c r="A126" s="604" t="s">
        <v>1081</v>
      </c>
      <c r="B126" s="621"/>
      <c r="C126" s="621"/>
      <c r="D126" s="621"/>
      <c r="E126" s="622">
        <f>E51</f>
        <v>0</v>
      </c>
      <c r="F126" s="622">
        <f>'Future Fund  Inc Exp Statement'!F126+'Gen Fund  Inc Exp Statement'!F130</f>
        <v>21320.421999999999</v>
      </c>
      <c r="G126" s="622">
        <f>'Future Fund  Inc Exp Statement'!G126+'Gen Fund  Inc Exp Statement'!G130</f>
        <v>2600.8139999999999</v>
      </c>
      <c r="H126" s="622">
        <f>'Future Fund  Inc Exp Statement'!H126+'Gen Fund  Inc Exp Statement'!H130</f>
        <v>19306.5245</v>
      </c>
      <c r="I126" s="622">
        <f>'Future Fund  Inc Exp Statement'!I126+'Gen Fund  Inc Exp Statement'!I130</f>
        <v>16162.895</v>
      </c>
      <c r="J126" s="622">
        <f>'Future Fund  Inc Exp Statement'!J126+'Gen Fund  Inc Exp Statement'!J130</f>
        <v>2065.5980000000004</v>
      </c>
      <c r="K126" s="622">
        <f>'Future Fund  Inc Exp Statement'!K126+'Gen Fund  Inc Exp Statement'!K130</f>
        <v>1445.9567</v>
      </c>
      <c r="L126" s="622">
        <f>'Future Fund  Inc Exp Statement'!L126+'Gen Fund  Inc Exp Statement'!L130</f>
        <v>2401.4493674999999</v>
      </c>
      <c r="M126" s="622">
        <f>'Future Fund  Inc Exp Statement'!M126+'Gen Fund  Inc Exp Statement'!M130</f>
        <v>3207.0793516875001</v>
      </c>
      <c r="N126" s="622">
        <f>'Future Fund  Inc Exp Statement'!N126+'Gen Fund  Inc Exp Statement'!N130</f>
        <v>3212.8500854796876</v>
      </c>
      <c r="O126" s="622">
        <f>'Future Fund  Inc Exp Statement'!O126+'Gen Fund  Inc Exp Statement'!O130</f>
        <v>3168.7650876166799</v>
      </c>
      <c r="P126" s="622">
        <f>'Future Fund  Inc Exp Statement'!P126+'Gen Fund  Inc Exp Statement'!P130</f>
        <v>3224.8279648070966</v>
      </c>
      <c r="Q126" s="599" t="s">
        <v>32</v>
      </c>
    </row>
    <row r="127" spans="1:28" ht="11.25" hidden="1" outlineLevel="1" x14ac:dyDescent="0.2">
      <c r="A127" s="817" t="s">
        <v>1111</v>
      </c>
      <c r="B127" s="621"/>
      <c r="C127" s="621"/>
      <c r="D127" s="621"/>
      <c r="E127" s="622"/>
      <c r="F127" s="622">
        <f>'Future Fund  Inc Exp Statement'!F127+'Gen Fund  Inc Exp Statement'!F131</f>
        <v>0</v>
      </c>
      <c r="G127" s="622">
        <f>'Future Fund  Inc Exp Statement'!G127+'Gen Fund  Inc Exp Statement'!G131</f>
        <v>0</v>
      </c>
      <c r="H127" s="622">
        <f>'Future Fund  Inc Exp Statement'!H127+'Gen Fund  Inc Exp Statement'!H131</f>
        <v>0</v>
      </c>
      <c r="I127" s="622">
        <f>'Future Fund  Inc Exp Statement'!I127+'Gen Fund  Inc Exp Statement'!I131</f>
        <v>0</v>
      </c>
      <c r="J127" s="622">
        <f>'Future Fund  Inc Exp Statement'!J127+'Gen Fund  Inc Exp Statement'!J131</f>
        <v>0</v>
      </c>
      <c r="K127" s="622">
        <f>'Future Fund  Inc Exp Statement'!K127+'Gen Fund  Inc Exp Statement'!K131</f>
        <v>0</v>
      </c>
      <c r="L127" s="622">
        <f>'Future Fund  Inc Exp Statement'!L127+'Gen Fund  Inc Exp Statement'!L131</f>
        <v>0</v>
      </c>
      <c r="M127" s="622">
        <f>'Future Fund  Inc Exp Statement'!M127+'Gen Fund  Inc Exp Statement'!M131</f>
        <v>0</v>
      </c>
      <c r="N127" s="622">
        <f>'Future Fund  Inc Exp Statement'!N127+'Gen Fund  Inc Exp Statement'!N131</f>
        <v>0</v>
      </c>
      <c r="O127" s="622">
        <f>'Future Fund  Inc Exp Statement'!O127+'Gen Fund  Inc Exp Statement'!O131</f>
        <v>0</v>
      </c>
      <c r="P127" s="622">
        <f>'Future Fund  Inc Exp Statement'!P127+'Gen Fund  Inc Exp Statement'!P131</f>
        <v>0</v>
      </c>
    </row>
    <row r="128" spans="1:28" ht="11.25" hidden="1" outlineLevel="1" x14ac:dyDescent="0.2">
      <c r="A128" s="604" t="s">
        <v>1082</v>
      </c>
      <c r="B128" s="621"/>
      <c r="C128" s="621"/>
      <c r="D128" s="621"/>
      <c r="E128" s="622">
        <f t="shared" ref="E128:E130" si="72">E53</f>
        <v>0</v>
      </c>
      <c r="F128" s="622">
        <f>'Future Fund  Inc Exp Statement'!F128+'Gen Fund  Inc Exp Statement'!F132</f>
        <v>0</v>
      </c>
      <c r="G128" s="622">
        <f>'Future Fund  Inc Exp Statement'!G128+'Gen Fund  Inc Exp Statement'!G132</f>
        <v>7827.9979999999996</v>
      </c>
      <c r="H128" s="622">
        <f>'Future Fund  Inc Exp Statement'!H128+'Gen Fund  Inc Exp Statement'!H132</f>
        <v>12264.567300000001</v>
      </c>
      <c r="I128" s="622">
        <f>'Future Fund  Inc Exp Statement'!I128+'Gen Fund  Inc Exp Statement'!I132</f>
        <v>8940.2783949999994</v>
      </c>
      <c r="J128" s="622">
        <f>'Future Fund  Inc Exp Statement'!J128+'Gen Fund  Inc Exp Statement'!J132</f>
        <v>8916.9354048749992</v>
      </c>
      <c r="K128" s="622">
        <f>'Future Fund  Inc Exp Statement'!K128+'Gen Fund  Inc Exp Statement'!K132</f>
        <v>8981.5654399968753</v>
      </c>
      <c r="L128" s="622">
        <f>'Future Fund  Inc Exp Statement'!L128+'Gen Fund  Inc Exp Statement'!L132</f>
        <v>9157.3862259967955</v>
      </c>
      <c r="M128" s="622">
        <f>'Future Fund  Inc Exp Statement'!M128+'Gen Fund  Inc Exp Statement'!M132</f>
        <v>9799.0455316467178</v>
      </c>
      <c r="N128" s="622">
        <f>'Future Fund  Inc Exp Statement'!N128+'Gen Fund  Inc Exp Statement'!N132</f>
        <v>9654.5641799378845</v>
      </c>
      <c r="O128" s="622">
        <f>'Future Fund  Inc Exp Statement'!O128+'Gen Fund  Inc Exp Statement'!O132</f>
        <v>9950.9635116363297</v>
      </c>
      <c r="P128" s="622">
        <f>'Future Fund  Inc Exp Statement'!P128+'Gen Fund  Inc Exp Statement'!P132</f>
        <v>10148.265398171241</v>
      </c>
      <c r="Q128" s="599" t="s">
        <v>32</v>
      </c>
    </row>
    <row r="129" spans="1:28" ht="11.25" hidden="1" outlineLevel="1" x14ac:dyDescent="0.2">
      <c r="A129" s="604" t="s">
        <v>1083</v>
      </c>
      <c r="B129" s="621"/>
      <c r="C129" s="621"/>
      <c r="D129" s="621"/>
      <c r="E129" s="622">
        <f t="shared" si="72"/>
        <v>0</v>
      </c>
      <c r="F129" s="622">
        <f>'Future Fund  Inc Exp Statement'!F129+'Gen Fund  Inc Exp Statement'!F133</f>
        <v>570.28700000000003</v>
      </c>
      <c r="G129" s="622">
        <f>'Future Fund  Inc Exp Statement'!G129+'Gen Fund  Inc Exp Statement'!G133</f>
        <v>621.83900000000006</v>
      </c>
      <c r="H129" s="622">
        <f>'Future Fund  Inc Exp Statement'!H129+'Gen Fund  Inc Exp Statement'!H133</f>
        <v>555.48599999999999</v>
      </c>
      <c r="I129" s="622">
        <f>'Future Fund  Inc Exp Statement'!I129+'Gen Fund  Inc Exp Statement'!I133</f>
        <v>672.75099999999998</v>
      </c>
      <c r="J129" s="622">
        <f>'Future Fund  Inc Exp Statement'!J129+'Gen Fund  Inc Exp Statement'!J133</f>
        <v>972.69899999999996</v>
      </c>
      <c r="K129" s="622">
        <f>'Future Fund  Inc Exp Statement'!K129+'Gen Fund  Inc Exp Statement'!K133</f>
        <v>1007</v>
      </c>
      <c r="L129" s="622">
        <f>'Future Fund  Inc Exp Statement'!L129+'Gen Fund  Inc Exp Statement'!L133</f>
        <v>1054</v>
      </c>
      <c r="M129" s="622">
        <f>'Future Fund  Inc Exp Statement'!M129+'Gen Fund  Inc Exp Statement'!M133</f>
        <v>809</v>
      </c>
      <c r="N129" s="622">
        <f>'Future Fund  Inc Exp Statement'!N129+'Gen Fund  Inc Exp Statement'!N133</f>
        <v>745</v>
      </c>
      <c r="O129" s="622">
        <f>'Future Fund  Inc Exp Statement'!O129+'Gen Fund  Inc Exp Statement'!O133</f>
        <v>777</v>
      </c>
      <c r="P129" s="622">
        <f>'Future Fund  Inc Exp Statement'!P129+'Gen Fund  Inc Exp Statement'!P133</f>
        <v>811</v>
      </c>
      <c r="Q129" s="622"/>
    </row>
    <row r="130" spans="1:28" ht="11.25" hidden="1" outlineLevel="1" x14ac:dyDescent="0.2">
      <c r="A130" s="604" t="s">
        <v>1089</v>
      </c>
      <c r="B130" s="621"/>
      <c r="C130" s="621"/>
      <c r="D130" s="621"/>
      <c r="E130" s="622">
        <f t="shared" si="72"/>
        <v>0</v>
      </c>
      <c r="F130" s="622">
        <f>'Future Fund  Inc Exp Statement'!F130+'Gen Fund  Inc Exp Statement'!F134</f>
        <v>1850.8820000000001</v>
      </c>
      <c r="G130" s="622">
        <f>'Future Fund  Inc Exp Statement'!G130+'Gen Fund  Inc Exp Statement'!G134</f>
        <v>2144.2849999999999</v>
      </c>
      <c r="H130" s="622">
        <f>'Future Fund  Inc Exp Statement'!H130+'Gen Fund  Inc Exp Statement'!H134</f>
        <v>3718.17301</v>
      </c>
      <c r="I130" s="622">
        <f>'Future Fund  Inc Exp Statement'!I130+'Gen Fund  Inc Exp Statement'!I134</f>
        <v>2294.8213903000001</v>
      </c>
      <c r="J130" s="622">
        <f>'Future Fund  Inc Exp Statement'!J130+'Gen Fund  Inc Exp Statement'!J134</f>
        <v>2374.3454420090002</v>
      </c>
      <c r="K130" s="622">
        <f>'Future Fund  Inc Exp Statement'!K130+'Gen Fund  Inc Exp Statement'!K134</f>
        <v>2421.8323508491799</v>
      </c>
      <c r="L130" s="622">
        <f>'Future Fund  Inc Exp Statement'!L130+'Gen Fund  Inc Exp Statement'!L134</f>
        <v>2470.2689978661633</v>
      </c>
      <c r="M130" s="622">
        <f>'Future Fund  Inc Exp Statement'!M130+'Gen Fund  Inc Exp Statement'!M134</f>
        <v>2519.6743778234868</v>
      </c>
      <c r="N130" s="622">
        <f>'Future Fund  Inc Exp Statement'!N130+'Gen Fund  Inc Exp Statement'!N134</f>
        <v>2570.0678653799564</v>
      </c>
      <c r="O130" s="622">
        <f>'Future Fund  Inc Exp Statement'!O130+'Gen Fund  Inc Exp Statement'!O134</f>
        <v>2621.4692226875559</v>
      </c>
      <c r="P130" s="622">
        <f>'Future Fund  Inc Exp Statement'!P130+'Gen Fund  Inc Exp Statement'!P134</f>
        <v>2673.8986071413069</v>
      </c>
      <c r="Q130" s="603" t="s">
        <v>1315</v>
      </c>
      <c r="R130" s="603"/>
      <c r="S130" s="608"/>
      <c r="T130" s="608"/>
      <c r="U130" s="608"/>
      <c r="V130" s="608"/>
      <c r="W130" s="608"/>
      <c r="X130" s="608"/>
      <c r="Y130" s="608"/>
      <c r="Z130" s="608"/>
      <c r="AA130" s="608"/>
      <c r="AB130" s="608"/>
    </row>
    <row r="131" spans="1:28" ht="11.25" hidden="1" outlineLevel="1" x14ac:dyDescent="0.2">
      <c r="A131" s="604"/>
      <c r="B131" s="621"/>
      <c r="C131" s="621"/>
      <c r="D131" s="771">
        <f>SUM(D126:D130)</f>
        <v>0</v>
      </c>
      <c r="E131" s="771">
        <f t="shared" ref="E131:P131" si="73">SUM(E126:E130)</f>
        <v>0</v>
      </c>
      <c r="F131" s="771">
        <f t="shared" si="73"/>
        <v>23741.591</v>
      </c>
      <c r="G131" s="771">
        <f t="shared" si="73"/>
        <v>13194.936</v>
      </c>
      <c r="H131" s="771">
        <f t="shared" si="73"/>
        <v>35844.750810000005</v>
      </c>
      <c r="I131" s="771">
        <f t="shared" si="73"/>
        <v>28070.745785299998</v>
      </c>
      <c r="J131" s="771">
        <f t="shared" si="73"/>
        <v>14329.577846884</v>
      </c>
      <c r="K131" s="771">
        <f t="shared" si="73"/>
        <v>13856.354490846055</v>
      </c>
      <c r="L131" s="771">
        <f t="shared" si="73"/>
        <v>15083.104591362959</v>
      </c>
      <c r="M131" s="771">
        <f t="shared" si="73"/>
        <v>16334.799261157705</v>
      </c>
      <c r="N131" s="771">
        <f t="shared" si="73"/>
        <v>16182.482130797529</v>
      </c>
      <c r="O131" s="771">
        <f t="shared" si="73"/>
        <v>16518.197821940565</v>
      </c>
      <c r="P131" s="771">
        <f t="shared" si="73"/>
        <v>16857.991970119645</v>
      </c>
    </row>
    <row r="132" spans="1:28" s="608" customFormat="1" ht="11.25" hidden="1" outlineLevel="1" x14ac:dyDescent="0.2">
      <c r="A132" s="623" t="s">
        <v>1084</v>
      </c>
      <c r="B132" s="621"/>
      <c r="C132" s="621"/>
      <c r="D132" s="621"/>
      <c r="E132" s="621"/>
      <c r="F132" s="621"/>
      <c r="G132" s="621"/>
      <c r="H132" s="621"/>
      <c r="I132" s="621"/>
      <c r="J132" s="621"/>
      <c r="K132" s="621"/>
      <c r="L132" s="621"/>
      <c r="M132" s="621"/>
      <c r="N132" s="621"/>
      <c r="O132" s="621"/>
      <c r="P132" s="621"/>
      <c r="S132" s="599"/>
      <c r="T132" s="599"/>
      <c r="U132" s="599"/>
      <c r="V132" s="599"/>
      <c r="W132" s="599"/>
      <c r="X132" s="599"/>
      <c r="Y132" s="599"/>
      <c r="Z132" s="599"/>
      <c r="AA132" s="599"/>
      <c r="AB132" s="599"/>
    </row>
    <row r="133" spans="1:28" ht="11.25" hidden="1" outlineLevel="1" x14ac:dyDescent="0.2">
      <c r="A133" s="604" t="s">
        <v>931</v>
      </c>
      <c r="B133" s="621"/>
      <c r="C133" s="621"/>
      <c r="D133" s="621"/>
      <c r="E133" s="621">
        <f t="shared" ref="E133:E140" si="74">E58</f>
        <v>0</v>
      </c>
      <c r="F133" s="621">
        <f>'Future Fund  Inc Exp Statement'!F133+'Gen Fund  Inc Exp Statement'!F137</f>
        <v>30</v>
      </c>
      <c r="G133" s="621">
        <f>'Future Fund  Inc Exp Statement'!G133+'Gen Fund  Inc Exp Statement'!G137</f>
        <v>1031.97</v>
      </c>
      <c r="H133" s="621">
        <f>'Future Fund  Inc Exp Statement'!H133+'Gen Fund  Inc Exp Statement'!H137</f>
        <v>1377.8109999999999</v>
      </c>
      <c r="I133" s="621">
        <f>'Future Fund  Inc Exp Statement'!I133+'Gen Fund  Inc Exp Statement'!I137</f>
        <v>1783.6930000000002</v>
      </c>
      <c r="J133" s="621">
        <f>'Future Fund  Inc Exp Statement'!J133+'Gen Fund  Inc Exp Statement'!J137</f>
        <v>734.09999999999991</v>
      </c>
      <c r="K133" s="621">
        <f>'Future Fund  Inc Exp Statement'!K133+'Gen Fund  Inc Exp Statement'!K137</f>
        <v>-322.7953849999999</v>
      </c>
      <c r="L133" s="621">
        <f>'Future Fund  Inc Exp Statement'!L133+'Gen Fund  Inc Exp Statement'!L137</f>
        <v>-315.83378432500012</v>
      </c>
      <c r="M133" s="621">
        <f>'Future Fund  Inc Exp Statement'!M133+'Gen Fund  Inc Exp Statement'!M137</f>
        <v>-308.20152208812488</v>
      </c>
      <c r="N133" s="621">
        <f>'Future Fund  Inc Exp Statement'!N133+'Gen Fund  Inc Exp Statement'!N137</f>
        <v>-299.86419711069811</v>
      </c>
      <c r="O133" s="621">
        <f>'Future Fund  Inc Exp Statement'!O133+'Gen Fund  Inc Exp Statement'!O137</f>
        <v>-290.78589152737868</v>
      </c>
      <c r="P133" s="621">
        <f>'Future Fund  Inc Exp Statement'!P133+'Gen Fund  Inc Exp Statement'!P137</f>
        <v>-280.92910770099388</v>
      </c>
    </row>
    <row r="134" spans="1:28" ht="11.25" hidden="1" outlineLevel="1" x14ac:dyDescent="0.2">
      <c r="A134" s="604" t="s">
        <v>244</v>
      </c>
      <c r="B134" s="621"/>
      <c r="C134" s="621"/>
      <c r="D134" s="621"/>
      <c r="E134" s="621">
        <f t="shared" si="74"/>
        <v>0</v>
      </c>
      <c r="F134" s="621">
        <f>'Future Fund  Inc Exp Statement'!F134+'Gen Fund  Inc Exp Statement'!F138</f>
        <v>1554.0070000000001</v>
      </c>
      <c r="G134" s="621">
        <f>'Future Fund  Inc Exp Statement'!G134+'Gen Fund  Inc Exp Statement'!G138</f>
        <v>1981.9670000000001</v>
      </c>
      <c r="H134" s="621">
        <f>'Future Fund  Inc Exp Statement'!H134+'Gen Fund  Inc Exp Statement'!H138</f>
        <v>2036.7460100000001</v>
      </c>
      <c r="I134" s="621">
        <f>'Future Fund  Inc Exp Statement'!I134+'Gen Fund  Inc Exp Statement'!I138</f>
        <v>2093.1683903000003</v>
      </c>
      <c r="J134" s="621">
        <f>'Future Fund  Inc Exp Statement'!J134+'Gen Fund  Inc Exp Statement'!J138</f>
        <v>2151.2834420090003</v>
      </c>
      <c r="K134" s="621">
        <f>'Future Fund  Inc Exp Statement'!K134+'Gen Fund  Inc Exp Statement'!K138</f>
        <v>2194.3091108491803</v>
      </c>
      <c r="L134" s="621">
        <f>'Future Fund  Inc Exp Statement'!L134+'Gen Fund  Inc Exp Statement'!L138</f>
        <v>2238.1952930661641</v>
      </c>
      <c r="M134" s="621">
        <f>'Future Fund  Inc Exp Statement'!M134+'Gen Fund  Inc Exp Statement'!M138</f>
        <v>2282.9591989274873</v>
      </c>
      <c r="N134" s="621">
        <f>'Future Fund  Inc Exp Statement'!N134+'Gen Fund  Inc Exp Statement'!N138</f>
        <v>2328.6183829060369</v>
      </c>
      <c r="O134" s="621">
        <f>'Future Fund  Inc Exp Statement'!O134+'Gen Fund  Inc Exp Statement'!O138</f>
        <v>2375.1907505641575</v>
      </c>
      <c r="P134" s="621">
        <f>'Future Fund  Inc Exp Statement'!P134+'Gen Fund  Inc Exp Statement'!P138</f>
        <v>2422.6945655754407</v>
      </c>
    </row>
    <row r="135" spans="1:28" ht="11.25" hidden="1" outlineLevel="1" x14ac:dyDescent="0.2">
      <c r="A135" s="604" t="s">
        <v>1085</v>
      </c>
      <c r="B135" s="621"/>
      <c r="C135" s="621"/>
      <c r="D135" s="621"/>
      <c r="E135" s="621">
        <f t="shared" si="74"/>
        <v>0</v>
      </c>
      <c r="F135" s="621">
        <f>'Future Fund  Inc Exp Statement'!F135+'Gen Fund  Inc Exp Statement'!F139</f>
        <v>1266</v>
      </c>
      <c r="G135" s="621">
        <f>'Future Fund  Inc Exp Statement'!G135+'Gen Fund  Inc Exp Statement'!G139</f>
        <v>1741</v>
      </c>
      <c r="H135" s="621">
        <f>'Future Fund  Inc Exp Statement'!H135+'Gen Fund  Inc Exp Statement'!H139</f>
        <v>1741</v>
      </c>
      <c r="I135" s="621">
        <f>'Future Fund  Inc Exp Statement'!I135+'Gen Fund  Inc Exp Statement'!I139</f>
        <v>5241</v>
      </c>
      <c r="J135" s="621">
        <f>'Future Fund  Inc Exp Statement'!J135+'Gen Fund  Inc Exp Statement'!J139</f>
        <v>1741</v>
      </c>
      <c r="K135" s="621">
        <f>'Future Fund  Inc Exp Statement'!K135+'Gen Fund  Inc Exp Statement'!K139</f>
        <v>1784.5249999999999</v>
      </c>
      <c r="L135" s="621">
        <f>'Future Fund  Inc Exp Statement'!L135+'Gen Fund  Inc Exp Statement'!L139</f>
        <v>1829.1381249999995</v>
      </c>
      <c r="M135" s="621">
        <f>'Future Fund  Inc Exp Statement'!M135+'Gen Fund  Inc Exp Statement'!M139</f>
        <v>1874.8665781249993</v>
      </c>
      <c r="N135" s="621">
        <f>'Future Fund  Inc Exp Statement'!N135+'Gen Fund  Inc Exp Statement'!N139</f>
        <v>1921.7382425781241</v>
      </c>
      <c r="O135" s="621">
        <f>'Future Fund  Inc Exp Statement'!O135+'Gen Fund  Inc Exp Statement'!O139</f>
        <v>1969.7816986425771</v>
      </c>
      <c r="P135" s="621">
        <f>'Future Fund  Inc Exp Statement'!P135+'Gen Fund  Inc Exp Statement'!P139</f>
        <v>2019.0262411086412</v>
      </c>
    </row>
    <row r="136" spans="1:28" ht="11.25" hidden="1" outlineLevel="1" x14ac:dyDescent="0.2">
      <c r="A136" s="604" t="s">
        <v>1086</v>
      </c>
      <c r="B136" s="621"/>
      <c r="C136" s="621"/>
      <c r="D136" s="621"/>
      <c r="E136" s="621">
        <f t="shared" si="74"/>
        <v>0</v>
      </c>
      <c r="F136" s="621">
        <f>'Future Fund  Inc Exp Statement'!F136+'Gen Fund  Inc Exp Statement'!F140</f>
        <v>78</v>
      </c>
      <c r="G136" s="621">
        <f>'Future Fund  Inc Exp Statement'!G136+'Gen Fund  Inc Exp Statement'!G140</f>
        <v>65</v>
      </c>
      <c r="H136" s="621">
        <f>'Future Fund  Inc Exp Statement'!H136+'Gen Fund  Inc Exp Statement'!H140</f>
        <v>66.625</v>
      </c>
      <c r="I136" s="621">
        <f>'Future Fund  Inc Exp Statement'!I136+'Gen Fund  Inc Exp Statement'!I140</f>
        <v>68.290625000000006</v>
      </c>
      <c r="J136" s="621">
        <f>'Future Fund  Inc Exp Statement'!J136+'Gen Fund  Inc Exp Statement'!J140</f>
        <v>69.997890624999997</v>
      </c>
      <c r="K136" s="621">
        <f>'Future Fund  Inc Exp Statement'!K136+'Gen Fund  Inc Exp Statement'!K140</f>
        <v>71.397848437500002</v>
      </c>
      <c r="L136" s="621">
        <f>'Future Fund  Inc Exp Statement'!L136+'Gen Fund  Inc Exp Statement'!L140</f>
        <v>72.825805406249998</v>
      </c>
      <c r="M136" s="621">
        <f>'Future Fund  Inc Exp Statement'!M136+'Gen Fund  Inc Exp Statement'!M140</f>
        <v>74.282321514374999</v>
      </c>
      <c r="N136" s="621">
        <f>'Future Fund  Inc Exp Statement'!N136+'Gen Fund  Inc Exp Statement'!N140</f>
        <v>75.767967944662487</v>
      </c>
      <c r="O136" s="621">
        <f>'Future Fund  Inc Exp Statement'!O136+'Gen Fund  Inc Exp Statement'!O140</f>
        <v>77.283327303555751</v>
      </c>
      <c r="P136" s="621">
        <f>'Future Fund  Inc Exp Statement'!P136+'Gen Fund  Inc Exp Statement'!P140</f>
        <v>78.828993849626869</v>
      </c>
    </row>
    <row r="137" spans="1:28" ht="11.25" hidden="1" outlineLevel="1" x14ac:dyDescent="0.2">
      <c r="A137" s="604" t="s">
        <v>33</v>
      </c>
      <c r="B137" s="621">
        <f>+B102</f>
        <v>0</v>
      </c>
      <c r="C137" s="621">
        <f>C102</f>
        <v>0</v>
      </c>
      <c r="D137" s="621">
        <f>D102</f>
        <v>0</v>
      </c>
      <c r="E137" s="621">
        <f t="shared" si="74"/>
        <v>7182</v>
      </c>
      <c r="F137" s="621">
        <f>'Future Fund  Inc Exp Statement'!F137+'Gen Fund  Inc Exp Statement'!F141</f>
        <v>8510.6460000000006</v>
      </c>
      <c r="G137" s="621">
        <f>'Future Fund  Inc Exp Statement'!G137+'Gen Fund  Inc Exp Statement'!G141</f>
        <v>7625.4650000000001</v>
      </c>
      <c r="H137" s="621">
        <f>'Future Fund  Inc Exp Statement'!H137+'Gen Fund  Inc Exp Statement'!H141</f>
        <v>7756.7841699999999</v>
      </c>
      <c r="I137" s="621">
        <f>'Future Fund  Inc Exp Statement'!I137+'Gen Fund  Inc Exp Statement'!I141</f>
        <v>8074.7726536499986</v>
      </c>
      <c r="J137" s="621">
        <f>'Future Fund  Inc Exp Statement'!J137+'Gen Fund  Inc Exp Statement'!J141</f>
        <v>8631.0792279792477</v>
      </c>
      <c r="K137" s="621">
        <f>'Future Fund  Inc Exp Statement'!K137+'Gen Fund  Inc Exp Statement'!K141</f>
        <v>8847.0458336787287</v>
      </c>
      <c r="L137" s="621">
        <f>'Future Fund  Inc Exp Statement'!L137+'Gen Fund  Inc Exp Statement'!L141</f>
        <v>9068.2219795206947</v>
      </c>
      <c r="M137" s="621">
        <f>'Future Fund  Inc Exp Statement'!M137+'Gen Fund  Inc Exp Statement'!M141</f>
        <v>9294.9275290087116</v>
      </c>
      <c r="N137" s="621">
        <f>'Future Fund  Inc Exp Statement'!N137+'Gen Fund  Inc Exp Statement'!N141</f>
        <v>9527.3007172339294</v>
      </c>
      <c r="O137" s="621">
        <f>'Future Fund  Inc Exp Statement'!O137+'Gen Fund  Inc Exp Statement'!O141</f>
        <v>9765.4832351647765</v>
      </c>
      <c r="P137" s="621">
        <f>'Future Fund  Inc Exp Statement'!P137+'Gen Fund  Inc Exp Statement'!P141</f>
        <v>10009.620316043896</v>
      </c>
    </row>
    <row r="138" spans="1:28" ht="11.25" hidden="1" outlineLevel="1" x14ac:dyDescent="0.2">
      <c r="A138" s="604" t="s">
        <v>22</v>
      </c>
      <c r="B138" s="621"/>
      <c r="C138" s="621"/>
      <c r="D138" s="621"/>
      <c r="E138" s="621">
        <f t="shared" si="74"/>
        <v>0</v>
      </c>
      <c r="F138" s="621">
        <f>'Future Fund  Inc Exp Statement'!F138+'Gen Fund  Inc Exp Statement'!F142</f>
        <v>2262.9380000000001</v>
      </c>
      <c r="G138" s="621">
        <f>'Future Fund  Inc Exp Statement'!G138+'Gen Fund  Inc Exp Statement'!G142</f>
        <v>550</v>
      </c>
      <c r="H138" s="621">
        <f>'Future Fund  Inc Exp Statement'!H138+'Gen Fund  Inc Exp Statement'!H142</f>
        <v>11000</v>
      </c>
      <c r="I138" s="621">
        <f>'Future Fund  Inc Exp Statement'!I138+'Gen Fund  Inc Exp Statement'!I142</f>
        <v>0</v>
      </c>
      <c r="J138" s="621">
        <f>'Future Fund  Inc Exp Statement'!J138+'Gen Fund  Inc Exp Statement'!J142</f>
        <v>0</v>
      </c>
      <c r="K138" s="621">
        <f>'Future Fund  Inc Exp Statement'!K138+'Gen Fund  Inc Exp Statement'!K142</f>
        <v>2200</v>
      </c>
      <c r="L138" s="621">
        <f>'Future Fund  Inc Exp Statement'!L138+'Gen Fund  Inc Exp Statement'!L142</f>
        <v>2244</v>
      </c>
      <c r="M138" s="621">
        <f>'Future Fund  Inc Exp Statement'!M138+'Gen Fund  Inc Exp Statement'!M142</f>
        <v>2288.88</v>
      </c>
      <c r="N138" s="621">
        <f>'Future Fund  Inc Exp Statement'!N138+'Gen Fund  Inc Exp Statement'!N142</f>
        <v>2334.6576</v>
      </c>
      <c r="O138" s="621">
        <f>'Future Fund  Inc Exp Statement'!O138+'Gen Fund  Inc Exp Statement'!O142</f>
        <v>2381.3507520000003</v>
      </c>
      <c r="P138" s="621">
        <f>'Future Fund  Inc Exp Statement'!P138+'Gen Fund  Inc Exp Statement'!P142</f>
        <v>2428.9777670400003</v>
      </c>
      <c r="Q138" s="603" t="s">
        <v>1315</v>
      </c>
      <c r="R138" s="603"/>
    </row>
    <row r="139" spans="1:28" ht="11.25" hidden="1" outlineLevel="1" x14ac:dyDescent="0.2">
      <c r="A139" s="604" t="s">
        <v>1087</v>
      </c>
      <c r="B139" s="621"/>
      <c r="C139" s="621"/>
      <c r="D139" s="621"/>
      <c r="E139" s="621">
        <f t="shared" si="74"/>
        <v>0</v>
      </c>
      <c r="F139" s="621">
        <f>'Future Fund  Inc Exp Statement'!F139+'Gen Fund  Inc Exp Statement'!F143</f>
        <v>10000</v>
      </c>
      <c r="G139" s="621">
        <f>'Future Fund  Inc Exp Statement'!G139+'Gen Fund  Inc Exp Statement'!G143</f>
        <v>0</v>
      </c>
      <c r="H139" s="621">
        <f>'Future Fund  Inc Exp Statement'!H139+'Gen Fund  Inc Exp Statement'!H143</f>
        <v>10500</v>
      </c>
      <c r="I139" s="621">
        <f>'Future Fund  Inc Exp Statement'!I139+'Gen Fund  Inc Exp Statement'!I143</f>
        <v>11000</v>
      </c>
      <c r="J139" s="621">
        <f>'Future Fund  Inc Exp Statement'!J139+'Gen Fund  Inc Exp Statement'!J143</f>
        <v>0</v>
      </c>
      <c r="K139" s="621">
        <f>'Future Fund  Inc Exp Statement'!K139+'Gen Fund  Inc Exp Statement'!K143</f>
        <v>0</v>
      </c>
      <c r="L139" s="621">
        <f>'Future Fund  Inc Exp Statement'!L139+'Gen Fund  Inc Exp Statement'!L143</f>
        <v>0</v>
      </c>
      <c r="M139" s="621">
        <f>'Future Fund  Inc Exp Statement'!M139+'Gen Fund  Inc Exp Statement'!M143</f>
        <v>0</v>
      </c>
      <c r="N139" s="621">
        <f>'Future Fund  Inc Exp Statement'!N139+'Gen Fund  Inc Exp Statement'!N143</f>
        <v>0</v>
      </c>
      <c r="O139" s="621">
        <f>'Future Fund  Inc Exp Statement'!O139+'Gen Fund  Inc Exp Statement'!O143</f>
        <v>0</v>
      </c>
      <c r="P139" s="621">
        <f>'Future Fund  Inc Exp Statement'!P139+'Gen Fund  Inc Exp Statement'!P143</f>
        <v>0</v>
      </c>
      <c r="Q139" s="603" t="s">
        <v>1315</v>
      </c>
      <c r="R139" s="603"/>
    </row>
    <row r="140" spans="1:28" ht="11.25" hidden="1" outlineLevel="1" x14ac:dyDescent="0.2">
      <c r="A140" s="604" t="s">
        <v>1344</v>
      </c>
      <c r="B140" s="621"/>
      <c r="C140" s="621"/>
      <c r="D140" s="621"/>
      <c r="E140" s="621">
        <f t="shared" si="74"/>
        <v>0</v>
      </c>
      <c r="F140" s="621">
        <f>'Future Fund  Inc Exp Statement'!F140+'Gen Fund  Inc Exp Statement'!F144</f>
        <v>70</v>
      </c>
      <c r="G140" s="621">
        <f>'Future Fund  Inc Exp Statement'!G140+'Gen Fund  Inc Exp Statement'!G144</f>
        <v>70</v>
      </c>
      <c r="H140" s="621">
        <f>'Future Fund  Inc Exp Statement'!H140+'Gen Fund  Inc Exp Statement'!H144</f>
        <v>1570</v>
      </c>
      <c r="I140" s="621">
        <f>'Future Fund  Inc Exp Statement'!I140+'Gen Fund  Inc Exp Statement'!I144</f>
        <v>70</v>
      </c>
      <c r="J140" s="621">
        <f>'Future Fund  Inc Exp Statement'!J140+'Gen Fund  Inc Exp Statement'!J144</f>
        <v>70</v>
      </c>
      <c r="K140" s="621">
        <f>'Future Fund  Inc Exp Statement'!K140+'Gen Fund  Inc Exp Statement'!K144</f>
        <v>71.400000000000006</v>
      </c>
      <c r="L140" s="621">
        <f>'Future Fund  Inc Exp Statement'!L140+'Gen Fund  Inc Exp Statement'!L144</f>
        <v>72.828000000000003</v>
      </c>
      <c r="M140" s="621">
        <f>'Future Fund  Inc Exp Statement'!M140+'Gen Fund  Inc Exp Statement'!M144</f>
        <v>74.284559999999999</v>
      </c>
      <c r="N140" s="621">
        <f>'Future Fund  Inc Exp Statement'!N140+'Gen Fund  Inc Exp Statement'!N144</f>
        <v>75.770251200000004</v>
      </c>
      <c r="O140" s="621">
        <f>'Future Fund  Inc Exp Statement'!O140+'Gen Fund  Inc Exp Statement'!O144</f>
        <v>77.285656224000007</v>
      </c>
      <c r="P140" s="621">
        <f>'Future Fund  Inc Exp Statement'!P140+'Gen Fund  Inc Exp Statement'!P144</f>
        <v>78.831369348479996</v>
      </c>
    </row>
    <row r="141" spans="1:28" ht="11.25" hidden="1" outlineLevel="1" x14ac:dyDescent="0.2">
      <c r="A141" s="604"/>
      <c r="B141" s="621"/>
      <c r="C141" s="621"/>
      <c r="D141" s="771">
        <f t="shared" ref="D141:P141" si="75">SUM(D133:D140)</f>
        <v>0</v>
      </c>
      <c r="E141" s="771">
        <f t="shared" si="75"/>
        <v>7182</v>
      </c>
      <c r="F141" s="771">
        <f t="shared" si="75"/>
        <v>23771.591</v>
      </c>
      <c r="G141" s="771">
        <f t="shared" si="75"/>
        <v>13065.402</v>
      </c>
      <c r="H141" s="771">
        <f t="shared" si="75"/>
        <v>36048.966180000003</v>
      </c>
      <c r="I141" s="771">
        <f t="shared" si="75"/>
        <v>28330.92466895</v>
      </c>
      <c r="J141" s="771">
        <f t="shared" si="75"/>
        <v>13397.460560613248</v>
      </c>
      <c r="K141" s="771">
        <f t="shared" si="75"/>
        <v>14845.88240796541</v>
      </c>
      <c r="L141" s="771">
        <f t="shared" si="75"/>
        <v>15209.375418668107</v>
      </c>
      <c r="M141" s="771">
        <f t="shared" si="75"/>
        <v>15581.998665487448</v>
      </c>
      <c r="N141" s="771">
        <f t="shared" si="75"/>
        <v>15963.988964752054</v>
      </c>
      <c r="O141" s="771">
        <f t="shared" si="75"/>
        <v>16355.589528371689</v>
      </c>
      <c r="P141" s="771">
        <f t="shared" si="75"/>
        <v>16757.050145265093</v>
      </c>
    </row>
    <row r="142" spans="1:28" ht="11.25" hidden="1" outlineLevel="1" x14ac:dyDescent="0.2">
      <c r="A142" s="599"/>
      <c r="B142" s="621"/>
      <c r="C142" s="621"/>
      <c r="D142" s="622"/>
      <c r="E142" s="622"/>
      <c r="F142" s="622"/>
      <c r="G142" s="622"/>
      <c r="H142" s="622"/>
      <c r="I142" s="622"/>
      <c r="J142" s="624"/>
      <c r="K142" s="624"/>
      <c r="L142" s="624"/>
      <c r="M142" s="624"/>
      <c r="N142" s="624"/>
      <c r="O142" s="624"/>
      <c r="P142" s="624"/>
    </row>
    <row r="143" spans="1:28" ht="11.25" hidden="1" outlineLevel="1" x14ac:dyDescent="0.2">
      <c r="A143" s="604"/>
      <c r="B143" s="621"/>
      <c r="C143" s="621"/>
      <c r="D143" s="621"/>
      <c r="E143" s="621"/>
      <c r="F143" s="621"/>
      <c r="G143" s="621"/>
      <c r="H143" s="621"/>
      <c r="I143" s="621"/>
      <c r="J143" s="621"/>
      <c r="K143" s="621"/>
      <c r="L143" s="621"/>
      <c r="M143" s="621"/>
      <c r="N143" s="621"/>
      <c r="O143" s="621"/>
      <c r="P143" s="621"/>
    </row>
    <row r="144" spans="1:28" ht="11.25" hidden="1" outlineLevel="1" x14ac:dyDescent="0.2">
      <c r="A144" s="604" t="s">
        <v>34</v>
      </c>
      <c r="B144" s="621">
        <f>+B113+SUM(B126:B143)</f>
        <v>0</v>
      </c>
      <c r="C144" s="621">
        <f>+C113+SUM(C126:C143)</f>
        <v>0</v>
      </c>
      <c r="D144" s="625">
        <f>D141-D131</f>
        <v>0</v>
      </c>
      <c r="E144" s="625">
        <f t="shared" ref="E144:P144" si="76">E141-E131</f>
        <v>7182</v>
      </c>
      <c r="F144" s="625">
        <f t="shared" si="76"/>
        <v>30</v>
      </c>
      <c r="G144" s="625">
        <f t="shared" si="76"/>
        <v>-129.53399999999965</v>
      </c>
      <c r="H144" s="625">
        <f t="shared" si="76"/>
        <v>204.21536999999807</v>
      </c>
      <c r="I144" s="625">
        <f t="shared" si="76"/>
        <v>260.17888365000181</v>
      </c>
      <c r="J144" s="625">
        <f t="shared" si="76"/>
        <v>-932.11728627075172</v>
      </c>
      <c r="K144" s="625">
        <f t="shared" si="76"/>
        <v>989.52791711935424</v>
      </c>
      <c r="L144" s="625">
        <f t="shared" si="76"/>
        <v>126.27082730514849</v>
      </c>
      <c r="M144" s="625">
        <f t="shared" si="76"/>
        <v>-752.80059567025637</v>
      </c>
      <c r="N144" s="625">
        <f t="shared" si="76"/>
        <v>-218.49316604547494</v>
      </c>
      <c r="O144" s="625">
        <f t="shared" si="76"/>
        <v>-162.60829356887552</v>
      </c>
      <c r="P144" s="625">
        <f t="shared" si="76"/>
        <v>-100.94182485455167</v>
      </c>
    </row>
    <row r="145" spans="1:16" ht="11.25" hidden="1" outlineLevel="1" x14ac:dyDescent="0.2">
      <c r="A145" s="600" t="s">
        <v>451</v>
      </c>
      <c r="C145" s="606">
        <f>B146</f>
        <v>0</v>
      </c>
      <c r="D145" s="606">
        <f t="shared" ref="D145" si="77">C146</f>
        <v>0</v>
      </c>
      <c r="E145" s="606">
        <f t="shared" ref="E145" si="78">D146</f>
        <v>0</v>
      </c>
      <c r="F145" s="606">
        <v>0</v>
      </c>
      <c r="G145" s="606">
        <f t="shared" ref="G145" si="79">F146</f>
        <v>30</v>
      </c>
      <c r="H145" s="606">
        <f t="shared" ref="H145" si="80">G146</f>
        <v>-99.533999999999651</v>
      </c>
      <c r="I145" s="606">
        <f t="shared" ref="I145" si="81">H146</f>
        <v>104.68136999999842</v>
      </c>
      <c r="J145" s="606">
        <f t="shared" ref="J145" si="82">I146</f>
        <v>364.86025365000023</v>
      </c>
      <c r="K145" s="606">
        <f t="shared" ref="K145" si="83">J146</f>
        <v>-567.25703262075149</v>
      </c>
      <c r="L145" s="606">
        <f t="shared" ref="L145" si="84">K146</f>
        <v>422.27088449860275</v>
      </c>
      <c r="M145" s="606">
        <f t="shared" ref="M145" si="85">L146</f>
        <v>548.54171180375124</v>
      </c>
      <c r="N145" s="606">
        <f t="shared" ref="N145" si="86">M146</f>
        <v>-204.25888386650513</v>
      </c>
      <c r="O145" s="606">
        <f t="shared" ref="O145" si="87">N146</f>
        <v>-422.75204991198007</v>
      </c>
      <c r="P145" s="606">
        <f t="shared" ref="P145" si="88">O146</f>
        <v>-585.36034348085559</v>
      </c>
    </row>
    <row r="146" spans="1:16" ht="11.25" hidden="1" outlineLevel="1" x14ac:dyDescent="0.2">
      <c r="A146" s="620" t="s">
        <v>452</v>
      </c>
      <c r="B146" s="626"/>
      <c r="C146" s="627">
        <f>SUM(C144:C145)</f>
        <v>0</v>
      </c>
      <c r="D146" s="627">
        <f t="shared" ref="D146:P146" si="89">SUM(D144:D145)</f>
        <v>0</v>
      </c>
      <c r="E146" s="627">
        <f t="shared" si="89"/>
        <v>7182</v>
      </c>
      <c r="F146" s="627">
        <f t="shared" si="89"/>
        <v>30</v>
      </c>
      <c r="G146" s="627">
        <f t="shared" si="89"/>
        <v>-99.533999999999651</v>
      </c>
      <c r="H146" s="627">
        <f t="shared" si="89"/>
        <v>104.68136999999842</v>
      </c>
      <c r="I146" s="627">
        <f t="shared" si="89"/>
        <v>364.86025365000023</v>
      </c>
      <c r="J146" s="627">
        <f t="shared" si="89"/>
        <v>-567.25703262075149</v>
      </c>
      <c r="K146" s="627">
        <f t="shared" si="89"/>
        <v>422.27088449860275</v>
      </c>
      <c r="L146" s="627">
        <f t="shared" si="89"/>
        <v>548.54171180375124</v>
      </c>
      <c r="M146" s="627">
        <f t="shared" si="89"/>
        <v>-204.25888386650513</v>
      </c>
      <c r="N146" s="627">
        <f t="shared" si="89"/>
        <v>-422.75204991198007</v>
      </c>
      <c r="O146" s="627">
        <f t="shared" si="89"/>
        <v>-585.36034348085559</v>
      </c>
      <c r="P146" s="627">
        <f t="shared" si="89"/>
        <v>-686.30216833540726</v>
      </c>
    </row>
    <row r="147" spans="1:16" ht="11.25" hidden="1" outlineLevel="1" x14ac:dyDescent="0.2">
      <c r="A147" s="620"/>
      <c r="B147" s="626"/>
      <c r="C147" s="627"/>
      <c r="D147" s="627"/>
      <c r="E147" s="627"/>
      <c r="F147" s="627"/>
      <c r="G147" s="627"/>
      <c r="H147" s="627"/>
      <c r="I147" s="627"/>
      <c r="J147" s="627"/>
      <c r="K147" s="627"/>
      <c r="L147" s="627"/>
      <c r="M147" s="627"/>
      <c r="N147" s="627"/>
      <c r="O147" s="627"/>
      <c r="P147" s="627"/>
    </row>
    <row r="148" spans="1:16" ht="13.8" collapsed="1" x14ac:dyDescent="0.3">
      <c r="A148" s="1091" t="s">
        <v>1365</v>
      </c>
    </row>
    <row r="149" spans="1:16" ht="12" x14ac:dyDescent="0.25">
      <c r="A149" s="635" t="s">
        <v>1066</v>
      </c>
      <c r="B149" s="586" t="s">
        <v>69</v>
      </c>
      <c r="C149" s="586" t="s">
        <v>69</v>
      </c>
      <c r="D149" s="586" t="s">
        <v>69</v>
      </c>
      <c r="E149" s="586" t="s">
        <v>69</v>
      </c>
      <c r="F149" s="586" t="s">
        <v>70</v>
      </c>
      <c r="G149" s="586" t="s">
        <v>70</v>
      </c>
      <c r="H149" s="586" t="s">
        <v>71</v>
      </c>
      <c r="I149" s="586" t="s">
        <v>71</v>
      </c>
      <c r="J149" s="586" t="s">
        <v>71</v>
      </c>
      <c r="K149" s="586" t="s">
        <v>71</v>
      </c>
      <c r="L149" s="586" t="s">
        <v>71</v>
      </c>
      <c r="M149" s="586" t="s">
        <v>71</v>
      </c>
      <c r="N149" s="586" t="s">
        <v>71</v>
      </c>
      <c r="O149" s="586" t="s">
        <v>71</v>
      </c>
      <c r="P149" s="586" t="s">
        <v>71</v>
      </c>
    </row>
    <row r="150" spans="1:16" x14ac:dyDescent="0.2">
      <c r="A150" s="598" t="s">
        <v>73</v>
      </c>
      <c r="B150" s="741" t="s">
        <v>68</v>
      </c>
      <c r="C150" s="694" t="s">
        <v>0</v>
      </c>
      <c r="D150" s="694" t="s">
        <v>1</v>
      </c>
      <c r="E150" s="694" t="s">
        <v>2</v>
      </c>
      <c r="F150" s="694" t="s">
        <v>3</v>
      </c>
      <c r="G150" s="694" t="s">
        <v>4</v>
      </c>
      <c r="H150" s="694" t="s">
        <v>5</v>
      </c>
      <c r="I150" s="694" t="s">
        <v>6</v>
      </c>
      <c r="J150" s="694" t="s">
        <v>7</v>
      </c>
      <c r="K150" s="694" t="s">
        <v>8</v>
      </c>
      <c r="L150" s="694" t="s">
        <v>9</v>
      </c>
      <c r="M150" s="694" t="s">
        <v>514</v>
      </c>
      <c r="N150" s="694" t="s">
        <v>515</v>
      </c>
      <c r="O150" s="694" t="s">
        <v>904</v>
      </c>
      <c r="P150" s="694" t="s">
        <v>1046</v>
      </c>
    </row>
    <row r="151" spans="1:16" x14ac:dyDescent="0.2">
      <c r="A151" s="604" t="s">
        <v>61</v>
      </c>
    </row>
    <row r="152" spans="1:16" x14ac:dyDescent="0.2">
      <c r="A152" s="607" t="s">
        <v>62</v>
      </c>
    </row>
    <row r="153" spans="1:16" x14ac:dyDescent="0.2">
      <c r="A153" s="600" t="s">
        <v>11</v>
      </c>
      <c r="B153" s="606">
        <f t="shared" ref="B153:C158" si="90">+B11</f>
        <v>0</v>
      </c>
      <c r="C153" s="606">
        <f t="shared" si="90"/>
        <v>0</v>
      </c>
      <c r="D153" s="606">
        <f t="shared" ref="D153:E158" si="91">D84</f>
        <v>0</v>
      </c>
      <c r="E153" s="606">
        <f t="shared" si="91"/>
        <v>13690</v>
      </c>
      <c r="F153" s="606">
        <f>'Future Fund  Inc Exp Statement'!F153+'Gen Fund  Inc Exp Statement'!F157</f>
        <v>14450.315000000001</v>
      </c>
      <c r="G153" s="606">
        <f>'Future Fund  Inc Exp Statement'!G153+'Gen Fund  Inc Exp Statement'!G157</f>
        <v>16122.328500000001</v>
      </c>
      <c r="H153" s="606">
        <f>'Future Fund  Inc Exp Statement'!H153+'Gen Fund  Inc Exp Statement'!H157</f>
        <v>16449.500283500001</v>
      </c>
      <c r="I153" s="606">
        <f>'Future Fund  Inc Exp Statement'!I153+'Gen Fund  Inc Exp Statement'!I157</f>
        <v>17827.920834337499</v>
      </c>
      <c r="J153" s="606">
        <f>'Future Fund  Inc Exp Statement'!J153+'Gen Fund  Inc Exp Statement'!J157</f>
        <v>18677.443530195935</v>
      </c>
      <c r="K153" s="606">
        <f>'Future Fund  Inc Exp Statement'!K153+'Gen Fund  Inc Exp Statement'!K157</f>
        <v>18584.194576458645</v>
      </c>
      <c r="L153" s="606">
        <f>'Future Fund  Inc Exp Statement'!L153+'Gen Fund  Inc Exp Statement'!L157</f>
        <v>19048.799440870109</v>
      </c>
      <c r="M153" s="606">
        <f>'Future Fund  Inc Exp Statement'!M153+'Gen Fund  Inc Exp Statement'!M157</f>
        <v>19125.360105834112</v>
      </c>
      <c r="N153" s="606">
        <f>'Future Fund  Inc Exp Statement'!N153+'Gen Fund  Inc Exp Statement'!N157</f>
        <v>19603.494108479965</v>
      </c>
      <c r="O153" s="606">
        <f>'Future Fund  Inc Exp Statement'!O153+'Gen Fund  Inc Exp Statement'!O157</f>
        <v>18795.068573170767</v>
      </c>
      <c r="P153" s="606">
        <f>'Future Fund  Inc Exp Statement'!P153+'Gen Fund  Inc Exp Statement'!P157</f>
        <v>17257.126597965384</v>
      </c>
    </row>
    <row r="154" spans="1:16" x14ac:dyDescent="0.2">
      <c r="A154" s="600" t="s">
        <v>12</v>
      </c>
      <c r="B154" s="606">
        <f t="shared" si="90"/>
        <v>0</v>
      </c>
      <c r="C154" s="606">
        <f t="shared" si="90"/>
        <v>0</v>
      </c>
      <c r="D154" s="606">
        <f t="shared" si="91"/>
        <v>0</v>
      </c>
      <c r="E154" s="606">
        <f t="shared" si="91"/>
        <v>7643</v>
      </c>
      <c r="F154" s="606">
        <f>'Future Fund  Inc Exp Statement'!F154+'Gen Fund  Inc Exp Statement'!F158</f>
        <v>9486.969000000001</v>
      </c>
      <c r="G154" s="606">
        <f>'Future Fund  Inc Exp Statement'!G154+'Gen Fund  Inc Exp Statement'!G158</f>
        <v>9897.5250000000015</v>
      </c>
      <c r="H154" s="606">
        <f>'Future Fund  Inc Exp Statement'!H154+'Gen Fund  Inc Exp Statement'!H158</f>
        <v>9797.2430000000004</v>
      </c>
      <c r="I154" s="606">
        <f>'Future Fund  Inc Exp Statement'!I154+'Gen Fund  Inc Exp Statement'!I158</f>
        <v>10156.66</v>
      </c>
      <c r="J154" s="606">
        <f>'Future Fund  Inc Exp Statement'!J154+'Gen Fund  Inc Exp Statement'!J158</f>
        <v>10598.714</v>
      </c>
      <c r="K154" s="606">
        <f>'Future Fund  Inc Exp Statement'!K154+'Gen Fund  Inc Exp Statement'!K158</f>
        <v>10810.68828</v>
      </c>
      <c r="L154" s="606">
        <f>'Future Fund  Inc Exp Statement'!L154+'Gen Fund  Inc Exp Statement'!L158</f>
        <v>11026.9020456</v>
      </c>
      <c r="M154" s="606">
        <f>'Future Fund  Inc Exp Statement'!M154+'Gen Fund  Inc Exp Statement'!M158</f>
        <v>11247.440086512001</v>
      </c>
      <c r="N154" s="606">
        <f>'Future Fund  Inc Exp Statement'!N154+'Gen Fund  Inc Exp Statement'!N158</f>
        <v>11472.38888824224</v>
      </c>
      <c r="O154" s="606">
        <f>'Future Fund  Inc Exp Statement'!O154+'Gen Fund  Inc Exp Statement'!O158</f>
        <v>11701.836666007086</v>
      </c>
      <c r="P154" s="606">
        <f>'Future Fund  Inc Exp Statement'!P154+'Gen Fund  Inc Exp Statement'!P158</f>
        <v>11935.873399327229</v>
      </c>
    </row>
    <row r="155" spans="1:16" x14ac:dyDescent="0.2">
      <c r="A155" s="600" t="s">
        <v>13</v>
      </c>
      <c r="B155" s="606">
        <f t="shared" si="90"/>
        <v>0</v>
      </c>
      <c r="C155" s="606">
        <f t="shared" si="90"/>
        <v>0</v>
      </c>
      <c r="D155" s="606">
        <f t="shared" si="91"/>
        <v>0</v>
      </c>
      <c r="E155" s="606">
        <f t="shared" si="91"/>
        <v>1053</v>
      </c>
      <c r="F155" s="606">
        <f>'Future Fund  Inc Exp Statement'!F155+'Gen Fund  Inc Exp Statement'!F159</f>
        <v>931.5</v>
      </c>
      <c r="G155" s="606">
        <f>'Future Fund  Inc Exp Statement'!G155+'Gen Fund  Inc Exp Statement'!G159</f>
        <v>938.20899999999995</v>
      </c>
      <c r="H155" s="606">
        <f>'Future Fund  Inc Exp Statement'!H155+'Gen Fund  Inc Exp Statement'!H159</f>
        <v>947.19299999999998</v>
      </c>
      <c r="I155" s="606">
        <f>'Future Fund  Inc Exp Statement'!I155+'Gen Fund  Inc Exp Statement'!I159</f>
        <v>956.88900000000001</v>
      </c>
      <c r="J155" s="606">
        <f>'Future Fund  Inc Exp Statement'!J155+'Gen Fund  Inc Exp Statement'!J159</f>
        <v>965.43299999999999</v>
      </c>
      <c r="K155" s="606">
        <f>'Future Fund  Inc Exp Statement'!K155+'Gen Fund  Inc Exp Statement'!K159</f>
        <v>879.29486664369801</v>
      </c>
      <c r="L155" s="606">
        <f>'Future Fund  Inc Exp Statement'!L155+'Gen Fund  Inc Exp Statement'!L159</f>
        <v>908.81266794835881</v>
      </c>
      <c r="M155" s="606">
        <f>'Future Fund  Inc Exp Statement'!M155+'Gen Fund  Inc Exp Statement'!M159</f>
        <v>943.02786427007584</v>
      </c>
      <c r="N155" s="606">
        <f>'Future Fund  Inc Exp Statement'!N155+'Gen Fund  Inc Exp Statement'!N159</f>
        <v>966.1976963611213</v>
      </c>
      <c r="O155" s="606">
        <f>'Future Fund  Inc Exp Statement'!O155+'Gen Fund  Inc Exp Statement'!O159</f>
        <v>993.523037582896</v>
      </c>
      <c r="P155" s="606">
        <f>'Future Fund  Inc Exp Statement'!P155+'Gen Fund  Inc Exp Statement'!P159</f>
        <v>973.27580415601676</v>
      </c>
    </row>
    <row r="156" spans="1:16" x14ac:dyDescent="0.2">
      <c r="A156" s="600" t="s">
        <v>14</v>
      </c>
      <c r="B156" s="606">
        <f t="shared" si="90"/>
        <v>0</v>
      </c>
      <c r="C156" s="606">
        <f t="shared" si="90"/>
        <v>0</v>
      </c>
      <c r="D156" s="606">
        <f t="shared" si="91"/>
        <v>0</v>
      </c>
      <c r="E156" s="606">
        <f t="shared" si="91"/>
        <v>1018</v>
      </c>
      <c r="F156" s="606">
        <f>'Future Fund  Inc Exp Statement'!F156+'Gen Fund  Inc Exp Statement'!F160</f>
        <v>2424.5369999999998</v>
      </c>
      <c r="G156" s="606">
        <f>'Future Fund  Inc Exp Statement'!G156+'Gen Fund  Inc Exp Statement'!G160</f>
        <v>2409.788</v>
      </c>
      <c r="H156" s="606">
        <f>'Future Fund  Inc Exp Statement'!H156+'Gen Fund  Inc Exp Statement'!H160</f>
        <v>2463.8040000000001</v>
      </c>
      <c r="I156" s="606">
        <f>'Future Fund  Inc Exp Statement'!I156+'Gen Fund  Inc Exp Statement'!I160</f>
        <v>2520.3789999999999</v>
      </c>
      <c r="J156" s="606">
        <f>'Future Fund  Inc Exp Statement'!J156+'Gen Fund  Inc Exp Statement'!J160</f>
        <v>2578.0160000000001</v>
      </c>
      <c r="K156" s="606">
        <f>'Future Fund  Inc Exp Statement'!K156+'Gen Fund  Inc Exp Statement'!K160</f>
        <v>2629.5763200000001</v>
      </c>
      <c r="L156" s="606">
        <f>'Future Fund  Inc Exp Statement'!L156+'Gen Fund  Inc Exp Statement'!L160</f>
        <v>2682.1678464000001</v>
      </c>
      <c r="M156" s="606">
        <f>'Future Fund  Inc Exp Statement'!M156+'Gen Fund  Inc Exp Statement'!M160</f>
        <v>2735.8112033280004</v>
      </c>
      <c r="N156" s="606">
        <f>'Future Fund  Inc Exp Statement'!N156+'Gen Fund  Inc Exp Statement'!N160</f>
        <v>2790.5274273945606</v>
      </c>
      <c r="O156" s="606">
        <f>'Future Fund  Inc Exp Statement'!O156+'Gen Fund  Inc Exp Statement'!O160</f>
        <v>2846.337975942452</v>
      </c>
      <c r="P156" s="606">
        <f>'Future Fund  Inc Exp Statement'!P156+'Gen Fund  Inc Exp Statement'!P160</f>
        <v>2903.2647354613009</v>
      </c>
    </row>
    <row r="157" spans="1:16" ht="20.399999999999999" x14ac:dyDescent="0.2">
      <c r="A157" s="600" t="s">
        <v>15</v>
      </c>
      <c r="B157" s="606">
        <f t="shared" si="90"/>
        <v>0</v>
      </c>
      <c r="C157" s="606">
        <f t="shared" si="90"/>
        <v>0</v>
      </c>
      <c r="D157" s="606">
        <f t="shared" si="91"/>
        <v>0</v>
      </c>
      <c r="E157" s="606">
        <f t="shared" si="91"/>
        <v>8953</v>
      </c>
      <c r="F157" s="606">
        <f>'Future Fund  Inc Exp Statement'!F157+'Gen Fund  Inc Exp Statement'!F161</f>
        <v>6174.7439999999997</v>
      </c>
      <c r="G157" s="606">
        <f>'Future Fund  Inc Exp Statement'!G157+'Gen Fund  Inc Exp Statement'!G161</f>
        <v>5450.8890000000001</v>
      </c>
      <c r="H157" s="606">
        <f>'Future Fund  Inc Exp Statement'!H157+'Gen Fund  Inc Exp Statement'!H161</f>
        <v>5547.3509999999997</v>
      </c>
      <c r="I157" s="606">
        <f>'Future Fund  Inc Exp Statement'!I157+'Gen Fund  Inc Exp Statement'!I161</f>
        <v>5643.5889999999999</v>
      </c>
      <c r="J157" s="606">
        <f>'Future Fund  Inc Exp Statement'!J157+'Gen Fund  Inc Exp Statement'!J161</f>
        <v>5741.7657600000002</v>
      </c>
      <c r="K157" s="606">
        <f>'Future Fund  Inc Exp Statement'!K157+'Gen Fund  Inc Exp Statement'!K161</f>
        <v>5885.3099039999997</v>
      </c>
      <c r="L157" s="606">
        <f>'Future Fund  Inc Exp Statement'!L157+'Gen Fund  Inc Exp Statement'!L161</f>
        <v>6032.4426515999994</v>
      </c>
      <c r="M157" s="606">
        <f>'Future Fund  Inc Exp Statement'!M157+'Gen Fund  Inc Exp Statement'!M161</f>
        <v>6183.2537178899993</v>
      </c>
      <c r="N157" s="606">
        <f>'Future Fund  Inc Exp Statement'!N157+'Gen Fund  Inc Exp Statement'!N161</f>
        <v>6337.8350608372484</v>
      </c>
      <c r="O157" s="606">
        <f>'Future Fund  Inc Exp Statement'!O157+'Gen Fund  Inc Exp Statement'!O161</f>
        <v>6496.2809373581795</v>
      </c>
      <c r="P157" s="606">
        <f>'Future Fund  Inc Exp Statement'!P157+'Gen Fund  Inc Exp Statement'!P161</f>
        <v>6658.6879607921337</v>
      </c>
    </row>
    <row r="158" spans="1:16" ht="20.399999999999999" x14ac:dyDescent="0.2">
      <c r="A158" s="600" t="s">
        <v>18</v>
      </c>
      <c r="B158" s="606">
        <f t="shared" si="90"/>
        <v>0</v>
      </c>
      <c r="C158" s="606">
        <f t="shared" si="90"/>
        <v>0</v>
      </c>
      <c r="D158" s="606">
        <f t="shared" si="91"/>
        <v>0</v>
      </c>
      <c r="E158" s="606">
        <f t="shared" si="91"/>
        <v>14459</v>
      </c>
      <c r="F158" s="606">
        <f>'Future Fund  Inc Exp Statement'!F158+'Gen Fund  Inc Exp Statement'!F162</f>
        <v>2898.0070000000001</v>
      </c>
      <c r="G158" s="606">
        <f>'Future Fund  Inc Exp Statement'!G158+'Gen Fund  Inc Exp Statement'!G162</f>
        <v>3787.9670000000001</v>
      </c>
      <c r="H158" s="606">
        <f>'Future Fund  Inc Exp Statement'!H158+'Gen Fund  Inc Exp Statement'!H162</f>
        <v>3844.3710099999998</v>
      </c>
      <c r="I158" s="606">
        <f>'Future Fund  Inc Exp Statement'!I158+'Gen Fund  Inc Exp Statement'!I162</f>
        <v>7402.4590152999999</v>
      </c>
      <c r="J158" s="606">
        <f>'Future Fund  Inc Exp Statement'!J158+'Gen Fund  Inc Exp Statement'!J162</f>
        <v>3962.2813326340001</v>
      </c>
      <c r="K158" s="606">
        <f>'Future Fund  Inc Exp Statement'!K158+'Gen Fund  Inc Exp Statement'!K162</f>
        <v>4041.5269592866807</v>
      </c>
      <c r="L158" s="606">
        <f>'Future Fund  Inc Exp Statement'!L158+'Gen Fund  Inc Exp Statement'!L162</f>
        <v>4122.3574984724137</v>
      </c>
      <c r="M158" s="606">
        <f>'Future Fund  Inc Exp Statement'!M158+'Gen Fund  Inc Exp Statement'!M162</f>
        <v>4204.8046484418628</v>
      </c>
      <c r="N158" s="606">
        <f>'Future Fund  Inc Exp Statement'!N158+'Gen Fund  Inc Exp Statement'!N162</f>
        <v>4288.9007414107</v>
      </c>
      <c r="O158" s="606">
        <f>'Future Fund  Inc Exp Statement'!O158+'Gen Fund  Inc Exp Statement'!O162</f>
        <v>4374.6787562389136</v>
      </c>
      <c r="P158" s="606">
        <f>'Future Fund  Inc Exp Statement'!P158+'Gen Fund  Inc Exp Statement'!P162</f>
        <v>4462.1723313636921</v>
      </c>
    </row>
    <row r="159" spans="1:16" x14ac:dyDescent="0.2">
      <c r="A159" s="1149" t="s">
        <v>1180</v>
      </c>
      <c r="B159" s="606"/>
      <c r="C159" s="606"/>
      <c r="D159" s="606"/>
      <c r="E159" s="606"/>
      <c r="F159" s="606">
        <f>'Future Fund  Inc Exp Statement'!F159+'Gen Fund  Inc Exp Statement'!F163</f>
        <v>4783.3530000000001</v>
      </c>
      <c r="G159" s="606">
        <f>'Future Fund  Inc Exp Statement'!G159+'Gen Fund  Inc Exp Statement'!G163</f>
        <v>5059.8519999999999</v>
      </c>
      <c r="H159" s="606">
        <f>'Future Fund  Inc Exp Statement'!H159+'Gen Fund  Inc Exp Statement'!H163</f>
        <v>5239.6229999999996</v>
      </c>
      <c r="I159" s="606">
        <f>'Future Fund  Inc Exp Statement'!I159+'Gen Fund  Inc Exp Statement'!I163</f>
        <v>5419.1779999999999</v>
      </c>
      <c r="J159" s="606">
        <f>'Future Fund  Inc Exp Statement'!J159+'Gen Fund  Inc Exp Statement'!J163</f>
        <v>5456.5190000000002</v>
      </c>
      <c r="K159" s="606">
        <f>'Future Fund  Inc Exp Statement'!K159+'Gen Fund  Inc Exp Statement'!K163</f>
        <v>5565.6493800000007</v>
      </c>
      <c r="L159" s="606">
        <f>'Future Fund  Inc Exp Statement'!L159+'Gen Fund  Inc Exp Statement'!L163</f>
        <v>5676.962367600001</v>
      </c>
      <c r="M159" s="606">
        <f>'Future Fund  Inc Exp Statement'!M159+'Gen Fund  Inc Exp Statement'!M163</f>
        <v>5790.5016149520015</v>
      </c>
      <c r="N159" s="606">
        <f>'Future Fund  Inc Exp Statement'!N159+'Gen Fund  Inc Exp Statement'!N163</f>
        <v>5906.3116472510419</v>
      </c>
      <c r="O159" s="606">
        <f>'Future Fund  Inc Exp Statement'!O159+'Gen Fund  Inc Exp Statement'!O163</f>
        <v>6024.4378801960629</v>
      </c>
      <c r="P159" s="606">
        <f>'Future Fund  Inc Exp Statement'!P159+'Gen Fund  Inc Exp Statement'!P163</f>
        <v>6144.9266377999838</v>
      </c>
    </row>
    <row r="160" spans="1:16" x14ac:dyDescent="0.2">
      <c r="A160" s="607" t="s">
        <v>63</v>
      </c>
      <c r="B160" s="606"/>
      <c r="C160" s="606"/>
      <c r="D160" s="606">
        <f t="shared" ref="D160:E162" si="92">D91</f>
        <v>0</v>
      </c>
      <c r="E160" s="606">
        <f t="shared" si="92"/>
        <v>0</v>
      </c>
      <c r="F160" s="606">
        <f>'Future Fund  Inc Exp Statement'!F160+'Gen Fund  Inc Exp Statement'!F164</f>
        <v>0</v>
      </c>
      <c r="G160" s="606">
        <f>'Future Fund  Inc Exp Statement'!G160+'Gen Fund  Inc Exp Statement'!G164</f>
        <v>0</v>
      </c>
      <c r="H160" s="606">
        <f>'Future Fund  Inc Exp Statement'!H160+'Gen Fund  Inc Exp Statement'!H164</f>
        <v>0</v>
      </c>
      <c r="I160" s="606">
        <f>'Future Fund  Inc Exp Statement'!I160+'Gen Fund  Inc Exp Statement'!I164</f>
        <v>0</v>
      </c>
      <c r="J160" s="606">
        <f>'Future Fund  Inc Exp Statement'!J160+'Gen Fund  Inc Exp Statement'!J164</f>
        <v>0</v>
      </c>
      <c r="K160" s="606">
        <f>'Future Fund  Inc Exp Statement'!K160+'Gen Fund  Inc Exp Statement'!K164</f>
        <v>0</v>
      </c>
      <c r="L160" s="606">
        <f>'Future Fund  Inc Exp Statement'!L160+'Gen Fund  Inc Exp Statement'!L164</f>
        <v>0</v>
      </c>
      <c r="M160" s="606">
        <f>'Future Fund  Inc Exp Statement'!M160+'Gen Fund  Inc Exp Statement'!M164</f>
        <v>0</v>
      </c>
      <c r="N160" s="606">
        <f>'Future Fund  Inc Exp Statement'!N160+'Gen Fund  Inc Exp Statement'!N164</f>
        <v>0</v>
      </c>
      <c r="O160" s="606">
        <f>'Future Fund  Inc Exp Statement'!O160+'Gen Fund  Inc Exp Statement'!O164</f>
        <v>0</v>
      </c>
      <c r="P160" s="606">
        <f>'Future Fund  Inc Exp Statement'!P160+'Gen Fund  Inc Exp Statement'!P164</f>
        <v>0</v>
      </c>
    </row>
    <row r="161" spans="1:17" x14ac:dyDescent="0.2">
      <c r="A161" s="764" t="s">
        <v>74</v>
      </c>
      <c r="B161" s="765">
        <f>+B19</f>
        <v>0</v>
      </c>
      <c r="C161" s="765">
        <f>+C19</f>
        <v>0</v>
      </c>
      <c r="D161" s="606">
        <f t="shared" si="92"/>
        <v>0</v>
      </c>
      <c r="E161" s="606">
        <f t="shared" si="92"/>
        <v>-5</v>
      </c>
      <c r="F161" s="606">
        <f>'Future Fund  Inc Exp Statement'!F161+'Gen Fund  Inc Exp Statement'!F165</f>
        <v>0</v>
      </c>
      <c r="G161" s="606">
        <f>'Future Fund  Inc Exp Statement'!G161+'Gen Fund  Inc Exp Statement'!G165</f>
        <v>0</v>
      </c>
      <c r="H161" s="606">
        <f>'Future Fund  Inc Exp Statement'!H161+'Gen Fund  Inc Exp Statement'!H165</f>
        <v>0</v>
      </c>
      <c r="I161" s="606">
        <f>'Future Fund  Inc Exp Statement'!I161+'Gen Fund  Inc Exp Statement'!I165</f>
        <v>0</v>
      </c>
      <c r="J161" s="606">
        <f>'Future Fund  Inc Exp Statement'!J161+'Gen Fund  Inc Exp Statement'!J165</f>
        <v>0</v>
      </c>
      <c r="K161" s="606">
        <f>'Future Fund  Inc Exp Statement'!K161+'Gen Fund  Inc Exp Statement'!K165</f>
        <v>0</v>
      </c>
      <c r="L161" s="606">
        <f>'Future Fund  Inc Exp Statement'!L161+'Gen Fund  Inc Exp Statement'!L165</f>
        <v>0</v>
      </c>
      <c r="M161" s="606">
        <f>'Future Fund  Inc Exp Statement'!M161+'Gen Fund  Inc Exp Statement'!M165</f>
        <v>0</v>
      </c>
      <c r="N161" s="606">
        <f>'Future Fund  Inc Exp Statement'!N161+'Gen Fund  Inc Exp Statement'!N165</f>
        <v>0</v>
      </c>
      <c r="O161" s="606">
        <f>'Future Fund  Inc Exp Statement'!O161+'Gen Fund  Inc Exp Statement'!O165</f>
        <v>0</v>
      </c>
      <c r="P161" s="606">
        <f>'Future Fund  Inc Exp Statement'!P161+'Gen Fund  Inc Exp Statement'!P165</f>
        <v>0</v>
      </c>
    </row>
    <row r="162" spans="1:17" x14ac:dyDescent="0.2">
      <c r="A162" s="758" t="s">
        <v>1047</v>
      </c>
      <c r="B162" s="765"/>
      <c r="C162" s="765"/>
      <c r="D162" s="606">
        <f t="shared" si="92"/>
        <v>0</v>
      </c>
      <c r="E162" s="606">
        <f t="shared" si="92"/>
        <v>2</v>
      </c>
      <c r="F162" s="606">
        <f>'Future Fund  Inc Exp Statement'!F162+'Gen Fund  Inc Exp Statement'!F166</f>
        <v>0</v>
      </c>
      <c r="G162" s="606">
        <f>'Future Fund  Inc Exp Statement'!G162+'Gen Fund  Inc Exp Statement'!G166</f>
        <v>0</v>
      </c>
      <c r="H162" s="606">
        <f>'Future Fund  Inc Exp Statement'!H162+'Gen Fund  Inc Exp Statement'!H166</f>
        <v>0</v>
      </c>
      <c r="I162" s="606">
        <f>'Future Fund  Inc Exp Statement'!I162+'Gen Fund  Inc Exp Statement'!I166</f>
        <v>0</v>
      </c>
      <c r="J162" s="606">
        <f>'Future Fund  Inc Exp Statement'!J162+'Gen Fund  Inc Exp Statement'!J166</f>
        <v>0</v>
      </c>
      <c r="K162" s="606">
        <f>'Future Fund  Inc Exp Statement'!K162+'Gen Fund  Inc Exp Statement'!K166</f>
        <v>0</v>
      </c>
      <c r="L162" s="606">
        <f>'Future Fund  Inc Exp Statement'!L162+'Gen Fund  Inc Exp Statement'!L166</f>
        <v>0</v>
      </c>
      <c r="M162" s="606">
        <f>'Future Fund  Inc Exp Statement'!M162+'Gen Fund  Inc Exp Statement'!M166</f>
        <v>0</v>
      </c>
      <c r="N162" s="606">
        <f>'Future Fund  Inc Exp Statement'!N162+'Gen Fund  Inc Exp Statement'!N166</f>
        <v>0</v>
      </c>
      <c r="O162" s="606">
        <f>'Future Fund  Inc Exp Statement'!O162+'Gen Fund  Inc Exp Statement'!O166</f>
        <v>0</v>
      </c>
      <c r="P162" s="606">
        <f>'Future Fund  Inc Exp Statement'!P162+'Gen Fund  Inc Exp Statement'!P166</f>
        <v>0</v>
      </c>
    </row>
    <row r="163" spans="1:17" x14ac:dyDescent="0.2">
      <c r="A163" s="604" t="s">
        <v>64</v>
      </c>
      <c r="B163" s="766">
        <f>SUM(B153:B161)</f>
        <v>0</v>
      </c>
      <c r="C163" s="766">
        <f>SUM(C153:C161)</f>
        <v>0</v>
      </c>
      <c r="D163" s="767">
        <f t="shared" ref="D163:P163" si="93">SUM(D153:D162)</f>
        <v>0</v>
      </c>
      <c r="E163" s="767">
        <f t="shared" si="93"/>
        <v>46813</v>
      </c>
      <c r="F163" s="767">
        <f t="shared" si="93"/>
        <v>41149.425000000003</v>
      </c>
      <c r="G163" s="767">
        <f t="shared" si="93"/>
        <v>43666.558499999999</v>
      </c>
      <c r="H163" s="767">
        <f t="shared" si="93"/>
        <v>44289.0852935</v>
      </c>
      <c r="I163" s="767">
        <f t="shared" si="93"/>
        <v>49927.074849637502</v>
      </c>
      <c r="J163" s="767">
        <f t="shared" si="93"/>
        <v>47980.172622829938</v>
      </c>
      <c r="K163" s="767">
        <f t="shared" si="93"/>
        <v>48396.240286389024</v>
      </c>
      <c r="L163" s="767">
        <f t="shared" si="93"/>
        <v>49498.444518490884</v>
      </c>
      <c r="M163" s="767">
        <f t="shared" si="93"/>
        <v>50230.19924122806</v>
      </c>
      <c r="N163" s="767">
        <f t="shared" si="93"/>
        <v>51365.65556997688</v>
      </c>
      <c r="O163" s="767">
        <f t="shared" si="93"/>
        <v>51232.163826496355</v>
      </c>
      <c r="P163" s="767">
        <f t="shared" si="93"/>
        <v>50335.32746686574</v>
      </c>
    </row>
    <row r="166" spans="1:17" x14ac:dyDescent="0.2">
      <c r="A166" s="604" t="s">
        <v>65</v>
      </c>
    </row>
    <row r="167" spans="1:17" x14ac:dyDescent="0.2">
      <c r="A167" s="600" t="s">
        <v>25</v>
      </c>
      <c r="B167" s="606">
        <f>+B23</f>
        <v>0</v>
      </c>
      <c r="C167" s="606">
        <f>+C23</f>
        <v>0</v>
      </c>
      <c r="D167" s="606">
        <f t="shared" ref="D167:E169" si="94">D98</f>
        <v>0</v>
      </c>
      <c r="E167" s="606">
        <f t="shared" si="94"/>
        <v>10980</v>
      </c>
      <c r="F167" s="606">
        <f>'Future Fund  Inc Exp Statement'!F167+'Gen Fund  Inc Exp Statement'!F171</f>
        <v>11311.316000000001</v>
      </c>
      <c r="G167" s="606">
        <f>'Future Fund  Inc Exp Statement'!G167+'Gen Fund  Inc Exp Statement'!G171</f>
        <v>11644.458000000001</v>
      </c>
      <c r="H167" s="606">
        <f>'Future Fund  Inc Exp Statement'!H167+'Gen Fund  Inc Exp Statement'!H171</f>
        <v>11891.706</v>
      </c>
      <c r="I167" s="606">
        <f>'Future Fund  Inc Exp Statement'!I167+'Gen Fund  Inc Exp Statement'!I171</f>
        <v>12397.860999999999</v>
      </c>
      <c r="J167" s="606">
        <f>'Future Fund  Inc Exp Statement'!J167+'Gen Fund  Inc Exp Statement'!J171</f>
        <v>12951.976000000001</v>
      </c>
      <c r="K167" s="606">
        <f>'Future Fund  Inc Exp Statement'!K167+'Gen Fund  Inc Exp Statement'!K171</f>
        <v>13340.53528</v>
      </c>
      <c r="L167" s="606">
        <f>'Future Fund  Inc Exp Statement'!L167+'Gen Fund  Inc Exp Statement'!L171</f>
        <v>13740.751338400001</v>
      </c>
      <c r="M167" s="606">
        <f>'Future Fund  Inc Exp Statement'!M167+'Gen Fund  Inc Exp Statement'!M171</f>
        <v>14152.973878552002</v>
      </c>
      <c r="N167" s="606">
        <f>'Future Fund  Inc Exp Statement'!N167+'Gen Fund  Inc Exp Statement'!N171</f>
        <v>14577.563094908561</v>
      </c>
      <c r="O167" s="606">
        <f>'Future Fund  Inc Exp Statement'!O167+'Gen Fund  Inc Exp Statement'!O171</f>
        <v>15014.88998775582</v>
      </c>
      <c r="P167" s="606">
        <f>'Future Fund  Inc Exp Statement'!P167+'Gen Fund  Inc Exp Statement'!P171</f>
        <v>15465.336687388493</v>
      </c>
    </row>
    <row r="168" spans="1:17" x14ac:dyDescent="0.2">
      <c r="A168" s="600" t="s">
        <v>926</v>
      </c>
      <c r="B168" s="606"/>
      <c r="C168" s="606"/>
      <c r="D168" s="606">
        <f t="shared" si="94"/>
        <v>0</v>
      </c>
      <c r="E168" s="606">
        <f t="shared" si="94"/>
        <v>743</v>
      </c>
      <c r="F168" s="606">
        <f>'Future Fund  Inc Exp Statement'!F168+'Gen Fund  Inc Exp Statement'!F172</f>
        <v>1500.3620000000001</v>
      </c>
      <c r="G168" s="606">
        <f>'Future Fund  Inc Exp Statement'!G168+'Gen Fund  Inc Exp Statement'!G172</f>
        <v>1497.172</v>
      </c>
      <c r="H168" s="606">
        <f>'Future Fund  Inc Exp Statement'!H168+'Gen Fund  Inc Exp Statement'!H172</f>
        <v>1494.3220000000001</v>
      </c>
      <c r="I168" s="606">
        <f>'Future Fund  Inc Exp Statement'!I168+'Gen Fund  Inc Exp Statement'!I172</f>
        <v>1911.231</v>
      </c>
      <c r="J168" s="606">
        <f>'Future Fund  Inc Exp Statement'!J168+'Gen Fund  Inc Exp Statement'!J172</f>
        <v>2341.6210000000001</v>
      </c>
      <c r="K168" s="606">
        <f>'Future Fund  Inc Exp Statement'!K168+'Gen Fund  Inc Exp Statement'!K172</f>
        <v>2301.9348808</v>
      </c>
      <c r="L168" s="606">
        <f>'Future Fund  Inc Exp Statement'!L168+'Gen Fund  Inc Exp Statement'!L172</f>
        <v>2261.4550392159999</v>
      </c>
      <c r="M168" s="606">
        <f>'Future Fund  Inc Exp Statement'!M168+'Gen Fund  Inc Exp Statement'!M172</f>
        <v>2220.1656008003201</v>
      </c>
      <c r="N168" s="606">
        <f>'Future Fund  Inc Exp Statement'!N168+'Gen Fund  Inc Exp Statement'!N172</f>
        <v>2178.0503736163264</v>
      </c>
      <c r="O168" s="606">
        <f>'Future Fund  Inc Exp Statement'!O168+'Gen Fund  Inc Exp Statement'!O172</f>
        <v>2135.0928418886529</v>
      </c>
      <c r="P168" s="606">
        <f>'Future Fund  Inc Exp Statement'!P168+'Gen Fund  Inc Exp Statement'!P172</f>
        <v>2091.276159526426</v>
      </c>
    </row>
    <row r="169" spans="1:17" x14ac:dyDescent="0.2">
      <c r="A169" s="600" t="s">
        <v>27</v>
      </c>
      <c r="B169" s="606">
        <f>+B25</f>
        <v>0</v>
      </c>
      <c r="C169" s="606">
        <f>+C25</f>
        <v>0</v>
      </c>
      <c r="D169" s="606">
        <f t="shared" si="94"/>
        <v>0</v>
      </c>
      <c r="E169" s="606">
        <f t="shared" si="94"/>
        <v>8901</v>
      </c>
      <c r="F169" s="606">
        <f>'Future Fund  Inc Exp Statement'!F169+'Gen Fund  Inc Exp Statement'!F173</f>
        <v>11489.848</v>
      </c>
      <c r="G169" s="606">
        <f>'Future Fund  Inc Exp Statement'!G169+'Gen Fund  Inc Exp Statement'!G173</f>
        <v>11910.767</v>
      </c>
      <c r="H169" s="606">
        <f>'Future Fund  Inc Exp Statement'!H169+'Gen Fund  Inc Exp Statement'!H173</f>
        <v>12160.363000000001</v>
      </c>
      <c r="I169" s="606">
        <f>'Future Fund  Inc Exp Statement'!I169+'Gen Fund  Inc Exp Statement'!I173</f>
        <v>12494.333000000001</v>
      </c>
      <c r="J169" s="606">
        <f>'Future Fund  Inc Exp Statement'!J169+'Gen Fund  Inc Exp Statement'!J173</f>
        <v>13161.776999999998</v>
      </c>
      <c r="K169" s="606">
        <f>'Future Fund  Inc Exp Statement'!K169+'Gen Fund  Inc Exp Statement'!K173</f>
        <v>13425.01254</v>
      </c>
      <c r="L169" s="606">
        <f>'Future Fund  Inc Exp Statement'!L169+'Gen Fund  Inc Exp Statement'!L173</f>
        <v>13693.512790799999</v>
      </c>
      <c r="M169" s="606">
        <f>'Future Fund  Inc Exp Statement'!M169+'Gen Fund  Inc Exp Statement'!M173</f>
        <v>13967.383046616</v>
      </c>
      <c r="N169" s="606">
        <f>'Future Fund  Inc Exp Statement'!N169+'Gen Fund  Inc Exp Statement'!N173</f>
        <v>14246.73070754832</v>
      </c>
      <c r="O169" s="606">
        <f>'Future Fund  Inc Exp Statement'!O169+'Gen Fund  Inc Exp Statement'!O173</f>
        <v>14531.665321699287</v>
      </c>
      <c r="P169" s="606">
        <f>'Future Fund  Inc Exp Statement'!P169+'Gen Fund  Inc Exp Statement'!P173</f>
        <v>14822.298628133274</v>
      </c>
    </row>
    <row r="170" spans="1:17" x14ac:dyDescent="0.2">
      <c r="A170" s="600" t="s">
        <v>1077</v>
      </c>
      <c r="B170" s="606"/>
      <c r="C170" s="606"/>
      <c r="D170" s="606"/>
      <c r="E170" s="606"/>
      <c r="F170" s="606">
        <f>'Future Fund  Inc Exp Statement'!F170+'Gen Fund  Inc Exp Statement'!F174</f>
        <v>2763.3530000000001</v>
      </c>
      <c r="G170" s="606">
        <f>'Future Fund  Inc Exp Statement'!G170+'Gen Fund  Inc Exp Statement'!G174</f>
        <v>2935.1769999999997</v>
      </c>
      <c r="H170" s="606">
        <f>'Future Fund  Inc Exp Statement'!H170+'Gen Fund  Inc Exp Statement'!H174</f>
        <v>3069.2200000000003</v>
      </c>
      <c r="I170" s="606">
        <f>'Future Fund  Inc Exp Statement'!I170+'Gen Fund  Inc Exp Statement'!I174</f>
        <v>3204.4650000000001</v>
      </c>
      <c r="J170" s="606">
        <f>'Future Fund  Inc Exp Statement'!J170+'Gen Fund  Inc Exp Statement'!J174</f>
        <v>3340.5709999999999</v>
      </c>
      <c r="K170" s="606">
        <f>'Future Fund  Inc Exp Statement'!K170+'Gen Fund  Inc Exp Statement'!K174</f>
        <v>3407.3824199999999</v>
      </c>
      <c r="L170" s="606">
        <f>'Future Fund  Inc Exp Statement'!L170+'Gen Fund  Inc Exp Statement'!L174</f>
        <v>3475.5300683999999</v>
      </c>
      <c r="M170" s="606">
        <f>'Future Fund  Inc Exp Statement'!M170+'Gen Fund  Inc Exp Statement'!M174</f>
        <v>3545.040669768</v>
      </c>
      <c r="N170" s="606">
        <f>'Future Fund  Inc Exp Statement'!N170+'Gen Fund  Inc Exp Statement'!N174</f>
        <v>3615.9414831633594</v>
      </c>
      <c r="O170" s="606">
        <f>'Future Fund  Inc Exp Statement'!O170+'Gen Fund  Inc Exp Statement'!O174</f>
        <v>3688.2603128266273</v>
      </c>
      <c r="P170" s="606">
        <f>'Future Fund  Inc Exp Statement'!P170+'Gen Fund  Inc Exp Statement'!P174</f>
        <v>3762.0255190831599</v>
      </c>
    </row>
    <row r="171" spans="1:17" x14ac:dyDescent="0.2">
      <c r="A171" s="600" t="s">
        <v>29</v>
      </c>
      <c r="B171" s="606">
        <f>+B27</f>
        <v>0</v>
      </c>
      <c r="C171" s="606">
        <f>+C27</f>
        <v>0</v>
      </c>
      <c r="D171" s="606">
        <f t="shared" ref="D171:E174" si="95">D102</f>
        <v>0</v>
      </c>
      <c r="E171" s="606">
        <f t="shared" si="95"/>
        <v>7182</v>
      </c>
      <c r="F171" s="606">
        <f>'Future Fund  Inc Exp Statement'!F171+'Gen Fund  Inc Exp Statement'!F175</f>
        <v>8510.6460000000006</v>
      </c>
      <c r="G171" s="606">
        <f>'Future Fund  Inc Exp Statement'!G171+'Gen Fund  Inc Exp Statement'!G175</f>
        <v>7625.4650000000001</v>
      </c>
      <c r="H171" s="606">
        <f>'Future Fund  Inc Exp Statement'!H171+'Gen Fund  Inc Exp Statement'!H175</f>
        <v>7756.7839999999997</v>
      </c>
      <c r="I171" s="606">
        <f>'Future Fund  Inc Exp Statement'!I171+'Gen Fund  Inc Exp Statement'!I175</f>
        <v>8074.7730000000001</v>
      </c>
      <c r="J171" s="606">
        <f>'Future Fund  Inc Exp Statement'!J171+'Gen Fund  Inc Exp Statement'!J175</f>
        <v>8631.0789999999997</v>
      </c>
      <c r="K171" s="606">
        <f>'Future Fund  Inc Exp Statement'!K171+'Gen Fund  Inc Exp Statement'!K175</f>
        <v>8846.8559749999986</v>
      </c>
      <c r="L171" s="606">
        <f>'Future Fund  Inc Exp Statement'!L171+'Gen Fund  Inc Exp Statement'!L175</f>
        <v>9068.0273743749985</v>
      </c>
      <c r="M171" s="606">
        <f>'Future Fund  Inc Exp Statement'!M171+'Gen Fund  Inc Exp Statement'!M175</f>
        <v>9294.7280587343721</v>
      </c>
      <c r="N171" s="606">
        <f>'Future Fund  Inc Exp Statement'!N171+'Gen Fund  Inc Exp Statement'!N175</f>
        <v>9527.0962602027321</v>
      </c>
      <c r="O171" s="606">
        <f>'Future Fund  Inc Exp Statement'!O171+'Gen Fund  Inc Exp Statement'!O175</f>
        <v>9765.2736667077988</v>
      </c>
      <c r="P171" s="606">
        <f>'Future Fund  Inc Exp Statement'!P171+'Gen Fund  Inc Exp Statement'!P175</f>
        <v>10009.405508375494</v>
      </c>
    </row>
    <row r="172" spans="1:17" x14ac:dyDescent="0.2">
      <c r="A172" s="600" t="str">
        <f>A103</f>
        <v>Impairment</v>
      </c>
      <c r="B172" s="606"/>
      <c r="C172" s="606"/>
      <c r="D172" s="606">
        <f t="shared" si="95"/>
        <v>0</v>
      </c>
      <c r="E172" s="606">
        <f t="shared" si="95"/>
        <v>600</v>
      </c>
      <c r="F172" s="606">
        <f>'Future Fund  Inc Exp Statement'!F172+'Gen Fund  Inc Exp Statement'!F176</f>
        <v>0</v>
      </c>
      <c r="G172" s="606">
        <f>'Future Fund  Inc Exp Statement'!G172+'Gen Fund  Inc Exp Statement'!G176</f>
        <v>0</v>
      </c>
      <c r="H172" s="606">
        <f>'Future Fund  Inc Exp Statement'!H172+'Gen Fund  Inc Exp Statement'!H176</f>
        <v>0</v>
      </c>
      <c r="I172" s="606">
        <f>'Future Fund  Inc Exp Statement'!I172+'Gen Fund  Inc Exp Statement'!I176</f>
        <v>0</v>
      </c>
      <c r="J172" s="606">
        <f>'Future Fund  Inc Exp Statement'!J172+'Gen Fund  Inc Exp Statement'!J176</f>
        <v>0</v>
      </c>
      <c r="K172" s="606">
        <f>'Future Fund  Inc Exp Statement'!K172+'Gen Fund  Inc Exp Statement'!K176</f>
        <v>0</v>
      </c>
      <c r="L172" s="606">
        <f>'Future Fund  Inc Exp Statement'!L172+'Gen Fund  Inc Exp Statement'!L176</f>
        <v>0</v>
      </c>
      <c r="M172" s="606">
        <f>'Future Fund  Inc Exp Statement'!M172+'Gen Fund  Inc Exp Statement'!M176</f>
        <v>0</v>
      </c>
      <c r="N172" s="606">
        <f>'Future Fund  Inc Exp Statement'!N172+'Gen Fund  Inc Exp Statement'!N176</f>
        <v>0</v>
      </c>
      <c r="O172" s="606">
        <f>'Future Fund  Inc Exp Statement'!O172+'Gen Fund  Inc Exp Statement'!O176</f>
        <v>0</v>
      </c>
      <c r="P172" s="606">
        <f>'Future Fund  Inc Exp Statement'!P172+'Gen Fund  Inc Exp Statement'!P176</f>
        <v>0</v>
      </c>
      <c r="Q172" s="606">
        <f>+Q28</f>
        <v>0</v>
      </c>
    </row>
    <row r="173" spans="1:17" x14ac:dyDescent="0.2">
      <c r="A173" s="600" t="str">
        <f>A104</f>
        <v>Net Losses from the disposal of assets</v>
      </c>
      <c r="B173" s="606"/>
      <c r="C173" s="606"/>
      <c r="D173" s="606">
        <f t="shared" si="95"/>
        <v>0</v>
      </c>
      <c r="E173" s="606">
        <f t="shared" si="95"/>
        <v>0</v>
      </c>
      <c r="F173" s="606">
        <f>'Future Fund  Inc Exp Statement'!F173+'Gen Fund  Inc Exp Statement'!F177</f>
        <v>0</v>
      </c>
      <c r="G173" s="606">
        <f>'Future Fund  Inc Exp Statement'!G173+'Gen Fund  Inc Exp Statement'!G177</f>
        <v>0</v>
      </c>
      <c r="H173" s="606">
        <f>'Future Fund  Inc Exp Statement'!H173+'Gen Fund  Inc Exp Statement'!H177</f>
        <v>0</v>
      </c>
      <c r="I173" s="606">
        <f>'Future Fund  Inc Exp Statement'!I173+'Gen Fund  Inc Exp Statement'!I177</f>
        <v>0</v>
      </c>
      <c r="J173" s="606">
        <f>'Future Fund  Inc Exp Statement'!J173+'Gen Fund  Inc Exp Statement'!J177</f>
        <v>0</v>
      </c>
      <c r="K173" s="606">
        <f>'Future Fund  Inc Exp Statement'!K173+'Gen Fund  Inc Exp Statement'!K177</f>
        <v>0</v>
      </c>
      <c r="L173" s="606">
        <f>'Future Fund  Inc Exp Statement'!L173+'Gen Fund  Inc Exp Statement'!L177</f>
        <v>0</v>
      </c>
      <c r="M173" s="606">
        <f>'Future Fund  Inc Exp Statement'!M173+'Gen Fund  Inc Exp Statement'!M177</f>
        <v>0</v>
      </c>
      <c r="N173" s="606">
        <f>'Future Fund  Inc Exp Statement'!N173+'Gen Fund  Inc Exp Statement'!N177</f>
        <v>0</v>
      </c>
      <c r="O173" s="606">
        <f>'Future Fund  Inc Exp Statement'!O173+'Gen Fund  Inc Exp Statement'!O177</f>
        <v>0</v>
      </c>
      <c r="P173" s="606">
        <f>'Future Fund  Inc Exp Statement'!P173+'Gen Fund  Inc Exp Statement'!P177</f>
        <v>0</v>
      </c>
      <c r="Q173" s="606">
        <f>+Q29</f>
        <v>0</v>
      </c>
    </row>
    <row r="174" spans="1:17" x14ac:dyDescent="0.2">
      <c r="A174" s="614" t="s">
        <v>28</v>
      </c>
      <c r="B174" s="606">
        <f>+B30</f>
        <v>0</v>
      </c>
      <c r="C174" s="606">
        <f>+C30</f>
        <v>0</v>
      </c>
      <c r="D174" s="606">
        <f t="shared" si="95"/>
        <v>0</v>
      </c>
      <c r="E174" s="606">
        <f t="shared" si="95"/>
        <v>6597</v>
      </c>
      <c r="F174" s="606">
        <f>'Future Fund  Inc Exp Statement'!F174+'Gen Fund  Inc Exp Statement'!F178</f>
        <v>2645.893</v>
      </c>
      <c r="G174" s="606">
        <f>'Future Fund  Inc Exp Statement'!G174+'Gen Fund  Inc Exp Statement'!G178</f>
        <v>2775.2309999999998</v>
      </c>
      <c r="H174" s="606">
        <f>'Future Fund  Inc Exp Statement'!H174+'Gen Fund  Inc Exp Statement'!H178</f>
        <v>2825.77</v>
      </c>
      <c r="I174" s="606">
        <f>'Future Fund  Inc Exp Statement'!I174+'Gen Fund  Inc Exp Statement'!I178</f>
        <v>2900.8040000000001</v>
      </c>
      <c r="J174" s="606">
        <f>'Future Fund  Inc Exp Statement'!J174+'Gen Fund  Inc Exp Statement'!J178</f>
        <v>3049.8710000000001</v>
      </c>
      <c r="K174" s="606">
        <f>'Future Fund  Inc Exp Statement'!K174+'Gen Fund  Inc Exp Statement'!K178</f>
        <v>3110.8684199999998</v>
      </c>
      <c r="L174" s="606">
        <f>'Future Fund  Inc Exp Statement'!L174+'Gen Fund  Inc Exp Statement'!L178</f>
        <v>3173.0857883999997</v>
      </c>
      <c r="M174" s="606">
        <f>'Future Fund  Inc Exp Statement'!M174+'Gen Fund  Inc Exp Statement'!M178</f>
        <v>3236.5475041680002</v>
      </c>
      <c r="N174" s="606">
        <f>'Future Fund  Inc Exp Statement'!N174+'Gen Fund  Inc Exp Statement'!N178</f>
        <v>3301.27845425136</v>
      </c>
      <c r="O174" s="606">
        <f>'Future Fund  Inc Exp Statement'!O174+'Gen Fund  Inc Exp Statement'!O178</f>
        <v>3367.3040233363872</v>
      </c>
      <c r="P174" s="606">
        <f>'Future Fund  Inc Exp Statement'!P174+'Gen Fund  Inc Exp Statement'!P178</f>
        <v>3434.6501038031147</v>
      </c>
    </row>
    <row r="175" spans="1:17" x14ac:dyDescent="0.2">
      <c r="A175" s="604" t="s">
        <v>66</v>
      </c>
      <c r="B175" s="610">
        <f>SUM(B167:B174)</f>
        <v>0</v>
      </c>
      <c r="C175" s="610">
        <f t="shared" ref="C175" si="96">SUM(C167:C174)</f>
        <v>0</v>
      </c>
      <c r="D175" s="610">
        <f t="shared" ref="D175" si="97">SUM(D167:D174)</f>
        <v>0</v>
      </c>
      <c r="E175" s="610">
        <f t="shared" ref="E175" si="98">SUM(E167:E174)</f>
        <v>35003</v>
      </c>
      <c r="F175" s="610">
        <f t="shared" ref="F175" si="99">SUM(F167:F174)</f>
        <v>38221.417999999991</v>
      </c>
      <c r="G175" s="610">
        <f t="shared" ref="G175" si="100">SUM(G167:G174)</f>
        <v>38388.270000000004</v>
      </c>
      <c r="H175" s="610">
        <f t="shared" ref="H175" si="101">SUM(H167:H174)</f>
        <v>39198.165000000001</v>
      </c>
      <c r="I175" s="610">
        <f t="shared" ref="I175" si="102">SUM(I167:I174)</f>
        <v>40983.467000000004</v>
      </c>
      <c r="J175" s="610">
        <f t="shared" ref="J175" si="103">SUM(J167:J174)</f>
        <v>43476.894999999997</v>
      </c>
      <c r="K175" s="610">
        <f t="shared" ref="K175" si="104">SUM(K167:K174)</f>
        <v>44432.589515799998</v>
      </c>
      <c r="L175" s="610">
        <f t="shared" ref="L175" si="105">SUM(L167:L174)</f>
        <v>45412.362399591002</v>
      </c>
      <c r="M175" s="610">
        <f t="shared" ref="M175:O175" si="106">SUM(M167:M174)</f>
        <v>46416.838758638696</v>
      </c>
      <c r="N175" s="610">
        <f t="shared" si="106"/>
        <v>47446.660373690662</v>
      </c>
      <c r="O175" s="610">
        <f t="shared" si="106"/>
        <v>48502.486154214574</v>
      </c>
      <c r="P175" s="610">
        <f t="shared" ref="P175" si="107">SUM(P167:P174)</f>
        <v>49584.992606309963</v>
      </c>
    </row>
    <row r="177" spans="1:28" ht="10.8" thickBot="1" x14ac:dyDescent="0.25">
      <c r="A177" s="604" t="s">
        <v>67</v>
      </c>
      <c r="B177" s="636">
        <f t="shared" ref="B177:M177" si="108">+B163-B175</f>
        <v>0</v>
      </c>
      <c r="C177" s="636">
        <f t="shared" si="108"/>
        <v>0</v>
      </c>
      <c r="D177" s="636">
        <f t="shared" si="108"/>
        <v>0</v>
      </c>
      <c r="E177" s="636">
        <f t="shared" si="108"/>
        <v>11810</v>
      </c>
      <c r="F177" s="636">
        <f t="shared" si="108"/>
        <v>2928.0070000000123</v>
      </c>
      <c r="G177" s="636">
        <f t="shared" si="108"/>
        <v>5278.2884999999951</v>
      </c>
      <c r="H177" s="636">
        <f t="shared" si="108"/>
        <v>5090.9202934999994</v>
      </c>
      <c r="I177" s="636">
        <f t="shared" si="108"/>
        <v>8943.6078496374976</v>
      </c>
      <c r="J177" s="636">
        <f t="shared" si="108"/>
        <v>4503.2776228299408</v>
      </c>
      <c r="K177" s="636">
        <f t="shared" si="108"/>
        <v>3963.6507705890253</v>
      </c>
      <c r="L177" s="636">
        <f t="shared" si="108"/>
        <v>4086.0821188998816</v>
      </c>
      <c r="M177" s="636">
        <f t="shared" si="108"/>
        <v>3813.3604825893635</v>
      </c>
      <c r="N177" s="636">
        <f t="shared" ref="N177:O177" si="109">+N163-N175</f>
        <v>3918.9951962862178</v>
      </c>
      <c r="O177" s="636">
        <f t="shared" si="109"/>
        <v>2729.6776722817813</v>
      </c>
      <c r="P177" s="636">
        <f t="shared" ref="P177" si="110">+P163-P175</f>
        <v>750.33486055577669</v>
      </c>
    </row>
    <row r="178" spans="1:28" x14ac:dyDescent="0.2">
      <c r="A178" s="616"/>
      <c r="B178" s="621"/>
      <c r="C178" s="621"/>
      <c r="D178" s="621"/>
      <c r="E178" s="621"/>
      <c r="F178" s="621"/>
      <c r="G178" s="621"/>
      <c r="H178" s="621"/>
      <c r="I178" s="621"/>
      <c r="J178" s="621"/>
      <c r="K178" s="621"/>
      <c r="L178" s="621"/>
      <c r="M178" s="621"/>
      <c r="N178" s="621"/>
      <c r="O178" s="621"/>
      <c r="P178" s="621"/>
    </row>
    <row r="179" spans="1:28" x14ac:dyDescent="0.2">
      <c r="A179" s="604" t="s">
        <v>75</v>
      </c>
      <c r="B179" s="621"/>
      <c r="C179" s="621"/>
      <c r="D179" s="621"/>
      <c r="E179" s="621"/>
      <c r="F179" s="621"/>
      <c r="G179" s="621"/>
      <c r="H179" s="621"/>
      <c r="I179" s="621"/>
      <c r="J179" s="621"/>
      <c r="K179" s="621"/>
      <c r="L179" s="621"/>
      <c r="M179" s="621"/>
      <c r="N179" s="621"/>
      <c r="O179" s="621"/>
      <c r="P179" s="621"/>
    </row>
    <row r="180" spans="1:28" x14ac:dyDescent="0.2">
      <c r="A180" s="614" t="s">
        <v>322</v>
      </c>
      <c r="B180" s="617">
        <v>0</v>
      </c>
      <c r="C180" s="617">
        <v>0</v>
      </c>
      <c r="D180" s="617">
        <v>0</v>
      </c>
      <c r="E180" s="617">
        <v>0</v>
      </c>
      <c r="F180" s="617">
        <v>0</v>
      </c>
      <c r="G180" s="617">
        <v>0</v>
      </c>
      <c r="H180" s="617">
        <v>0</v>
      </c>
      <c r="I180" s="617">
        <v>0</v>
      </c>
      <c r="J180" s="617">
        <v>0</v>
      </c>
      <c r="K180" s="617">
        <v>0</v>
      </c>
      <c r="L180" s="617">
        <v>0</v>
      </c>
      <c r="M180" s="617">
        <v>0</v>
      </c>
      <c r="N180" s="617">
        <v>0</v>
      </c>
      <c r="O180" s="617">
        <v>0</v>
      </c>
      <c r="P180" s="617">
        <v>0</v>
      </c>
    </row>
    <row r="181" spans="1:28" x14ac:dyDescent="0.2">
      <c r="B181" s="621"/>
      <c r="C181" s="621"/>
      <c r="D181" s="621"/>
      <c r="E181" s="621"/>
      <c r="F181" s="621"/>
      <c r="G181" s="621"/>
      <c r="H181" s="621"/>
      <c r="I181" s="621"/>
      <c r="J181" s="621"/>
      <c r="K181" s="621"/>
      <c r="L181" s="621"/>
      <c r="M181" s="621"/>
      <c r="N181" s="621"/>
      <c r="O181" s="621"/>
      <c r="P181" s="621"/>
    </row>
    <row r="182" spans="1:28" x14ac:dyDescent="0.2">
      <c r="A182" s="618" t="s">
        <v>76</v>
      </c>
      <c r="B182" s="634">
        <f>+B177+B180</f>
        <v>0</v>
      </c>
      <c r="C182" s="634">
        <f>+C177+C180</f>
        <v>0</v>
      </c>
      <c r="D182" s="634">
        <f>+D177+D180</f>
        <v>0</v>
      </c>
      <c r="E182" s="634">
        <f t="shared" ref="E182:M182" si="111">+E177+E180</f>
        <v>11810</v>
      </c>
      <c r="F182" s="634">
        <f t="shared" si="111"/>
        <v>2928.0070000000123</v>
      </c>
      <c r="G182" s="634">
        <f t="shared" si="111"/>
        <v>5278.2884999999951</v>
      </c>
      <c r="H182" s="634">
        <f t="shared" si="111"/>
        <v>5090.9202934999994</v>
      </c>
      <c r="I182" s="634">
        <f t="shared" si="111"/>
        <v>8943.6078496374976</v>
      </c>
      <c r="J182" s="634">
        <f t="shared" si="111"/>
        <v>4503.2776228299408</v>
      </c>
      <c r="K182" s="634">
        <f t="shared" si="111"/>
        <v>3963.6507705890253</v>
      </c>
      <c r="L182" s="634">
        <f t="shared" si="111"/>
        <v>4086.0821188998816</v>
      </c>
      <c r="M182" s="634">
        <f t="shared" si="111"/>
        <v>3813.3604825893635</v>
      </c>
      <c r="N182" s="634">
        <f t="shared" ref="N182:O182" si="112">+N177+N180</f>
        <v>3918.9951962862178</v>
      </c>
      <c r="O182" s="634">
        <f t="shared" si="112"/>
        <v>2729.6776722817813</v>
      </c>
      <c r="P182" s="634">
        <f t="shared" ref="P182" si="113">+P177+P180</f>
        <v>750.33486055577669</v>
      </c>
      <c r="S182" s="601"/>
      <c r="T182" s="601"/>
      <c r="U182" s="601"/>
      <c r="V182" s="601"/>
      <c r="W182" s="601"/>
      <c r="X182" s="601"/>
      <c r="Y182" s="601"/>
      <c r="Z182" s="601"/>
      <c r="AA182" s="601"/>
      <c r="AB182" s="601"/>
    </row>
    <row r="183" spans="1:28" x14ac:dyDescent="0.2">
      <c r="B183" s="621"/>
      <c r="C183" s="621"/>
      <c r="D183" s="621"/>
      <c r="E183" s="621"/>
      <c r="F183" s="621"/>
      <c r="G183" s="621"/>
      <c r="H183" s="621"/>
      <c r="I183" s="621"/>
      <c r="J183" s="621"/>
      <c r="K183" s="621"/>
      <c r="L183" s="621"/>
      <c r="M183" s="621"/>
      <c r="N183" s="621"/>
      <c r="O183" s="621"/>
      <c r="P183" s="621"/>
      <c r="S183" s="601"/>
      <c r="T183" s="601"/>
      <c r="U183" s="601"/>
      <c r="V183" s="601"/>
      <c r="W183" s="601"/>
      <c r="X183" s="601"/>
      <c r="Y183" s="601"/>
      <c r="Z183" s="601"/>
      <c r="AA183" s="601"/>
      <c r="AB183" s="601"/>
    </row>
    <row r="184" spans="1:28" s="601" customFormat="1" x14ac:dyDescent="0.2">
      <c r="A184" s="733" t="s">
        <v>77</v>
      </c>
      <c r="B184" s="715">
        <f>+B182</f>
        <v>0</v>
      </c>
      <c r="C184" s="734">
        <f>+C179+C182</f>
        <v>0</v>
      </c>
      <c r="D184" s="715">
        <f>+D182</f>
        <v>0</v>
      </c>
      <c r="E184" s="734">
        <f t="shared" ref="E184:P184" si="114">+E179+E182</f>
        <v>11810</v>
      </c>
      <c r="F184" s="734">
        <f t="shared" si="114"/>
        <v>2928.0070000000123</v>
      </c>
      <c r="G184" s="734">
        <f t="shared" si="114"/>
        <v>5278.2884999999951</v>
      </c>
      <c r="H184" s="734">
        <f t="shared" si="114"/>
        <v>5090.9202934999994</v>
      </c>
      <c r="I184" s="734">
        <f t="shared" si="114"/>
        <v>8943.6078496374976</v>
      </c>
      <c r="J184" s="734">
        <f t="shared" si="114"/>
        <v>4503.2776228299408</v>
      </c>
      <c r="K184" s="734">
        <f t="shared" si="114"/>
        <v>3963.6507705890253</v>
      </c>
      <c r="L184" s="734">
        <f t="shared" si="114"/>
        <v>4086.0821188998816</v>
      </c>
      <c r="M184" s="734">
        <f t="shared" si="114"/>
        <v>3813.3604825893635</v>
      </c>
      <c r="N184" s="734">
        <f t="shared" si="114"/>
        <v>3918.9951962862178</v>
      </c>
      <c r="O184" s="734">
        <f t="shared" si="114"/>
        <v>2729.6776722817813</v>
      </c>
      <c r="P184" s="734">
        <f t="shared" si="114"/>
        <v>750.33486055577669</v>
      </c>
      <c r="S184" s="599"/>
      <c r="T184" s="599"/>
      <c r="U184" s="599"/>
      <c r="V184" s="599"/>
      <c r="W184" s="599"/>
      <c r="X184" s="599"/>
      <c r="Y184" s="599"/>
      <c r="Z184" s="599"/>
      <c r="AA184" s="599"/>
      <c r="AB184" s="599"/>
    </row>
    <row r="185" spans="1:28" s="601" customFormat="1" ht="10.5" customHeight="1" thickBot="1" x14ac:dyDescent="0.25">
      <c r="A185" s="739" t="s">
        <v>78</v>
      </c>
      <c r="B185" s="735">
        <v>0</v>
      </c>
      <c r="C185" s="735">
        <v>0</v>
      </c>
      <c r="D185" s="735">
        <v>0</v>
      </c>
      <c r="E185" s="735">
        <v>0</v>
      </c>
      <c r="F185" s="735"/>
      <c r="G185" s="735">
        <v>0</v>
      </c>
      <c r="H185" s="735">
        <v>0</v>
      </c>
      <c r="I185" s="735">
        <v>0</v>
      </c>
      <c r="J185" s="735">
        <v>0</v>
      </c>
      <c r="K185" s="735">
        <v>0</v>
      </c>
      <c r="L185" s="735">
        <v>0</v>
      </c>
      <c r="M185" s="735">
        <v>0</v>
      </c>
      <c r="N185" s="735">
        <v>0</v>
      </c>
      <c r="O185" s="735">
        <v>0</v>
      </c>
      <c r="P185" s="735">
        <v>0</v>
      </c>
      <c r="S185" s="599"/>
      <c r="T185" s="599"/>
      <c r="U185" s="599"/>
      <c r="V185" s="599"/>
      <c r="W185" s="599"/>
      <c r="X185" s="599"/>
      <c r="Y185" s="599"/>
      <c r="Z185" s="599"/>
      <c r="AA185" s="599"/>
      <c r="AB185" s="599"/>
    </row>
    <row r="186" spans="1:28" ht="3.75" customHeight="1" thickTop="1" x14ac:dyDescent="0.2">
      <c r="A186" s="726"/>
      <c r="B186" s="714"/>
      <c r="C186" s="714"/>
      <c r="D186" s="710"/>
      <c r="E186" s="710"/>
      <c r="F186" s="710"/>
      <c r="G186" s="710"/>
      <c r="H186" s="710"/>
      <c r="I186" s="710"/>
      <c r="J186" s="710"/>
      <c r="K186" s="710"/>
      <c r="L186" s="710"/>
      <c r="M186" s="710"/>
      <c r="N186" s="710"/>
      <c r="O186" s="710"/>
      <c r="P186" s="710"/>
    </row>
    <row r="187" spans="1:28" ht="31.5" customHeight="1" thickBot="1" x14ac:dyDescent="0.25">
      <c r="A187" s="705" t="s">
        <v>79</v>
      </c>
      <c r="B187" s="736">
        <f>+B182-B160-B162</f>
        <v>0</v>
      </c>
      <c r="C187" s="736">
        <f>+C182-C160-C162</f>
        <v>0</v>
      </c>
      <c r="D187" s="736">
        <f>+D182-D158-D161</f>
        <v>0</v>
      </c>
      <c r="E187" s="736">
        <f t="shared" ref="E187:P187" si="115">+E182-E158-E161</f>
        <v>-2644</v>
      </c>
      <c r="F187" s="736">
        <f t="shared" si="115"/>
        <v>30.000000000012278</v>
      </c>
      <c r="G187" s="736">
        <f t="shared" si="115"/>
        <v>1490.321499999995</v>
      </c>
      <c r="H187" s="736">
        <f t="shared" si="115"/>
        <v>1246.5492834999995</v>
      </c>
      <c r="I187" s="736">
        <f t="shared" si="115"/>
        <v>1541.1488343374976</v>
      </c>
      <c r="J187" s="736">
        <f t="shared" si="115"/>
        <v>540.99629019594067</v>
      </c>
      <c r="K187" s="736">
        <f t="shared" si="115"/>
        <v>-77.87618869765538</v>
      </c>
      <c r="L187" s="736">
        <f t="shared" si="115"/>
        <v>-36.275379572532074</v>
      </c>
      <c r="M187" s="736">
        <f t="shared" si="115"/>
        <v>-391.44416585249928</v>
      </c>
      <c r="N187" s="736">
        <f t="shared" si="115"/>
        <v>-369.90554512448216</v>
      </c>
      <c r="O187" s="736">
        <f t="shared" si="115"/>
        <v>-1645.0010839571323</v>
      </c>
      <c r="P187" s="736">
        <f t="shared" si="115"/>
        <v>-3711.8374708079155</v>
      </c>
    </row>
    <row r="188" spans="1:28" ht="4.5" customHeight="1" thickTop="1" x14ac:dyDescent="0.2">
      <c r="A188" s="705"/>
      <c r="B188" s="734"/>
      <c r="C188" s="734"/>
      <c r="D188" s="734"/>
      <c r="E188" s="734"/>
      <c r="F188" s="734"/>
      <c r="G188" s="734"/>
      <c r="H188" s="734"/>
      <c r="I188" s="734"/>
      <c r="J188" s="734"/>
      <c r="K188" s="734"/>
      <c r="L188" s="734"/>
      <c r="M188" s="734"/>
      <c r="N188" s="734"/>
      <c r="O188" s="734"/>
      <c r="P188" s="734"/>
    </row>
    <row r="189" spans="1:28" x14ac:dyDescent="0.2">
      <c r="A189" s="730" t="s">
        <v>76</v>
      </c>
      <c r="B189" s="732">
        <f t="shared" ref="B189:P189" si="116">B182</f>
        <v>0</v>
      </c>
      <c r="C189" s="732">
        <f t="shared" si="116"/>
        <v>0</v>
      </c>
      <c r="D189" s="732">
        <f t="shared" si="116"/>
        <v>0</v>
      </c>
      <c r="E189" s="732">
        <f t="shared" si="116"/>
        <v>11810</v>
      </c>
      <c r="F189" s="732">
        <f t="shared" si="116"/>
        <v>2928.0070000000123</v>
      </c>
      <c r="G189" s="732">
        <f t="shared" si="116"/>
        <v>5278.2884999999951</v>
      </c>
      <c r="H189" s="732">
        <f t="shared" si="116"/>
        <v>5090.9202934999994</v>
      </c>
      <c r="I189" s="732">
        <f t="shared" si="116"/>
        <v>8943.6078496374976</v>
      </c>
      <c r="J189" s="732">
        <f t="shared" si="116"/>
        <v>4503.2776228299408</v>
      </c>
      <c r="K189" s="732">
        <f t="shared" si="116"/>
        <v>3963.6507705890253</v>
      </c>
      <c r="L189" s="732">
        <f t="shared" si="116"/>
        <v>4086.0821188998816</v>
      </c>
      <c r="M189" s="732">
        <f t="shared" si="116"/>
        <v>3813.3604825893635</v>
      </c>
      <c r="N189" s="732">
        <f t="shared" si="116"/>
        <v>3918.9951962862178</v>
      </c>
      <c r="O189" s="732">
        <f t="shared" si="116"/>
        <v>2729.6776722817813</v>
      </c>
      <c r="P189" s="732">
        <f t="shared" si="116"/>
        <v>750.33486055577669</v>
      </c>
    </row>
    <row r="190" spans="1:28" ht="9.75" customHeight="1" x14ac:dyDescent="0.2">
      <c r="A190" s="737" t="s">
        <v>1015</v>
      </c>
      <c r="B190" s="734"/>
      <c r="C190" s="734"/>
      <c r="D190" s="734"/>
      <c r="E190" s="734"/>
      <c r="F190" s="734"/>
      <c r="G190" s="734"/>
      <c r="H190" s="734"/>
      <c r="I190" s="734"/>
      <c r="J190" s="734"/>
      <c r="K190" s="734"/>
      <c r="L190" s="734"/>
      <c r="M190" s="734"/>
      <c r="N190" s="734"/>
      <c r="O190" s="734"/>
      <c r="P190" s="734"/>
    </row>
    <row r="191" spans="1:28" x14ac:dyDescent="0.2">
      <c r="A191" s="705" t="s">
        <v>1014</v>
      </c>
      <c r="B191" s="734"/>
      <c r="C191" s="734"/>
      <c r="D191" s="734">
        <f>D47</f>
        <v>0</v>
      </c>
      <c r="E191" s="734"/>
      <c r="F191" s="734"/>
      <c r="G191" s="734"/>
      <c r="H191" s="734"/>
      <c r="I191" s="734"/>
      <c r="J191" s="734"/>
      <c r="K191" s="734"/>
      <c r="L191" s="734"/>
      <c r="M191" s="734"/>
      <c r="N191" s="734"/>
      <c r="O191" s="734"/>
      <c r="P191" s="734"/>
    </row>
    <row r="192" spans="1:28" ht="1.5" customHeight="1" x14ac:dyDescent="0.2">
      <c r="A192" s="705"/>
      <c r="B192" s="734"/>
      <c r="C192" s="734"/>
      <c r="D192" s="734"/>
      <c r="E192" s="734"/>
      <c r="F192" s="734"/>
      <c r="G192" s="734"/>
      <c r="H192" s="734"/>
      <c r="I192" s="734"/>
      <c r="J192" s="734"/>
      <c r="K192" s="734"/>
      <c r="L192" s="734"/>
      <c r="M192" s="734"/>
      <c r="N192" s="734"/>
      <c r="O192" s="734"/>
      <c r="P192" s="734"/>
    </row>
    <row r="193" spans="1:28" ht="10.8" thickBot="1" x14ac:dyDescent="0.25">
      <c r="A193" s="705" t="s">
        <v>309</v>
      </c>
      <c r="B193" s="738">
        <f t="shared" ref="B193:P193" si="117">SUM(B189:B192)</f>
        <v>0</v>
      </c>
      <c r="C193" s="738">
        <f t="shared" si="117"/>
        <v>0</v>
      </c>
      <c r="D193" s="738">
        <f t="shared" si="117"/>
        <v>0</v>
      </c>
      <c r="E193" s="738">
        <f t="shared" si="117"/>
        <v>11810</v>
      </c>
      <c r="F193" s="738">
        <f t="shared" si="117"/>
        <v>2928.0070000000123</v>
      </c>
      <c r="G193" s="738">
        <f t="shared" si="117"/>
        <v>5278.2884999999951</v>
      </c>
      <c r="H193" s="738">
        <f t="shared" si="117"/>
        <v>5090.9202934999994</v>
      </c>
      <c r="I193" s="738">
        <f t="shared" si="117"/>
        <v>8943.6078496374976</v>
      </c>
      <c r="J193" s="738">
        <f t="shared" si="117"/>
        <v>4503.2776228299408</v>
      </c>
      <c r="K193" s="738">
        <f t="shared" si="117"/>
        <v>3963.6507705890253</v>
      </c>
      <c r="L193" s="738">
        <f t="shared" si="117"/>
        <v>4086.0821188998816</v>
      </c>
      <c r="M193" s="738">
        <f t="shared" si="117"/>
        <v>3813.3604825893635</v>
      </c>
      <c r="N193" s="738">
        <f t="shared" si="117"/>
        <v>3918.9951962862178</v>
      </c>
      <c r="O193" s="738">
        <f t="shared" si="117"/>
        <v>2729.6776722817813</v>
      </c>
      <c r="P193" s="738">
        <f t="shared" si="117"/>
        <v>750.33486055577669</v>
      </c>
    </row>
    <row r="194" spans="1:28" ht="10.8" thickTop="1" x14ac:dyDescent="0.2">
      <c r="A194" s="616"/>
      <c r="B194" s="621"/>
      <c r="C194" s="621"/>
      <c r="D194" s="621"/>
      <c r="E194" s="621"/>
      <c r="F194" s="621"/>
      <c r="G194" s="621"/>
      <c r="H194" s="621"/>
      <c r="I194" s="621"/>
      <c r="J194" s="621"/>
      <c r="K194" s="621"/>
      <c r="L194" s="621"/>
      <c r="M194" s="621"/>
      <c r="N194" s="621"/>
      <c r="O194" s="621"/>
      <c r="P194" s="621"/>
    </row>
    <row r="195" spans="1:28" ht="11.25" hidden="1" outlineLevel="1" x14ac:dyDescent="0.2">
      <c r="A195" s="604" t="s">
        <v>1081</v>
      </c>
      <c r="B195" s="621"/>
      <c r="C195" s="621"/>
      <c r="D195" s="606">
        <f t="shared" ref="D195:E199" si="118">D126</f>
        <v>0</v>
      </c>
      <c r="E195" s="606">
        <f t="shared" si="118"/>
        <v>0</v>
      </c>
      <c r="F195" s="606">
        <f>'Future Fund  Inc Exp Statement'!F195+'Gen Fund  Inc Exp Statement'!F199</f>
        <v>21320.421999999999</v>
      </c>
      <c r="G195" s="606">
        <f>'Future Fund  Inc Exp Statement'!G195+'Gen Fund  Inc Exp Statement'!G199</f>
        <v>2600.8139999999999</v>
      </c>
      <c r="H195" s="606">
        <f>'Future Fund  Inc Exp Statement'!H195+'Gen Fund  Inc Exp Statement'!H199</f>
        <v>19306.5245</v>
      </c>
      <c r="I195" s="606">
        <f>'Future Fund  Inc Exp Statement'!I195+'Gen Fund  Inc Exp Statement'!I199</f>
        <v>16162.895</v>
      </c>
      <c r="J195" s="606">
        <f>'Future Fund  Inc Exp Statement'!J195+'Gen Fund  Inc Exp Statement'!J199</f>
        <v>2065.5980000000004</v>
      </c>
      <c r="K195" s="606">
        <f>'Future Fund  Inc Exp Statement'!K195+'Gen Fund  Inc Exp Statement'!K199</f>
        <v>2106.9099600000004</v>
      </c>
      <c r="L195" s="606">
        <f>'Future Fund  Inc Exp Statement'!L195+'Gen Fund  Inc Exp Statement'!L199</f>
        <v>2149.0481592000006</v>
      </c>
      <c r="M195" s="606">
        <f>'Future Fund  Inc Exp Statement'!M195+'Gen Fund  Inc Exp Statement'!M199</f>
        <v>2192.0291223840004</v>
      </c>
      <c r="N195" s="606">
        <f>'Future Fund  Inc Exp Statement'!N195+'Gen Fund  Inc Exp Statement'!N199</f>
        <v>2235.8697048316803</v>
      </c>
      <c r="O195" s="606">
        <f>'Future Fund  Inc Exp Statement'!O195+'Gen Fund  Inc Exp Statement'!O199</f>
        <v>2280.5870989283139</v>
      </c>
      <c r="P195" s="606">
        <f>'Future Fund  Inc Exp Statement'!P195+'Gen Fund  Inc Exp Statement'!P199</f>
        <v>2326.1988409068804</v>
      </c>
      <c r="Q195" s="599" t="s">
        <v>32</v>
      </c>
    </row>
    <row r="196" spans="1:28" ht="11.25" hidden="1" outlineLevel="1" x14ac:dyDescent="0.2">
      <c r="A196" s="817" t="s">
        <v>1111</v>
      </c>
      <c r="B196" s="621"/>
      <c r="C196" s="621"/>
      <c r="D196" s="606">
        <f t="shared" si="118"/>
        <v>0</v>
      </c>
      <c r="E196" s="606">
        <f t="shared" si="118"/>
        <v>0</v>
      </c>
      <c r="F196" s="606">
        <f>'Future Fund  Inc Exp Statement'!F196+'Gen Fund  Inc Exp Statement'!F200</f>
        <v>0</v>
      </c>
      <c r="G196" s="606">
        <f>'Future Fund  Inc Exp Statement'!G196+'Gen Fund  Inc Exp Statement'!G200</f>
        <v>0</v>
      </c>
      <c r="H196" s="606">
        <f>'Future Fund  Inc Exp Statement'!H196+'Gen Fund  Inc Exp Statement'!H200</f>
        <v>0</v>
      </c>
      <c r="I196" s="606">
        <f>'Future Fund  Inc Exp Statement'!I196+'Gen Fund  Inc Exp Statement'!I200</f>
        <v>0</v>
      </c>
      <c r="J196" s="606">
        <f>'Future Fund  Inc Exp Statement'!J196+'Gen Fund  Inc Exp Statement'!J200</f>
        <v>0</v>
      </c>
      <c r="K196" s="606">
        <f>'Future Fund  Inc Exp Statement'!K196+'Gen Fund  Inc Exp Statement'!K200</f>
        <v>0</v>
      </c>
      <c r="L196" s="606">
        <f>'Future Fund  Inc Exp Statement'!L196+'Gen Fund  Inc Exp Statement'!L200</f>
        <v>0</v>
      </c>
      <c r="M196" s="606">
        <f>'Future Fund  Inc Exp Statement'!M196+'Gen Fund  Inc Exp Statement'!M200</f>
        <v>0</v>
      </c>
      <c r="N196" s="606">
        <f>'Future Fund  Inc Exp Statement'!N196+'Gen Fund  Inc Exp Statement'!N200</f>
        <v>0</v>
      </c>
      <c r="O196" s="606">
        <f>'Future Fund  Inc Exp Statement'!O196+'Gen Fund  Inc Exp Statement'!O200</f>
        <v>0</v>
      </c>
      <c r="P196" s="606">
        <f>'Future Fund  Inc Exp Statement'!P196+'Gen Fund  Inc Exp Statement'!P200</f>
        <v>0</v>
      </c>
    </row>
    <row r="197" spans="1:28" ht="11.25" hidden="1" outlineLevel="1" x14ac:dyDescent="0.2">
      <c r="A197" s="604" t="s">
        <v>1082</v>
      </c>
      <c r="B197" s="621"/>
      <c r="C197" s="621"/>
      <c r="D197" s="606">
        <f t="shared" si="118"/>
        <v>0</v>
      </c>
      <c r="E197" s="606">
        <f t="shared" si="118"/>
        <v>0</v>
      </c>
      <c r="F197" s="606">
        <f>'Future Fund  Inc Exp Statement'!F197+'Gen Fund  Inc Exp Statement'!F201</f>
        <v>0</v>
      </c>
      <c r="G197" s="606">
        <f>'Future Fund  Inc Exp Statement'!G197+'Gen Fund  Inc Exp Statement'!G201</f>
        <v>7827.9979999999996</v>
      </c>
      <c r="H197" s="606">
        <f>'Future Fund  Inc Exp Statement'!H197+'Gen Fund  Inc Exp Statement'!H201</f>
        <v>12264.567300000001</v>
      </c>
      <c r="I197" s="606">
        <f>'Future Fund  Inc Exp Statement'!I197+'Gen Fund  Inc Exp Statement'!I201</f>
        <v>8940.2783949999994</v>
      </c>
      <c r="J197" s="606">
        <f>'Future Fund  Inc Exp Statement'!J197+'Gen Fund  Inc Exp Statement'!J201</f>
        <v>8916.9354048749992</v>
      </c>
      <c r="K197" s="606">
        <f>'Future Fund  Inc Exp Statement'!K197+'Gen Fund  Inc Exp Statement'!K201</f>
        <v>9095.2741129725</v>
      </c>
      <c r="L197" s="606">
        <f>'Future Fund  Inc Exp Statement'!L197+'Gen Fund  Inc Exp Statement'!L201</f>
        <v>9277.1795952319499</v>
      </c>
      <c r="M197" s="606">
        <f>'Future Fund  Inc Exp Statement'!M197+'Gen Fund  Inc Exp Statement'!M201</f>
        <v>9462.7231871365893</v>
      </c>
      <c r="N197" s="606">
        <f>'Future Fund  Inc Exp Statement'!N197+'Gen Fund  Inc Exp Statement'!N201</f>
        <v>9651.977650879322</v>
      </c>
      <c r="O197" s="606">
        <f>'Future Fund  Inc Exp Statement'!O197+'Gen Fund  Inc Exp Statement'!O201</f>
        <v>9845.0172038969085</v>
      </c>
      <c r="P197" s="606">
        <f>'Future Fund  Inc Exp Statement'!P197+'Gen Fund  Inc Exp Statement'!P201</f>
        <v>10041.917547974846</v>
      </c>
      <c r="Q197" s="599" t="s">
        <v>32</v>
      </c>
    </row>
    <row r="198" spans="1:28" ht="11.25" hidden="1" outlineLevel="1" x14ac:dyDescent="0.2">
      <c r="A198" s="604" t="s">
        <v>1083</v>
      </c>
      <c r="B198" s="621"/>
      <c r="C198" s="621"/>
      <c r="D198" s="606">
        <f t="shared" si="118"/>
        <v>0</v>
      </c>
      <c r="E198" s="606">
        <f t="shared" si="118"/>
        <v>0</v>
      </c>
      <c r="F198" s="606">
        <f>'Future Fund  Inc Exp Statement'!F198+'Gen Fund  Inc Exp Statement'!F202</f>
        <v>570.28700000000003</v>
      </c>
      <c r="G198" s="606">
        <f>'Future Fund  Inc Exp Statement'!G198+'Gen Fund  Inc Exp Statement'!G202</f>
        <v>621.83900000000006</v>
      </c>
      <c r="H198" s="606">
        <f>'Future Fund  Inc Exp Statement'!H198+'Gen Fund  Inc Exp Statement'!H202</f>
        <v>555.48599999999999</v>
      </c>
      <c r="I198" s="606">
        <f>'Future Fund  Inc Exp Statement'!I198+'Gen Fund  Inc Exp Statement'!I202</f>
        <v>672.75099999999998</v>
      </c>
      <c r="J198" s="606">
        <f>'Future Fund  Inc Exp Statement'!J198+'Gen Fund  Inc Exp Statement'!J202</f>
        <v>972.69899999999996</v>
      </c>
      <c r="K198" s="606">
        <f>'Future Fund  Inc Exp Statement'!K198+'Gen Fund  Inc Exp Statement'!K202</f>
        <v>992.15297999999996</v>
      </c>
      <c r="L198" s="606">
        <f>'Future Fund  Inc Exp Statement'!L198+'Gen Fund  Inc Exp Statement'!L202</f>
        <v>1011.9960396</v>
      </c>
      <c r="M198" s="606">
        <f>'Future Fund  Inc Exp Statement'!M198+'Gen Fund  Inc Exp Statement'!M202</f>
        <v>1032.2359603919999</v>
      </c>
      <c r="N198" s="606">
        <f>'Future Fund  Inc Exp Statement'!N198+'Gen Fund  Inc Exp Statement'!N202</f>
        <v>1052.8806795998401</v>
      </c>
      <c r="O198" s="606">
        <f>'Future Fund  Inc Exp Statement'!O198+'Gen Fund  Inc Exp Statement'!O202</f>
        <v>1073.9382931918369</v>
      </c>
      <c r="P198" s="606">
        <f>'Future Fund  Inc Exp Statement'!P198+'Gen Fund  Inc Exp Statement'!P202</f>
        <v>1095.4170590556737</v>
      </c>
    </row>
    <row r="199" spans="1:28" ht="11.25" hidden="1" outlineLevel="1" x14ac:dyDescent="0.2">
      <c r="A199" s="604" t="s">
        <v>1089</v>
      </c>
      <c r="B199" s="621"/>
      <c r="C199" s="621"/>
      <c r="D199" s="606">
        <f t="shared" si="118"/>
        <v>0</v>
      </c>
      <c r="E199" s="606">
        <f t="shared" si="118"/>
        <v>0</v>
      </c>
      <c r="F199" s="606">
        <f>'Future Fund  Inc Exp Statement'!F199+'Gen Fund  Inc Exp Statement'!F203</f>
        <v>1850.8820000000001</v>
      </c>
      <c r="G199" s="606">
        <f>'Future Fund  Inc Exp Statement'!G199+'Gen Fund  Inc Exp Statement'!G203</f>
        <v>2144.2849999999999</v>
      </c>
      <c r="H199" s="606">
        <f>'Future Fund  Inc Exp Statement'!H199+'Gen Fund  Inc Exp Statement'!H203</f>
        <v>3718.17301</v>
      </c>
      <c r="I199" s="606">
        <f>'Future Fund  Inc Exp Statement'!I199+'Gen Fund  Inc Exp Statement'!I203</f>
        <v>2294.8213903000001</v>
      </c>
      <c r="J199" s="606">
        <f>'Future Fund  Inc Exp Statement'!J199+'Gen Fund  Inc Exp Statement'!J203</f>
        <v>2374.3454420090002</v>
      </c>
      <c r="K199" s="606">
        <f>'Future Fund  Inc Exp Statement'!K199+'Gen Fund  Inc Exp Statement'!K203</f>
        <v>2421.8323508491803</v>
      </c>
      <c r="L199" s="606">
        <f>'Future Fund  Inc Exp Statement'!L199+'Gen Fund  Inc Exp Statement'!L203</f>
        <v>2470.2689978661638</v>
      </c>
      <c r="M199" s="606">
        <f>'Future Fund  Inc Exp Statement'!M199+'Gen Fund  Inc Exp Statement'!M203</f>
        <v>2519.6743778234872</v>
      </c>
      <c r="N199" s="606">
        <f>'Future Fund  Inc Exp Statement'!N199+'Gen Fund  Inc Exp Statement'!N203</f>
        <v>2570.0678653799569</v>
      </c>
      <c r="O199" s="606">
        <f>'Future Fund  Inc Exp Statement'!O199+'Gen Fund  Inc Exp Statement'!O203</f>
        <v>2621.4692226875559</v>
      </c>
      <c r="P199" s="606">
        <f>'Future Fund  Inc Exp Statement'!P199+'Gen Fund  Inc Exp Statement'!P203</f>
        <v>2673.8986071413069</v>
      </c>
      <c r="S199" s="608"/>
      <c r="T199" s="608"/>
      <c r="U199" s="608"/>
      <c r="V199" s="608"/>
      <c r="W199" s="608"/>
      <c r="X199" s="608"/>
      <c r="Y199" s="608"/>
      <c r="Z199" s="608"/>
      <c r="AA199" s="608"/>
      <c r="AB199" s="608"/>
    </row>
    <row r="200" spans="1:28" ht="11.25" hidden="1" outlineLevel="1" x14ac:dyDescent="0.2">
      <c r="A200" s="604"/>
      <c r="B200" s="621"/>
      <c r="C200" s="621"/>
      <c r="D200" s="771">
        <f>SUM(D195:D199)</f>
        <v>0</v>
      </c>
      <c r="E200" s="771">
        <f t="shared" ref="E200:P200" si="119">SUM(E195:E199)</f>
        <v>0</v>
      </c>
      <c r="F200" s="771">
        <f t="shared" si="119"/>
        <v>23741.591</v>
      </c>
      <c r="G200" s="771">
        <f t="shared" si="119"/>
        <v>13194.936</v>
      </c>
      <c r="H200" s="771">
        <f t="shared" si="119"/>
        <v>35844.750810000005</v>
      </c>
      <c r="I200" s="771">
        <f t="shared" si="119"/>
        <v>28070.745785299998</v>
      </c>
      <c r="J200" s="771">
        <f t="shared" si="119"/>
        <v>14329.577846884</v>
      </c>
      <c r="K200" s="771">
        <f t="shared" si="119"/>
        <v>14616.169403821681</v>
      </c>
      <c r="L200" s="771">
        <f t="shared" si="119"/>
        <v>14908.492791898116</v>
      </c>
      <c r="M200" s="771">
        <f t="shared" si="119"/>
        <v>15206.662647736077</v>
      </c>
      <c r="N200" s="771">
        <f t="shared" si="119"/>
        <v>15510.7959006908</v>
      </c>
      <c r="O200" s="771">
        <f t="shared" si="119"/>
        <v>15821.011818704616</v>
      </c>
      <c r="P200" s="771">
        <f t="shared" si="119"/>
        <v>16137.432055078707</v>
      </c>
    </row>
    <row r="201" spans="1:28" s="608" customFormat="1" ht="11.25" hidden="1" outlineLevel="1" x14ac:dyDescent="0.2">
      <c r="A201" s="623" t="s">
        <v>1084</v>
      </c>
      <c r="B201" s="621"/>
      <c r="C201" s="621"/>
      <c r="D201" s="621"/>
      <c r="E201" s="621"/>
      <c r="F201" s="621"/>
      <c r="G201" s="621"/>
      <c r="H201" s="621"/>
      <c r="I201" s="621"/>
      <c r="J201" s="621"/>
      <c r="K201" s="621"/>
      <c r="L201" s="621"/>
      <c r="M201" s="621"/>
      <c r="N201" s="621"/>
      <c r="O201" s="621"/>
      <c r="P201" s="621"/>
      <c r="S201" s="599"/>
      <c r="T201" s="599"/>
      <c r="U201" s="599"/>
      <c r="V201" s="599"/>
      <c r="W201" s="599"/>
      <c r="X201" s="599"/>
      <c r="Y201" s="599"/>
      <c r="Z201" s="599"/>
      <c r="AA201" s="599"/>
      <c r="AB201" s="599"/>
    </row>
    <row r="202" spans="1:28" ht="11.25" hidden="1" outlineLevel="1" x14ac:dyDescent="0.2">
      <c r="A202" s="604" t="s">
        <v>931</v>
      </c>
      <c r="B202" s="621"/>
      <c r="C202" s="621"/>
      <c r="D202" s="606">
        <f t="shared" ref="D202:E205" si="120">D133</f>
        <v>0</v>
      </c>
      <c r="E202" s="606">
        <f t="shared" si="120"/>
        <v>0</v>
      </c>
      <c r="F202" s="606">
        <f>'Future Fund  Inc Exp Statement'!F202+'Gen Fund  Inc Exp Statement'!F206</f>
        <v>30</v>
      </c>
      <c r="G202" s="606">
        <f>'Future Fund  Inc Exp Statement'!G202+'Gen Fund  Inc Exp Statement'!G206</f>
        <v>1031.97</v>
      </c>
      <c r="H202" s="606">
        <f>'Future Fund  Inc Exp Statement'!H202+'Gen Fund  Inc Exp Statement'!H206</f>
        <v>1377.8109999999999</v>
      </c>
      <c r="I202" s="606">
        <f>'Future Fund  Inc Exp Statement'!I202+'Gen Fund  Inc Exp Statement'!I206</f>
        <v>1783.6930000000002</v>
      </c>
      <c r="J202" s="606">
        <f>'Future Fund  Inc Exp Statement'!J202+'Gen Fund  Inc Exp Statement'!J206</f>
        <v>734.09999999999991</v>
      </c>
      <c r="K202" s="606">
        <f>'Future Fund  Inc Exp Statement'!K202+'Gen Fund  Inc Exp Statement'!K206</f>
        <v>-77.876188697657653</v>
      </c>
      <c r="L202" s="606">
        <f>'Future Fund  Inc Exp Statement'!L202+'Gen Fund  Inc Exp Statement'!L206</f>
        <v>-36.275379572527527</v>
      </c>
      <c r="M202" s="606">
        <f>'Future Fund  Inc Exp Statement'!M202+'Gen Fund  Inc Exp Statement'!M206</f>
        <v>-391.44416585249473</v>
      </c>
      <c r="N202" s="606">
        <f>'Future Fund  Inc Exp Statement'!N202+'Gen Fund  Inc Exp Statement'!N206</f>
        <v>-369.90554512448125</v>
      </c>
      <c r="O202" s="606">
        <f>'Future Fund  Inc Exp Statement'!O202+'Gen Fund  Inc Exp Statement'!O206</f>
        <v>-1645.0010839571355</v>
      </c>
      <c r="P202" s="606">
        <f>'Future Fund  Inc Exp Statement'!P202+'Gen Fund  Inc Exp Statement'!P206</f>
        <v>-3711.8374708079182</v>
      </c>
    </row>
    <row r="203" spans="1:28" ht="11.25" hidden="1" outlineLevel="1" x14ac:dyDescent="0.2">
      <c r="A203" s="604" t="s">
        <v>244</v>
      </c>
      <c r="B203" s="621"/>
      <c r="C203" s="621"/>
      <c r="D203" s="606">
        <f t="shared" si="120"/>
        <v>0</v>
      </c>
      <c r="E203" s="606">
        <f t="shared" si="120"/>
        <v>0</v>
      </c>
      <c r="F203" s="606">
        <f>'Future Fund  Inc Exp Statement'!F203+'Gen Fund  Inc Exp Statement'!F207</f>
        <v>1554.0070000000001</v>
      </c>
      <c r="G203" s="606">
        <f>'Future Fund  Inc Exp Statement'!G203+'Gen Fund  Inc Exp Statement'!G207</f>
        <v>1981.9670000000001</v>
      </c>
      <c r="H203" s="606">
        <f>'Future Fund  Inc Exp Statement'!H203+'Gen Fund  Inc Exp Statement'!H207</f>
        <v>2036.7460100000001</v>
      </c>
      <c r="I203" s="606">
        <f>'Future Fund  Inc Exp Statement'!I203+'Gen Fund  Inc Exp Statement'!I207</f>
        <v>2093.1683903000003</v>
      </c>
      <c r="J203" s="606">
        <f>'Future Fund  Inc Exp Statement'!J203+'Gen Fund  Inc Exp Statement'!J207</f>
        <v>2151.2834420090003</v>
      </c>
      <c r="K203" s="606">
        <f>'Future Fund  Inc Exp Statement'!K203+'Gen Fund  Inc Exp Statement'!K207</f>
        <v>2194.3091108491803</v>
      </c>
      <c r="L203" s="606">
        <f>'Future Fund  Inc Exp Statement'!L203+'Gen Fund  Inc Exp Statement'!L207</f>
        <v>2238.1952930661641</v>
      </c>
      <c r="M203" s="606">
        <f>'Future Fund  Inc Exp Statement'!M203+'Gen Fund  Inc Exp Statement'!M207</f>
        <v>2282.9591989274873</v>
      </c>
      <c r="N203" s="606">
        <f>'Future Fund  Inc Exp Statement'!N203+'Gen Fund  Inc Exp Statement'!N207</f>
        <v>2328.6183829060369</v>
      </c>
      <c r="O203" s="606">
        <f>'Future Fund  Inc Exp Statement'!O203+'Gen Fund  Inc Exp Statement'!O207</f>
        <v>2375.1907505641575</v>
      </c>
      <c r="P203" s="606">
        <f>'Future Fund  Inc Exp Statement'!P203+'Gen Fund  Inc Exp Statement'!P207</f>
        <v>2422.6945655754407</v>
      </c>
    </row>
    <row r="204" spans="1:28" ht="11.25" hidden="1" outlineLevel="1" x14ac:dyDescent="0.2">
      <c r="A204" s="604" t="s">
        <v>1085</v>
      </c>
      <c r="B204" s="621"/>
      <c r="C204" s="621"/>
      <c r="D204" s="606">
        <f t="shared" si="120"/>
        <v>0</v>
      </c>
      <c r="E204" s="606">
        <f t="shared" si="120"/>
        <v>0</v>
      </c>
      <c r="F204" s="606">
        <f>'Future Fund  Inc Exp Statement'!F204+'Gen Fund  Inc Exp Statement'!F208</f>
        <v>1266</v>
      </c>
      <c r="G204" s="606">
        <f>'Future Fund  Inc Exp Statement'!G204+'Gen Fund  Inc Exp Statement'!G208</f>
        <v>1741</v>
      </c>
      <c r="H204" s="606">
        <f>'Future Fund  Inc Exp Statement'!H204+'Gen Fund  Inc Exp Statement'!H208</f>
        <v>1741</v>
      </c>
      <c r="I204" s="606">
        <f>'Future Fund  Inc Exp Statement'!I204+'Gen Fund  Inc Exp Statement'!I208</f>
        <v>5241</v>
      </c>
      <c r="J204" s="606">
        <f>'Future Fund  Inc Exp Statement'!J204+'Gen Fund  Inc Exp Statement'!J208</f>
        <v>1741</v>
      </c>
      <c r="K204" s="606">
        <f>'Future Fund  Inc Exp Statement'!K204+'Gen Fund  Inc Exp Statement'!K208</f>
        <v>1775.82</v>
      </c>
      <c r="L204" s="606">
        <f>'Future Fund  Inc Exp Statement'!L204+'Gen Fund  Inc Exp Statement'!L208</f>
        <v>1811.3363999999999</v>
      </c>
      <c r="M204" s="606">
        <f>'Future Fund  Inc Exp Statement'!M204+'Gen Fund  Inc Exp Statement'!M208</f>
        <v>1847.563128</v>
      </c>
      <c r="N204" s="606">
        <f>'Future Fund  Inc Exp Statement'!N204+'Gen Fund  Inc Exp Statement'!N208</f>
        <v>1884.51439056</v>
      </c>
      <c r="O204" s="606">
        <f>'Future Fund  Inc Exp Statement'!O204+'Gen Fund  Inc Exp Statement'!O208</f>
        <v>1922.2046783712001</v>
      </c>
      <c r="P204" s="606">
        <f>'Future Fund  Inc Exp Statement'!P204+'Gen Fund  Inc Exp Statement'!P208</f>
        <v>1960.6487719386241</v>
      </c>
    </row>
    <row r="205" spans="1:28" ht="11.25" hidden="1" outlineLevel="1" x14ac:dyDescent="0.2">
      <c r="A205" s="604" t="s">
        <v>1086</v>
      </c>
      <c r="B205" s="621"/>
      <c r="C205" s="621"/>
      <c r="D205" s="606">
        <f t="shared" si="120"/>
        <v>0</v>
      </c>
      <c r="E205" s="606">
        <f t="shared" si="120"/>
        <v>0</v>
      </c>
      <c r="F205" s="606">
        <f>'Future Fund  Inc Exp Statement'!F205+'Gen Fund  Inc Exp Statement'!F209</f>
        <v>78</v>
      </c>
      <c r="G205" s="606">
        <f>'Future Fund  Inc Exp Statement'!G205+'Gen Fund  Inc Exp Statement'!G209</f>
        <v>65</v>
      </c>
      <c r="H205" s="606">
        <f>'Future Fund  Inc Exp Statement'!H205+'Gen Fund  Inc Exp Statement'!H209</f>
        <v>66.625</v>
      </c>
      <c r="I205" s="606">
        <f>'Future Fund  Inc Exp Statement'!I205+'Gen Fund  Inc Exp Statement'!I209</f>
        <v>68.290625000000006</v>
      </c>
      <c r="J205" s="606">
        <f>'Future Fund  Inc Exp Statement'!J205+'Gen Fund  Inc Exp Statement'!J209</f>
        <v>69.997890624999997</v>
      </c>
      <c r="K205" s="606">
        <f>'Future Fund  Inc Exp Statement'!K205+'Gen Fund  Inc Exp Statement'!K209</f>
        <v>71.397848437500002</v>
      </c>
      <c r="L205" s="606">
        <f>'Future Fund  Inc Exp Statement'!L205+'Gen Fund  Inc Exp Statement'!L209</f>
        <v>72.825805406249998</v>
      </c>
      <c r="M205" s="606">
        <f>'Future Fund  Inc Exp Statement'!M205+'Gen Fund  Inc Exp Statement'!M209</f>
        <v>74.282321514374999</v>
      </c>
      <c r="N205" s="606">
        <f>'Future Fund  Inc Exp Statement'!N205+'Gen Fund  Inc Exp Statement'!N209</f>
        <v>75.767967944662502</v>
      </c>
      <c r="O205" s="606">
        <f>'Future Fund  Inc Exp Statement'!O205+'Gen Fund  Inc Exp Statement'!O209</f>
        <v>77.283327303555751</v>
      </c>
      <c r="P205" s="606">
        <f>'Future Fund  Inc Exp Statement'!P205+'Gen Fund  Inc Exp Statement'!P209</f>
        <v>78.828993849626869</v>
      </c>
    </row>
    <row r="206" spans="1:28" ht="11.25" hidden="1" outlineLevel="1" x14ac:dyDescent="0.2">
      <c r="A206" s="604" t="s">
        <v>33</v>
      </c>
      <c r="B206" s="621">
        <f>+B171</f>
        <v>0</v>
      </c>
      <c r="C206" s="621">
        <f>C171</f>
        <v>0</v>
      </c>
      <c r="D206" s="621">
        <f>D171</f>
        <v>0</v>
      </c>
      <c r="E206" s="621">
        <f>E62</f>
        <v>7182</v>
      </c>
      <c r="F206" s="606">
        <f>'Future Fund  Inc Exp Statement'!F206+'Gen Fund  Inc Exp Statement'!F210</f>
        <v>8510.6460000000006</v>
      </c>
      <c r="G206" s="606">
        <f>'Future Fund  Inc Exp Statement'!G206+'Gen Fund  Inc Exp Statement'!G210</f>
        <v>7625.4650000000001</v>
      </c>
      <c r="H206" s="606">
        <f>'Future Fund  Inc Exp Statement'!H206+'Gen Fund  Inc Exp Statement'!H210</f>
        <v>7756.7839999999997</v>
      </c>
      <c r="I206" s="606">
        <f>'Future Fund  Inc Exp Statement'!I206+'Gen Fund  Inc Exp Statement'!I210</f>
        <v>8074.7730000000001</v>
      </c>
      <c r="J206" s="606">
        <f>'Future Fund  Inc Exp Statement'!J206+'Gen Fund  Inc Exp Statement'!J210</f>
        <v>8631.0789999999997</v>
      </c>
      <c r="K206" s="606">
        <f>'Future Fund  Inc Exp Statement'!K206+'Gen Fund  Inc Exp Statement'!K210</f>
        <v>8846.8559749999986</v>
      </c>
      <c r="L206" s="606">
        <f>'Future Fund  Inc Exp Statement'!L206+'Gen Fund  Inc Exp Statement'!L210</f>
        <v>9068.0273743749985</v>
      </c>
      <c r="M206" s="606">
        <f>'Future Fund  Inc Exp Statement'!M206+'Gen Fund  Inc Exp Statement'!M210</f>
        <v>9294.7280587343721</v>
      </c>
      <c r="N206" s="606">
        <f>'Future Fund  Inc Exp Statement'!N206+'Gen Fund  Inc Exp Statement'!N210</f>
        <v>9527.0962602027321</v>
      </c>
      <c r="O206" s="606">
        <f>'Future Fund  Inc Exp Statement'!O206+'Gen Fund  Inc Exp Statement'!O210</f>
        <v>9765.2736667077988</v>
      </c>
      <c r="P206" s="606">
        <f>'Future Fund  Inc Exp Statement'!P206+'Gen Fund  Inc Exp Statement'!P210</f>
        <v>10009.405508375494</v>
      </c>
    </row>
    <row r="207" spans="1:28" ht="11.25" hidden="1" outlineLevel="1" x14ac:dyDescent="0.2">
      <c r="A207" s="604" t="s">
        <v>22</v>
      </c>
      <c r="B207" s="621"/>
      <c r="C207" s="621"/>
      <c r="D207" s="606">
        <f t="shared" ref="D207:E209" si="121">D138</f>
        <v>0</v>
      </c>
      <c r="E207" s="606">
        <f t="shared" si="121"/>
        <v>0</v>
      </c>
      <c r="F207" s="606">
        <f>'Future Fund  Inc Exp Statement'!F207+'Gen Fund  Inc Exp Statement'!F211</f>
        <v>2262.9380000000001</v>
      </c>
      <c r="G207" s="606">
        <f>'Future Fund  Inc Exp Statement'!G207+'Gen Fund  Inc Exp Statement'!G211</f>
        <v>550</v>
      </c>
      <c r="H207" s="606">
        <f>'Future Fund  Inc Exp Statement'!H207+'Gen Fund  Inc Exp Statement'!H211</f>
        <v>11000</v>
      </c>
      <c r="I207" s="606">
        <f>'Future Fund  Inc Exp Statement'!I207+'Gen Fund  Inc Exp Statement'!I211</f>
        <v>0</v>
      </c>
      <c r="J207" s="606">
        <f>'Future Fund  Inc Exp Statement'!J207+'Gen Fund  Inc Exp Statement'!J211</f>
        <v>0</v>
      </c>
      <c r="K207" s="606">
        <f>'Future Fund  Inc Exp Statement'!K207+'Gen Fund  Inc Exp Statement'!K211</f>
        <v>2200</v>
      </c>
      <c r="L207" s="606">
        <f>'Future Fund  Inc Exp Statement'!L207+'Gen Fund  Inc Exp Statement'!L211</f>
        <v>2244</v>
      </c>
      <c r="M207" s="606">
        <f>'Future Fund  Inc Exp Statement'!M207+'Gen Fund  Inc Exp Statement'!M211</f>
        <v>2288.88</v>
      </c>
      <c r="N207" s="606">
        <f>'Future Fund  Inc Exp Statement'!N207+'Gen Fund  Inc Exp Statement'!N211</f>
        <v>2334.6576</v>
      </c>
      <c r="O207" s="606">
        <f>'Future Fund  Inc Exp Statement'!O207+'Gen Fund  Inc Exp Statement'!O211</f>
        <v>2381.3507520000003</v>
      </c>
      <c r="P207" s="606">
        <f>'Future Fund  Inc Exp Statement'!P207+'Gen Fund  Inc Exp Statement'!P211</f>
        <v>2428.9777670400003</v>
      </c>
    </row>
    <row r="208" spans="1:28" ht="11.25" hidden="1" outlineLevel="1" x14ac:dyDescent="0.2">
      <c r="A208" s="604" t="s">
        <v>1087</v>
      </c>
      <c r="B208" s="621"/>
      <c r="C208" s="621"/>
      <c r="D208" s="606">
        <f t="shared" si="121"/>
        <v>0</v>
      </c>
      <c r="E208" s="606">
        <f t="shared" si="121"/>
        <v>0</v>
      </c>
      <c r="F208" s="606">
        <f>'Future Fund  Inc Exp Statement'!F208+'Gen Fund  Inc Exp Statement'!F212</f>
        <v>10000</v>
      </c>
      <c r="G208" s="606">
        <f>'Future Fund  Inc Exp Statement'!G208+'Gen Fund  Inc Exp Statement'!G212</f>
        <v>0</v>
      </c>
      <c r="H208" s="606">
        <f>'Future Fund  Inc Exp Statement'!H208+'Gen Fund  Inc Exp Statement'!H212</f>
        <v>10500</v>
      </c>
      <c r="I208" s="606">
        <f>'Future Fund  Inc Exp Statement'!I208+'Gen Fund  Inc Exp Statement'!I212</f>
        <v>11000</v>
      </c>
      <c r="J208" s="606">
        <f>'Future Fund  Inc Exp Statement'!J208+'Gen Fund  Inc Exp Statement'!J212</f>
        <v>0</v>
      </c>
      <c r="K208" s="606">
        <f>'Future Fund  Inc Exp Statement'!K208+'Gen Fund  Inc Exp Statement'!K212</f>
        <v>0</v>
      </c>
      <c r="L208" s="606">
        <f>'Future Fund  Inc Exp Statement'!L208+'Gen Fund  Inc Exp Statement'!L212</f>
        <v>0</v>
      </c>
      <c r="M208" s="606">
        <f>'Future Fund  Inc Exp Statement'!M208+'Gen Fund  Inc Exp Statement'!M212</f>
        <v>0</v>
      </c>
      <c r="N208" s="606">
        <f>'Future Fund  Inc Exp Statement'!N208+'Gen Fund  Inc Exp Statement'!N212</f>
        <v>0</v>
      </c>
      <c r="O208" s="606">
        <f>'Future Fund  Inc Exp Statement'!O208+'Gen Fund  Inc Exp Statement'!O212</f>
        <v>0</v>
      </c>
      <c r="P208" s="606">
        <f>'Future Fund  Inc Exp Statement'!P208+'Gen Fund  Inc Exp Statement'!P212</f>
        <v>0</v>
      </c>
    </row>
    <row r="209" spans="1:16" ht="11.25" hidden="1" outlineLevel="1" x14ac:dyDescent="0.2">
      <c r="A209" s="604" t="s">
        <v>1344</v>
      </c>
      <c r="B209" s="621"/>
      <c r="C209" s="621"/>
      <c r="D209" s="606">
        <f t="shared" si="121"/>
        <v>0</v>
      </c>
      <c r="E209" s="606">
        <f t="shared" si="121"/>
        <v>0</v>
      </c>
      <c r="F209" s="606">
        <f>'Future Fund  Inc Exp Statement'!F209+'Gen Fund  Inc Exp Statement'!F213</f>
        <v>70</v>
      </c>
      <c r="G209" s="606">
        <f>'Future Fund  Inc Exp Statement'!G209+'Gen Fund  Inc Exp Statement'!G213</f>
        <v>70</v>
      </c>
      <c r="H209" s="606">
        <f>'Future Fund  Inc Exp Statement'!H209+'Gen Fund  Inc Exp Statement'!H213</f>
        <v>1570</v>
      </c>
      <c r="I209" s="606">
        <f>'Future Fund  Inc Exp Statement'!I209+'Gen Fund  Inc Exp Statement'!I213</f>
        <v>70</v>
      </c>
      <c r="J209" s="606">
        <f>'Future Fund  Inc Exp Statement'!J209+'Gen Fund  Inc Exp Statement'!J213</f>
        <v>70</v>
      </c>
      <c r="K209" s="606">
        <f>'Future Fund  Inc Exp Statement'!K209+'Gen Fund  Inc Exp Statement'!K213</f>
        <v>71.400000000000006</v>
      </c>
      <c r="L209" s="606">
        <f>'Future Fund  Inc Exp Statement'!L209+'Gen Fund  Inc Exp Statement'!L213</f>
        <v>72.828000000000003</v>
      </c>
      <c r="M209" s="606">
        <f>'Future Fund  Inc Exp Statement'!M209+'Gen Fund  Inc Exp Statement'!M213</f>
        <v>74.284559999999999</v>
      </c>
      <c r="N209" s="606">
        <f>'Future Fund  Inc Exp Statement'!N209+'Gen Fund  Inc Exp Statement'!N213</f>
        <v>75.770251200000004</v>
      </c>
      <c r="O209" s="606">
        <f>'Future Fund  Inc Exp Statement'!O209+'Gen Fund  Inc Exp Statement'!O213</f>
        <v>77.285656224000007</v>
      </c>
      <c r="P209" s="606">
        <f>'Future Fund  Inc Exp Statement'!P209+'Gen Fund  Inc Exp Statement'!P213</f>
        <v>78.83136934848001</v>
      </c>
    </row>
    <row r="210" spans="1:16" ht="11.25" hidden="1" outlineLevel="1" x14ac:dyDescent="0.2">
      <c r="A210" s="604"/>
      <c r="B210" s="621"/>
      <c r="C210" s="621"/>
      <c r="D210" s="771">
        <f t="shared" ref="D210:P210" si="122">SUM(D202:D209)</f>
        <v>0</v>
      </c>
      <c r="E210" s="771">
        <f t="shared" si="122"/>
        <v>7182</v>
      </c>
      <c r="F210" s="771">
        <f t="shared" si="122"/>
        <v>23771.591</v>
      </c>
      <c r="G210" s="771">
        <f t="shared" si="122"/>
        <v>13065.402</v>
      </c>
      <c r="H210" s="771">
        <f t="shared" si="122"/>
        <v>36048.966010000004</v>
      </c>
      <c r="I210" s="771">
        <f t="shared" si="122"/>
        <v>28330.925015299999</v>
      </c>
      <c r="J210" s="771">
        <f t="shared" si="122"/>
        <v>13397.460332634</v>
      </c>
      <c r="K210" s="771">
        <f t="shared" si="122"/>
        <v>15081.90674558902</v>
      </c>
      <c r="L210" s="771">
        <f t="shared" si="122"/>
        <v>15470.937493274885</v>
      </c>
      <c r="M210" s="771">
        <f t="shared" si="122"/>
        <v>15471.253101323739</v>
      </c>
      <c r="N210" s="771">
        <f t="shared" si="122"/>
        <v>15856.51930768895</v>
      </c>
      <c r="O210" s="771">
        <f t="shared" si="122"/>
        <v>14953.587747213576</v>
      </c>
      <c r="P210" s="771">
        <f t="shared" si="122"/>
        <v>13267.549505319746</v>
      </c>
    </row>
    <row r="211" spans="1:16" ht="11.25" hidden="1" outlineLevel="1" x14ac:dyDescent="0.2">
      <c r="A211" s="599"/>
      <c r="B211" s="621"/>
      <c r="C211" s="621"/>
      <c r="D211" s="622"/>
      <c r="E211" s="622"/>
      <c r="F211" s="622"/>
      <c r="G211" s="622"/>
      <c r="H211" s="622"/>
      <c r="I211" s="622"/>
      <c r="J211" s="624"/>
      <c r="K211" s="624"/>
      <c r="L211" s="624"/>
      <c r="M211" s="624"/>
      <c r="N211" s="624"/>
      <c r="O211" s="624"/>
      <c r="P211" s="624"/>
    </row>
    <row r="212" spans="1:16" ht="11.25" hidden="1" outlineLevel="1" x14ac:dyDescent="0.2">
      <c r="A212" s="604"/>
      <c r="B212" s="621"/>
      <c r="C212" s="621"/>
      <c r="D212" s="621"/>
      <c r="E212" s="621"/>
      <c r="F212" s="621"/>
      <c r="G212" s="621"/>
      <c r="H212" s="621"/>
      <c r="I212" s="621"/>
      <c r="J212" s="621"/>
      <c r="K212" s="621"/>
      <c r="L212" s="621"/>
      <c r="M212" s="621"/>
      <c r="N212" s="621"/>
      <c r="O212" s="621"/>
      <c r="P212" s="621"/>
    </row>
    <row r="213" spans="1:16" ht="11.25" hidden="1" outlineLevel="1" x14ac:dyDescent="0.2">
      <c r="A213" s="604" t="s">
        <v>34</v>
      </c>
      <c r="B213" s="621">
        <f>+B182+SUM(B195:B212)</f>
        <v>0</v>
      </c>
      <c r="C213" s="621">
        <f>+C182+SUM(C195:C212)</f>
        <v>0</v>
      </c>
      <c r="D213" s="625">
        <f>D210-D200</f>
        <v>0</v>
      </c>
      <c r="E213" s="625">
        <f t="shared" ref="E213:P213" si="123">E210-E200</f>
        <v>7182</v>
      </c>
      <c r="F213" s="625">
        <f t="shared" si="123"/>
        <v>30</v>
      </c>
      <c r="G213" s="625">
        <f t="shared" si="123"/>
        <v>-129.53399999999965</v>
      </c>
      <c r="H213" s="625">
        <f t="shared" si="123"/>
        <v>204.21519999999873</v>
      </c>
      <c r="I213" s="625">
        <f t="shared" si="123"/>
        <v>260.17923000000155</v>
      </c>
      <c r="J213" s="625">
        <f t="shared" si="123"/>
        <v>-932.11751424999966</v>
      </c>
      <c r="K213" s="625">
        <f t="shared" si="123"/>
        <v>465.73734176733888</v>
      </c>
      <c r="L213" s="625">
        <f t="shared" si="123"/>
        <v>562.44470137676944</v>
      </c>
      <c r="M213" s="625">
        <f t="shared" si="123"/>
        <v>264.59045358766161</v>
      </c>
      <c r="N213" s="625">
        <f t="shared" si="123"/>
        <v>345.72340699814958</v>
      </c>
      <c r="O213" s="625">
        <f t="shared" si="123"/>
        <v>-867.42407149103929</v>
      </c>
      <c r="P213" s="625">
        <f t="shared" si="123"/>
        <v>-2869.8825497589605</v>
      </c>
    </row>
    <row r="214" spans="1:16" ht="11.25" hidden="1" outlineLevel="1" x14ac:dyDescent="0.2">
      <c r="A214" s="600" t="s">
        <v>451</v>
      </c>
      <c r="C214" s="606">
        <f>B215</f>
        <v>0</v>
      </c>
      <c r="D214" s="606">
        <f t="shared" ref="D214" si="124">C215</f>
        <v>0</v>
      </c>
      <c r="E214" s="606">
        <f t="shared" ref="E214" si="125">D215</f>
        <v>0</v>
      </c>
      <c r="F214" s="606">
        <v>0</v>
      </c>
      <c r="G214" s="606">
        <f t="shared" ref="G214" si="126">F215</f>
        <v>30</v>
      </c>
      <c r="H214" s="606">
        <f t="shared" ref="H214" si="127">G215</f>
        <v>-99.533999999999651</v>
      </c>
      <c r="I214" s="606">
        <f t="shared" ref="I214" si="128">H215</f>
        <v>104.68119999999908</v>
      </c>
      <c r="J214" s="606">
        <f t="shared" ref="J214" si="129">I215</f>
        <v>364.86043000000063</v>
      </c>
      <c r="K214" s="606">
        <f t="shared" ref="K214" si="130">J215</f>
        <v>-567.25708424999902</v>
      </c>
      <c r="L214" s="606">
        <f t="shared" ref="L214" si="131">K215</f>
        <v>-101.51974248266015</v>
      </c>
      <c r="M214" s="606">
        <f t="shared" ref="M214" si="132">L215</f>
        <v>460.9249588941093</v>
      </c>
      <c r="N214" s="606">
        <f t="shared" ref="N214" si="133">M215</f>
        <v>725.51541248177091</v>
      </c>
      <c r="O214" s="606">
        <f t="shared" ref="O214" si="134">N215</f>
        <v>1071.2388194799205</v>
      </c>
      <c r="P214" s="606">
        <f t="shared" ref="P214" si="135">O215</f>
        <v>203.81474798888121</v>
      </c>
    </row>
    <row r="215" spans="1:16" ht="11.25" hidden="1" outlineLevel="1" x14ac:dyDescent="0.2">
      <c r="A215" s="620" t="s">
        <v>452</v>
      </c>
      <c r="B215" s="626"/>
      <c r="C215" s="627">
        <f>SUM(C213:C214)</f>
        <v>0</v>
      </c>
      <c r="D215" s="627">
        <f t="shared" ref="D215:P215" si="136">SUM(D213:D214)</f>
        <v>0</v>
      </c>
      <c r="E215" s="627">
        <f t="shared" si="136"/>
        <v>7182</v>
      </c>
      <c r="F215" s="627">
        <f t="shared" si="136"/>
        <v>30</v>
      </c>
      <c r="G215" s="627">
        <f t="shared" si="136"/>
        <v>-99.533999999999651</v>
      </c>
      <c r="H215" s="627">
        <f t="shared" si="136"/>
        <v>104.68119999999908</v>
      </c>
      <c r="I215" s="627">
        <f t="shared" si="136"/>
        <v>364.86043000000063</v>
      </c>
      <c r="J215" s="627">
        <f t="shared" si="136"/>
        <v>-567.25708424999902</v>
      </c>
      <c r="K215" s="627">
        <f t="shared" si="136"/>
        <v>-101.51974248266015</v>
      </c>
      <c r="L215" s="627">
        <f t="shared" si="136"/>
        <v>460.9249588941093</v>
      </c>
      <c r="M215" s="627">
        <f t="shared" si="136"/>
        <v>725.51541248177091</v>
      </c>
      <c r="N215" s="627">
        <f t="shared" si="136"/>
        <v>1071.2388194799205</v>
      </c>
      <c r="O215" s="627">
        <f t="shared" si="136"/>
        <v>203.81474798888121</v>
      </c>
      <c r="P215" s="627">
        <f t="shared" si="136"/>
        <v>-2666.0678017700793</v>
      </c>
    </row>
    <row r="216" spans="1:16" collapsed="1" x14ac:dyDescent="0.2"/>
  </sheetData>
  <pageMargins left="0.74803149606299213" right="0.74803149606299213" top="0.6692913385826772" bottom="0.6692913385826772" header="0.51181102362204722" footer="0.51181102362204722"/>
  <pageSetup paperSize="9" scale="84" fitToHeight="0" orientation="landscape" r:id="rId1"/>
  <headerFooter alignWithMargins="0"/>
  <rowBreaks count="2" manualBreakCount="2">
    <brk id="49" max="16383" man="1"/>
    <brk id="147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4"/>
  <sheetViews>
    <sheetView topLeftCell="A52" workbookViewId="0">
      <selection activeCell="D68" sqref="D68"/>
    </sheetView>
  </sheetViews>
  <sheetFormatPr defaultRowHeight="14.4" x14ac:dyDescent="0.3"/>
  <cols>
    <col min="1" max="1" width="25.5546875" customWidth="1"/>
    <col min="2" max="2" width="22" customWidth="1"/>
    <col min="3" max="3" width="13.5546875" style="139" customWidth="1"/>
    <col min="4" max="4" width="14" style="139" customWidth="1"/>
    <col min="5" max="5" width="16.6640625" style="139" customWidth="1"/>
    <col min="6" max="6" width="63.44140625" customWidth="1"/>
  </cols>
  <sheetData>
    <row r="1" spans="1:6" ht="15" x14ac:dyDescent="0.25">
      <c r="C1" s="138"/>
      <c r="D1" s="138"/>
      <c r="E1" s="138"/>
      <c r="F1" s="142"/>
    </row>
    <row r="2" spans="1:6" ht="15" x14ac:dyDescent="0.25">
      <c r="A2" s="270" t="s">
        <v>453</v>
      </c>
      <c r="B2" s="271"/>
      <c r="C2" s="271"/>
      <c r="D2" s="271"/>
      <c r="E2" s="272"/>
      <c r="F2" s="221"/>
    </row>
    <row r="3" spans="1:6" ht="15" x14ac:dyDescent="0.25">
      <c r="A3" s="273"/>
      <c r="B3" s="1563" t="s">
        <v>454</v>
      </c>
      <c r="C3" s="1564"/>
      <c r="D3" s="1565"/>
      <c r="E3" s="274"/>
      <c r="F3" s="221"/>
    </row>
    <row r="4" spans="1:6" ht="15" x14ac:dyDescent="0.25">
      <c r="A4" s="273"/>
      <c r="B4" s="275" t="s">
        <v>455</v>
      </c>
      <c r="C4" s="276" t="s">
        <v>456</v>
      </c>
      <c r="D4" s="276" t="s">
        <v>457</v>
      </c>
      <c r="E4" s="274"/>
      <c r="F4" s="221"/>
    </row>
    <row r="5" spans="1:6" ht="15" x14ac:dyDescent="0.25">
      <c r="A5" s="273" t="s">
        <v>458</v>
      </c>
      <c r="B5" s="277">
        <v>19.617174663473406</v>
      </c>
      <c r="C5" s="277">
        <v>1.6347645552894505</v>
      </c>
      <c r="D5" s="277">
        <v>0.37725335891295014</v>
      </c>
      <c r="E5" s="274"/>
      <c r="F5" s="221"/>
    </row>
    <row r="6" spans="1:6" ht="15" x14ac:dyDescent="0.25">
      <c r="A6" s="273" t="s">
        <v>459</v>
      </c>
      <c r="B6" s="277">
        <v>109.17343123772025</v>
      </c>
      <c r="C6" s="277">
        <v>9.0977859364766882</v>
      </c>
      <c r="D6" s="277">
        <v>2.0994890622638511</v>
      </c>
      <c r="E6" s="274"/>
      <c r="F6" s="221"/>
    </row>
    <row r="7" spans="1:6" ht="15" x14ac:dyDescent="0.25">
      <c r="A7" s="273"/>
      <c r="B7" s="277"/>
      <c r="C7" s="277"/>
      <c r="D7" s="277"/>
      <c r="E7" s="274"/>
      <c r="F7" s="221"/>
    </row>
    <row r="8" spans="1:6" ht="15" x14ac:dyDescent="0.25">
      <c r="A8" s="273" t="s">
        <v>460</v>
      </c>
      <c r="B8" s="277">
        <v>76.770000000000095</v>
      </c>
      <c r="C8" s="277">
        <v>6.397500000000008</v>
      </c>
      <c r="D8" s="277">
        <v>1.4763461538461558</v>
      </c>
      <c r="E8" s="274"/>
      <c r="F8" s="221"/>
    </row>
    <row r="9" spans="1:6" ht="15" x14ac:dyDescent="0.25">
      <c r="A9" s="273" t="s">
        <v>461</v>
      </c>
      <c r="B9" s="277">
        <v>427.20038310412656</v>
      </c>
      <c r="C9" s="277">
        <v>35.600031925343878</v>
      </c>
      <c r="D9" s="277">
        <v>8.2153919827716653</v>
      </c>
      <c r="E9" s="274"/>
      <c r="F9" s="221"/>
    </row>
    <row r="10" spans="1:6" ht="15" x14ac:dyDescent="0.25">
      <c r="A10" s="278"/>
      <c r="B10" s="279"/>
      <c r="C10" s="279"/>
      <c r="D10" s="279"/>
      <c r="E10" s="280"/>
      <c r="F10" s="221"/>
    </row>
    <row r="12" spans="1:6" ht="15.75" thickBot="1" x14ac:dyDescent="0.3">
      <c r="D12" s="140"/>
      <c r="E12" s="137"/>
    </row>
    <row r="13" spans="1:6" ht="15.75" thickTop="1" x14ac:dyDescent="0.25">
      <c r="A13" s="222" t="s">
        <v>462</v>
      </c>
      <c r="B13" s="221"/>
      <c r="C13" s="221"/>
      <c r="D13" s="221"/>
      <c r="E13" s="221"/>
      <c r="F13" s="221"/>
    </row>
    <row r="14" spans="1:6" ht="15" x14ac:dyDescent="0.25">
      <c r="A14" s="221"/>
      <c r="B14" s="221"/>
      <c r="C14" s="221"/>
      <c r="D14" s="221"/>
      <c r="E14" s="221"/>
      <c r="F14" s="221"/>
    </row>
    <row r="15" spans="1:6" ht="15" x14ac:dyDescent="0.25">
      <c r="A15" s="1576" t="s">
        <v>458</v>
      </c>
      <c r="B15" s="1577"/>
      <c r="C15" s="1578"/>
      <c r="D15" s="1579"/>
      <c r="E15" s="224"/>
      <c r="F15" s="221"/>
    </row>
    <row r="16" spans="1:6" x14ac:dyDescent="0.3">
      <c r="A16" s="225"/>
      <c r="B16" s="1580" t="s">
        <v>463</v>
      </c>
      <c r="C16" s="1582" t="s">
        <v>464</v>
      </c>
      <c r="D16" s="1584" t="s">
        <v>465</v>
      </c>
      <c r="E16" s="1586" t="s">
        <v>466</v>
      </c>
      <c r="F16" s="221"/>
    </row>
    <row r="17" spans="1:6" x14ac:dyDescent="0.3">
      <c r="A17" s="226" t="s">
        <v>467</v>
      </c>
      <c r="B17" s="1581"/>
      <c r="C17" s="1583"/>
      <c r="D17" s="1585"/>
      <c r="E17" s="1587"/>
      <c r="F17" s="221"/>
    </row>
    <row r="18" spans="1:6" ht="15" x14ac:dyDescent="0.25">
      <c r="A18" s="227">
        <v>500000</v>
      </c>
      <c r="B18" s="257">
        <v>993.17</v>
      </c>
      <c r="C18" s="252">
        <v>1016.0129099999999</v>
      </c>
      <c r="D18" s="253">
        <v>22.842909999999961</v>
      </c>
      <c r="E18" s="230">
        <v>2.2999999999999961E-2</v>
      </c>
      <c r="F18" s="221"/>
    </row>
    <row r="19" spans="1:6" ht="15" x14ac:dyDescent="0.25">
      <c r="A19" s="227">
        <v>1000000</v>
      </c>
      <c r="B19" s="257">
        <v>1566.34</v>
      </c>
      <c r="C19" s="252">
        <v>1602.3658199999998</v>
      </c>
      <c r="D19" s="253">
        <v>36.02581999999984</v>
      </c>
      <c r="E19" s="230">
        <v>2.2999999999999899E-2</v>
      </c>
      <c r="F19" s="221"/>
    </row>
    <row r="20" spans="1:6" ht="15" x14ac:dyDescent="0.25">
      <c r="A20" s="227">
        <v>1500000</v>
      </c>
      <c r="B20" s="257">
        <v>2139.5100000000002</v>
      </c>
      <c r="C20" s="252">
        <v>2188.7187300000001</v>
      </c>
      <c r="D20" s="253">
        <v>49.208729999999832</v>
      </c>
      <c r="E20" s="230">
        <v>2.299999999999992E-2</v>
      </c>
      <c r="F20" s="221"/>
    </row>
    <row r="21" spans="1:6" ht="15" x14ac:dyDescent="0.25">
      <c r="A21" s="254" t="s">
        <v>468</v>
      </c>
      <c r="B21" s="255">
        <v>852.9206375423239</v>
      </c>
      <c r="C21" s="229">
        <v>872.53781220579731</v>
      </c>
      <c r="D21" s="256">
        <v>19.617174663473406</v>
      </c>
      <c r="E21" s="230">
        <v>2.2999999999999948E-2</v>
      </c>
      <c r="F21" s="222"/>
    </row>
    <row r="22" spans="1:6" ht="15" x14ac:dyDescent="0.25">
      <c r="A22" s="227"/>
      <c r="B22" s="221"/>
      <c r="C22" s="229"/>
      <c r="D22" s="221"/>
      <c r="E22" s="221"/>
      <c r="F22" s="221"/>
    </row>
    <row r="23" spans="1:6" ht="15" x14ac:dyDescent="0.25">
      <c r="A23" s="1576" t="s">
        <v>459</v>
      </c>
      <c r="B23" s="1577"/>
      <c r="C23" s="1578"/>
      <c r="D23" s="1579"/>
      <c r="E23" s="224"/>
      <c r="F23" s="221"/>
    </row>
    <row r="24" spans="1:6" x14ac:dyDescent="0.3">
      <c r="A24" s="225"/>
      <c r="B24" s="1580" t="s">
        <v>463</v>
      </c>
      <c r="C24" s="1582" t="s">
        <v>464</v>
      </c>
      <c r="D24" s="1584" t="s">
        <v>465</v>
      </c>
      <c r="E24" s="1586" t="s">
        <v>466</v>
      </c>
      <c r="F24" s="221"/>
    </row>
    <row r="25" spans="1:6" x14ac:dyDescent="0.3">
      <c r="A25" s="226" t="s">
        <v>467</v>
      </c>
      <c r="B25" s="1581"/>
      <c r="C25" s="1583"/>
      <c r="D25" s="1585"/>
      <c r="E25" s="1587"/>
      <c r="F25" s="221"/>
    </row>
    <row r="26" spans="1:6" ht="15" x14ac:dyDescent="0.25">
      <c r="A26" s="227">
        <v>500000</v>
      </c>
      <c r="B26" s="252">
        <v>2461.4699999999998</v>
      </c>
      <c r="C26" s="252">
        <v>2518.0838099999996</v>
      </c>
      <c r="D26" s="253">
        <v>56.61380999999983</v>
      </c>
      <c r="E26" s="230">
        <v>2.2999999999999934E-2</v>
      </c>
      <c r="F26" s="221"/>
    </row>
    <row r="27" spans="1:6" ht="15" x14ac:dyDescent="0.25">
      <c r="A27" s="227">
        <v>1000000</v>
      </c>
      <c r="B27" s="252">
        <v>4502.9399999999996</v>
      </c>
      <c r="C27" s="252">
        <v>4606.3100000000004</v>
      </c>
      <c r="D27" s="253">
        <v>103.3700000000008</v>
      </c>
      <c r="E27" s="230">
        <v>2.2956113117208049E-2</v>
      </c>
      <c r="F27" s="221"/>
    </row>
    <row r="28" spans="1:6" ht="15" x14ac:dyDescent="0.25">
      <c r="A28" s="227">
        <v>1500000</v>
      </c>
      <c r="B28" s="252">
        <v>6544.41</v>
      </c>
      <c r="C28" s="252">
        <v>6694.9314299999996</v>
      </c>
      <c r="D28" s="253">
        <v>150.52142999999978</v>
      </c>
      <c r="E28" s="230">
        <v>2.2999999999999968E-2</v>
      </c>
      <c r="F28" s="221"/>
    </row>
    <row r="29" spans="1:6" ht="15" x14ac:dyDescent="0.25">
      <c r="A29" s="254" t="s">
        <v>468</v>
      </c>
      <c r="B29" s="255">
        <v>4746.6709233791753</v>
      </c>
      <c r="C29" s="228">
        <v>4855.8443546168955</v>
      </c>
      <c r="D29" s="256">
        <v>109.17343123772025</v>
      </c>
      <c r="E29" s="230">
        <v>2.2999999999999837E-2</v>
      </c>
      <c r="F29" s="222"/>
    </row>
    <row r="30" spans="1:6" ht="15" x14ac:dyDescent="0.25">
      <c r="A30" s="227"/>
      <c r="B30" s="228"/>
      <c r="C30" s="228"/>
      <c r="D30" s="229"/>
      <c r="E30" s="230"/>
      <c r="F30" s="221"/>
    </row>
    <row r="31" spans="1:6" ht="15" x14ac:dyDescent="0.25">
      <c r="A31" s="1566" t="s">
        <v>460</v>
      </c>
      <c r="B31" s="1567"/>
      <c r="C31" s="1568"/>
      <c r="D31" s="1569"/>
      <c r="E31" s="224"/>
      <c r="F31" s="221"/>
    </row>
    <row r="32" spans="1:6" x14ac:dyDescent="0.3">
      <c r="A32" s="233"/>
      <c r="B32" s="1570" t="s">
        <v>463</v>
      </c>
      <c r="C32" s="1572" t="s">
        <v>469</v>
      </c>
      <c r="D32" s="1574" t="s">
        <v>465</v>
      </c>
      <c r="E32" s="1574" t="s">
        <v>466</v>
      </c>
      <c r="F32" s="221"/>
    </row>
    <row r="33" spans="1:6" x14ac:dyDescent="0.3">
      <c r="A33" s="234" t="s">
        <v>467</v>
      </c>
      <c r="B33" s="1571"/>
      <c r="C33" s="1573"/>
      <c r="D33" s="1575"/>
      <c r="E33" s="1575"/>
      <c r="F33" s="221"/>
    </row>
    <row r="34" spans="1:6" ht="15" x14ac:dyDescent="0.25">
      <c r="A34" s="227">
        <v>500000</v>
      </c>
      <c r="B34" s="257">
        <v>993.17</v>
      </c>
      <c r="C34" s="258">
        <v>1082.5553</v>
      </c>
      <c r="D34" s="257">
        <v>89.385300000000029</v>
      </c>
      <c r="E34" s="230">
        <v>9.0000000000000038E-2</v>
      </c>
      <c r="F34" s="221"/>
    </row>
    <row r="35" spans="1:6" ht="15" x14ac:dyDescent="0.25">
      <c r="A35" s="227">
        <v>1000000</v>
      </c>
      <c r="B35" s="257">
        <v>1566.34</v>
      </c>
      <c r="C35" s="258">
        <v>1707.3106</v>
      </c>
      <c r="D35" s="257">
        <v>140.9706000000001</v>
      </c>
      <c r="E35" s="230">
        <v>9.0000000000000066E-2</v>
      </c>
      <c r="F35" s="221"/>
    </row>
    <row r="36" spans="1:6" ht="15" x14ac:dyDescent="0.25">
      <c r="A36" s="227">
        <v>1500000</v>
      </c>
      <c r="B36" s="257">
        <v>2139.5100000000002</v>
      </c>
      <c r="C36" s="258">
        <v>2332.0659000000005</v>
      </c>
      <c r="D36" s="257">
        <v>192.55590000000029</v>
      </c>
      <c r="E36" s="230">
        <v>9.0000000000000122E-2</v>
      </c>
      <c r="F36" s="221"/>
    </row>
    <row r="37" spans="1:6" ht="15" x14ac:dyDescent="0.25">
      <c r="A37" s="231" t="s">
        <v>468</v>
      </c>
      <c r="B37" s="256">
        <v>853</v>
      </c>
      <c r="C37" s="259">
        <v>929.7700000000001</v>
      </c>
      <c r="D37" s="256">
        <v>76.770000000000095</v>
      </c>
      <c r="E37" s="230">
        <v>9.0000000000000108E-2</v>
      </c>
      <c r="F37" s="222"/>
    </row>
    <row r="38" spans="1:6" ht="15" x14ac:dyDescent="0.25">
      <c r="A38" s="227"/>
      <c r="B38" s="221"/>
      <c r="C38" s="229"/>
      <c r="D38" s="221"/>
      <c r="E38" s="221"/>
      <c r="F38" s="221"/>
    </row>
    <row r="39" spans="1:6" ht="15" x14ac:dyDescent="0.25">
      <c r="A39" s="1566" t="s">
        <v>461</v>
      </c>
      <c r="B39" s="1567"/>
      <c r="C39" s="1568"/>
      <c r="D39" s="1569"/>
      <c r="E39" s="224"/>
      <c r="F39" s="221"/>
    </row>
    <row r="40" spans="1:6" x14ac:dyDescent="0.3">
      <c r="A40" s="233"/>
      <c r="B40" s="1570" t="s">
        <v>463</v>
      </c>
      <c r="C40" s="1572" t="s">
        <v>470</v>
      </c>
      <c r="D40" s="1574" t="s">
        <v>465</v>
      </c>
      <c r="E40" s="1574" t="s">
        <v>466</v>
      </c>
      <c r="F40" s="221"/>
    </row>
    <row r="41" spans="1:6" x14ac:dyDescent="0.3">
      <c r="A41" s="234" t="s">
        <v>467</v>
      </c>
      <c r="B41" s="1571"/>
      <c r="C41" s="1573"/>
      <c r="D41" s="1575"/>
      <c r="E41" s="1575"/>
      <c r="F41" s="221"/>
    </row>
    <row r="42" spans="1:6" ht="15" x14ac:dyDescent="0.25">
      <c r="A42" s="227">
        <v>500000</v>
      </c>
      <c r="B42" s="252">
        <v>2461.4699999999998</v>
      </c>
      <c r="C42" s="252">
        <v>2683.0023000000001</v>
      </c>
      <c r="D42" s="253">
        <v>221.5323000000003</v>
      </c>
      <c r="E42" s="230">
        <v>9.0000000000000135E-2</v>
      </c>
      <c r="F42" s="236"/>
    </row>
    <row r="43" spans="1:6" ht="15" x14ac:dyDescent="0.25">
      <c r="A43" s="227">
        <v>1000000</v>
      </c>
      <c r="B43" s="252">
        <v>4502.9399999999996</v>
      </c>
      <c r="C43" s="252">
        <v>4908.2046</v>
      </c>
      <c r="D43" s="253">
        <v>405.26460000000043</v>
      </c>
      <c r="E43" s="230">
        <v>9.0000000000000108E-2</v>
      </c>
      <c r="F43" s="236"/>
    </row>
    <row r="44" spans="1:6" ht="15" x14ac:dyDescent="0.25">
      <c r="A44" s="227">
        <v>1500000</v>
      </c>
      <c r="B44" s="252">
        <v>6544.41</v>
      </c>
      <c r="C44" s="252">
        <v>7133.4069</v>
      </c>
      <c r="D44" s="253">
        <v>588.9969000000001</v>
      </c>
      <c r="E44" s="230">
        <v>9.0000000000000011E-2</v>
      </c>
      <c r="F44" s="236"/>
    </row>
    <row r="45" spans="1:6" ht="15" x14ac:dyDescent="0.25">
      <c r="A45" s="231" t="s">
        <v>468</v>
      </c>
      <c r="B45" s="259">
        <v>4746.6709233791753</v>
      </c>
      <c r="C45" s="259">
        <v>5173.8713064833019</v>
      </c>
      <c r="D45" s="256">
        <v>427.20038310412656</v>
      </c>
      <c r="E45" s="230">
        <v>9.0000000000000163E-2</v>
      </c>
      <c r="F45" s="237"/>
    </row>
    <row r="46" spans="1:6" ht="15" x14ac:dyDescent="0.25">
      <c r="A46" s="227"/>
      <c r="B46" s="228"/>
      <c r="C46" s="235"/>
      <c r="D46" s="229"/>
      <c r="E46" s="230"/>
      <c r="F46" s="236"/>
    </row>
    <row r="47" spans="1:6" ht="15" x14ac:dyDescent="0.25">
      <c r="A47" s="238"/>
      <c r="B47" s="239"/>
      <c r="C47" s="240"/>
      <c r="D47" s="238"/>
      <c r="E47" s="241"/>
      <c r="F47" s="236"/>
    </row>
    <row r="49" spans="1:6" ht="15" x14ac:dyDescent="0.25">
      <c r="A49" s="222" t="s">
        <v>463</v>
      </c>
      <c r="B49" s="221"/>
      <c r="C49" s="221"/>
      <c r="D49" s="221"/>
      <c r="E49" s="221"/>
      <c r="F49" s="221"/>
    </row>
    <row r="50" spans="1:6" ht="15" x14ac:dyDescent="0.25">
      <c r="A50" s="223" t="s">
        <v>471</v>
      </c>
      <c r="B50" s="221"/>
      <c r="C50" s="242">
        <v>10328016</v>
      </c>
      <c r="D50" s="221"/>
      <c r="E50" s="221"/>
      <c r="F50" s="221"/>
    </row>
    <row r="51" spans="1:6" ht="15" x14ac:dyDescent="0.25">
      <c r="A51" s="223" t="s">
        <v>472</v>
      </c>
      <c r="B51" s="221"/>
      <c r="C51" s="242">
        <v>4832111</v>
      </c>
      <c r="D51" s="221"/>
      <c r="E51" s="221"/>
      <c r="F51" s="221"/>
    </row>
    <row r="52" spans="1:6" ht="15" x14ac:dyDescent="0.25">
      <c r="A52" s="222" t="s">
        <v>23</v>
      </c>
      <c r="B52" s="222"/>
      <c r="C52" s="243">
        <v>15160128</v>
      </c>
      <c r="D52" s="222"/>
      <c r="E52" s="232"/>
      <c r="F52" s="222"/>
    </row>
    <row r="54" spans="1:6" ht="15" x14ac:dyDescent="0.25">
      <c r="A54" s="222" t="s">
        <v>473</v>
      </c>
      <c r="B54" s="221"/>
      <c r="C54" s="221"/>
      <c r="D54" s="221"/>
      <c r="E54" s="221"/>
      <c r="F54" s="221"/>
    </row>
    <row r="55" spans="1:6" ht="15" x14ac:dyDescent="0.25">
      <c r="A55" s="223" t="s">
        <v>474</v>
      </c>
      <c r="B55" s="221"/>
      <c r="C55" s="244">
        <v>10752301</v>
      </c>
      <c r="D55" s="221"/>
      <c r="E55" s="221"/>
      <c r="F55" s="221"/>
    </row>
    <row r="56" spans="1:6" ht="15" x14ac:dyDescent="0.25">
      <c r="A56" s="223" t="s">
        <v>475</v>
      </c>
      <c r="B56" s="221"/>
      <c r="C56" s="244">
        <v>4876271</v>
      </c>
      <c r="D56" s="221"/>
      <c r="E56" s="221"/>
      <c r="F56" s="221"/>
    </row>
    <row r="57" spans="1:6" ht="15" x14ac:dyDescent="0.25">
      <c r="A57" s="222" t="s">
        <v>476</v>
      </c>
      <c r="B57" s="222"/>
      <c r="C57" s="245">
        <v>15628572</v>
      </c>
      <c r="D57" s="221"/>
      <c r="E57" s="221"/>
      <c r="F57" s="221"/>
    </row>
    <row r="60" spans="1:6" ht="15" x14ac:dyDescent="0.25">
      <c r="A60" s="222" t="s">
        <v>477</v>
      </c>
      <c r="B60" s="221"/>
      <c r="C60" s="221"/>
      <c r="D60" s="221"/>
      <c r="E60" s="221"/>
      <c r="F60" s="221"/>
    </row>
    <row r="61" spans="1:6" ht="15" x14ac:dyDescent="0.25">
      <c r="A61" s="223" t="s">
        <v>478</v>
      </c>
      <c r="B61" s="221"/>
      <c r="C61" s="244">
        <v>11456508</v>
      </c>
      <c r="D61" s="221"/>
      <c r="E61" s="221"/>
      <c r="F61" s="221"/>
    </row>
    <row r="62" spans="1:6" ht="15" x14ac:dyDescent="0.25">
      <c r="A62" s="223" t="s">
        <v>479</v>
      </c>
      <c r="B62" s="221"/>
      <c r="C62" s="244">
        <v>5195636</v>
      </c>
      <c r="D62" s="221"/>
      <c r="E62" s="221"/>
      <c r="F62" s="221"/>
    </row>
    <row r="63" spans="1:6" ht="15" x14ac:dyDescent="0.25">
      <c r="A63" s="222" t="s">
        <v>480</v>
      </c>
      <c r="B63" s="222"/>
      <c r="C63" s="245">
        <v>16652144</v>
      </c>
      <c r="D63" s="244"/>
      <c r="E63" s="221"/>
      <c r="F63" s="244"/>
    </row>
    <row r="65" spans="1:5" ht="15" x14ac:dyDescent="0.25">
      <c r="A65" s="246" t="s">
        <v>481</v>
      </c>
      <c r="B65" s="247"/>
      <c r="C65" s="248">
        <v>1023572</v>
      </c>
      <c r="D65" s="221"/>
      <c r="E65" s="221"/>
    </row>
    <row r="66" spans="1:5" ht="15" x14ac:dyDescent="0.25">
      <c r="A66" s="222"/>
      <c r="B66" s="221"/>
      <c r="C66" s="221"/>
      <c r="D66" s="221"/>
      <c r="E66" s="221"/>
    </row>
    <row r="67" spans="1:5" ht="15" x14ac:dyDescent="0.25">
      <c r="A67" s="249" t="s">
        <v>482</v>
      </c>
      <c r="B67" s="250"/>
      <c r="C67" s="251">
        <v>1492016</v>
      </c>
      <c r="D67" s="221"/>
      <c r="E67" s="221"/>
    </row>
    <row r="71" spans="1:5" ht="15" x14ac:dyDescent="0.25">
      <c r="A71" s="222" t="s">
        <v>477</v>
      </c>
      <c r="B71" s="221"/>
      <c r="C71" s="221"/>
      <c r="D71" s="221"/>
      <c r="E71" s="221"/>
    </row>
    <row r="72" spans="1:5" ht="15" x14ac:dyDescent="0.25">
      <c r="A72" s="260" t="s">
        <v>483</v>
      </c>
      <c r="B72" s="261"/>
      <c r="C72" s="262" t="s">
        <v>0</v>
      </c>
      <c r="D72" s="262" t="s">
        <v>1</v>
      </c>
      <c r="E72" s="262" t="s">
        <v>465</v>
      </c>
    </row>
    <row r="73" spans="1:5" ht="15" x14ac:dyDescent="0.25">
      <c r="A73" s="221" t="s">
        <v>484</v>
      </c>
      <c r="B73" s="221"/>
      <c r="C73" s="263">
        <v>10328016</v>
      </c>
      <c r="D73" s="263">
        <v>11456508</v>
      </c>
      <c r="E73" s="264">
        <v>1128492</v>
      </c>
    </row>
    <row r="74" spans="1:5" ht="15" x14ac:dyDescent="0.25">
      <c r="A74" s="221" t="s">
        <v>485</v>
      </c>
      <c r="B74" s="221"/>
      <c r="C74" s="221">
        <v>12109</v>
      </c>
      <c r="D74" s="221">
        <v>12481</v>
      </c>
      <c r="E74" s="221"/>
    </row>
    <row r="75" spans="1:5" ht="15" x14ac:dyDescent="0.25">
      <c r="A75" s="265" t="s">
        <v>468</v>
      </c>
      <c r="B75" s="265"/>
      <c r="C75" s="266">
        <v>853</v>
      </c>
      <c r="D75" s="266">
        <v>918</v>
      </c>
      <c r="E75" s="267">
        <v>65</v>
      </c>
    </row>
    <row r="76" spans="1:5" ht="15" x14ac:dyDescent="0.25">
      <c r="A76" s="221"/>
      <c r="B76" s="221"/>
      <c r="C76" s="221"/>
      <c r="D76" s="221"/>
      <c r="E76" s="221"/>
    </row>
    <row r="77" spans="1:5" ht="15" x14ac:dyDescent="0.25">
      <c r="A77" s="221" t="s">
        <v>486</v>
      </c>
      <c r="B77" s="221"/>
      <c r="C77" s="263">
        <v>4832111</v>
      </c>
      <c r="D77" s="263">
        <v>5195636</v>
      </c>
      <c r="E77" s="264">
        <v>363525</v>
      </c>
    </row>
    <row r="78" spans="1:5" ht="15" x14ac:dyDescent="0.25">
      <c r="A78" s="221" t="s">
        <v>487</v>
      </c>
      <c r="B78" s="221"/>
      <c r="C78" s="221">
        <v>1018</v>
      </c>
      <c r="D78" s="221">
        <v>1016</v>
      </c>
      <c r="E78" s="221"/>
    </row>
    <row r="79" spans="1:5" ht="15" x14ac:dyDescent="0.25">
      <c r="A79" s="265" t="s">
        <v>468</v>
      </c>
      <c r="B79" s="265"/>
      <c r="C79" s="266">
        <v>4746.6709233791753</v>
      </c>
      <c r="D79" s="266">
        <v>5113.8149606299212</v>
      </c>
      <c r="E79" s="267">
        <v>367.1440372507459</v>
      </c>
    </row>
    <row r="80" spans="1:5" ht="15" x14ac:dyDescent="0.25">
      <c r="A80" s="221"/>
      <c r="B80" s="221"/>
      <c r="C80" s="263"/>
      <c r="D80" s="263"/>
      <c r="E80" s="221"/>
    </row>
    <row r="81" spans="1:6" ht="15" x14ac:dyDescent="0.25">
      <c r="A81" s="222" t="s">
        <v>23</v>
      </c>
      <c r="B81" s="222"/>
      <c r="C81" s="268">
        <v>15160127</v>
      </c>
      <c r="D81" s="268">
        <v>16652144</v>
      </c>
      <c r="E81" s="269">
        <v>1492017</v>
      </c>
      <c r="F81" s="222"/>
    </row>
    <row r="84" spans="1:6" x14ac:dyDescent="0.3">
      <c r="A84" s="222" t="s">
        <v>473</v>
      </c>
      <c r="B84" s="221"/>
      <c r="C84" s="221"/>
      <c r="D84" s="221"/>
      <c r="E84" s="221"/>
      <c r="F84" s="221"/>
    </row>
    <row r="85" spans="1:6" x14ac:dyDescent="0.3">
      <c r="A85" s="260" t="s">
        <v>483</v>
      </c>
      <c r="B85" s="261"/>
      <c r="C85" s="262" t="s">
        <v>0</v>
      </c>
      <c r="D85" s="262" t="s">
        <v>1</v>
      </c>
      <c r="E85" s="262" t="s">
        <v>465</v>
      </c>
      <c r="F85" s="221"/>
    </row>
    <row r="86" spans="1:6" x14ac:dyDescent="0.3">
      <c r="A86" s="221" t="s">
        <v>484</v>
      </c>
      <c r="B86" s="221"/>
      <c r="C86" s="263">
        <v>10328016</v>
      </c>
      <c r="D86" s="263">
        <v>10752301</v>
      </c>
      <c r="E86" s="264">
        <v>424285</v>
      </c>
      <c r="F86" s="221"/>
    </row>
    <row r="87" spans="1:6" x14ac:dyDescent="0.3">
      <c r="A87" s="221" t="s">
        <v>485</v>
      </c>
      <c r="B87" s="221"/>
      <c r="C87" s="221">
        <v>12109</v>
      </c>
      <c r="D87" s="221">
        <v>12481</v>
      </c>
      <c r="E87" s="221"/>
      <c r="F87" s="221"/>
    </row>
    <row r="88" spans="1:6" x14ac:dyDescent="0.3">
      <c r="A88" s="265" t="s">
        <v>468</v>
      </c>
      <c r="B88" s="265"/>
      <c r="C88" s="266">
        <v>852.9206375423239</v>
      </c>
      <c r="D88" s="266">
        <v>861.49355019629843</v>
      </c>
      <c r="E88" s="267">
        <v>8.5729126539745266</v>
      </c>
      <c r="F88" s="221"/>
    </row>
    <row r="89" spans="1:6" x14ac:dyDescent="0.3">
      <c r="A89" s="221"/>
      <c r="B89" s="221"/>
      <c r="C89" s="221"/>
      <c r="D89" s="221"/>
      <c r="E89" s="221"/>
      <c r="F89" s="221"/>
    </row>
    <row r="90" spans="1:6" x14ac:dyDescent="0.3">
      <c r="A90" s="221" t="s">
        <v>486</v>
      </c>
      <c r="B90" s="221"/>
      <c r="C90" s="263">
        <v>4832111</v>
      </c>
      <c r="D90" s="263">
        <v>4876271</v>
      </c>
      <c r="E90" s="264">
        <v>44160</v>
      </c>
      <c r="F90" s="221"/>
    </row>
    <row r="91" spans="1:6" x14ac:dyDescent="0.3">
      <c r="A91" s="221" t="s">
        <v>487</v>
      </c>
      <c r="B91" s="221"/>
      <c r="C91" s="221">
        <v>1018</v>
      </c>
      <c r="D91" s="221">
        <v>1016</v>
      </c>
      <c r="E91" s="221"/>
      <c r="F91" s="221"/>
    </row>
    <row r="92" spans="1:6" x14ac:dyDescent="0.3">
      <c r="A92" s="265" t="s">
        <v>468</v>
      </c>
      <c r="B92" s="265"/>
      <c r="C92" s="266">
        <v>4746.6709233791753</v>
      </c>
      <c r="D92" s="266">
        <v>4799.4793307086611</v>
      </c>
      <c r="E92" s="267">
        <v>52.808407329485817</v>
      </c>
      <c r="F92" s="221"/>
    </row>
    <row r="93" spans="1:6" x14ac:dyDescent="0.3">
      <c r="A93" s="221"/>
      <c r="B93" s="221"/>
      <c r="C93" s="263"/>
      <c r="D93" s="263"/>
      <c r="E93" s="221"/>
      <c r="F93" s="221"/>
    </row>
    <row r="94" spans="1:6" x14ac:dyDescent="0.3">
      <c r="A94" s="222" t="s">
        <v>23</v>
      </c>
      <c r="B94" s="222"/>
      <c r="C94" s="268">
        <v>15160127</v>
      </c>
      <c r="D94" s="268">
        <v>15628572</v>
      </c>
      <c r="E94" s="269">
        <v>468445</v>
      </c>
      <c r="F94" s="222"/>
    </row>
  </sheetData>
  <mergeCells count="21">
    <mergeCell ref="E16:E17"/>
    <mergeCell ref="E40:E41"/>
    <mergeCell ref="A23:D23"/>
    <mergeCell ref="B24:B25"/>
    <mergeCell ref="C24:C25"/>
    <mergeCell ref="D24:D25"/>
    <mergeCell ref="E24:E25"/>
    <mergeCell ref="A31:D31"/>
    <mergeCell ref="B32:B33"/>
    <mergeCell ref="C32:C33"/>
    <mergeCell ref="D32:D33"/>
    <mergeCell ref="E32:E33"/>
    <mergeCell ref="B3:D3"/>
    <mergeCell ref="A39:D39"/>
    <mergeCell ref="B40:B41"/>
    <mergeCell ref="C40:C41"/>
    <mergeCell ref="D40:D41"/>
    <mergeCell ref="A15:D15"/>
    <mergeCell ref="B16:B17"/>
    <mergeCell ref="C16:C17"/>
    <mergeCell ref="D16:D1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E141"/>
  <sheetViews>
    <sheetView topLeftCell="D28" zoomScaleNormal="100" workbookViewId="0">
      <selection activeCell="D68" sqref="D68"/>
    </sheetView>
  </sheetViews>
  <sheetFormatPr defaultColWidth="9.109375" defaultRowHeight="14.4" outlineLevelCol="1" x14ac:dyDescent="0.3"/>
  <cols>
    <col min="1" max="1" width="53.6640625" style="11" bestFit="1" customWidth="1"/>
    <col min="2" max="2" width="12.6640625" style="11" hidden="1" customWidth="1" outlineLevel="1"/>
    <col min="3" max="3" width="14.33203125" style="152" hidden="1" customWidth="1" outlineLevel="1"/>
    <col min="4" max="4" width="14.44140625" style="11" bestFit="1" customWidth="1" collapsed="1"/>
    <col min="5" max="5" width="14" style="11" bestFit="1" customWidth="1"/>
    <col min="6" max="6" width="14.88671875" style="11" bestFit="1" customWidth="1"/>
    <col min="7" max="7" width="13.6640625" style="11" bestFit="1" customWidth="1"/>
    <col min="8" max="9" width="12.5546875" style="11" bestFit="1" customWidth="1"/>
    <col min="10" max="10" width="14.33203125" style="11" bestFit="1" customWidth="1"/>
    <col min="11" max="11" width="12.5546875" style="11" bestFit="1" customWidth="1"/>
    <col min="12" max="13" width="14.33203125" style="11" bestFit="1" customWidth="1"/>
    <col min="14" max="15" width="14.33203125" style="152" customWidth="1"/>
    <col min="16" max="17" width="9.109375" style="11" customWidth="1"/>
    <col min="18" max="29" width="9.109375" style="11"/>
    <col min="30" max="30" width="49.6640625" style="11" bestFit="1" customWidth="1"/>
    <col min="31" max="31" width="10.6640625" style="11" bestFit="1" customWidth="1"/>
    <col min="32" max="16384" width="9.109375" style="11"/>
  </cols>
  <sheetData>
    <row r="1" spans="1:31" ht="15" x14ac:dyDescent="0.25">
      <c r="A1" s="18" t="s">
        <v>434</v>
      </c>
      <c r="B1" s="19" t="s">
        <v>69</v>
      </c>
      <c r="C1" s="213" t="s">
        <v>69</v>
      </c>
      <c r="D1" s="19" t="s">
        <v>70</v>
      </c>
      <c r="E1" s="19" t="s">
        <v>71</v>
      </c>
      <c r="F1" s="19" t="s">
        <v>71</v>
      </c>
      <c r="G1" s="19" t="s">
        <v>71</v>
      </c>
      <c r="H1" s="19" t="s">
        <v>71</v>
      </c>
      <c r="I1" s="19" t="s">
        <v>71</v>
      </c>
      <c r="J1" s="19" t="s">
        <v>71</v>
      </c>
      <c r="K1" s="19" t="s">
        <v>71</v>
      </c>
      <c r="L1" s="19" t="s">
        <v>71</v>
      </c>
      <c r="M1" s="19" t="s">
        <v>71</v>
      </c>
      <c r="N1" s="213" t="s">
        <v>71</v>
      </c>
      <c r="O1" s="213" t="s">
        <v>71</v>
      </c>
    </row>
    <row r="2" spans="1:31" ht="15" x14ac:dyDescent="0.25">
      <c r="A2" s="18" t="s">
        <v>73</v>
      </c>
      <c r="B2" s="19" t="s">
        <v>60</v>
      </c>
      <c r="C2" s="151" t="s">
        <v>68</v>
      </c>
      <c r="D2" s="10" t="s">
        <v>0</v>
      </c>
      <c r="E2" s="10" t="s">
        <v>1</v>
      </c>
      <c r="F2" s="10" t="s">
        <v>2</v>
      </c>
      <c r="G2" s="10" t="s">
        <v>3</v>
      </c>
      <c r="H2" s="10" t="s">
        <v>4</v>
      </c>
      <c r="I2" s="10" t="s">
        <v>5</v>
      </c>
      <c r="J2" s="10" t="s">
        <v>6</v>
      </c>
      <c r="K2" s="10" t="s">
        <v>7</v>
      </c>
      <c r="L2" s="10" t="s">
        <v>8</v>
      </c>
      <c r="M2" s="10" t="s">
        <v>9</v>
      </c>
      <c r="N2" s="151" t="s">
        <v>514</v>
      </c>
      <c r="O2" s="151" t="s">
        <v>515</v>
      </c>
    </row>
    <row r="3" spans="1:31" ht="15" x14ac:dyDescent="0.25">
      <c r="D3" s="12"/>
      <c r="E3" s="12"/>
      <c r="F3" s="12"/>
      <c r="G3" s="12"/>
      <c r="AD3" s="13" t="s">
        <v>10</v>
      </c>
    </row>
    <row r="4" spans="1:31" ht="15" x14ac:dyDescent="0.25">
      <c r="A4" s="29" t="s">
        <v>61</v>
      </c>
      <c r="B4" s="2"/>
      <c r="C4" s="148"/>
      <c r="AD4" s="11" t="s">
        <v>11</v>
      </c>
      <c r="AE4" s="14">
        <f>+D6</f>
        <v>0</v>
      </c>
    </row>
    <row r="5" spans="1:31" ht="15" x14ac:dyDescent="0.25">
      <c r="A5" s="30" t="s">
        <v>62</v>
      </c>
      <c r="B5" s="9"/>
      <c r="C5" s="150"/>
      <c r="AE5" s="14"/>
    </row>
    <row r="6" spans="1:31" ht="15" x14ac:dyDescent="0.25">
      <c r="A6" s="11" t="s">
        <v>11</v>
      </c>
      <c r="B6" s="4">
        <v>17925000</v>
      </c>
      <c r="C6" s="214">
        <v>19587000</v>
      </c>
      <c r="D6" s="141">
        <f>'GF &amp; FF  Inc Exp Statement'!D11</f>
        <v>0</v>
      </c>
      <c r="E6" s="284">
        <v>22124446.310000002</v>
      </c>
      <c r="F6" s="284">
        <v>22781729.699300002</v>
      </c>
      <c r="G6" s="284">
        <v>23458731.590278998</v>
      </c>
      <c r="H6" s="284">
        <v>24156043.53798737</v>
      </c>
      <c r="I6" s="284">
        <v>24874274.844126988</v>
      </c>
      <c r="J6" s="284">
        <v>25614053.089450795</v>
      </c>
      <c r="K6" s="284">
        <v>26376024.682134327</v>
      </c>
      <c r="L6" s="284">
        <v>27160855.422598358</v>
      </c>
      <c r="M6" s="284">
        <v>27969231.085276309</v>
      </c>
      <c r="N6" s="284">
        <v>27969231.085276309</v>
      </c>
      <c r="O6" s="284">
        <v>27969231.085276309</v>
      </c>
      <c r="AD6" s="11" t="s">
        <v>12</v>
      </c>
      <c r="AE6" s="14">
        <f t="shared" ref="AE6:AE10" si="0">+D7</f>
        <v>0</v>
      </c>
    </row>
    <row r="7" spans="1:31" ht="15" x14ac:dyDescent="0.25">
      <c r="A7" s="11" t="s">
        <v>12</v>
      </c>
      <c r="B7" s="4">
        <v>3009000</v>
      </c>
      <c r="C7" s="214">
        <v>3269000</v>
      </c>
      <c r="D7" s="141">
        <f>'GF &amp; FF  Inc Exp Statement'!D12</f>
        <v>0</v>
      </c>
      <c r="E7" s="284">
        <v>3094175.2317545456</v>
      </c>
      <c r="F7" s="284">
        <v>3154197.1125484086</v>
      </c>
      <c r="G7" s="284">
        <v>3215719.5403621192</v>
      </c>
      <c r="H7" s="284">
        <v>3278780.0288711712</v>
      </c>
      <c r="I7" s="284">
        <v>3343417.0295929499</v>
      </c>
      <c r="J7" s="284">
        <v>3409669.9553327733</v>
      </c>
      <c r="K7" s="284">
        <v>3477579.2042160938</v>
      </c>
      <c r="L7" s="284">
        <v>3547186.1843214948</v>
      </c>
      <c r="M7" s="284">
        <v>3618533.3389295335</v>
      </c>
      <c r="N7" s="284">
        <v>3618533.3389295335</v>
      </c>
      <c r="O7" s="284">
        <v>3618533.3389295335</v>
      </c>
      <c r="AD7" s="11" t="s">
        <v>13</v>
      </c>
      <c r="AE7" s="14">
        <f t="shared" si="0"/>
        <v>0</v>
      </c>
    </row>
    <row r="8" spans="1:31" ht="15" x14ac:dyDescent="0.25">
      <c r="A8" s="11" t="s">
        <v>13</v>
      </c>
      <c r="B8" s="4">
        <v>1891000</v>
      </c>
      <c r="C8" s="214">
        <v>1648000</v>
      </c>
      <c r="D8" s="141">
        <f>'GF &amp; FF  Inc Exp Statement'!D13</f>
        <v>0</v>
      </c>
      <c r="E8" s="284">
        <v>957610.70921970764</v>
      </c>
      <c r="F8" s="284">
        <v>974820.89041883091</v>
      </c>
      <c r="G8" s="284">
        <v>992105.10522903618</v>
      </c>
      <c r="H8" s="284">
        <v>990514.32423423533</v>
      </c>
      <c r="I8" s="284">
        <v>1014549.5410442825</v>
      </c>
      <c r="J8" s="284">
        <v>1024133.6374527398</v>
      </c>
      <c r="K8" s="284">
        <v>987231.61070701655</v>
      </c>
      <c r="L8" s="284">
        <v>1006087.1726738459</v>
      </c>
      <c r="M8" s="284">
        <v>1020087.0262478264</v>
      </c>
      <c r="N8" s="284">
        <v>1020087.0262478264</v>
      </c>
      <c r="O8" s="284">
        <v>1020087.0262478264</v>
      </c>
      <c r="AD8" s="11" t="s">
        <v>14</v>
      </c>
      <c r="AE8" s="14">
        <f t="shared" si="0"/>
        <v>0</v>
      </c>
    </row>
    <row r="9" spans="1:31" ht="15" x14ac:dyDescent="0.25">
      <c r="A9" s="11" t="s">
        <v>14</v>
      </c>
      <c r="B9" s="4">
        <v>1294000</v>
      </c>
      <c r="C9" s="214">
        <v>1743000</v>
      </c>
      <c r="D9" s="141">
        <f>'GF &amp; FF  Inc Exp Statement'!D14</f>
        <v>0</v>
      </c>
      <c r="E9" s="284">
        <v>1323177.0129724999</v>
      </c>
      <c r="F9" s="284">
        <v>1356256.4382968124</v>
      </c>
      <c r="G9" s="284">
        <v>1390162.8492542326</v>
      </c>
      <c r="H9" s="284">
        <v>1424916.9204855883</v>
      </c>
      <c r="I9" s="284">
        <v>1460539.8434977275</v>
      </c>
      <c r="J9" s="284">
        <v>1497053.3395851708</v>
      </c>
      <c r="K9" s="284">
        <v>1534479.6730747996</v>
      </c>
      <c r="L9" s="284">
        <v>1572841.6649016694</v>
      </c>
      <c r="M9" s="284">
        <v>1612162.7065242112</v>
      </c>
      <c r="N9" s="284">
        <v>1612162.7065242112</v>
      </c>
      <c r="O9" s="284">
        <v>1612162.7065242112</v>
      </c>
      <c r="AD9" s="11" t="s">
        <v>15</v>
      </c>
      <c r="AE9" s="14">
        <f t="shared" si="0"/>
        <v>0</v>
      </c>
    </row>
    <row r="10" spans="1:31" ht="15" x14ac:dyDescent="0.25">
      <c r="A10" s="11" t="s">
        <v>15</v>
      </c>
      <c r="B10" s="4">
        <v>3150000</v>
      </c>
      <c r="C10" s="214">
        <v>2636000</v>
      </c>
      <c r="D10" s="141">
        <f>'GF &amp; FF  Inc Exp Statement'!D15</f>
        <v>0</v>
      </c>
      <c r="E10" s="284">
        <v>1957362.5</v>
      </c>
      <c r="F10" s="284">
        <v>1801296.5625</v>
      </c>
      <c r="G10" s="284">
        <v>1846328.9765624998</v>
      </c>
      <c r="H10" s="284">
        <v>1902487.2009765622</v>
      </c>
      <c r="I10" s="284">
        <v>1950049.3810009758</v>
      </c>
      <c r="J10" s="284">
        <v>1998800.615526</v>
      </c>
      <c r="K10" s="284">
        <v>2048770.63091415</v>
      </c>
      <c r="L10" s="284">
        <v>2099989.8966870038</v>
      </c>
      <c r="M10" s="284">
        <v>2152489.6441041785</v>
      </c>
      <c r="N10" s="284">
        <v>2152489.6441041785</v>
      </c>
      <c r="O10" s="284">
        <v>2152489.6441041785</v>
      </c>
      <c r="P10" s="11" t="s">
        <v>16</v>
      </c>
      <c r="Q10" s="11" t="s">
        <v>17</v>
      </c>
      <c r="AD10" s="11" t="s">
        <v>18</v>
      </c>
      <c r="AE10" s="14">
        <f t="shared" si="0"/>
        <v>0</v>
      </c>
    </row>
    <row r="11" spans="1:31" ht="15" x14ac:dyDescent="0.25">
      <c r="A11" s="11" t="s">
        <v>18</v>
      </c>
      <c r="B11" s="4">
        <v>1309000</v>
      </c>
      <c r="C11" s="214">
        <v>2446000</v>
      </c>
      <c r="D11" s="141">
        <f>'GF &amp; FF  Inc Exp Statement'!D16</f>
        <v>0</v>
      </c>
      <c r="E11" s="284">
        <v>997650</v>
      </c>
      <c r="F11" s="284">
        <v>1022591.25</v>
      </c>
      <c r="G11" s="284">
        <v>1048156.0312499999</v>
      </c>
      <c r="H11" s="284">
        <v>1524359.9320312496</v>
      </c>
      <c r="I11" s="284">
        <v>1562468.9303320311</v>
      </c>
      <c r="J11" s="284">
        <v>1601530.6535903313</v>
      </c>
      <c r="K11" s="284">
        <v>1641568.9199300897</v>
      </c>
      <c r="L11" s="284">
        <v>1682608.1429283419</v>
      </c>
      <c r="M11" s="284">
        <v>1724673.3465015504</v>
      </c>
      <c r="N11" s="284">
        <v>1724673.3465015504</v>
      </c>
      <c r="O11" s="284">
        <v>1724673.3465015504</v>
      </c>
      <c r="P11" s="11" t="s">
        <v>19</v>
      </c>
      <c r="Q11" s="11" t="s">
        <v>20</v>
      </c>
      <c r="AD11" s="11" t="s">
        <v>21</v>
      </c>
      <c r="AE11" s="14">
        <f>+D13</f>
        <v>0</v>
      </c>
    </row>
    <row r="12" spans="1:31" ht="15" x14ac:dyDescent="0.25">
      <c r="A12" s="30" t="s">
        <v>63</v>
      </c>
      <c r="B12" s="4"/>
      <c r="C12" s="214"/>
      <c r="D12" s="141">
        <f>'GF &amp; FF  Inc Exp Statement'!D18</f>
        <v>0</v>
      </c>
      <c r="E12" s="284"/>
      <c r="F12" s="284"/>
      <c r="G12" s="284"/>
      <c r="H12" s="284"/>
      <c r="I12" s="284"/>
      <c r="J12" s="284"/>
      <c r="K12" s="284"/>
      <c r="L12" s="284"/>
      <c r="M12" s="284"/>
      <c r="N12" s="284"/>
      <c r="O12" s="284"/>
      <c r="AE12" s="14"/>
    </row>
    <row r="13" spans="1:31" ht="15" x14ac:dyDescent="0.25">
      <c r="A13" s="15" t="s">
        <v>74</v>
      </c>
      <c r="B13" s="6">
        <v>4501000</v>
      </c>
      <c r="C13" s="215">
        <v>0</v>
      </c>
      <c r="D13" s="141">
        <f>'GF &amp; FF  Inc Exp Statement'!D19</f>
        <v>0</v>
      </c>
      <c r="E13" s="284">
        <v>475000</v>
      </c>
      <c r="F13" s="284">
        <v>475000</v>
      </c>
      <c r="G13" s="284">
        <v>475000</v>
      </c>
      <c r="H13" s="284">
        <v>486874.99999999994</v>
      </c>
      <c r="I13" s="284">
        <v>499046.87499999988</v>
      </c>
      <c r="J13" s="284">
        <v>511523.04687499983</v>
      </c>
      <c r="K13" s="284">
        <v>524311.12304687477</v>
      </c>
      <c r="L13" s="284">
        <v>537418.90112304664</v>
      </c>
      <c r="M13" s="284">
        <v>550854.37365112279</v>
      </c>
      <c r="N13" s="284">
        <v>550854.37365112279</v>
      </c>
      <c r="O13" s="284">
        <v>550854.37365112279</v>
      </c>
      <c r="P13" s="21" t="s">
        <v>21</v>
      </c>
      <c r="AD13" s="11" t="s">
        <v>22</v>
      </c>
      <c r="AE13" s="14">
        <f>+D40</f>
        <v>0</v>
      </c>
    </row>
    <row r="14" spans="1:31" s="32" customFormat="1" ht="15" x14ac:dyDescent="0.25">
      <c r="A14" s="29" t="s">
        <v>64</v>
      </c>
      <c r="B14" s="31">
        <f>SUM(B6:B13)</f>
        <v>33079000</v>
      </c>
      <c r="C14" s="165">
        <f>SUM(C6:C13)</f>
        <v>31329000</v>
      </c>
      <c r="D14" s="31">
        <f>SUM(D6:D13)</f>
        <v>0</v>
      </c>
      <c r="E14" s="31">
        <f t="shared" ref="E14:M14" si="1">SUM(E6:E13)</f>
        <v>30929421.763946757</v>
      </c>
      <c r="F14" s="31">
        <f t="shared" si="1"/>
        <v>31565891.953064054</v>
      </c>
      <c r="G14" s="31">
        <f t="shared" si="1"/>
        <v>32426204.092936885</v>
      </c>
      <c r="H14" s="31">
        <f t="shared" si="1"/>
        <v>33763976.94458618</v>
      </c>
      <c r="I14" s="31">
        <f t="shared" si="1"/>
        <v>34704346.444594957</v>
      </c>
      <c r="J14" s="31">
        <f t="shared" si="1"/>
        <v>35656764.337812811</v>
      </c>
      <c r="K14" s="31">
        <f t="shared" si="1"/>
        <v>36589965.844023354</v>
      </c>
      <c r="L14" s="31">
        <f t="shared" si="1"/>
        <v>37606987.38523376</v>
      </c>
      <c r="M14" s="31">
        <f t="shared" si="1"/>
        <v>38648031.521234728</v>
      </c>
      <c r="N14" s="165">
        <f t="shared" ref="N14:O14" si="2">SUM(N6:N13)</f>
        <v>38648031.521234728</v>
      </c>
      <c r="O14" s="165">
        <f t="shared" si="2"/>
        <v>38648031.521234728</v>
      </c>
      <c r="AD14" s="29" t="s">
        <v>23</v>
      </c>
      <c r="AE14" s="33">
        <f>SUM(AE4:AE13)</f>
        <v>0</v>
      </c>
    </row>
    <row r="15" spans="1:31" ht="15" x14ac:dyDescent="0.25">
      <c r="B15" s="4"/>
      <c r="C15" s="214"/>
    </row>
    <row r="16" spans="1:31" ht="15" x14ac:dyDescent="0.25">
      <c r="A16" s="29" t="s">
        <v>65</v>
      </c>
      <c r="B16" s="4"/>
      <c r="C16" s="214"/>
      <c r="AD16" s="13" t="s">
        <v>24</v>
      </c>
    </row>
    <row r="17" spans="1:31" ht="15" x14ac:dyDescent="0.25">
      <c r="A17" s="11" t="s">
        <v>25</v>
      </c>
      <c r="B17" s="4">
        <v>12857000</v>
      </c>
      <c r="C17" s="214">
        <v>13233000</v>
      </c>
      <c r="D17" s="141">
        <f>'GF &amp; FF  Inc Exp Statement'!D23</f>
        <v>0</v>
      </c>
      <c r="E17" s="141">
        <v>13780905</v>
      </c>
      <c r="F17" s="141">
        <v>14263237</v>
      </c>
      <c r="G17" s="141">
        <v>14762450</v>
      </c>
      <c r="H17" s="141">
        <v>15279136</v>
      </c>
      <c r="I17" s="141">
        <v>15813906</v>
      </c>
      <c r="J17" s="141">
        <v>16367392</v>
      </c>
      <c r="K17" s="141">
        <v>16940251</v>
      </c>
      <c r="L17" s="141">
        <v>17533160</v>
      </c>
      <c r="M17" s="141">
        <v>18146821</v>
      </c>
      <c r="N17" s="217">
        <v>18146821</v>
      </c>
      <c r="O17" s="217">
        <v>18146821</v>
      </c>
      <c r="P17" s="11" t="s">
        <v>26</v>
      </c>
      <c r="AD17" s="11" t="s">
        <v>25</v>
      </c>
      <c r="AE17" s="14">
        <f>+D17</f>
        <v>0</v>
      </c>
    </row>
    <row r="18" spans="1:31" ht="15" x14ac:dyDescent="0.25">
      <c r="A18" s="11" t="s">
        <v>27</v>
      </c>
      <c r="B18" s="4">
        <v>6328000</v>
      </c>
      <c r="C18" s="214">
        <v>6159000</v>
      </c>
      <c r="D18" s="141">
        <f>'GF &amp; FF  Inc Exp Statement'!D25</f>
        <v>0</v>
      </c>
      <c r="E18" s="141">
        <v>5061438</v>
      </c>
      <c r="F18" s="141">
        <v>4525823</v>
      </c>
      <c r="G18" s="141">
        <v>4638969</v>
      </c>
      <c r="H18" s="141">
        <v>4754943</v>
      </c>
      <c r="I18" s="141">
        <v>4873817</v>
      </c>
      <c r="J18" s="141">
        <v>4995662</v>
      </c>
      <c r="K18" s="141">
        <v>5120554</v>
      </c>
      <c r="L18" s="141">
        <v>5248568</v>
      </c>
      <c r="M18" s="141">
        <v>5379782</v>
      </c>
      <c r="N18" s="217">
        <v>5379782</v>
      </c>
      <c r="O18" s="217">
        <v>5379782</v>
      </c>
      <c r="AD18" s="11" t="s">
        <v>28</v>
      </c>
      <c r="AE18" s="14">
        <f>+D20</f>
        <v>0</v>
      </c>
    </row>
    <row r="19" spans="1:31" ht="15" x14ac:dyDescent="0.25">
      <c r="A19" s="11" t="s">
        <v>29</v>
      </c>
      <c r="B19" s="4">
        <v>4402000</v>
      </c>
      <c r="C19" s="214">
        <v>4755000</v>
      </c>
      <c r="D19" s="141">
        <f>'GF &amp; FF  Inc Exp Statement'!D27</f>
        <v>0</v>
      </c>
      <c r="E19" s="141">
        <v>4610348</v>
      </c>
      <c r="F19" s="141">
        <v>4725606</v>
      </c>
      <c r="G19" s="141">
        <v>4843746</v>
      </c>
      <c r="H19" s="141">
        <v>4964840</v>
      </c>
      <c r="I19" s="141">
        <v>5088961</v>
      </c>
      <c r="J19" s="141">
        <v>5216185</v>
      </c>
      <c r="K19" s="141">
        <v>5346590</v>
      </c>
      <c r="L19" s="141">
        <v>5480254</v>
      </c>
      <c r="M19" s="141">
        <v>5617261</v>
      </c>
      <c r="N19" s="217">
        <v>5617261</v>
      </c>
      <c r="O19" s="217">
        <v>5617261</v>
      </c>
      <c r="AD19" s="11" t="s">
        <v>30</v>
      </c>
      <c r="AE19" s="14">
        <f ca="1">-D35</f>
        <v>5386773.6795166293</v>
      </c>
    </row>
    <row r="20" spans="1:31" ht="15" x14ac:dyDescent="0.25">
      <c r="A20" s="15" t="s">
        <v>28</v>
      </c>
      <c r="B20" s="6">
        <v>6548000</v>
      </c>
      <c r="C20" s="215">
        <f>7314000+55000</f>
        <v>7369000</v>
      </c>
      <c r="D20" s="141">
        <f>'GF &amp; FF  Inc Exp Statement'!D30</f>
        <v>0</v>
      </c>
      <c r="E20" s="141">
        <v>7372991</v>
      </c>
      <c r="F20" s="141">
        <v>7742316</v>
      </c>
      <c r="G20" s="141">
        <v>7746249</v>
      </c>
      <c r="H20" s="141">
        <v>7939905</v>
      </c>
      <c r="I20" s="141">
        <v>8138403</v>
      </c>
      <c r="J20" s="141">
        <v>8541863</v>
      </c>
      <c r="K20" s="141">
        <v>8550410</v>
      </c>
      <c r="L20" s="141">
        <v>8764170</v>
      </c>
      <c r="M20" s="141">
        <v>8983274</v>
      </c>
      <c r="N20" s="217">
        <v>8983274</v>
      </c>
      <c r="O20" s="217">
        <v>8983274</v>
      </c>
      <c r="AD20" s="11" t="s">
        <v>31</v>
      </c>
      <c r="AE20" s="14">
        <f>-D39</f>
        <v>0</v>
      </c>
    </row>
    <row r="21" spans="1:31" s="32" customFormat="1" ht="15" x14ac:dyDescent="0.25">
      <c r="A21" s="29" t="s">
        <v>66</v>
      </c>
      <c r="B21" s="31">
        <f>SUM(B17:B20)</f>
        <v>30135000</v>
      </c>
      <c r="C21" s="165">
        <f>SUM(C17:C20)</f>
        <v>31516000</v>
      </c>
      <c r="D21" s="31">
        <f>SUM(D17:D20)</f>
        <v>0</v>
      </c>
      <c r="E21" s="31">
        <f t="shared" ref="E21:M21" si="3">SUM(E17:E20)</f>
        <v>30825682</v>
      </c>
      <c r="F21" s="31">
        <f t="shared" si="3"/>
        <v>31256982</v>
      </c>
      <c r="G21" s="31">
        <f t="shared" si="3"/>
        <v>31991414</v>
      </c>
      <c r="H21" s="31">
        <f t="shared" si="3"/>
        <v>32938824</v>
      </c>
      <c r="I21" s="31">
        <f t="shared" si="3"/>
        <v>33915087</v>
      </c>
      <c r="J21" s="31">
        <f t="shared" si="3"/>
        <v>35121102</v>
      </c>
      <c r="K21" s="31">
        <f t="shared" si="3"/>
        <v>35957805</v>
      </c>
      <c r="L21" s="31">
        <f t="shared" si="3"/>
        <v>37026152</v>
      </c>
      <c r="M21" s="31">
        <f t="shared" si="3"/>
        <v>38127138</v>
      </c>
      <c r="N21" s="165">
        <f t="shared" ref="N21:O21" si="4">SUM(N17:N20)</f>
        <v>38127138</v>
      </c>
      <c r="O21" s="165">
        <f t="shared" si="4"/>
        <v>38127138</v>
      </c>
      <c r="AD21" s="29" t="s">
        <v>23</v>
      </c>
      <c r="AE21" s="33">
        <f ca="1">SUM(AE17:AE20)</f>
        <v>5386773.6795166293</v>
      </c>
    </row>
    <row r="22" spans="1:31" ht="15" x14ac:dyDescent="0.25">
      <c r="B22" s="4"/>
    </row>
    <row r="23" spans="1:31" s="29" customFormat="1" ht="15.75" thickBot="1" x14ac:dyDescent="0.3">
      <c r="A23" s="29" t="s">
        <v>67</v>
      </c>
      <c r="B23" s="34">
        <f t="shared" ref="B23:M23" si="5">+B14-B21</f>
        <v>2944000</v>
      </c>
      <c r="C23" s="203">
        <f t="shared" si="5"/>
        <v>-187000</v>
      </c>
      <c r="D23" s="34">
        <f t="shared" si="5"/>
        <v>0</v>
      </c>
      <c r="E23" s="34">
        <f t="shared" si="5"/>
        <v>103739.76394675672</v>
      </c>
      <c r="F23" s="34">
        <f t="shared" si="5"/>
        <v>308909.95306405425</v>
      </c>
      <c r="G23" s="34">
        <f t="shared" si="5"/>
        <v>434790.09293688461</v>
      </c>
      <c r="H23" s="34">
        <f t="shared" si="5"/>
        <v>825152.94458618015</v>
      </c>
      <c r="I23" s="34">
        <f t="shared" si="5"/>
        <v>789259.44459495693</v>
      </c>
      <c r="J23" s="34">
        <f t="shared" si="5"/>
        <v>535662.33781281114</v>
      </c>
      <c r="K23" s="34">
        <f t="shared" si="5"/>
        <v>632160.84402335435</v>
      </c>
      <c r="L23" s="34">
        <f t="shared" si="5"/>
        <v>580835.38523375988</v>
      </c>
      <c r="M23" s="34">
        <f t="shared" si="5"/>
        <v>520893.5212347284</v>
      </c>
      <c r="N23" s="34">
        <f t="shared" ref="N23:O23" si="6">+N14-N21</f>
        <v>520893.5212347284</v>
      </c>
      <c r="O23" s="34">
        <f t="shared" si="6"/>
        <v>520893.5212347284</v>
      </c>
    </row>
    <row r="24" spans="1:31" ht="15" x14ac:dyDescent="0.25">
      <c r="A24" s="2"/>
      <c r="B24" s="4"/>
    </row>
    <row r="25" spans="1:31" s="32" customFormat="1" ht="15" x14ac:dyDescent="0.25">
      <c r="A25" s="29" t="s">
        <v>75</v>
      </c>
      <c r="B25" s="35"/>
      <c r="C25" s="166"/>
      <c r="N25" s="216">
        <v>0</v>
      </c>
      <c r="O25" s="216">
        <v>0</v>
      </c>
    </row>
    <row r="26" spans="1:31" ht="15" x14ac:dyDescent="0.25">
      <c r="A26" s="15" t="s">
        <v>322</v>
      </c>
      <c r="B26" s="118">
        <v>0</v>
      </c>
      <c r="C26" s="216">
        <v>0</v>
      </c>
      <c r="D26" s="118">
        <v>0</v>
      </c>
      <c r="E26" s="118">
        <v>0</v>
      </c>
      <c r="F26" s="118">
        <v>0</v>
      </c>
      <c r="G26" s="118">
        <v>0</v>
      </c>
      <c r="H26" s="118">
        <v>0</v>
      </c>
      <c r="I26" s="118">
        <v>0</v>
      </c>
      <c r="J26" s="118">
        <v>0</v>
      </c>
      <c r="K26" s="118">
        <v>0</v>
      </c>
      <c r="L26" s="118">
        <v>0</v>
      </c>
      <c r="M26" s="118">
        <v>0</v>
      </c>
      <c r="N26" s="216">
        <v>0</v>
      </c>
      <c r="O26" s="216">
        <v>0</v>
      </c>
    </row>
    <row r="28" spans="1:31" s="38" customFormat="1" ht="15.75" x14ac:dyDescent="0.25">
      <c r="A28" s="36" t="s">
        <v>76</v>
      </c>
      <c r="B28" s="37">
        <f>+B23+B26</f>
        <v>2944000</v>
      </c>
      <c r="C28" s="220">
        <f>+C23+C26</f>
        <v>-187000</v>
      </c>
      <c r="D28" s="37">
        <f>+D23+D26</f>
        <v>0</v>
      </c>
      <c r="E28" s="37">
        <f t="shared" ref="E28:M28" si="7">+E23+E26</f>
        <v>103739.76394675672</v>
      </c>
      <c r="F28" s="37">
        <f t="shared" si="7"/>
        <v>308909.95306405425</v>
      </c>
      <c r="G28" s="37">
        <f t="shared" si="7"/>
        <v>434790.09293688461</v>
      </c>
      <c r="H28" s="37">
        <f t="shared" si="7"/>
        <v>825152.94458618015</v>
      </c>
      <c r="I28" s="37">
        <f t="shared" si="7"/>
        <v>789259.44459495693</v>
      </c>
      <c r="J28" s="37">
        <f t="shared" si="7"/>
        <v>535662.33781281114</v>
      </c>
      <c r="K28" s="37">
        <f t="shared" si="7"/>
        <v>632160.84402335435</v>
      </c>
      <c r="L28" s="37">
        <f t="shared" si="7"/>
        <v>580835.38523375988</v>
      </c>
      <c r="M28" s="37">
        <f t="shared" si="7"/>
        <v>520893.5212347284</v>
      </c>
      <c r="N28" s="37">
        <f t="shared" ref="N28:O28" si="8">+N23+N26</f>
        <v>520893.5212347284</v>
      </c>
      <c r="O28" s="37">
        <f t="shared" si="8"/>
        <v>520893.5212347284</v>
      </c>
    </row>
    <row r="29" spans="1:31" ht="9" customHeight="1" x14ac:dyDescent="0.25"/>
    <row r="30" spans="1:31" s="13" customFormat="1" ht="15" x14ac:dyDescent="0.25">
      <c r="A30" s="13" t="s">
        <v>77</v>
      </c>
      <c r="B30" s="14">
        <f>+B28</f>
        <v>2944000</v>
      </c>
      <c r="C30" s="217">
        <f>+C25+C28</f>
        <v>-187000</v>
      </c>
      <c r="D30" s="14">
        <f>+D28</f>
        <v>0</v>
      </c>
      <c r="E30" s="14">
        <f t="shared" ref="E30:M30" si="9">+E28</f>
        <v>103739.76394675672</v>
      </c>
      <c r="F30" s="14">
        <f t="shared" si="9"/>
        <v>308909.95306405425</v>
      </c>
      <c r="G30" s="14">
        <f t="shared" si="9"/>
        <v>434790.09293688461</v>
      </c>
      <c r="H30" s="14">
        <f t="shared" si="9"/>
        <v>825152.94458618015</v>
      </c>
      <c r="I30" s="14">
        <f t="shared" si="9"/>
        <v>789259.44459495693</v>
      </c>
      <c r="J30" s="14">
        <f t="shared" si="9"/>
        <v>535662.33781281114</v>
      </c>
      <c r="K30" s="14">
        <f t="shared" si="9"/>
        <v>632160.84402335435</v>
      </c>
      <c r="L30" s="14">
        <f t="shared" si="9"/>
        <v>580835.38523375988</v>
      </c>
      <c r="M30" s="14">
        <f t="shared" si="9"/>
        <v>520893.5212347284</v>
      </c>
      <c r="N30" s="154">
        <f t="shared" ref="N30:O30" si="10">+N28</f>
        <v>520893.5212347284</v>
      </c>
      <c r="O30" s="154">
        <f t="shared" si="10"/>
        <v>520893.5212347284</v>
      </c>
    </row>
    <row r="31" spans="1:31" s="13" customFormat="1" ht="15.75" thickBot="1" x14ac:dyDescent="0.3">
      <c r="A31" s="13" t="s">
        <v>78</v>
      </c>
      <c r="B31" s="119">
        <v>0</v>
      </c>
      <c r="C31" s="218">
        <v>0</v>
      </c>
      <c r="D31" s="119">
        <v>0</v>
      </c>
      <c r="E31" s="119">
        <v>0</v>
      </c>
      <c r="F31" s="119">
        <v>0</v>
      </c>
      <c r="G31" s="119">
        <v>0</v>
      </c>
      <c r="H31" s="119">
        <v>0</v>
      </c>
      <c r="I31" s="119">
        <v>0</v>
      </c>
      <c r="J31" s="119">
        <v>0</v>
      </c>
      <c r="K31" s="119">
        <v>0</v>
      </c>
      <c r="L31" s="119">
        <v>0</v>
      </c>
      <c r="M31" s="119">
        <v>0</v>
      </c>
      <c r="N31" s="218">
        <v>0</v>
      </c>
      <c r="O31" s="218">
        <v>0</v>
      </c>
    </row>
    <row r="32" spans="1:31" ht="15.75" thickTop="1" x14ac:dyDescent="0.25">
      <c r="A32" s="2"/>
      <c r="B32" s="4"/>
      <c r="C32" s="214"/>
    </row>
    <row r="33" spans="1:16" ht="30" x14ac:dyDescent="0.25">
      <c r="A33" s="39" t="s">
        <v>79</v>
      </c>
      <c r="B33" s="116">
        <f>+B28-B11</f>
        <v>1635000</v>
      </c>
      <c r="C33" s="217">
        <f>+C28-C11</f>
        <v>-2633000</v>
      </c>
      <c r="D33" s="116">
        <f>+D28-D11</f>
        <v>0</v>
      </c>
      <c r="E33" s="116">
        <f t="shared" ref="E33:M33" si="11">+E28-E11</f>
        <v>-893910.23605324328</v>
      </c>
      <c r="F33" s="116">
        <f t="shared" si="11"/>
        <v>-713681.29693594575</v>
      </c>
      <c r="G33" s="116">
        <f t="shared" si="11"/>
        <v>-613365.93831311527</v>
      </c>
      <c r="H33" s="116">
        <f t="shared" si="11"/>
        <v>-699206.98744506948</v>
      </c>
      <c r="I33" s="116">
        <f t="shared" si="11"/>
        <v>-773209.48573707417</v>
      </c>
      <c r="J33" s="116">
        <f t="shared" si="11"/>
        <v>-1065868.3157775202</v>
      </c>
      <c r="K33" s="116">
        <f t="shared" si="11"/>
        <v>-1009408.0759067354</v>
      </c>
      <c r="L33" s="116">
        <f t="shared" si="11"/>
        <v>-1101772.757694582</v>
      </c>
      <c r="M33" s="116">
        <f t="shared" si="11"/>
        <v>-1203779.825266822</v>
      </c>
      <c r="N33" s="217">
        <f t="shared" ref="N33:O33" si="12">+N28-N11</f>
        <v>-1203779.825266822</v>
      </c>
      <c r="O33" s="217">
        <f t="shared" si="12"/>
        <v>-1203779.825266822</v>
      </c>
    </row>
    <row r="34" spans="1:16" ht="15" x14ac:dyDescent="0.25">
      <c r="A34" s="2"/>
      <c r="B34" s="116"/>
      <c r="C34" s="217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217"/>
      <c r="O34" s="217"/>
    </row>
    <row r="35" spans="1:16" ht="15" x14ac:dyDescent="0.25">
      <c r="A35" s="29" t="s">
        <v>30</v>
      </c>
      <c r="B35" s="116">
        <v>-3830000</v>
      </c>
      <c r="C35" s="217">
        <v>-5950000</v>
      </c>
      <c r="D35" s="116">
        <f ca="1">-'Capital Program'!D32</f>
        <v>-5386773.6795166293</v>
      </c>
      <c r="E35" s="217">
        <f ca="1">-'Capital Program'!E32</f>
        <v>-6869037.4982148726</v>
      </c>
      <c r="F35" s="217">
        <f ca="1">-'Capital Program'!F32</f>
        <v>-5970292.9597329386</v>
      </c>
      <c r="G35" s="217">
        <f ca="1">-'Capital Program'!G32</f>
        <v>-6630420.5554642072</v>
      </c>
      <c r="H35" s="217">
        <f ca="1">-'Capital Program'!H32</f>
        <v>-11558267.290281707</v>
      </c>
      <c r="I35" s="217">
        <f ca="1">-'Capital Program'!I32</f>
        <v>-6988760.1907281922</v>
      </c>
      <c r="J35" s="217">
        <f ca="1">-'Capital Program'!J32</f>
        <v>-9644446.2463969775</v>
      </c>
      <c r="K35" s="217">
        <f ca="1">-'Capital Program'!K32</f>
        <v>-5475779.917529624</v>
      </c>
      <c r="L35" s="217" t="e">
        <f>-'Capital Program'!L32</f>
        <v>#REF!</v>
      </c>
      <c r="M35" s="217" t="e">
        <f>-'Capital Program'!M32</f>
        <v>#REF!</v>
      </c>
      <c r="N35" s="217">
        <f>-'Capital Program'!N32</f>
        <v>0</v>
      </c>
      <c r="O35" s="217">
        <f>-'Capital Program'!O32</f>
        <v>0</v>
      </c>
      <c r="P35" s="11" t="s">
        <v>32</v>
      </c>
    </row>
    <row r="36" spans="1:16" s="4" customFormat="1" ht="15" x14ac:dyDescent="0.25">
      <c r="A36" s="4" t="s">
        <v>109</v>
      </c>
      <c r="B36" s="116">
        <v>611000</v>
      </c>
      <c r="C36" s="217">
        <v>621000</v>
      </c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217"/>
      <c r="O36" s="217"/>
    </row>
    <row r="37" spans="1:16" ht="15" x14ac:dyDescent="0.25">
      <c r="A37" s="29" t="s">
        <v>33</v>
      </c>
      <c r="B37" s="116">
        <f>+B19</f>
        <v>4402000</v>
      </c>
      <c r="C37" s="217">
        <f>C19</f>
        <v>4755000</v>
      </c>
      <c r="D37" s="116">
        <f>D19</f>
        <v>0</v>
      </c>
      <c r="E37" s="116">
        <f t="shared" ref="E37:M37" si="13">E19</f>
        <v>4610348</v>
      </c>
      <c r="F37" s="116">
        <f t="shared" si="13"/>
        <v>4725606</v>
      </c>
      <c r="G37" s="116">
        <f t="shared" si="13"/>
        <v>4843746</v>
      </c>
      <c r="H37" s="116">
        <f t="shared" si="13"/>
        <v>4964840</v>
      </c>
      <c r="I37" s="116">
        <f t="shared" si="13"/>
        <v>5088961</v>
      </c>
      <c r="J37" s="116">
        <f t="shared" si="13"/>
        <v>5216185</v>
      </c>
      <c r="K37" s="116">
        <f t="shared" si="13"/>
        <v>5346590</v>
      </c>
      <c r="L37" s="116">
        <f t="shared" si="13"/>
        <v>5480254</v>
      </c>
      <c r="M37" s="116">
        <f t="shared" si="13"/>
        <v>5617261</v>
      </c>
      <c r="N37" s="217">
        <f t="shared" ref="N37:O37" si="14">N19</f>
        <v>5617261</v>
      </c>
      <c r="O37" s="217">
        <f t="shared" si="14"/>
        <v>5617261</v>
      </c>
    </row>
    <row r="38" spans="1:16" ht="15" x14ac:dyDescent="0.25">
      <c r="A38" s="2"/>
      <c r="B38" s="116"/>
      <c r="C38" s="217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217"/>
      <c r="O38" s="217"/>
    </row>
    <row r="39" spans="1:16" ht="15" x14ac:dyDescent="0.25">
      <c r="A39" s="29" t="s">
        <v>31</v>
      </c>
      <c r="B39" s="116">
        <v>-8130000</v>
      </c>
      <c r="C39" s="217">
        <v>-258000</v>
      </c>
      <c r="D39" s="116">
        <f>'GF &amp; FF  Inc Exp Statement'!D67</f>
        <v>0</v>
      </c>
      <c r="E39" s="116">
        <f>'GF &amp; FF  Inc Exp Statement'!E67</f>
        <v>0</v>
      </c>
      <c r="F39" s="204">
        <f>'GF &amp; FF  Inc Exp Statement'!F67</f>
        <v>0</v>
      </c>
      <c r="G39" s="204">
        <f>'GF &amp; FF  Inc Exp Statement'!G67</f>
        <v>0</v>
      </c>
      <c r="H39" s="204">
        <f>'GF &amp; FF  Inc Exp Statement'!H67</f>
        <v>0</v>
      </c>
      <c r="I39" s="204">
        <f>'GF &amp; FF  Inc Exp Statement'!I67</f>
        <v>0</v>
      </c>
      <c r="J39" s="204">
        <f>'GF &amp; FF  Inc Exp Statement'!J67</f>
        <v>0</v>
      </c>
      <c r="K39" s="204">
        <f>'GF &amp; FF  Inc Exp Statement'!K67</f>
        <v>0</v>
      </c>
      <c r="L39" s="204">
        <f>'GF &amp; FF  Inc Exp Statement'!L67</f>
        <v>0</v>
      </c>
      <c r="M39" s="204">
        <f>'GF &amp; FF  Inc Exp Statement'!M67</f>
        <v>0</v>
      </c>
      <c r="N39" s="217">
        <f>'GF &amp; FF  Inc Exp Statement'!N67</f>
        <v>0</v>
      </c>
      <c r="O39" s="217">
        <f>'GF &amp; FF  Inc Exp Statement'!O67</f>
        <v>0</v>
      </c>
    </row>
    <row r="40" spans="1:16" ht="15" x14ac:dyDescent="0.25">
      <c r="A40" s="29" t="s">
        <v>22</v>
      </c>
      <c r="B40" s="116">
        <v>3862000</v>
      </c>
      <c r="C40" s="217">
        <v>121000</v>
      </c>
      <c r="D40" s="141">
        <f>'GF &amp; FF  Inc Exp Statement'!D63</f>
        <v>0</v>
      </c>
      <c r="E40" s="204">
        <f>'GF &amp; FF  Inc Exp Statement'!E63</f>
        <v>0</v>
      </c>
      <c r="F40" s="204">
        <f>'GF &amp; FF  Inc Exp Statement'!F63</f>
        <v>2262.9380000000001</v>
      </c>
      <c r="G40" s="204" t="e">
        <f>'GF &amp; FF  Inc Exp Statement'!#REF!</f>
        <v>#REF!</v>
      </c>
      <c r="H40" s="204">
        <f>'GF &amp; FF  Inc Exp Statement'!G63</f>
        <v>2200</v>
      </c>
      <c r="I40" s="204">
        <f>'GF &amp; FF  Inc Exp Statement'!H63</f>
        <v>8000</v>
      </c>
      <c r="J40" s="204">
        <f>'GF &amp; FF  Inc Exp Statement'!I63</f>
        <v>2000</v>
      </c>
      <c r="K40" s="204">
        <f>'GF &amp; FF  Inc Exp Statement'!K63</f>
        <v>2040</v>
      </c>
      <c r="L40" s="204">
        <f>'GF &amp; FF  Inc Exp Statement'!L63</f>
        <v>2080.8000000000002</v>
      </c>
      <c r="M40" s="204">
        <f>'GF &amp; FF  Inc Exp Statement'!M63</f>
        <v>2122.4160000000002</v>
      </c>
      <c r="N40" s="217">
        <f>'GF &amp; FF  Inc Exp Statement'!N63</f>
        <v>2164.8643199999997</v>
      </c>
      <c r="O40" s="217">
        <f>'GF &amp; FF  Inc Exp Statement'!O63</f>
        <v>2208.1616064</v>
      </c>
    </row>
    <row r="41" spans="1:16" ht="15" x14ac:dyDescent="0.25">
      <c r="A41" s="4" t="s">
        <v>113</v>
      </c>
      <c r="B41" s="116">
        <v>-80000</v>
      </c>
      <c r="C41" s="217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217"/>
      <c r="O41" s="217"/>
    </row>
    <row r="42" spans="1:16" ht="15" x14ac:dyDescent="0.25">
      <c r="A42" s="4" t="s">
        <v>114</v>
      </c>
      <c r="B42" s="116">
        <v>349000</v>
      </c>
      <c r="C42" s="217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217"/>
      <c r="O42" s="217"/>
    </row>
    <row r="43" spans="1:16" ht="15" x14ac:dyDescent="0.25">
      <c r="A43" s="4" t="s">
        <v>115</v>
      </c>
      <c r="B43" s="116">
        <v>-223000</v>
      </c>
      <c r="C43" s="217">
        <v>-281000</v>
      </c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217"/>
      <c r="O43" s="217"/>
    </row>
    <row r="44" spans="1:16" ht="15" x14ac:dyDescent="0.25">
      <c r="A44" s="29"/>
      <c r="B44" s="116"/>
      <c r="C44" s="217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217"/>
      <c r="O44" s="217"/>
    </row>
    <row r="45" spans="1:16" s="152" customFormat="1" ht="15" x14ac:dyDescent="0.25">
      <c r="A45" s="164" t="s">
        <v>34</v>
      </c>
      <c r="B45" s="217">
        <f>+B28+SUM(B35:B44)</f>
        <v>-95000</v>
      </c>
      <c r="C45" s="217">
        <f>+C28+SUM(C35:C44)</f>
        <v>-1179000</v>
      </c>
      <c r="D45" s="217">
        <f t="shared" ref="D45:M45" ca="1" si="15">+D28+SUM(D35:D44)</f>
        <v>-5386773.6795166293</v>
      </c>
      <c r="E45" s="217">
        <f t="shared" ca="1" si="15"/>
        <v>-2154949.7342681158</v>
      </c>
      <c r="F45" s="217">
        <f t="shared" ca="1" si="15"/>
        <v>-933514.06866888423</v>
      </c>
      <c r="G45" s="217" t="e">
        <f t="shared" ca="1" si="15"/>
        <v>#REF!</v>
      </c>
      <c r="H45" s="217">
        <f t="shared" ca="1" si="15"/>
        <v>-5766074.3456955273</v>
      </c>
      <c r="I45" s="217">
        <f t="shared" ca="1" si="15"/>
        <v>-1102539.7461332353</v>
      </c>
      <c r="J45" s="217">
        <f t="shared" ca="1" si="15"/>
        <v>-3890598.9085841663</v>
      </c>
      <c r="K45" s="217">
        <f t="shared" ca="1" si="15"/>
        <v>505010.9264937304</v>
      </c>
      <c r="L45" s="217" t="e">
        <f t="shared" si="15"/>
        <v>#REF!</v>
      </c>
      <c r="M45" s="217" t="e">
        <f t="shared" si="15"/>
        <v>#REF!</v>
      </c>
      <c r="N45" s="217">
        <f t="shared" ref="N45:O45" si="16">+N28+SUM(N35:N44)</f>
        <v>6140319.3855547281</v>
      </c>
      <c r="O45" s="217">
        <f t="shared" si="16"/>
        <v>6140362.6828411287</v>
      </c>
    </row>
    <row r="46" spans="1:16" s="152" customFormat="1" ht="15" x14ac:dyDescent="0.25">
      <c r="A46" s="152" t="s">
        <v>451</v>
      </c>
      <c r="C46" s="154">
        <f>B47</f>
        <v>2191000</v>
      </c>
      <c r="D46" s="154">
        <v>1012139</v>
      </c>
      <c r="E46" s="154">
        <f t="shared" ref="E46:M46" ca="1" si="17">D47</f>
        <v>-4374634.6795166293</v>
      </c>
      <c r="F46" s="154">
        <f t="shared" ca="1" si="17"/>
        <v>-6529584.4137847451</v>
      </c>
      <c r="G46" s="154">
        <f t="shared" ca="1" si="17"/>
        <v>-7463098.4824536294</v>
      </c>
      <c r="H46" s="154" t="e">
        <f t="shared" ca="1" si="17"/>
        <v>#REF!</v>
      </c>
      <c r="I46" s="154" t="e">
        <f t="shared" ca="1" si="17"/>
        <v>#REF!</v>
      </c>
      <c r="J46" s="154" t="e">
        <f t="shared" ca="1" si="17"/>
        <v>#REF!</v>
      </c>
      <c r="K46" s="154" t="e">
        <f t="shared" ca="1" si="17"/>
        <v>#REF!</v>
      </c>
      <c r="L46" s="154" t="e">
        <f t="shared" ca="1" si="17"/>
        <v>#REF!</v>
      </c>
      <c r="M46" s="154" t="e">
        <f t="shared" si="17"/>
        <v>#REF!</v>
      </c>
      <c r="N46" s="154" t="e">
        <f t="shared" ref="N46" si="18">M47</f>
        <v>#REF!</v>
      </c>
      <c r="O46" s="154" t="e">
        <f t="shared" ref="O46" si="19">N47</f>
        <v>#REF!</v>
      </c>
    </row>
    <row r="47" spans="1:16" s="152" customFormat="1" ht="15" x14ac:dyDescent="0.25">
      <c r="A47" s="153" t="s">
        <v>452</v>
      </c>
      <c r="B47" s="145">
        <v>2191000</v>
      </c>
      <c r="C47" s="144">
        <f>SUM(C45:C46)</f>
        <v>1012000</v>
      </c>
      <c r="D47" s="144">
        <f t="shared" ref="D47:M47" ca="1" si="20">SUM(D45:D46)</f>
        <v>-4374634.6795166293</v>
      </c>
      <c r="E47" s="144">
        <f t="shared" ca="1" si="20"/>
        <v>-6529584.4137847451</v>
      </c>
      <c r="F47" s="144">
        <f t="shared" ca="1" si="20"/>
        <v>-7463098.4824536294</v>
      </c>
      <c r="G47" s="144" t="e">
        <f t="shared" ca="1" si="20"/>
        <v>#REF!</v>
      </c>
      <c r="H47" s="144" t="e">
        <f t="shared" ca="1" si="20"/>
        <v>#REF!</v>
      </c>
      <c r="I47" s="144" t="e">
        <f t="shared" ca="1" si="20"/>
        <v>#REF!</v>
      </c>
      <c r="J47" s="144" t="e">
        <f t="shared" ca="1" si="20"/>
        <v>#REF!</v>
      </c>
      <c r="K47" s="144" t="e">
        <f t="shared" ca="1" si="20"/>
        <v>#REF!</v>
      </c>
      <c r="L47" s="144" t="e">
        <f t="shared" si="20"/>
        <v>#REF!</v>
      </c>
      <c r="M47" s="144" t="e">
        <f t="shared" si="20"/>
        <v>#REF!</v>
      </c>
      <c r="N47" s="144" t="e">
        <f t="shared" ref="N47:O47" si="21">SUM(N45:N46)</f>
        <v>#REF!</v>
      </c>
      <c r="O47" s="144" t="e">
        <f t="shared" si="21"/>
        <v>#REF!</v>
      </c>
    </row>
    <row r="49" spans="1:15" ht="15" x14ac:dyDescent="0.25">
      <c r="A49" s="112" t="s">
        <v>415</v>
      </c>
      <c r="B49" s="19" t="s">
        <v>69</v>
      </c>
      <c r="C49" s="213" t="s">
        <v>69</v>
      </c>
      <c r="D49" s="19" t="s">
        <v>70</v>
      </c>
      <c r="E49" s="19" t="s">
        <v>71</v>
      </c>
      <c r="F49" s="19" t="s">
        <v>71</v>
      </c>
      <c r="G49" s="19" t="s">
        <v>71</v>
      </c>
      <c r="H49" s="19" t="s">
        <v>71</v>
      </c>
      <c r="I49" s="19" t="s">
        <v>71</v>
      </c>
      <c r="J49" s="19" t="s">
        <v>71</v>
      </c>
      <c r="K49" s="19" t="s">
        <v>71</v>
      </c>
      <c r="L49" s="19" t="s">
        <v>71</v>
      </c>
      <c r="M49" s="19" t="s">
        <v>71</v>
      </c>
      <c r="N49" s="213" t="s">
        <v>71</v>
      </c>
      <c r="O49" s="213" t="s">
        <v>71</v>
      </c>
    </row>
    <row r="50" spans="1:15" ht="15" x14ac:dyDescent="0.25">
      <c r="A50" s="18" t="s">
        <v>73</v>
      </c>
      <c r="B50" s="19" t="s">
        <v>60</v>
      </c>
      <c r="C50" s="151" t="s">
        <v>68</v>
      </c>
      <c r="D50" s="10" t="s">
        <v>0</v>
      </c>
      <c r="E50" s="10" t="s">
        <v>1</v>
      </c>
      <c r="F50" s="10" t="s">
        <v>2</v>
      </c>
      <c r="G50" s="10" t="s">
        <v>3</v>
      </c>
      <c r="H50" s="10" t="s">
        <v>4</v>
      </c>
      <c r="I50" s="10" t="s">
        <v>5</v>
      </c>
      <c r="J50" s="10" t="s">
        <v>6</v>
      </c>
      <c r="K50" s="10" t="s">
        <v>7</v>
      </c>
      <c r="L50" s="10" t="s">
        <v>8</v>
      </c>
      <c r="M50" s="10" t="s">
        <v>9</v>
      </c>
      <c r="N50" s="151" t="s">
        <v>514</v>
      </c>
      <c r="O50" s="151" t="s">
        <v>515</v>
      </c>
    </row>
    <row r="51" spans="1:15" ht="15" x14ac:dyDescent="0.25">
      <c r="A51" s="29" t="s">
        <v>61</v>
      </c>
    </row>
    <row r="52" spans="1:15" ht="15" x14ac:dyDescent="0.25">
      <c r="A52" s="30" t="s">
        <v>62</v>
      </c>
    </row>
    <row r="53" spans="1:15" ht="15" x14ac:dyDescent="0.25">
      <c r="A53" s="11" t="s">
        <v>11</v>
      </c>
      <c r="B53" s="14">
        <f>+B6</f>
        <v>17925000</v>
      </c>
      <c r="C53" s="154">
        <f>+C6</f>
        <v>19587000</v>
      </c>
      <c r="D53" s="14">
        <f t="shared" ref="B53:D58" si="22">+D6</f>
        <v>0</v>
      </c>
      <c r="E53" s="214">
        <f>E6/(1+'LTFP Assumptions'!$B$6)*(1+'LTFP Assumptions'!$D$6)</f>
        <v>22124446.310000002</v>
      </c>
      <c r="F53" s="214">
        <f>F6/(1+'LTFP Assumptions'!$B$6)*(1+'LTFP Assumptions'!$D$6)</f>
        <v>22781729.699300002</v>
      </c>
      <c r="G53" s="214">
        <f>G6/(1+'LTFP Assumptions'!$B$6)*(1+'LTFP Assumptions'!$D$6)</f>
        <v>23458731.590278998</v>
      </c>
      <c r="H53" s="214">
        <f>H6/(1+'LTFP Assumptions'!$B$6)*(1+'LTFP Assumptions'!$D$6)</f>
        <v>24156043.53798737</v>
      </c>
      <c r="I53" s="214">
        <f>I6/(1+'LTFP Assumptions'!$B$6)*(1+'LTFP Assumptions'!$D$6)</f>
        <v>24874274.844126988</v>
      </c>
      <c r="J53" s="214">
        <f>J6/(1+'LTFP Assumptions'!$B$6)*(1+'LTFP Assumptions'!$D$6)</f>
        <v>25614053.089450795</v>
      </c>
      <c r="K53" s="214">
        <f>K6/(1+'LTFP Assumptions'!$B$6)*(1+'LTFP Assumptions'!$D$6)</f>
        <v>26376024.682134327</v>
      </c>
      <c r="L53" s="214">
        <f>L6/(1+'LTFP Assumptions'!$B$6)*(1+'LTFP Assumptions'!$D$6)</f>
        <v>27160855.422598358</v>
      </c>
      <c r="M53" s="214">
        <f>M6/(1+'LTFP Assumptions'!$B$6)*(1+'LTFP Assumptions'!$D$6)</f>
        <v>27969231.085276309</v>
      </c>
      <c r="N53" s="214">
        <f>N6/(1+'LTFP Assumptions'!$B$6)*(1+'LTFP Assumptions'!$D$6)</f>
        <v>27969231.085276309</v>
      </c>
      <c r="O53" s="214">
        <f>O6/(1+'LTFP Assumptions'!$B$6)*(1+'LTFP Assumptions'!$D$6)</f>
        <v>27969231.085276309</v>
      </c>
    </row>
    <row r="54" spans="1:15" ht="15" x14ac:dyDescent="0.25">
      <c r="A54" s="11" t="s">
        <v>12</v>
      </c>
      <c r="B54" s="14">
        <f t="shared" si="22"/>
        <v>3009000</v>
      </c>
      <c r="C54" s="154">
        <f t="shared" si="22"/>
        <v>3269000</v>
      </c>
      <c r="D54" s="14">
        <f t="shared" si="22"/>
        <v>0</v>
      </c>
      <c r="E54" s="214">
        <f>E7/(1+'LTFP Assumptions'!$B$12)*(1+'LTFP Assumptions'!$D$12)</f>
        <v>3094175.2317545456</v>
      </c>
      <c r="F54" s="214">
        <f>F7/(1+'LTFP Assumptions'!$B$12)*(1+'LTFP Assumptions'!$D$12)</f>
        <v>3154197.1125484086</v>
      </c>
      <c r="G54" s="214">
        <f>G7/(1+'LTFP Assumptions'!$B$12)*(1+'LTFP Assumptions'!$D$12)</f>
        <v>3215719.5403621192</v>
      </c>
      <c r="H54" s="214">
        <f>H7/(1+'LTFP Assumptions'!$B$12)*(1+'LTFP Assumptions'!$D$12)</f>
        <v>3278780.0288711712</v>
      </c>
      <c r="I54" s="214">
        <f>I7/(1+'LTFP Assumptions'!$B$12)*(1+'LTFP Assumptions'!$D$12)</f>
        <v>3343417.0295929499</v>
      </c>
      <c r="J54" s="214">
        <f>J7/(1+'LTFP Assumptions'!$B$12)*(1+'LTFP Assumptions'!$D$12)</f>
        <v>3409669.9553327733</v>
      </c>
      <c r="K54" s="214">
        <f>K7/(1+'LTFP Assumptions'!$B$12)*(1+'LTFP Assumptions'!$D$12)</f>
        <v>3477579.2042160938</v>
      </c>
      <c r="L54" s="214">
        <f>L7/(1+'LTFP Assumptions'!$B$12)*(1+'LTFP Assumptions'!$D$12)</f>
        <v>3547186.1843214948</v>
      </c>
      <c r="M54" s="214">
        <f>M7/(1+'LTFP Assumptions'!$B$12)*(1+'LTFP Assumptions'!$D$12)</f>
        <v>3618533.3389295335</v>
      </c>
      <c r="N54" s="214">
        <f>N7/(1+'LTFP Assumptions'!$B$12)*(1+'LTFP Assumptions'!$D$12)</f>
        <v>3618533.3389295335</v>
      </c>
      <c r="O54" s="214">
        <f>O7/(1+'LTFP Assumptions'!$B$12)*(1+'LTFP Assumptions'!$D$12)</f>
        <v>3618533.3389295335</v>
      </c>
    </row>
    <row r="55" spans="1:15" ht="15" x14ac:dyDescent="0.25">
      <c r="A55" s="11" t="s">
        <v>13</v>
      </c>
      <c r="B55" s="14">
        <f t="shared" si="22"/>
        <v>1891000</v>
      </c>
      <c r="C55" s="154">
        <f t="shared" si="22"/>
        <v>1648000</v>
      </c>
      <c r="D55" s="14">
        <f t="shared" si="22"/>
        <v>0</v>
      </c>
      <c r="E55" s="214">
        <f>((E8-50000)/1.0375*1.025)+50000</f>
        <v>946675.64043392788</v>
      </c>
      <c r="F55" s="214">
        <f t="shared" ref="F55:M55" si="23">((F8-50000)/1.0375*1.025)+50000</f>
        <v>963678.47005233879</v>
      </c>
      <c r="G55" s="214">
        <f t="shared" si="23"/>
        <v>980754.44131061388</v>
      </c>
      <c r="H55" s="214">
        <f t="shared" si="23"/>
        <v>979182.826351895</v>
      </c>
      <c r="I55" s="214">
        <f t="shared" si="23"/>
        <v>1002928.4622365199</v>
      </c>
      <c r="J55" s="214">
        <f t="shared" si="23"/>
        <v>1012397.0876039114</v>
      </c>
      <c r="K55" s="214">
        <f t="shared" si="23"/>
        <v>975939.66359006439</v>
      </c>
      <c r="L55" s="214">
        <f t="shared" si="23"/>
        <v>994568.05011151021</v>
      </c>
      <c r="M55" s="214">
        <f t="shared" si="23"/>
        <v>1008399.2307508645</v>
      </c>
      <c r="N55" s="214">
        <f t="shared" ref="N55:O55" si="24">((N8-50000)/1.0375*1.025)+50000</f>
        <v>1008399.2307508645</v>
      </c>
      <c r="O55" s="214">
        <f t="shared" si="24"/>
        <v>1008399.2307508645</v>
      </c>
    </row>
    <row r="56" spans="1:15" x14ac:dyDescent="0.3">
      <c r="A56" s="11" t="s">
        <v>14</v>
      </c>
      <c r="B56" s="14">
        <f t="shared" si="22"/>
        <v>1294000</v>
      </c>
      <c r="C56" s="154">
        <f t="shared" si="22"/>
        <v>1743000</v>
      </c>
      <c r="D56" s="14">
        <f t="shared" si="22"/>
        <v>0</v>
      </c>
      <c r="E56" s="214">
        <f>E9/(1+'LTFP Assumptions'!$B$12)*(1+'LTFP Assumptions'!$D$12)</f>
        <v>1323177.0129724999</v>
      </c>
      <c r="F56" s="214">
        <f>F9/(1+'LTFP Assumptions'!$B$12)*(1+'LTFP Assumptions'!$D$12)</f>
        <v>1356256.4382968124</v>
      </c>
      <c r="G56" s="214">
        <f>G9/(1+'LTFP Assumptions'!$B$12)*(1+'LTFP Assumptions'!$D$12)</f>
        <v>1390162.8492542326</v>
      </c>
      <c r="H56" s="214">
        <f>H9/(1+'LTFP Assumptions'!$B$12)*(1+'LTFP Assumptions'!$D$12)</f>
        <v>1424916.9204855883</v>
      </c>
      <c r="I56" s="214">
        <f>I9/(1+'LTFP Assumptions'!$B$12)*(1+'LTFP Assumptions'!$D$12)</f>
        <v>1460539.8434977275</v>
      </c>
      <c r="J56" s="214">
        <f>J9/(1+'LTFP Assumptions'!$B$12)*(1+'LTFP Assumptions'!$D$12)</f>
        <v>1497053.3395851708</v>
      </c>
      <c r="K56" s="214">
        <f>K9/(1+'LTFP Assumptions'!$B$12)*(1+'LTFP Assumptions'!$D$12)</f>
        <v>1534479.6730747996</v>
      </c>
      <c r="L56" s="214">
        <f>L9/(1+'LTFP Assumptions'!$B$12)*(1+'LTFP Assumptions'!$D$12)</f>
        <v>1572841.6649016694</v>
      </c>
      <c r="M56" s="214">
        <f>M9/(1+'LTFP Assumptions'!$B$12)*(1+'LTFP Assumptions'!$D$12)</f>
        <v>1612162.7065242112</v>
      </c>
      <c r="N56" s="214">
        <f>N9/(1+'LTFP Assumptions'!$B$12)*(1+'LTFP Assumptions'!$D$12)</f>
        <v>1612162.7065242112</v>
      </c>
      <c r="O56" s="214">
        <f>O9/(1+'LTFP Assumptions'!$B$12)*(1+'LTFP Assumptions'!$D$12)</f>
        <v>1612162.7065242112</v>
      </c>
    </row>
    <row r="57" spans="1:15" x14ac:dyDescent="0.3">
      <c r="A57" s="11" t="s">
        <v>15</v>
      </c>
      <c r="B57" s="14">
        <f t="shared" si="22"/>
        <v>3150000</v>
      </c>
      <c r="C57" s="154">
        <f t="shared" si="22"/>
        <v>2636000</v>
      </c>
      <c r="D57" s="14">
        <f t="shared" si="22"/>
        <v>0</v>
      </c>
      <c r="E57" s="214">
        <f>E10/(1+'LTFP Assumptions'!$B$10)*(1+'LTFP Assumptions'!$D$10)</f>
        <v>1957362.5</v>
      </c>
      <c r="F57" s="214">
        <f>F10/(1+'LTFP Assumptions'!$B$10)*(1+'LTFP Assumptions'!$D$10)</f>
        <v>1801296.5625</v>
      </c>
      <c r="G57" s="214">
        <f>G10/(1+'LTFP Assumptions'!$B$10)*(1+'LTFP Assumptions'!$D$10)</f>
        <v>1846328.9765624998</v>
      </c>
      <c r="H57" s="214">
        <f>H10/(1+'LTFP Assumptions'!$B$10)*(1+'LTFP Assumptions'!$D$10)</f>
        <v>1902487.2009765622</v>
      </c>
      <c r="I57" s="214">
        <f>I10/(1+'LTFP Assumptions'!$B$10)*(1+'LTFP Assumptions'!$D$10)</f>
        <v>1950049.3810009758</v>
      </c>
      <c r="J57" s="214">
        <f>J10/(1+'LTFP Assumptions'!$B$10)*(1+'LTFP Assumptions'!$D$10)</f>
        <v>1998800.615526</v>
      </c>
      <c r="K57" s="214">
        <f>K10/(1+'LTFP Assumptions'!$B$10)*(1+'LTFP Assumptions'!$D$10)</f>
        <v>2048770.63091415</v>
      </c>
      <c r="L57" s="214">
        <f>L10/(1+'LTFP Assumptions'!$B$10)*(1+'LTFP Assumptions'!$D$10)</f>
        <v>2099989.8966870038</v>
      </c>
      <c r="M57" s="214">
        <f>M10/(1+'LTFP Assumptions'!$B$10)*(1+'LTFP Assumptions'!$D$10)</f>
        <v>2152489.6441041785</v>
      </c>
      <c r="N57" s="214">
        <f>N10/(1+'LTFP Assumptions'!$B$10)*(1+'LTFP Assumptions'!$D$10)</f>
        <v>2152489.6441041785</v>
      </c>
      <c r="O57" s="214">
        <f>O10/(1+'LTFP Assumptions'!$B$10)*(1+'LTFP Assumptions'!$D$10)</f>
        <v>2152489.6441041785</v>
      </c>
    </row>
    <row r="58" spans="1:15" x14ac:dyDescent="0.3">
      <c r="A58" s="11" t="s">
        <v>18</v>
      </c>
      <c r="B58" s="14">
        <f t="shared" si="22"/>
        <v>1309000</v>
      </c>
      <c r="C58" s="154">
        <f t="shared" si="22"/>
        <v>2446000</v>
      </c>
      <c r="D58" s="14">
        <f t="shared" si="22"/>
        <v>0</v>
      </c>
      <c r="E58" s="214">
        <f>E11/(1+'LTFP Assumptions'!$B$10)*(1+'LTFP Assumptions'!$D$10)</f>
        <v>997650</v>
      </c>
      <c r="F58" s="214">
        <f>F11/(1+'LTFP Assumptions'!$B$10)*(1+'LTFP Assumptions'!$D$10)</f>
        <v>1022591.25</v>
      </c>
      <c r="G58" s="214">
        <f>G11/(1+'LTFP Assumptions'!$B$10)*(1+'LTFP Assumptions'!$D$10)</f>
        <v>1048156.0312499999</v>
      </c>
      <c r="H58" s="214">
        <f>H11/(1+'LTFP Assumptions'!$B$10)*(1+'LTFP Assumptions'!$D$10)</f>
        <v>1524359.9320312496</v>
      </c>
      <c r="I58" s="214">
        <f>I11/(1+'LTFP Assumptions'!$B$10)*(1+'LTFP Assumptions'!$D$10)</f>
        <v>1562468.9303320311</v>
      </c>
      <c r="J58" s="214">
        <f>J11/(1+'LTFP Assumptions'!$B$10)*(1+'LTFP Assumptions'!$D$10)</f>
        <v>1601530.6535903313</v>
      </c>
      <c r="K58" s="214">
        <f>K11/(1+'LTFP Assumptions'!$B$10)*(1+'LTFP Assumptions'!$D$10)</f>
        <v>1641568.9199300897</v>
      </c>
      <c r="L58" s="214">
        <f>L11/(1+'LTFP Assumptions'!$B$10)*(1+'LTFP Assumptions'!$D$10)</f>
        <v>1682608.1429283419</v>
      </c>
      <c r="M58" s="214">
        <f>M11/(1+'LTFP Assumptions'!$B$10)*(1+'LTFP Assumptions'!$D$10)</f>
        <v>1724673.3465015504</v>
      </c>
      <c r="N58" s="214">
        <f>N11/(1+'LTFP Assumptions'!$B$10)*(1+'LTFP Assumptions'!$D$10)</f>
        <v>1724673.3465015504</v>
      </c>
      <c r="O58" s="214">
        <f>O11/(1+'LTFP Assumptions'!$B$10)*(1+'LTFP Assumptions'!$D$10)</f>
        <v>1724673.3465015504</v>
      </c>
    </row>
    <row r="59" spans="1:15" x14ac:dyDescent="0.3">
      <c r="A59" s="30" t="s">
        <v>63</v>
      </c>
      <c r="B59" s="14"/>
      <c r="C59" s="154"/>
      <c r="D59" s="14"/>
      <c r="E59" s="152"/>
      <c r="F59" s="152"/>
      <c r="G59" s="152"/>
      <c r="H59" s="152"/>
      <c r="I59" s="152"/>
      <c r="J59" s="152"/>
      <c r="K59" s="152"/>
      <c r="L59" s="152"/>
      <c r="M59" s="152"/>
    </row>
    <row r="60" spans="1:15" x14ac:dyDescent="0.3">
      <c r="A60" s="15" t="s">
        <v>74</v>
      </c>
      <c r="B60" s="16">
        <f t="shared" ref="B60:D60" si="25">+B13</f>
        <v>4501000</v>
      </c>
      <c r="C60" s="155">
        <f t="shared" si="25"/>
        <v>0</v>
      </c>
      <c r="D60" s="16">
        <f t="shared" si="25"/>
        <v>0</v>
      </c>
      <c r="E60" s="155">
        <f>+E13</f>
        <v>475000</v>
      </c>
      <c r="F60" s="155">
        <f t="shared" ref="F60:M60" si="26">+F13</f>
        <v>475000</v>
      </c>
      <c r="G60" s="155">
        <f t="shared" si="26"/>
        <v>475000</v>
      </c>
      <c r="H60" s="155">
        <f t="shared" si="26"/>
        <v>486874.99999999994</v>
      </c>
      <c r="I60" s="155">
        <f t="shared" si="26"/>
        <v>499046.87499999988</v>
      </c>
      <c r="J60" s="155">
        <f t="shared" si="26"/>
        <v>511523.04687499983</v>
      </c>
      <c r="K60" s="155">
        <f t="shared" si="26"/>
        <v>524311.12304687477</v>
      </c>
      <c r="L60" s="155">
        <f t="shared" si="26"/>
        <v>537418.90112304664</v>
      </c>
      <c r="M60" s="155">
        <f t="shared" si="26"/>
        <v>550854.37365112279</v>
      </c>
      <c r="N60" s="155">
        <f t="shared" ref="N60:O60" si="27">+N13</f>
        <v>550854.37365112279</v>
      </c>
      <c r="O60" s="155">
        <f t="shared" si="27"/>
        <v>550854.37365112279</v>
      </c>
    </row>
    <row r="61" spans="1:15" x14ac:dyDescent="0.3">
      <c r="A61" s="29" t="s">
        <v>64</v>
      </c>
      <c r="B61" s="31">
        <f>SUM(B53:B60)</f>
        <v>33079000</v>
      </c>
      <c r="C61" s="165">
        <f t="shared" ref="C61" si="28">SUM(C53:C60)</f>
        <v>31329000</v>
      </c>
      <c r="D61" s="31">
        <f t="shared" ref="D61:E61" si="29">SUM(D53:D60)</f>
        <v>0</v>
      </c>
      <c r="E61" s="165">
        <f t="shared" si="29"/>
        <v>30918486.695160974</v>
      </c>
      <c r="F61" s="165">
        <f t="shared" ref="F61:M61" si="30">SUM(F53:F60)</f>
        <v>31554749.532697562</v>
      </c>
      <c r="G61" s="165">
        <f t="shared" si="30"/>
        <v>32414853.429018464</v>
      </c>
      <c r="H61" s="165">
        <f t="shared" si="30"/>
        <v>33752645.446703836</v>
      </c>
      <c r="I61" s="165">
        <f t="shared" si="30"/>
        <v>34692725.365787193</v>
      </c>
      <c r="J61" s="165">
        <f t="shared" si="30"/>
        <v>35645027.787963979</v>
      </c>
      <c r="K61" s="165">
        <f t="shared" si="30"/>
        <v>36578673.896906406</v>
      </c>
      <c r="L61" s="165">
        <f t="shared" si="30"/>
        <v>37595468.262671426</v>
      </c>
      <c r="M61" s="165">
        <f t="shared" si="30"/>
        <v>38636343.725737773</v>
      </c>
      <c r="N61" s="165">
        <f t="shared" ref="N61:O61" si="31">SUM(N53:N60)</f>
        <v>38636343.725737773</v>
      </c>
      <c r="O61" s="165">
        <f t="shared" si="31"/>
        <v>38636343.725737773</v>
      </c>
    </row>
    <row r="62" spans="1:15" x14ac:dyDescent="0.3">
      <c r="E62" s="152"/>
      <c r="F62" s="152"/>
      <c r="G62" s="152"/>
      <c r="H62" s="152"/>
      <c r="I62" s="152"/>
      <c r="J62" s="152"/>
      <c r="K62" s="152"/>
      <c r="L62" s="152"/>
      <c r="M62" s="152"/>
    </row>
    <row r="63" spans="1:15" x14ac:dyDescent="0.3">
      <c r="A63" s="29" t="s">
        <v>65</v>
      </c>
      <c r="E63" s="152"/>
      <c r="F63" s="152"/>
      <c r="G63" s="152"/>
      <c r="H63" s="152"/>
      <c r="I63" s="152"/>
      <c r="J63" s="152"/>
      <c r="K63" s="152"/>
      <c r="L63" s="152"/>
      <c r="M63" s="152"/>
    </row>
    <row r="64" spans="1:15" x14ac:dyDescent="0.3">
      <c r="A64" s="11" t="s">
        <v>25</v>
      </c>
      <c r="B64" s="14">
        <f t="shared" ref="B64:E67" si="32">+B17</f>
        <v>12857000</v>
      </c>
      <c r="C64" s="154">
        <f t="shared" si="32"/>
        <v>13233000</v>
      </c>
      <c r="D64" s="14">
        <f t="shared" si="32"/>
        <v>0</v>
      </c>
      <c r="E64" s="214">
        <f>E17/(1+'LTFP Assumptions'!$B$9)*(1+'LTFP Assumptions'!$D$9)</f>
        <v>13780905</v>
      </c>
      <c r="F64" s="214">
        <f>F17/(1+'LTFP Assumptions'!$B$9)*(1+'LTFP Assumptions'!$D$9)</f>
        <v>14263237</v>
      </c>
      <c r="G64" s="214">
        <f>G17/(1+'LTFP Assumptions'!$B$9)*(1+'LTFP Assumptions'!$D$9)</f>
        <v>14762450</v>
      </c>
      <c r="H64" s="214">
        <f>H17/(1+'LTFP Assumptions'!$B$9)*(1+'LTFP Assumptions'!$D$9)</f>
        <v>15279136</v>
      </c>
      <c r="I64" s="214">
        <f>I17/(1+'LTFP Assumptions'!$B$9)*(1+'LTFP Assumptions'!$D$9)</f>
        <v>15813906</v>
      </c>
      <c r="J64" s="214">
        <f>J17/(1+'LTFP Assumptions'!$B$9)*(1+'LTFP Assumptions'!$D$9)</f>
        <v>16367392</v>
      </c>
      <c r="K64" s="214">
        <f>K17/(1+'LTFP Assumptions'!$B$9)*(1+'LTFP Assumptions'!$D$9)</f>
        <v>16940251</v>
      </c>
      <c r="L64" s="214">
        <f>L17/(1+'LTFP Assumptions'!$B$9)*(1+'LTFP Assumptions'!$D$9)</f>
        <v>17533160</v>
      </c>
      <c r="M64" s="214">
        <f>M17/(1+'LTFP Assumptions'!$B$9)*(1+'LTFP Assumptions'!$D$9)</f>
        <v>18146821</v>
      </c>
      <c r="N64" s="214">
        <f>N17/(1+'LTFP Assumptions'!$B$9)*(1+'LTFP Assumptions'!$D$9)</f>
        <v>18146821</v>
      </c>
      <c r="O64" s="214">
        <f>O17/(1+'LTFP Assumptions'!$B$9)*(1+'LTFP Assumptions'!$D$9)</f>
        <v>18146821</v>
      </c>
    </row>
    <row r="65" spans="1:15" x14ac:dyDescent="0.3">
      <c r="A65" s="11" t="s">
        <v>27</v>
      </c>
      <c r="B65" s="14">
        <f t="shared" si="32"/>
        <v>6328000</v>
      </c>
      <c r="C65" s="154">
        <f t="shared" si="32"/>
        <v>6159000</v>
      </c>
      <c r="D65" s="14">
        <f t="shared" si="32"/>
        <v>0</v>
      </c>
      <c r="E65" s="214">
        <f>E18/(1+'LTFP Assumptions'!$B$13)*(1+'LTFP Assumptions'!$D$13)</f>
        <v>5061438</v>
      </c>
      <c r="F65" s="214">
        <f>F18/(1+'LTFP Assumptions'!$B$13)*(1+'LTFP Assumptions'!$D$13)</f>
        <v>4525823</v>
      </c>
      <c r="G65" s="214">
        <f>G18/(1+'LTFP Assumptions'!$B$13)*(1+'LTFP Assumptions'!$D$13)</f>
        <v>4638969</v>
      </c>
      <c r="H65" s="214">
        <f>H18/(1+'LTFP Assumptions'!$B$13)*(1+'LTFP Assumptions'!$D$13)</f>
        <v>4754943</v>
      </c>
      <c r="I65" s="214">
        <f>I18/(1+'LTFP Assumptions'!$B$13)*(1+'LTFP Assumptions'!$D$13)</f>
        <v>4873817</v>
      </c>
      <c r="J65" s="214">
        <f>J18/(1+'LTFP Assumptions'!$B$13)*(1+'LTFP Assumptions'!$D$13)</f>
        <v>4995662</v>
      </c>
      <c r="K65" s="214">
        <f>K18/(1+'LTFP Assumptions'!$B$13)*(1+'LTFP Assumptions'!$D$13)</f>
        <v>5120554</v>
      </c>
      <c r="L65" s="214">
        <f>L18/(1+'LTFP Assumptions'!$B$13)*(1+'LTFP Assumptions'!$D$13)</f>
        <v>5248568</v>
      </c>
      <c r="M65" s="214">
        <f>M18/(1+'LTFP Assumptions'!$B$13)*(1+'LTFP Assumptions'!$D$13)</f>
        <v>5379782</v>
      </c>
      <c r="N65" s="214">
        <f>N18/(1+'LTFP Assumptions'!$B$13)*(1+'LTFP Assumptions'!$D$13)</f>
        <v>5379782</v>
      </c>
      <c r="O65" s="214">
        <f>O18/(1+'LTFP Assumptions'!$B$13)*(1+'LTFP Assumptions'!$D$13)</f>
        <v>5379782</v>
      </c>
    </row>
    <row r="66" spans="1:15" x14ac:dyDescent="0.3">
      <c r="A66" s="11" t="s">
        <v>29</v>
      </c>
      <c r="B66" s="14">
        <f t="shared" si="32"/>
        <v>4402000</v>
      </c>
      <c r="C66" s="154">
        <f t="shared" si="32"/>
        <v>4755000</v>
      </c>
      <c r="D66" s="14">
        <f t="shared" si="32"/>
        <v>0</v>
      </c>
      <c r="E66" s="154">
        <f t="shared" si="32"/>
        <v>4610348</v>
      </c>
      <c r="F66" s="154">
        <f t="shared" ref="F66:M66" si="33">+F19</f>
        <v>4725606</v>
      </c>
      <c r="G66" s="154">
        <f t="shared" si="33"/>
        <v>4843746</v>
      </c>
      <c r="H66" s="154">
        <f t="shared" si="33"/>
        <v>4964840</v>
      </c>
      <c r="I66" s="154">
        <f t="shared" si="33"/>
        <v>5088961</v>
      </c>
      <c r="J66" s="154">
        <f t="shared" si="33"/>
        <v>5216185</v>
      </c>
      <c r="K66" s="154">
        <f t="shared" si="33"/>
        <v>5346590</v>
      </c>
      <c r="L66" s="154">
        <f t="shared" si="33"/>
        <v>5480254</v>
      </c>
      <c r="M66" s="154">
        <f t="shared" si="33"/>
        <v>5617261</v>
      </c>
      <c r="N66" s="154">
        <f t="shared" ref="N66:O66" si="34">+N19</f>
        <v>5617261</v>
      </c>
      <c r="O66" s="154">
        <f t="shared" si="34"/>
        <v>5617261</v>
      </c>
    </row>
    <row r="67" spans="1:15" x14ac:dyDescent="0.3">
      <c r="A67" s="15" t="s">
        <v>28</v>
      </c>
      <c r="B67" s="14">
        <f t="shared" si="32"/>
        <v>6548000</v>
      </c>
      <c r="C67" s="154">
        <f t="shared" si="32"/>
        <v>7369000</v>
      </c>
      <c r="D67" s="14">
        <f t="shared" si="32"/>
        <v>0</v>
      </c>
      <c r="E67" s="214">
        <f>E20/(1+'LTFP Assumptions'!$B$14)*(1+'LTFP Assumptions'!$D$14)</f>
        <v>7372991</v>
      </c>
      <c r="F67" s="214">
        <f>F20/(1+'LTFP Assumptions'!$B$14)*(1+'LTFP Assumptions'!$D$14)</f>
        <v>7742316</v>
      </c>
      <c r="G67" s="214">
        <f>G20/(1+'LTFP Assumptions'!$B$14)*(1+'LTFP Assumptions'!$D$14)</f>
        <v>7746249</v>
      </c>
      <c r="H67" s="214">
        <f>H20/(1+'LTFP Assumptions'!$B$14)*(1+'LTFP Assumptions'!$D$14)</f>
        <v>7939905.0000000009</v>
      </c>
      <c r="I67" s="214">
        <f>I20/(1+'LTFP Assumptions'!$B$14)*(1+'LTFP Assumptions'!$D$14)</f>
        <v>8138403</v>
      </c>
      <c r="J67" s="214">
        <f>J20/(1+'LTFP Assumptions'!$B$14)*(1+'LTFP Assumptions'!$D$14)</f>
        <v>8541863</v>
      </c>
      <c r="K67" s="214">
        <f>K20/(1+'LTFP Assumptions'!$B$14)*(1+'LTFP Assumptions'!$D$14)</f>
        <v>8550410</v>
      </c>
      <c r="L67" s="214">
        <f>L20/(1+'LTFP Assumptions'!$B$14)*(1+'LTFP Assumptions'!$D$14)</f>
        <v>8764170</v>
      </c>
      <c r="M67" s="214">
        <f>M20/(1+'LTFP Assumptions'!$B$14)*(1+'LTFP Assumptions'!$D$14)</f>
        <v>8983274</v>
      </c>
      <c r="N67" s="214">
        <f>N20/(1+'LTFP Assumptions'!$B$14)*(1+'LTFP Assumptions'!$D$14)</f>
        <v>8983274</v>
      </c>
      <c r="O67" s="214">
        <f>O20/(1+'LTFP Assumptions'!$B$14)*(1+'LTFP Assumptions'!$D$14)</f>
        <v>8983274</v>
      </c>
    </row>
    <row r="68" spans="1:15" x14ac:dyDescent="0.3">
      <c r="A68" s="29" t="s">
        <v>66</v>
      </c>
      <c r="B68" s="31">
        <f>SUM(B64:B67)</f>
        <v>30135000</v>
      </c>
      <c r="C68" s="165">
        <f t="shared" ref="C68" si="35">SUM(C64:C67)</f>
        <v>31516000</v>
      </c>
      <c r="D68" s="31">
        <f t="shared" ref="D68:E68" si="36">SUM(D64:D67)</f>
        <v>0</v>
      </c>
      <c r="E68" s="165">
        <f t="shared" si="36"/>
        <v>30825682</v>
      </c>
      <c r="F68" s="165">
        <f t="shared" ref="F68:M68" si="37">SUM(F64:F67)</f>
        <v>31256982</v>
      </c>
      <c r="G68" s="165">
        <f t="shared" si="37"/>
        <v>31991414</v>
      </c>
      <c r="H68" s="165">
        <f t="shared" si="37"/>
        <v>32938824</v>
      </c>
      <c r="I68" s="165">
        <f t="shared" si="37"/>
        <v>33915087</v>
      </c>
      <c r="J68" s="165">
        <f t="shared" si="37"/>
        <v>35121102</v>
      </c>
      <c r="K68" s="165">
        <f t="shared" si="37"/>
        <v>35957805</v>
      </c>
      <c r="L68" s="165">
        <f t="shared" si="37"/>
        <v>37026152</v>
      </c>
      <c r="M68" s="165">
        <f t="shared" si="37"/>
        <v>38127138</v>
      </c>
      <c r="N68" s="165">
        <f t="shared" ref="N68:O68" si="38">SUM(N64:N67)</f>
        <v>38127138</v>
      </c>
      <c r="O68" s="165">
        <f t="shared" si="38"/>
        <v>38127138</v>
      </c>
    </row>
    <row r="70" spans="1:15" ht="15" thickBot="1" x14ac:dyDescent="0.35">
      <c r="A70" s="29" t="s">
        <v>67</v>
      </c>
      <c r="B70" s="34">
        <f t="shared" ref="B70:M70" si="39">+B61-B68</f>
        <v>2944000</v>
      </c>
      <c r="C70" s="205">
        <f t="shared" si="39"/>
        <v>-187000</v>
      </c>
      <c r="D70" s="34">
        <f t="shared" si="39"/>
        <v>0</v>
      </c>
      <c r="E70" s="34">
        <f t="shared" si="39"/>
        <v>92804.695160973817</v>
      </c>
      <c r="F70" s="34">
        <f t="shared" si="39"/>
        <v>297767.53269756213</v>
      </c>
      <c r="G70" s="121">
        <f t="shared" si="39"/>
        <v>423439.42901846394</v>
      </c>
      <c r="H70" s="121">
        <f t="shared" si="39"/>
        <v>813821.44670383632</v>
      </c>
      <c r="I70" s="121">
        <f t="shared" si="39"/>
        <v>777638.36578719318</v>
      </c>
      <c r="J70" s="121">
        <f t="shared" si="39"/>
        <v>523925.78796397895</v>
      </c>
      <c r="K70" s="121">
        <f t="shared" si="39"/>
        <v>620868.89690640569</v>
      </c>
      <c r="L70" s="121">
        <f t="shared" si="39"/>
        <v>569316.26267142594</v>
      </c>
      <c r="M70" s="121">
        <f t="shared" si="39"/>
        <v>509205.72573777288</v>
      </c>
      <c r="N70" s="121">
        <f t="shared" ref="N70:O70" si="40">+N61-N68</f>
        <v>509205.72573777288</v>
      </c>
      <c r="O70" s="121">
        <f t="shared" si="40"/>
        <v>509205.72573777288</v>
      </c>
    </row>
    <row r="71" spans="1:15" x14ac:dyDescent="0.3">
      <c r="A71" s="2"/>
      <c r="B71" s="4"/>
      <c r="C71" s="217"/>
    </row>
    <row r="72" spans="1:15" x14ac:dyDescent="0.3">
      <c r="A72" s="29" t="s">
        <v>75</v>
      </c>
      <c r="B72" s="35"/>
      <c r="C72" s="217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166"/>
      <c r="O72" s="166"/>
    </row>
    <row r="73" spans="1:15" x14ac:dyDescent="0.3">
      <c r="A73" s="15" t="s">
        <v>322</v>
      </c>
      <c r="B73" s="118">
        <v>0</v>
      </c>
      <c r="C73" s="216">
        <v>0</v>
      </c>
      <c r="D73" s="118">
        <v>0</v>
      </c>
      <c r="E73" s="118">
        <v>0</v>
      </c>
      <c r="F73" s="118">
        <v>0</v>
      </c>
      <c r="G73" s="118">
        <v>0</v>
      </c>
      <c r="H73" s="118">
        <v>0</v>
      </c>
      <c r="I73" s="118">
        <v>0</v>
      </c>
      <c r="J73" s="118">
        <v>0</v>
      </c>
      <c r="K73" s="118">
        <v>0</v>
      </c>
      <c r="L73" s="118">
        <v>0</v>
      </c>
      <c r="M73" s="118">
        <v>0</v>
      </c>
      <c r="N73" s="216">
        <v>1</v>
      </c>
      <c r="O73" s="216">
        <v>2</v>
      </c>
    </row>
    <row r="74" spans="1:15" x14ac:dyDescent="0.3">
      <c r="C74" s="217"/>
    </row>
    <row r="75" spans="1:15" ht="15.6" x14ac:dyDescent="0.3">
      <c r="A75" s="36" t="s">
        <v>76</v>
      </c>
      <c r="B75" s="37">
        <f>+B70+B73</f>
        <v>2944000</v>
      </c>
      <c r="C75" s="207">
        <f>+C70+C73</f>
        <v>-187000</v>
      </c>
      <c r="D75" s="37">
        <f>+D70+D73</f>
        <v>0</v>
      </c>
      <c r="E75" s="37">
        <f t="shared" ref="E75:M75" si="41">+E70+E73</f>
        <v>92804.695160973817</v>
      </c>
      <c r="F75" s="37">
        <f t="shared" si="41"/>
        <v>297767.53269756213</v>
      </c>
      <c r="G75" s="122">
        <f t="shared" si="41"/>
        <v>423439.42901846394</v>
      </c>
      <c r="H75" s="122">
        <f t="shared" si="41"/>
        <v>813821.44670383632</v>
      </c>
      <c r="I75" s="122">
        <f t="shared" si="41"/>
        <v>777638.36578719318</v>
      </c>
      <c r="J75" s="122">
        <f t="shared" si="41"/>
        <v>523925.78796397895</v>
      </c>
      <c r="K75" s="122">
        <f t="shared" si="41"/>
        <v>620868.89690640569</v>
      </c>
      <c r="L75" s="122">
        <f t="shared" si="41"/>
        <v>569316.26267142594</v>
      </c>
      <c r="M75" s="122">
        <f t="shared" si="41"/>
        <v>509205.72573777288</v>
      </c>
      <c r="N75" s="122">
        <f t="shared" ref="N75:O75" si="42">+N70+N73</f>
        <v>509206.72573777288</v>
      </c>
      <c r="O75" s="122">
        <f t="shared" si="42"/>
        <v>509207.72573777288</v>
      </c>
    </row>
    <row r="76" spans="1:15" x14ac:dyDescent="0.3">
      <c r="C76" s="217"/>
    </row>
    <row r="77" spans="1:15" x14ac:dyDescent="0.3">
      <c r="A77" s="13" t="s">
        <v>77</v>
      </c>
      <c r="B77" s="14">
        <f>+B75</f>
        <v>2944000</v>
      </c>
      <c r="C77" s="217">
        <f>+C75</f>
        <v>-187000</v>
      </c>
      <c r="D77" s="14">
        <f>+D75</f>
        <v>0</v>
      </c>
      <c r="E77" s="14">
        <f t="shared" ref="E77:M77" si="43">+E75</f>
        <v>92804.695160973817</v>
      </c>
      <c r="F77" s="14">
        <f t="shared" si="43"/>
        <v>297767.53269756213</v>
      </c>
      <c r="G77" s="116">
        <f t="shared" si="43"/>
        <v>423439.42901846394</v>
      </c>
      <c r="H77" s="116">
        <f t="shared" si="43"/>
        <v>813821.44670383632</v>
      </c>
      <c r="I77" s="116">
        <f t="shared" si="43"/>
        <v>777638.36578719318</v>
      </c>
      <c r="J77" s="116">
        <f t="shared" si="43"/>
        <v>523925.78796397895</v>
      </c>
      <c r="K77" s="116">
        <f t="shared" si="43"/>
        <v>620868.89690640569</v>
      </c>
      <c r="L77" s="116">
        <f t="shared" si="43"/>
        <v>569316.26267142594</v>
      </c>
      <c r="M77" s="116">
        <f t="shared" si="43"/>
        <v>509205.72573777288</v>
      </c>
      <c r="N77" s="217">
        <f t="shared" ref="N77:O77" si="44">+N75</f>
        <v>509206.72573777288</v>
      </c>
      <c r="O77" s="217">
        <f t="shared" si="44"/>
        <v>509207.72573777288</v>
      </c>
    </row>
    <row r="78" spans="1:15" ht="15" thickBot="1" x14ac:dyDescent="0.35">
      <c r="A78" s="13" t="s">
        <v>78</v>
      </c>
      <c r="B78" s="118">
        <v>0</v>
      </c>
      <c r="C78" s="218">
        <v>0</v>
      </c>
      <c r="D78" s="118">
        <v>0</v>
      </c>
      <c r="E78" s="118">
        <v>0</v>
      </c>
      <c r="F78" s="118">
        <v>0</v>
      </c>
      <c r="G78" s="118">
        <v>0</v>
      </c>
      <c r="H78" s="118">
        <v>0</v>
      </c>
      <c r="I78" s="118">
        <v>0</v>
      </c>
      <c r="J78" s="118">
        <v>0</v>
      </c>
      <c r="K78" s="118">
        <v>0</v>
      </c>
      <c r="L78" s="118">
        <v>0</v>
      </c>
      <c r="M78" s="118">
        <v>0</v>
      </c>
      <c r="N78" s="216">
        <v>1</v>
      </c>
      <c r="O78" s="216">
        <v>2</v>
      </c>
    </row>
    <row r="79" spans="1:15" ht="15" thickTop="1" x14ac:dyDescent="0.3">
      <c r="A79" s="2"/>
      <c r="B79" s="4"/>
      <c r="C79" s="217"/>
    </row>
    <row r="80" spans="1:15" ht="28.8" x14ac:dyDescent="0.3">
      <c r="A80" s="39" t="s">
        <v>79</v>
      </c>
      <c r="B80" s="116">
        <f>+B75-B58</f>
        <v>1635000</v>
      </c>
      <c r="C80" s="217">
        <f>+C75-C58</f>
        <v>-2633000</v>
      </c>
      <c r="D80" s="116">
        <f>+D75-D58</f>
        <v>0</v>
      </c>
      <c r="E80" s="116">
        <f t="shared" ref="E80:M80" si="45">+E75-E58</f>
        <v>-904845.30483902618</v>
      </c>
      <c r="F80" s="116">
        <f t="shared" si="45"/>
        <v>-724823.71730243787</v>
      </c>
      <c r="G80" s="116">
        <f t="shared" si="45"/>
        <v>-624716.60223153594</v>
      </c>
      <c r="H80" s="116">
        <f t="shared" si="45"/>
        <v>-710538.48532741331</v>
      </c>
      <c r="I80" s="116">
        <f t="shared" si="45"/>
        <v>-784830.56454483792</v>
      </c>
      <c r="J80" s="116">
        <f t="shared" si="45"/>
        <v>-1077604.8656263524</v>
      </c>
      <c r="K80" s="116">
        <f t="shared" si="45"/>
        <v>-1020700.023023684</v>
      </c>
      <c r="L80" s="116">
        <f t="shared" si="45"/>
        <v>-1113291.8802569159</v>
      </c>
      <c r="M80" s="116">
        <f t="shared" si="45"/>
        <v>-1215467.6207637775</v>
      </c>
      <c r="N80" s="217">
        <f t="shared" ref="N80:O80" si="46">+N75-N58</f>
        <v>-1215466.6207637775</v>
      </c>
      <c r="O80" s="217">
        <f t="shared" si="46"/>
        <v>-1215465.6207637775</v>
      </c>
    </row>
    <row r="81" spans="1:15" x14ac:dyDescent="0.3">
      <c r="A81" s="2"/>
      <c r="B81" s="116"/>
      <c r="C81" s="217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217"/>
      <c r="O81" s="217"/>
    </row>
    <row r="82" spans="1:15" x14ac:dyDescent="0.3">
      <c r="A82" s="29" t="s">
        <v>30</v>
      </c>
      <c r="B82" s="116">
        <v>-3830000</v>
      </c>
      <c r="C82" s="217">
        <v>-5950000</v>
      </c>
      <c r="D82" s="116">
        <f ca="1">D35</f>
        <v>-5386773.6795166293</v>
      </c>
      <c r="E82" s="116">
        <f ca="1">E35/(1+'LTFP Assumptions'!$B$13)*(1+'LTFP Assumptions'!$D$13)</f>
        <v>-6869037.4982148726</v>
      </c>
      <c r="F82" s="204">
        <f ca="1">F35/(1+'LTFP Assumptions'!$B$13)*(1+'LTFP Assumptions'!$D$13)</f>
        <v>-5970292.9597329386</v>
      </c>
      <c r="G82" s="204">
        <f ca="1">G35/(1+'LTFP Assumptions'!$B$13)*(1+'LTFP Assumptions'!$D$13)</f>
        <v>-6630420.5554642072</v>
      </c>
      <c r="H82" s="204">
        <f ca="1">H35/(1+'LTFP Assumptions'!$B$13)*(1+'LTFP Assumptions'!$D$13)</f>
        <v>-11558267.290281707</v>
      </c>
      <c r="I82" s="204">
        <f ca="1">I35/(1+'LTFP Assumptions'!$B$13)*(1+'LTFP Assumptions'!$D$13)</f>
        <v>-6988760.1907281922</v>
      </c>
      <c r="J82" s="204">
        <f ca="1">J35/(1+'LTFP Assumptions'!$B$13)*(1+'LTFP Assumptions'!$D$13)</f>
        <v>-9644446.2463969775</v>
      </c>
      <c r="K82" s="204">
        <f ca="1">K35/(1+'LTFP Assumptions'!$B$13)*(1+'LTFP Assumptions'!$D$13)</f>
        <v>-5475779.917529624</v>
      </c>
      <c r="L82" s="204" t="e">
        <f>L35/(1+'LTFP Assumptions'!$B$13)*(1+'LTFP Assumptions'!$D$13)</f>
        <v>#REF!</v>
      </c>
      <c r="M82" s="204" t="e">
        <f>M35/(1+'LTFP Assumptions'!$B$13)*(1+'LTFP Assumptions'!$D$13)</f>
        <v>#REF!</v>
      </c>
      <c r="N82" s="217">
        <f>N35/(1+'LTFP Assumptions'!$B$13)*(1+'LTFP Assumptions'!$D$13)</f>
        <v>0</v>
      </c>
      <c r="O82" s="217">
        <f>O35/(1+'LTFP Assumptions'!$B$13)*(1+'LTFP Assumptions'!$D$13)</f>
        <v>0</v>
      </c>
    </row>
    <row r="83" spans="1:15" x14ac:dyDescent="0.3">
      <c r="A83" s="4" t="s">
        <v>109</v>
      </c>
      <c r="B83" s="116">
        <v>611000</v>
      </c>
      <c r="C83" s="217">
        <v>621000</v>
      </c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217"/>
      <c r="O83" s="217"/>
    </row>
    <row r="84" spans="1:15" x14ac:dyDescent="0.3">
      <c r="A84" s="29" t="s">
        <v>33</v>
      </c>
      <c r="B84" s="116">
        <f>+B66</f>
        <v>4402000</v>
      </c>
      <c r="C84" s="217">
        <f>C66</f>
        <v>4755000</v>
      </c>
      <c r="D84" s="116">
        <f>D66</f>
        <v>0</v>
      </c>
      <c r="E84" s="116">
        <f t="shared" ref="E84:M84" si="47">E66</f>
        <v>4610348</v>
      </c>
      <c r="F84" s="116">
        <f t="shared" si="47"/>
        <v>4725606</v>
      </c>
      <c r="G84" s="116">
        <f t="shared" si="47"/>
        <v>4843746</v>
      </c>
      <c r="H84" s="116">
        <f t="shared" si="47"/>
        <v>4964840</v>
      </c>
      <c r="I84" s="116">
        <f t="shared" si="47"/>
        <v>5088961</v>
      </c>
      <c r="J84" s="116">
        <f t="shared" si="47"/>
        <v>5216185</v>
      </c>
      <c r="K84" s="116">
        <f t="shared" si="47"/>
        <v>5346590</v>
      </c>
      <c r="L84" s="116">
        <f t="shared" si="47"/>
        <v>5480254</v>
      </c>
      <c r="M84" s="116">
        <f t="shared" si="47"/>
        <v>5617261</v>
      </c>
      <c r="N84" s="217">
        <f t="shared" ref="N84:O84" si="48">N66</f>
        <v>5617261</v>
      </c>
      <c r="O84" s="217">
        <f t="shared" si="48"/>
        <v>5617261</v>
      </c>
    </row>
    <row r="85" spans="1:15" x14ac:dyDescent="0.3">
      <c r="A85" s="2"/>
      <c r="B85" s="116"/>
      <c r="C85" s="217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217"/>
      <c r="O85" s="217"/>
    </row>
    <row r="86" spans="1:15" x14ac:dyDescent="0.3">
      <c r="A86" s="29" t="s">
        <v>31</v>
      </c>
      <c r="B86" s="116">
        <v>-8130000</v>
      </c>
      <c r="C86" s="217">
        <v>-258000</v>
      </c>
      <c r="D86" s="116">
        <f>D39</f>
        <v>0</v>
      </c>
      <c r="E86" s="204">
        <f t="shared" ref="E86:M86" si="49">E39</f>
        <v>0</v>
      </c>
      <c r="F86" s="204">
        <f t="shared" si="49"/>
        <v>0</v>
      </c>
      <c r="G86" s="204">
        <f t="shared" si="49"/>
        <v>0</v>
      </c>
      <c r="H86" s="204">
        <f t="shared" si="49"/>
        <v>0</v>
      </c>
      <c r="I86" s="204">
        <f t="shared" si="49"/>
        <v>0</v>
      </c>
      <c r="J86" s="204">
        <f t="shared" si="49"/>
        <v>0</v>
      </c>
      <c r="K86" s="204">
        <f t="shared" si="49"/>
        <v>0</v>
      </c>
      <c r="L86" s="204">
        <f t="shared" si="49"/>
        <v>0</v>
      </c>
      <c r="M86" s="204">
        <f t="shared" si="49"/>
        <v>0</v>
      </c>
      <c r="N86" s="217">
        <f t="shared" ref="N86:O86" si="50">N39</f>
        <v>0</v>
      </c>
      <c r="O86" s="217">
        <f t="shared" si="50"/>
        <v>0</v>
      </c>
    </row>
    <row r="87" spans="1:15" x14ac:dyDescent="0.3">
      <c r="A87" s="29" t="s">
        <v>22</v>
      </c>
      <c r="B87" s="116">
        <v>3862000</v>
      </c>
      <c r="C87" s="217">
        <v>121000</v>
      </c>
      <c r="D87" s="116">
        <f>D40</f>
        <v>0</v>
      </c>
      <c r="E87" s="204">
        <f t="shared" ref="E87:M87" si="51">E40</f>
        <v>0</v>
      </c>
      <c r="F87" s="204">
        <f t="shared" si="51"/>
        <v>2262.9380000000001</v>
      </c>
      <c r="G87" s="204" t="e">
        <f t="shared" si="51"/>
        <v>#REF!</v>
      </c>
      <c r="H87" s="204">
        <f t="shared" si="51"/>
        <v>2200</v>
      </c>
      <c r="I87" s="204">
        <f t="shared" si="51"/>
        <v>8000</v>
      </c>
      <c r="J87" s="204">
        <f t="shared" si="51"/>
        <v>2000</v>
      </c>
      <c r="K87" s="204">
        <f t="shared" si="51"/>
        <v>2040</v>
      </c>
      <c r="L87" s="204">
        <f t="shared" si="51"/>
        <v>2080.8000000000002</v>
      </c>
      <c r="M87" s="204">
        <f t="shared" si="51"/>
        <v>2122.4160000000002</v>
      </c>
      <c r="N87" s="217">
        <f t="shared" ref="N87:O87" si="52">N40</f>
        <v>2164.8643199999997</v>
      </c>
      <c r="O87" s="217">
        <f t="shared" si="52"/>
        <v>2208.1616064</v>
      </c>
    </row>
    <row r="88" spans="1:15" x14ac:dyDescent="0.3">
      <c r="A88" s="4" t="s">
        <v>113</v>
      </c>
      <c r="B88" s="116">
        <v>-80000</v>
      </c>
      <c r="C88" s="217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217"/>
      <c r="O88" s="217"/>
    </row>
    <row r="89" spans="1:15" x14ac:dyDescent="0.3">
      <c r="A89" s="4" t="s">
        <v>114</v>
      </c>
      <c r="B89" s="116">
        <v>349000</v>
      </c>
      <c r="C89" s="217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217"/>
      <c r="O89" s="217"/>
    </row>
    <row r="90" spans="1:15" x14ac:dyDescent="0.3">
      <c r="A90" s="4" t="s">
        <v>115</v>
      </c>
      <c r="B90" s="116">
        <v>-223000</v>
      </c>
      <c r="C90" s="217">
        <v>-281000</v>
      </c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217"/>
      <c r="O90" s="217"/>
    </row>
    <row r="91" spans="1:15" x14ac:dyDescent="0.3">
      <c r="A91" s="29"/>
      <c r="B91" s="116"/>
      <c r="C91" s="217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217"/>
      <c r="O91" s="217"/>
    </row>
    <row r="92" spans="1:15" s="152" customFormat="1" x14ac:dyDescent="0.3">
      <c r="A92" s="164" t="s">
        <v>34</v>
      </c>
      <c r="B92" s="217">
        <f>+B75+SUM(B82:B91)</f>
        <v>-95000</v>
      </c>
      <c r="C92" s="217">
        <f t="shared" ref="C92" si="53">+C75+SUM(C82:C91)</f>
        <v>-1179000</v>
      </c>
      <c r="D92" s="217">
        <f t="shared" ref="D92:M92" ca="1" si="54">+D75+SUM(D82:D91)</f>
        <v>-5386773.6795166293</v>
      </c>
      <c r="E92" s="217">
        <f t="shared" ca="1" si="54"/>
        <v>-2165884.8030538987</v>
      </c>
      <c r="F92" s="217">
        <f t="shared" ca="1" si="54"/>
        <v>-944656.48903537635</v>
      </c>
      <c r="G92" s="217" t="e">
        <f t="shared" ca="1" si="54"/>
        <v>#REF!</v>
      </c>
      <c r="H92" s="217">
        <f t="shared" ca="1" si="54"/>
        <v>-5777405.8435778711</v>
      </c>
      <c r="I92" s="217">
        <f t="shared" ca="1" si="54"/>
        <v>-1114160.824940999</v>
      </c>
      <c r="J92" s="217">
        <f t="shared" ca="1" si="54"/>
        <v>-3902335.4584329985</v>
      </c>
      <c r="K92" s="217">
        <f t="shared" ca="1" si="54"/>
        <v>493718.97937678173</v>
      </c>
      <c r="L92" s="217" t="e">
        <f t="shared" si="54"/>
        <v>#REF!</v>
      </c>
      <c r="M92" s="217" t="e">
        <f t="shared" si="54"/>
        <v>#REF!</v>
      </c>
      <c r="N92" s="217">
        <f t="shared" ref="N92:O92" si="55">+N75+SUM(N82:N91)</f>
        <v>6128632.5900577726</v>
      </c>
      <c r="O92" s="217">
        <f t="shared" si="55"/>
        <v>6128676.8873441732</v>
      </c>
    </row>
    <row r="93" spans="1:15" s="152" customFormat="1" x14ac:dyDescent="0.3">
      <c r="A93" s="152" t="s">
        <v>451</v>
      </c>
      <c r="C93" s="154">
        <f>B94</f>
        <v>2191000</v>
      </c>
      <c r="D93" s="154">
        <f t="shared" ref="D93:M93" si="56">C94</f>
        <v>1012000</v>
      </c>
      <c r="E93" s="154">
        <f t="shared" ca="1" si="56"/>
        <v>-4374773.6795166293</v>
      </c>
      <c r="F93" s="154">
        <f t="shared" ca="1" si="56"/>
        <v>-6540658.4825705281</v>
      </c>
      <c r="G93" s="154">
        <f t="shared" ca="1" si="56"/>
        <v>-7485314.9716059044</v>
      </c>
      <c r="H93" s="154" t="e">
        <f t="shared" ca="1" si="56"/>
        <v>#REF!</v>
      </c>
      <c r="I93" s="154" t="e">
        <f t="shared" ca="1" si="56"/>
        <v>#REF!</v>
      </c>
      <c r="J93" s="154" t="e">
        <f t="shared" ca="1" si="56"/>
        <v>#REF!</v>
      </c>
      <c r="K93" s="154" t="e">
        <f t="shared" ca="1" si="56"/>
        <v>#REF!</v>
      </c>
      <c r="L93" s="154" t="e">
        <f t="shared" ca="1" si="56"/>
        <v>#REF!</v>
      </c>
      <c r="M93" s="154" t="e">
        <f t="shared" si="56"/>
        <v>#REF!</v>
      </c>
      <c r="N93" s="154" t="e">
        <f t="shared" ref="N93" si="57">M94</f>
        <v>#REF!</v>
      </c>
      <c r="O93" s="154" t="e">
        <f t="shared" ref="O93" si="58">N94</f>
        <v>#REF!</v>
      </c>
    </row>
    <row r="94" spans="1:15" s="152" customFormat="1" x14ac:dyDescent="0.3">
      <c r="A94" s="153" t="s">
        <v>452</v>
      </c>
      <c r="B94" s="145">
        <v>2191000</v>
      </c>
      <c r="C94" s="144">
        <f>SUM(C92:C93)</f>
        <v>1012000</v>
      </c>
      <c r="D94" s="144">
        <f t="shared" ref="D94:M94" ca="1" si="59">SUM(D92:D93)</f>
        <v>-4374773.6795166293</v>
      </c>
      <c r="E94" s="144">
        <f t="shared" ca="1" si="59"/>
        <v>-6540658.4825705281</v>
      </c>
      <c r="F94" s="144">
        <f t="shared" ca="1" si="59"/>
        <v>-7485314.9716059044</v>
      </c>
      <c r="G94" s="144" t="e">
        <f t="shared" ca="1" si="59"/>
        <v>#REF!</v>
      </c>
      <c r="H94" s="144" t="e">
        <f t="shared" ca="1" si="59"/>
        <v>#REF!</v>
      </c>
      <c r="I94" s="144" t="e">
        <f t="shared" ca="1" si="59"/>
        <v>#REF!</v>
      </c>
      <c r="J94" s="144" t="e">
        <f t="shared" ca="1" si="59"/>
        <v>#REF!</v>
      </c>
      <c r="K94" s="144" t="e">
        <f t="shared" ca="1" si="59"/>
        <v>#REF!</v>
      </c>
      <c r="L94" s="144" t="e">
        <f t="shared" si="59"/>
        <v>#REF!</v>
      </c>
      <c r="M94" s="144" t="e">
        <f t="shared" si="59"/>
        <v>#REF!</v>
      </c>
      <c r="N94" s="144" t="e">
        <f t="shared" ref="N94:O94" si="60">SUM(N92:N93)</f>
        <v>#REF!</v>
      </c>
      <c r="O94" s="144" t="e">
        <f t="shared" si="60"/>
        <v>#REF!</v>
      </c>
    </row>
    <row r="96" spans="1:15" x14ac:dyDescent="0.3">
      <c r="A96" s="113" t="s">
        <v>413</v>
      </c>
      <c r="B96" s="19" t="s">
        <v>69</v>
      </c>
      <c r="C96" s="213" t="s">
        <v>69</v>
      </c>
      <c r="D96" s="19" t="s">
        <v>70</v>
      </c>
      <c r="E96" s="19" t="s">
        <v>71</v>
      </c>
      <c r="F96" s="19" t="s">
        <v>71</v>
      </c>
      <c r="G96" s="19" t="s">
        <v>71</v>
      </c>
      <c r="H96" s="19" t="s">
        <v>71</v>
      </c>
      <c r="I96" s="19" t="s">
        <v>71</v>
      </c>
      <c r="J96" s="19" t="s">
        <v>71</v>
      </c>
      <c r="K96" s="19" t="s">
        <v>71</v>
      </c>
      <c r="L96" s="19" t="s">
        <v>71</v>
      </c>
      <c r="M96" s="19" t="s">
        <v>71</v>
      </c>
      <c r="N96" s="213" t="s">
        <v>71</v>
      </c>
      <c r="O96" s="213" t="s">
        <v>71</v>
      </c>
    </row>
    <row r="97" spans="1:15" x14ac:dyDescent="0.3">
      <c r="A97" s="18" t="s">
        <v>73</v>
      </c>
      <c r="B97" s="19" t="s">
        <v>60</v>
      </c>
      <c r="C97" s="151" t="s">
        <v>68</v>
      </c>
      <c r="D97" s="10" t="s">
        <v>0</v>
      </c>
      <c r="E97" s="10" t="s">
        <v>1</v>
      </c>
      <c r="F97" s="10" t="s">
        <v>2</v>
      </c>
      <c r="G97" s="10" t="s">
        <v>3</v>
      </c>
      <c r="H97" s="10" t="s">
        <v>4</v>
      </c>
      <c r="I97" s="10" t="s">
        <v>5</v>
      </c>
      <c r="J97" s="10" t="s">
        <v>6</v>
      </c>
      <c r="K97" s="10" t="s">
        <v>7</v>
      </c>
      <c r="L97" s="10" t="s">
        <v>8</v>
      </c>
      <c r="M97" s="10" t="s">
        <v>9</v>
      </c>
      <c r="N97" s="151" t="s">
        <v>514</v>
      </c>
      <c r="O97" s="151" t="s">
        <v>515</v>
      </c>
    </row>
    <row r="98" spans="1:15" x14ac:dyDescent="0.3">
      <c r="A98" s="29" t="s">
        <v>61</v>
      </c>
    </row>
    <row r="99" spans="1:15" x14ac:dyDescent="0.3">
      <c r="A99" s="30" t="s">
        <v>62</v>
      </c>
    </row>
    <row r="100" spans="1:15" x14ac:dyDescent="0.3">
      <c r="A100" s="11" t="s">
        <v>11</v>
      </c>
      <c r="B100" s="14">
        <f t="shared" ref="B100:D105" si="61">+B6</f>
        <v>17925000</v>
      </c>
      <c r="C100" s="154">
        <f t="shared" si="61"/>
        <v>19587000</v>
      </c>
      <c r="D100" s="14">
        <f t="shared" si="61"/>
        <v>0</v>
      </c>
      <c r="E100" s="214">
        <f>E6/(1+'LTFP Assumptions'!$B$6)*(1+'LTFP Assumptions'!$E$6)</f>
        <v>22124446.310000002</v>
      </c>
      <c r="F100" s="214">
        <f>F6/(1+'LTFP Assumptions'!$B$6)*(1+'LTFP Assumptions'!$E$6)</f>
        <v>22781729.699300002</v>
      </c>
      <c r="G100" s="214">
        <f>G6/(1+'LTFP Assumptions'!$B$6)*(1+'LTFP Assumptions'!$E$6)</f>
        <v>23458731.590278998</v>
      </c>
      <c r="H100" s="214">
        <f>H6/(1+'LTFP Assumptions'!$B$6)*(1+'LTFP Assumptions'!$E$6)</f>
        <v>24156043.53798737</v>
      </c>
      <c r="I100" s="214">
        <f>I6/(1+'LTFP Assumptions'!$B$6)*(1+'LTFP Assumptions'!$E$6)</f>
        <v>24874274.844126988</v>
      </c>
      <c r="J100" s="214">
        <f>J6/(1+'LTFP Assumptions'!$B$6)*(1+'LTFP Assumptions'!$E$6)</f>
        <v>25614053.089450795</v>
      </c>
      <c r="K100" s="214">
        <f>K6/(1+'LTFP Assumptions'!$B$6)*(1+'LTFP Assumptions'!$E$6)</f>
        <v>26376024.682134327</v>
      </c>
      <c r="L100" s="214">
        <f>L6/(1+'LTFP Assumptions'!$B$6)*(1+'LTFP Assumptions'!$E$6)</f>
        <v>27160855.422598358</v>
      </c>
      <c r="M100" s="214">
        <f>M6/(1+'LTFP Assumptions'!$B$6)*(1+'LTFP Assumptions'!$E$6)</f>
        <v>27969231.085276309</v>
      </c>
      <c r="N100" s="214">
        <f>N6/(1+'LTFP Assumptions'!$B$6)*(1+'LTFP Assumptions'!$E$6)</f>
        <v>27969231.085276309</v>
      </c>
      <c r="O100" s="214">
        <f>O6/(1+'LTFP Assumptions'!$B$6)*(1+'LTFP Assumptions'!$E$6)</f>
        <v>27969231.085276309</v>
      </c>
    </row>
    <row r="101" spans="1:15" x14ac:dyDescent="0.3">
      <c r="A101" s="11" t="s">
        <v>12</v>
      </c>
      <c r="B101" s="14">
        <f t="shared" si="61"/>
        <v>3009000</v>
      </c>
      <c r="C101" s="154">
        <f t="shared" si="61"/>
        <v>3269000</v>
      </c>
      <c r="D101" s="14">
        <f t="shared" si="61"/>
        <v>0</v>
      </c>
      <c r="E101" s="214">
        <f>E7/(1+'LTFP Assumptions'!$B$12)*(1+'LTFP Assumptions'!$E$12)</f>
        <v>3094175.2317545456</v>
      </c>
      <c r="F101" s="214">
        <f>F7/(1+'LTFP Assumptions'!$B$12)*(1+'LTFP Assumptions'!$E$12)</f>
        <v>3154197.1125484086</v>
      </c>
      <c r="G101" s="214">
        <f>G7/(1+'LTFP Assumptions'!$B$12)*(1+'LTFP Assumptions'!$E$12)</f>
        <v>3215719.5403621192</v>
      </c>
      <c r="H101" s="214">
        <f>H7/(1+'LTFP Assumptions'!$B$12)*(1+'LTFP Assumptions'!$E$12)</f>
        <v>3278780.0288711712</v>
      </c>
      <c r="I101" s="214">
        <f>I7/(1+'LTFP Assumptions'!$B$12)*(1+'LTFP Assumptions'!$E$12)</f>
        <v>3343417.0295929499</v>
      </c>
      <c r="J101" s="214">
        <f>J7/(1+'LTFP Assumptions'!$B$12)*(1+'LTFP Assumptions'!$E$12)</f>
        <v>3409669.9553327733</v>
      </c>
      <c r="K101" s="214">
        <f>K7/(1+'LTFP Assumptions'!$B$12)*(1+'LTFP Assumptions'!$E$12)</f>
        <v>3477579.2042160938</v>
      </c>
      <c r="L101" s="214">
        <f>L7/(1+'LTFP Assumptions'!$B$12)*(1+'LTFP Assumptions'!$E$12)</f>
        <v>3547186.1843214948</v>
      </c>
      <c r="M101" s="214">
        <f>M7/(1+'LTFP Assumptions'!$B$12)*(1+'LTFP Assumptions'!$E$12)</f>
        <v>3618533.3389295335</v>
      </c>
      <c r="N101" s="214">
        <f>N7/(1+'LTFP Assumptions'!$B$12)*(1+'LTFP Assumptions'!$E$12)</f>
        <v>3618533.3389295335</v>
      </c>
      <c r="O101" s="214">
        <f>O7/(1+'LTFP Assumptions'!$B$12)*(1+'LTFP Assumptions'!$E$12)</f>
        <v>3618533.3389295335</v>
      </c>
    </row>
    <row r="102" spans="1:15" x14ac:dyDescent="0.3">
      <c r="A102" s="11" t="s">
        <v>13</v>
      </c>
      <c r="B102" s="14">
        <f t="shared" si="61"/>
        <v>1891000</v>
      </c>
      <c r="C102" s="154">
        <f t="shared" si="61"/>
        <v>1648000</v>
      </c>
      <c r="D102" s="14">
        <f t="shared" si="61"/>
        <v>0</v>
      </c>
      <c r="E102" s="214">
        <f>((E8-50000)/1.0375*1.025)+50000</f>
        <v>946675.64043392788</v>
      </c>
      <c r="F102" s="214">
        <f t="shared" ref="F102:M102" si="62">((F8-50000)/1.0375*1.025)+50000</f>
        <v>963678.47005233879</v>
      </c>
      <c r="G102" s="214">
        <f t="shared" si="62"/>
        <v>980754.44131061388</v>
      </c>
      <c r="H102" s="214">
        <f t="shared" si="62"/>
        <v>979182.826351895</v>
      </c>
      <c r="I102" s="214">
        <f t="shared" si="62"/>
        <v>1002928.4622365199</v>
      </c>
      <c r="J102" s="214">
        <f t="shared" si="62"/>
        <v>1012397.0876039114</v>
      </c>
      <c r="K102" s="214">
        <f t="shared" si="62"/>
        <v>975939.66359006439</v>
      </c>
      <c r="L102" s="214">
        <f t="shared" si="62"/>
        <v>994568.05011151021</v>
      </c>
      <c r="M102" s="214">
        <f t="shared" si="62"/>
        <v>1008399.2307508645</v>
      </c>
      <c r="N102" s="214">
        <f t="shared" ref="N102:O102" si="63">((N8-50000)/1.0375*1.025)+50000</f>
        <v>1008399.2307508645</v>
      </c>
      <c r="O102" s="214">
        <f t="shared" si="63"/>
        <v>1008399.2307508645</v>
      </c>
    </row>
    <row r="103" spans="1:15" x14ac:dyDescent="0.3">
      <c r="A103" s="11" t="s">
        <v>14</v>
      </c>
      <c r="B103" s="14">
        <f t="shared" si="61"/>
        <v>1294000</v>
      </c>
      <c r="C103" s="154">
        <f t="shared" si="61"/>
        <v>1743000</v>
      </c>
      <c r="D103" s="14">
        <f t="shared" si="61"/>
        <v>0</v>
      </c>
      <c r="E103" s="214">
        <f>E9/(1+'LTFP Assumptions'!$B$12)*(1+'LTFP Assumptions'!$E$12)</f>
        <v>1323177.0129724999</v>
      </c>
      <c r="F103" s="214">
        <f>F9/(1+'LTFP Assumptions'!$B$12)*(1+'LTFP Assumptions'!$E$12)</f>
        <v>1356256.4382968124</v>
      </c>
      <c r="G103" s="214">
        <f>G9/(1+'LTFP Assumptions'!$B$12)*(1+'LTFP Assumptions'!$E$12)</f>
        <v>1390162.8492542326</v>
      </c>
      <c r="H103" s="214">
        <f>H9/(1+'LTFP Assumptions'!$B$12)*(1+'LTFP Assumptions'!$E$12)</f>
        <v>1424916.9204855883</v>
      </c>
      <c r="I103" s="214">
        <f>I9/(1+'LTFP Assumptions'!$B$12)*(1+'LTFP Assumptions'!$E$12)</f>
        <v>1460539.8434977275</v>
      </c>
      <c r="J103" s="214">
        <f>J9/(1+'LTFP Assumptions'!$B$12)*(1+'LTFP Assumptions'!$E$12)</f>
        <v>1497053.3395851708</v>
      </c>
      <c r="K103" s="214">
        <f>K9/(1+'LTFP Assumptions'!$B$12)*(1+'LTFP Assumptions'!$E$12)</f>
        <v>1534479.6730747996</v>
      </c>
      <c r="L103" s="214">
        <f>L9/(1+'LTFP Assumptions'!$B$12)*(1+'LTFP Assumptions'!$E$12)</f>
        <v>1572841.6649016694</v>
      </c>
      <c r="M103" s="214">
        <f>M9/(1+'LTFP Assumptions'!$B$12)*(1+'LTFP Assumptions'!$E$12)</f>
        <v>1612162.7065242112</v>
      </c>
      <c r="N103" s="214">
        <f>N9/(1+'LTFP Assumptions'!$B$12)*(1+'LTFP Assumptions'!$E$12)</f>
        <v>1612162.7065242112</v>
      </c>
      <c r="O103" s="214">
        <f>O9/(1+'LTFP Assumptions'!$B$12)*(1+'LTFP Assumptions'!$E$12)</f>
        <v>1612162.7065242112</v>
      </c>
    </row>
    <row r="104" spans="1:15" x14ac:dyDescent="0.3">
      <c r="A104" s="11" t="s">
        <v>15</v>
      </c>
      <c r="B104" s="14">
        <f t="shared" si="61"/>
        <v>3150000</v>
      </c>
      <c r="C104" s="154">
        <f t="shared" si="61"/>
        <v>2636000</v>
      </c>
      <c r="D104" s="14">
        <f t="shared" si="61"/>
        <v>0</v>
      </c>
      <c r="E104" s="214">
        <f>E10/(1+'LTFP Assumptions'!$B$10)*(1+'LTFP Assumptions'!$E$10)</f>
        <v>1957362.5</v>
      </c>
      <c r="F104" s="214">
        <f>F10/(1+'LTFP Assumptions'!$B$10)*(1+'LTFP Assumptions'!$E$10)</f>
        <v>1801296.5625</v>
      </c>
      <c r="G104" s="214">
        <f>G10/(1+'LTFP Assumptions'!$B$10)*(1+'LTFP Assumptions'!$E$10)</f>
        <v>1846328.9765624998</v>
      </c>
      <c r="H104" s="214">
        <f>H10/(1+'LTFP Assumptions'!$B$10)*(1+'LTFP Assumptions'!$E$10)</f>
        <v>1902487.2009765622</v>
      </c>
      <c r="I104" s="214">
        <f>I10/(1+'LTFP Assumptions'!$B$10)*(1+'LTFP Assumptions'!$E$10)</f>
        <v>1950049.3810009758</v>
      </c>
      <c r="J104" s="214">
        <f>J10/(1+'LTFP Assumptions'!$B$10)*(1+'LTFP Assumptions'!$E$10)</f>
        <v>1998800.615526</v>
      </c>
      <c r="K104" s="214">
        <f>K10/(1+'LTFP Assumptions'!$B$10)*(1+'LTFP Assumptions'!$E$10)</f>
        <v>2048770.63091415</v>
      </c>
      <c r="L104" s="214">
        <f>L10/(1+'LTFP Assumptions'!$B$10)*(1+'LTFP Assumptions'!$E$10)</f>
        <v>2099989.8966870038</v>
      </c>
      <c r="M104" s="214">
        <f>M10/(1+'LTFP Assumptions'!$B$10)*(1+'LTFP Assumptions'!$E$10)</f>
        <v>2152489.6441041785</v>
      </c>
      <c r="N104" s="214">
        <f>N10/(1+'LTFP Assumptions'!$B$10)*(1+'LTFP Assumptions'!$E$10)</f>
        <v>2152489.6441041785</v>
      </c>
      <c r="O104" s="214">
        <f>O10/(1+'LTFP Assumptions'!$B$10)*(1+'LTFP Assumptions'!$E$10)</f>
        <v>2152489.6441041785</v>
      </c>
    </row>
    <row r="105" spans="1:15" x14ac:dyDescent="0.3">
      <c r="A105" s="11" t="s">
        <v>18</v>
      </c>
      <c r="B105" s="14">
        <f t="shared" si="61"/>
        <v>1309000</v>
      </c>
      <c r="C105" s="154">
        <f t="shared" si="61"/>
        <v>2446000</v>
      </c>
      <c r="D105" s="14">
        <f t="shared" si="61"/>
        <v>0</v>
      </c>
      <c r="E105" s="214">
        <f>E11/(1+'LTFP Assumptions'!$B$10)*(1+'LTFP Assumptions'!$E$10)</f>
        <v>997650</v>
      </c>
      <c r="F105" s="214">
        <f>F11/(1+'LTFP Assumptions'!$B$10)*(1+'LTFP Assumptions'!$E$10)</f>
        <v>1022591.25</v>
      </c>
      <c r="G105" s="214">
        <f>G11/(1+'LTFP Assumptions'!$B$10)*(1+'LTFP Assumptions'!$E$10)</f>
        <v>1048156.0312499999</v>
      </c>
      <c r="H105" s="214">
        <f>H11/(1+'LTFP Assumptions'!$B$10)*(1+'LTFP Assumptions'!$E$10)</f>
        <v>1524359.9320312496</v>
      </c>
      <c r="I105" s="214">
        <f>I11/(1+'LTFP Assumptions'!$B$10)*(1+'LTFP Assumptions'!$E$10)</f>
        <v>1562468.9303320311</v>
      </c>
      <c r="J105" s="214">
        <f>J11/(1+'LTFP Assumptions'!$B$10)*(1+'LTFP Assumptions'!$E$10)</f>
        <v>1601530.6535903313</v>
      </c>
      <c r="K105" s="214">
        <f>K11/(1+'LTFP Assumptions'!$B$10)*(1+'LTFP Assumptions'!$E$10)</f>
        <v>1641568.9199300897</v>
      </c>
      <c r="L105" s="214">
        <f>L11/(1+'LTFP Assumptions'!$B$10)*(1+'LTFP Assumptions'!$E$10)</f>
        <v>1682608.1429283419</v>
      </c>
      <c r="M105" s="214">
        <f>M11/(1+'LTFP Assumptions'!$B$10)*(1+'LTFP Assumptions'!$E$10)</f>
        <v>1724673.3465015504</v>
      </c>
      <c r="N105" s="214">
        <f>N11/(1+'LTFP Assumptions'!$B$10)*(1+'LTFP Assumptions'!$E$10)</f>
        <v>1724673.3465015504</v>
      </c>
      <c r="O105" s="214">
        <f>O11/(1+'LTFP Assumptions'!$B$10)*(1+'LTFP Assumptions'!$E$10)</f>
        <v>1724673.3465015504</v>
      </c>
    </row>
    <row r="106" spans="1:15" x14ac:dyDescent="0.3">
      <c r="A106" s="30" t="s">
        <v>63</v>
      </c>
      <c r="B106" s="14"/>
      <c r="C106" s="154"/>
      <c r="D106" s="14"/>
      <c r="E106" s="152"/>
      <c r="F106" s="152"/>
      <c r="G106" s="152"/>
      <c r="H106" s="152"/>
      <c r="I106" s="152"/>
      <c r="J106" s="152"/>
      <c r="K106" s="152"/>
      <c r="L106" s="152"/>
      <c r="M106" s="152"/>
    </row>
    <row r="107" spans="1:15" x14ac:dyDescent="0.3">
      <c r="A107" s="15" t="s">
        <v>74</v>
      </c>
      <c r="B107" s="16">
        <f>+B13</f>
        <v>4501000</v>
      </c>
      <c r="C107" s="155">
        <f t="shared" ref="C107" si="64">+C13</f>
        <v>0</v>
      </c>
      <c r="D107" s="16">
        <f t="shared" ref="D107" si="65">+D13</f>
        <v>0</v>
      </c>
      <c r="E107" s="155">
        <f>+E13</f>
        <v>475000</v>
      </c>
      <c r="F107" s="155">
        <f t="shared" ref="F107:M107" si="66">+F13</f>
        <v>475000</v>
      </c>
      <c r="G107" s="155">
        <f t="shared" si="66"/>
        <v>475000</v>
      </c>
      <c r="H107" s="155">
        <f t="shared" si="66"/>
        <v>486874.99999999994</v>
      </c>
      <c r="I107" s="155">
        <f t="shared" si="66"/>
        <v>499046.87499999988</v>
      </c>
      <c r="J107" s="155">
        <f t="shared" si="66"/>
        <v>511523.04687499983</v>
      </c>
      <c r="K107" s="155">
        <f t="shared" si="66"/>
        <v>524311.12304687477</v>
      </c>
      <c r="L107" s="155">
        <f t="shared" si="66"/>
        <v>537418.90112304664</v>
      </c>
      <c r="M107" s="155">
        <f t="shared" si="66"/>
        <v>550854.37365112279</v>
      </c>
      <c r="N107" s="155">
        <f t="shared" ref="N107:O107" si="67">+N13</f>
        <v>550854.37365112279</v>
      </c>
      <c r="O107" s="155">
        <f t="shared" si="67"/>
        <v>550854.37365112279</v>
      </c>
    </row>
    <row r="108" spans="1:15" x14ac:dyDescent="0.3">
      <c r="A108" s="29" t="s">
        <v>64</v>
      </c>
      <c r="B108" s="31">
        <f>SUM(B100:B107)</f>
        <v>33079000</v>
      </c>
      <c r="C108" s="165">
        <f t="shared" ref="C108" si="68">SUM(C100:C107)</f>
        <v>31329000</v>
      </c>
      <c r="D108" s="31">
        <f t="shared" ref="D108" si="69">SUM(D100:D107)</f>
        <v>0</v>
      </c>
      <c r="E108" s="165">
        <f t="shared" ref="E108:M108" si="70">SUM(E100:E107)</f>
        <v>30918486.695160974</v>
      </c>
      <c r="F108" s="165">
        <f t="shared" si="70"/>
        <v>31554749.532697562</v>
      </c>
      <c r="G108" s="165">
        <f t="shared" si="70"/>
        <v>32414853.429018464</v>
      </c>
      <c r="H108" s="165">
        <f t="shared" si="70"/>
        <v>33752645.446703836</v>
      </c>
      <c r="I108" s="165">
        <f t="shared" si="70"/>
        <v>34692725.365787193</v>
      </c>
      <c r="J108" s="165">
        <f t="shared" si="70"/>
        <v>35645027.787963979</v>
      </c>
      <c r="K108" s="165">
        <f t="shared" si="70"/>
        <v>36578673.896906406</v>
      </c>
      <c r="L108" s="165">
        <f t="shared" si="70"/>
        <v>37595468.262671426</v>
      </c>
      <c r="M108" s="165">
        <f t="shared" si="70"/>
        <v>38636343.725737773</v>
      </c>
      <c r="N108" s="165">
        <f t="shared" ref="N108:O108" si="71">SUM(N100:N107)</f>
        <v>38636343.725737773</v>
      </c>
      <c r="O108" s="165">
        <f t="shared" si="71"/>
        <v>38636343.725737773</v>
      </c>
    </row>
    <row r="109" spans="1:15" x14ac:dyDescent="0.3">
      <c r="E109" s="152"/>
      <c r="F109" s="152"/>
      <c r="G109" s="152"/>
      <c r="H109" s="152"/>
      <c r="I109" s="152"/>
      <c r="J109" s="152"/>
      <c r="K109" s="152"/>
      <c r="L109" s="152"/>
      <c r="M109" s="152"/>
    </row>
    <row r="110" spans="1:15" x14ac:dyDescent="0.3">
      <c r="A110" s="29" t="s">
        <v>65</v>
      </c>
      <c r="E110" s="152"/>
      <c r="F110" s="152"/>
      <c r="G110" s="152"/>
      <c r="H110" s="152"/>
      <c r="I110" s="152"/>
      <c r="J110" s="152"/>
      <c r="K110" s="152"/>
      <c r="L110" s="152"/>
      <c r="M110" s="152"/>
    </row>
    <row r="111" spans="1:15" x14ac:dyDescent="0.3">
      <c r="A111" s="11" t="s">
        <v>25</v>
      </c>
      <c r="B111" s="14">
        <f>+B17</f>
        <v>12857000</v>
      </c>
      <c r="C111" s="154">
        <f t="shared" ref="C111:C114" si="72">+C17</f>
        <v>13233000</v>
      </c>
      <c r="D111" s="14">
        <f t="shared" ref="D111:D114" si="73">+D17</f>
        <v>0</v>
      </c>
      <c r="E111" s="214">
        <f>E17/(1+'LTFP Assumptions'!$B$9)*(1+'LTFP Assumptions'!$E$9)</f>
        <v>13780905</v>
      </c>
      <c r="F111" s="214">
        <f>F17/(1+'LTFP Assumptions'!$B$9)*(1+'LTFP Assumptions'!$E$9)</f>
        <v>14263237</v>
      </c>
      <c r="G111" s="214">
        <f>G17/(1+'LTFP Assumptions'!$B$9)*(1+'LTFP Assumptions'!$E$9)</f>
        <v>14762450</v>
      </c>
      <c r="H111" s="214">
        <f>H17/(1+'LTFP Assumptions'!$B$9)*(1+'LTFP Assumptions'!$E$9)</f>
        <v>15279136</v>
      </c>
      <c r="I111" s="214">
        <f>I17/(1+'LTFP Assumptions'!$B$9)*(1+'LTFP Assumptions'!$E$9)</f>
        <v>15813906</v>
      </c>
      <c r="J111" s="214">
        <f>J17/(1+'LTFP Assumptions'!$B$9)*(1+'LTFP Assumptions'!$E$9)</f>
        <v>16367392</v>
      </c>
      <c r="K111" s="214">
        <f>K17/(1+'LTFP Assumptions'!$B$9)*(1+'LTFP Assumptions'!$E$9)</f>
        <v>16940251</v>
      </c>
      <c r="L111" s="214">
        <f>L17/(1+'LTFP Assumptions'!$B$9)*(1+'LTFP Assumptions'!$E$9)</f>
        <v>17533160</v>
      </c>
      <c r="M111" s="214">
        <f>M17/(1+'LTFP Assumptions'!$B$9)*(1+'LTFP Assumptions'!$E$9)</f>
        <v>18146821</v>
      </c>
      <c r="N111" s="214">
        <f>N17/(1+'LTFP Assumptions'!$B$9)*(1+'LTFP Assumptions'!$E$9)</f>
        <v>18146821</v>
      </c>
      <c r="O111" s="214">
        <f>O17/(1+'LTFP Assumptions'!$B$9)*(1+'LTFP Assumptions'!$E$9)</f>
        <v>18146821</v>
      </c>
    </row>
    <row r="112" spans="1:15" x14ac:dyDescent="0.3">
      <c r="A112" s="11" t="s">
        <v>27</v>
      </c>
      <c r="B112" s="14">
        <f>+B18</f>
        <v>6328000</v>
      </c>
      <c r="C112" s="154">
        <f t="shared" si="72"/>
        <v>6159000</v>
      </c>
      <c r="D112" s="14">
        <f t="shared" si="73"/>
        <v>0</v>
      </c>
      <c r="E112" s="214">
        <f>E18/(1+'LTFP Assumptions'!$B$13)*(1+'LTFP Assumptions'!$E$13)</f>
        <v>5061438</v>
      </c>
      <c r="F112" s="214">
        <f>F18/(1+'LTFP Assumptions'!$B$13)*(1+'LTFP Assumptions'!$E$13)</f>
        <v>4525823</v>
      </c>
      <c r="G112" s="214">
        <f>G18/(1+'LTFP Assumptions'!$B$13)*(1+'LTFP Assumptions'!$E$13)</f>
        <v>4638969</v>
      </c>
      <c r="H112" s="214">
        <f>H18/(1+'LTFP Assumptions'!$B$13)*(1+'LTFP Assumptions'!$E$13)</f>
        <v>4754943</v>
      </c>
      <c r="I112" s="214">
        <f>I18/(1+'LTFP Assumptions'!$B$13)*(1+'LTFP Assumptions'!$E$13)</f>
        <v>4873817</v>
      </c>
      <c r="J112" s="214">
        <f>J18/(1+'LTFP Assumptions'!$B$13)*(1+'LTFP Assumptions'!$E$13)</f>
        <v>4995662</v>
      </c>
      <c r="K112" s="214">
        <f>K18/(1+'LTFP Assumptions'!$B$13)*(1+'LTFP Assumptions'!$E$13)</f>
        <v>5120554</v>
      </c>
      <c r="L112" s="214">
        <f>L18/(1+'LTFP Assumptions'!$B$13)*(1+'LTFP Assumptions'!$E$13)</f>
        <v>5248568</v>
      </c>
      <c r="M112" s="214">
        <f>M18/(1+'LTFP Assumptions'!$B$13)*(1+'LTFP Assumptions'!$E$13)</f>
        <v>5379782</v>
      </c>
      <c r="N112" s="214">
        <f>N18/(1+'LTFP Assumptions'!$B$13)*(1+'LTFP Assumptions'!$E$13)</f>
        <v>5379782</v>
      </c>
      <c r="O112" s="214">
        <f>O18/(1+'LTFP Assumptions'!$B$13)*(1+'LTFP Assumptions'!$E$13)</f>
        <v>5379782</v>
      </c>
    </row>
    <row r="113" spans="1:15" x14ac:dyDescent="0.3">
      <c r="A113" s="11" t="s">
        <v>29</v>
      </c>
      <c r="B113" s="14">
        <f>+B19</f>
        <v>4402000</v>
      </c>
      <c r="C113" s="154">
        <f t="shared" si="72"/>
        <v>4755000</v>
      </c>
      <c r="D113" s="14">
        <f t="shared" si="73"/>
        <v>0</v>
      </c>
      <c r="E113" s="154">
        <f>+E19</f>
        <v>4610348</v>
      </c>
      <c r="F113" s="154">
        <f t="shared" ref="F113:M113" si="74">+F19</f>
        <v>4725606</v>
      </c>
      <c r="G113" s="154">
        <f t="shared" si="74"/>
        <v>4843746</v>
      </c>
      <c r="H113" s="154">
        <f t="shared" si="74"/>
        <v>4964840</v>
      </c>
      <c r="I113" s="154">
        <f t="shared" si="74"/>
        <v>5088961</v>
      </c>
      <c r="J113" s="154">
        <f t="shared" si="74"/>
        <v>5216185</v>
      </c>
      <c r="K113" s="154">
        <f t="shared" si="74"/>
        <v>5346590</v>
      </c>
      <c r="L113" s="154">
        <f t="shared" si="74"/>
        <v>5480254</v>
      </c>
      <c r="M113" s="154">
        <f t="shared" si="74"/>
        <v>5617261</v>
      </c>
      <c r="N113" s="154">
        <f t="shared" ref="N113:O113" si="75">+N19</f>
        <v>5617261</v>
      </c>
      <c r="O113" s="154">
        <f t="shared" si="75"/>
        <v>5617261</v>
      </c>
    </row>
    <row r="114" spans="1:15" x14ac:dyDescent="0.3">
      <c r="A114" s="15" t="s">
        <v>28</v>
      </c>
      <c r="B114" s="14">
        <f>+B20</f>
        <v>6548000</v>
      </c>
      <c r="C114" s="154">
        <f t="shared" si="72"/>
        <v>7369000</v>
      </c>
      <c r="D114" s="14">
        <f t="shared" si="73"/>
        <v>0</v>
      </c>
      <c r="E114" s="214">
        <f>E20/(1+'LTFP Assumptions'!$B$14)*(1+'LTFP Assumptions'!$E$14)</f>
        <v>7372991</v>
      </c>
      <c r="F114" s="214">
        <f>F20/(1+'LTFP Assumptions'!$B$14)*(1+'LTFP Assumptions'!$E$14)</f>
        <v>7742316</v>
      </c>
      <c r="G114" s="214">
        <f>G20/(1+'LTFP Assumptions'!$B$14)*(1+'LTFP Assumptions'!$E$14)</f>
        <v>7746249</v>
      </c>
      <c r="H114" s="214">
        <f>H20/(1+'LTFP Assumptions'!$B$14)*(1+'LTFP Assumptions'!$E$14)</f>
        <v>7939905.0000000009</v>
      </c>
      <c r="I114" s="214">
        <f>I20/(1+'LTFP Assumptions'!$B$14)*(1+'LTFP Assumptions'!$E$14)</f>
        <v>8138403</v>
      </c>
      <c r="J114" s="214">
        <f>J20/(1+'LTFP Assumptions'!$B$14)*(1+'LTFP Assumptions'!$E$14)</f>
        <v>8541863</v>
      </c>
      <c r="K114" s="214">
        <f>K20/(1+'LTFP Assumptions'!$B$14)*(1+'LTFP Assumptions'!$E$14)</f>
        <v>8550410</v>
      </c>
      <c r="L114" s="214">
        <f>L20/(1+'LTFP Assumptions'!$B$14)*(1+'LTFP Assumptions'!$E$14)</f>
        <v>8764170</v>
      </c>
      <c r="M114" s="214">
        <f>M20/(1+'LTFP Assumptions'!$B$14)*(1+'LTFP Assumptions'!$E$14)</f>
        <v>8983274</v>
      </c>
      <c r="N114" s="214">
        <f>N20/(1+'LTFP Assumptions'!$B$14)*(1+'LTFP Assumptions'!$E$14)</f>
        <v>8983274</v>
      </c>
      <c r="O114" s="214">
        <f>O20/(1+'LTFP Assumptions'!$B$14)*(1+'LTFP Assumptions'!$E$14)</f>
        <v>8983274</v>
      </c>
    </row>
    <row r="115" spans="1:15" x14ac:dyDescent="0.3">
      <c r="A115" s="29" t="s">
        <v>66</v>
      </c>
      <c r="B115" s="31">
        <f>SUM(B111:B114)</f>
        <v>30135000</v>
      </c>
      <c r="C115" s="165">
        <f t="shared" ref="C115" si="76">SUM(C111:C114)</f>
        <v>31516000</v>
      </c>
      <c r="D115" s="31">
        <f t="shared" ref="D115:E115" si="77">SUM(D111:D114)</f>
        <v>0</v>
      </c>
      <c r="E115" s="165">
        <f t="shared" si="77"/>
        <v>30825682</v>
      </c>
      <c r="F115" s="165">
        <f t="shared" ref="F115:M115" si="78">SUM(F111:F114)</f>
        <v>31256982</v>
      </c>
      <c r="G115" s="165">
        <f t="shared" si="78"/>
        <v>31991414</v>
      </c>
      <c r="H115" s="165">
        <f t="shared" si="78"/>
        <v>32938824</v>
      </c>
      <c r="I115" s="165">
        <f t="shared" si="78"/>
        <v>33915087</v>
      </c>
      <c r="J115" s="165">
        <f t="shared" si="78"/>
        <v>35121102</v>
      </c>
      <c r="K115" s="165">
        <f t="shared" si="78"/>
        <v>35957805</v>
      </c>
      <c r="L115" s="165">
        <f t="shared" si="78"/>
        <v>37026152</v>
      </c>
      <c r="M115" s="165">
        <f t="shared" si="78"/>
        <v>38127138</v>
      </c>
      <c r="N115" s="165">
        <f t="shared" ref="N115:O115" si="79">SUM(N111:N114)</f>
        <v>38127138</v>
      </c>
      <c r="O115" s="165">
        <f t="shared" si="79"/>
        <v>38127138</v>
      </c>
    </row>
    <row r="117" spans="1:15" ht="15" thickBot="1" x14ac:dyDescent="0.35">
      <c r="A117" s="29" t="s">
        <v>67</v>
      </c>
      <c r="B117" s="34">
        <f t="shared" ref="B117:M117" si="80">+B108-B115</f>
        <v>2944000</v>
      </c>
      <c r="C117" s="206">
        <f t="shared" si="80"/>
        <v>-187000</v>
      </c>
      <c r="D117" s="34">
        <f t="shared" si="80"/>
        <v>0</v>
      </c>
      <c r="E117" s="34">
        <f t="shared" si="80"/>
        <v>92804.695160973817</v>
      </c>
      <c r="F117" s="34">
        <f t="shared" si="80"/>
        <v>297767.53269756213</v>
      </c>
      <c r="G117" s="34">
        <f t="shared" si="80"/>
        <v>423439.42901846394</v>
      </c>
      <c r="H117" s="34">
        <f t="shared" si="80"/>
        <v>813821.44670383632</v>
      </c>
      <c r="I117" s="34">
        <f t="shared" si="80"/>
        <v>777638.36578719318</v>
      </c>
      <c r="J117" s="34">
        <f t="shared" si="80"/>
        <v>523925.78796397895</v>
      </c>
      <c r="K117" s="34">
        <f t="shared" si="80"/>
        <v>620868.89690640569</v>
      </c>
      <c r="L117" s="34">
        <f t="shared" si="80"/>
        <v>569316.26267142594</v>
      </c>
      <c r="M117" s="34">
        <f t="shared" si="80"/>
        <v>509205.72573777288</v>
      </c>
      <c r="N117" s="34">
        <f t="shared" ref="N117:O117" si="81">+N108-N115</f>
        <v>509205.72573777288</v>
      </c>
      <c r="O117" s="34">
        <f t="shared" si="81"/>
        <v>509205.72573777288</v>
      </c>
    </row>
    <row r="118" spans="1:15" x14ac:dyDescent="0.3">
      <c r="A118" s="2"/>
      <c r="B118" s="4"/>
      <c r="C118" s="217"/>
    </row>
    <row r="119" spans="1:15" x14ac:dyDescent="0.3">
      <c r="A119" s="29" t="s">
        <v>75</v>
      </c>
      <c r="B119" s="35"/>
      <c r="C119" s="217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166"/>
      <c r="O119" s="166"/>
    </row>
    <row r="120" spans="1:15" x14ac:dyDescent="0.3">
      <c r="A120" s="15" t="s">
        <v>322</v>
      </c>
      <c r="B120" s="118">
        <v>0</v>
      </c>
      <c r="C120" s="216">
        <v>0</v>
      </c>
      <c r="D120" s="118">
        <v>0</v>
      </c>
      <c r="E120" s="118">
        <v>0</v>
      </c>
      <c r="F120" s="118">
        <v>0</v>
      </c>
      <c r="G120" s="118">
        <v>0</v>
      </c>
      <c r="H120" s="118">
        <v>0</v>
      </c>
      <c r="I120" s="118">
        <v>0</v>
      </c>
      <c r="J120" s="118">
        <v>0</v>
      </c>
      <c r="K120" s="118">
        <v>0</v>
      </c>
      <c r="L120" s="118">
        <v>0</v>
      </c>
      <c r="M120" s="118">
        <v>0</v>
      </c>
      <c r="N120" s="216">
        <v>1</v>
      </c>
      <c r="O120" s="216">
        <v>2</v>
      </c>
    </row>
    <row r="121" spans="1:15" x14ac:dyDescent="0.3">
      <c r="C121" s="217"/>
    </row>
    <row r="122" spans="1:15" ht="15.6" x14ac:dyDescent="0.3">
      <c r="A122" s="36" t="s">
        <v>76</v>
      </c>
      <c r="B122" s="37">
        <f>+B117+B120</f>
        <v>2944000</v>
      </c>
      <c r="C122" s="207">
        <f>+C117+C120</f>
        <v>-187000</v>
      </c>
      <c r="D122" s="37">
        <f>+D117+D120</f>
        <v>0</v>
      </c>
      <c r="E122" s="37">
        <f t="shared" ref="E122:M122" si="82">+E117+E120</f>
        <v>92804.695160973817</v>
      </c>
      <c r="F122" s="37">
        <f t="shared" si="82"/>
        <v>297767.53269756213</v>
      </c>
      <c r="G122" s="37">
        <f t="shared" si="82"/>
        <v>423439.42901846394</v>
      </c>
      <c r="H122" s="37">
        <f t="shared" si="82"/>
        <v>813821.44670383632</v>
      </c>
      <c r="I122" s="37">
        <f t="shared" si="82"/>
        <v>777638.36578719318</v>
      </c>
      <c r="J122" s="37">
        <f t="shared" si="82"/>
        <v>523925.78796397895</v>
      </c>
      <c r="K122" s="37">
        <f t="shared" si="82"/>
        <v>620868.89690640569</v>
      </c>
      <c r="L122" s="37">
        <f t="shared" si="82"/>
        <v>569316.26267142594</v>
      </c>
      <c r="M122" s="37">
        <f t="shared" si="82"/>
        <v>509205.72573777288</v>
      </c>
      <c r="N122" s="37">
        <f t="shared" ref="N122:O122" si="83">+N117+N120</f>
        <v>509206.72573777288</v>
      </c>
      <c r="O122" s="37">
        <f t="shared" si="83"/>
        <v>509207.72573777288</v>
      </c>
    </row>
    <row r="123" spans="1:15" x14ac:dyDescent="0.3">
      <c r="C123" s="217"/>
    </row>
    <row r="124" spans="1:15" x14ac:dyDescent="0.3">
      <c r="A124" s="13" t="s">
        <v>77</v>
      </c>
      <c r="B124" s="14">
        <f>+B122</f>
        <v>2944000</v>
      </c>
      <c r="C124" s="217">
        <f>+C122</f>
        <v>-187000</v>
      </c>
      <c r="D124" s="14">
        <f>+D122</f>
        <v>0</v>
      </c>
      <c r="E124" s="14">
        <f t="shared" ref="E124:M124" si="84">+E122</f>
        <v>92804.695160973817</v>
      </c>
      <c r="F124" s="14">
        <f t="shared" si="84"/>
        <v>297767.53269756213</v>
      </c>
      <c r="G124" s="14">
        <f t="shared" si="84"/>
        <v>423439.42901846394</v>
      </c>
      <c r="H124" s="14">
        <f t="shared" si="84"/>
        <v>813821.44670383632</v>
      </c>
      <c r="I124" s="14">
        <f t="shared" si="84"/>
        <v>777638.36578719318</v>
      </c>
      <c r="J124" s="14">
        <f t="shared" si="84"/>
        <v>523925.78796397895</v>
      </c>
      <c r="K124" s="14">
        <f t="shared" si="84"/>
        <v>620868.89690640569</v>
      </c>
      <c r="L124" s="14">
        <f t="shared" si="84"/>
        <v>569316.26267142594</v>
      </c>
      <c r="M124" s="14">
        <f t="shared" si="84"/>
        <v>509205.72573777288</v>
      </c>
      <c r="N124" s="154">
        <f t="shared" ref="N124:O124" si="85">+N122</f>
        <v>509206.72573777288</v>
      </c>
      <c r="O124" s="154">
        <f t="shared" si="85"/>
        <v>509207.72573777288</v>
      </c>
    </row>
    <row r="125" spans="1:15" ht="15" thickBot="1" x14ac:dyDescent="0.35">
      <c r="A125" s="13" t="s">
        <v>78</v>
      </c>
      <c r="B125" s="118">
        <v>0</v>
      </c>
      <c r="C125" s="218">
        <v>0</v>
      </c>
      <c r="D125" s="118">
        <v>0</v>
      </c>
      <c r="E125" s="118">
        <v>0</v>
      </c>
      <c r="F125" s="118">
        <v>0</v>
      </c>
      <c r="G125" s="118">
        <v>0</v>
      </c>
      <c r="H125" s="118">
        <v>0</v>
      </c>
      <c r="I125" s="118">
        <v>0</v>
      </c>
      <c r="J125" s="118">
        <v>0</v>
      </c>
      <c r="K125" s="118">
        <v>0</v>
      </c>
      <c r="L125" s="118">
        <v>0</v>
      </c>
      <c r="M125" s="118">
        <v>0</v>
      </c>
      <c r="N125" s="216">
        <v>1</v>
      </c>
      <c r="O125" s="216">
        <v>2</v>
      </c>
    </row>
    <row r="126" spans="1:15" ht="15" thickTop="1" x14ac:dyDescent="0.3">
      <c r="A126" s="2"/>
      <c r="B126" s="4"/>
      <c r="C126" s="217"/>
    </row>
    <row r="127" spans="1:15" ht="28.8" x14ac:dyDescent="0.3">
      <c r="A127" s="39" t="s">
        <v>79</v>
      </c>
      <c r="B127" s="116">
        <f>+B122-B105</f>
        <v>1635000</v>
      </c>
      <c r="C127" s="217">
        <f>+C122-C105</f>
        <v>-2633000</v>
      </c>
      <c r="D127" s="116">
        <f>+D122-D105</f>
        <v>0</v>
      </c>
      <c r="E127" s="116">
        <f t="shared" ref="E127:M127" si="86">+E122-E105</f>
        <v>-904845.30483902618</v>
      </c>
      <c r="F127" s="116">
        <f t="shared" si="86"/>
        <v>-724823.71730243787</v>
      </c>
      <c r="G127" s="116">
        <f t="shared" si="86"/>
        <v>-624716.60223153594</v>
      </c>
      <c r="H127" s="116">
        <f t="shared" si="86"/>
        <v>-710538.48532741331</v>
      </c>
      <c r="I127" s="116">
        <f t="shared" si="86"/>
        <v>-784830.56454483792</v>
      </c>
      <c r="J127" s="116">
        <f t="shared" si="86"/>
        <v>-1077604.8656263524</v>
      </c>
      <c r="K127" s="116">
        <f t="shared" si="86"/>
        <v>-1020700.023023684</v>
      </c>
      <c r="L127" s="116">
        <f t="shared" si="86"/>
        <v>-1113291.8802569159</v>
      </c>
      <c r="M127" s="116">
        <f t="shared" si="86"/>
        <v>-1215467.6207637775</v>
      </c>
      <c r="N127" s="217">
        <f t="shared" ref="N127:O127" si="87">+N122-N105</f>
        <v>-1215466.6207637775</v>
      </c>
      <c r="O127" s="217">
        <f t="shared" si="87"/>
        <v>-1215465.6207637775</v>
      </c>
    </row>
    <row r="128" spans="1:15" x14ac:dyDescent="0.3">
      <c r="A128" s="2"/>
      <c r="B128" s="116"/>
      <c r="C128" s="217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217"/>
      <c r="O128" s="217"/>
    </row>
    <row r="129" spans="1:15" x14ac:dyDescent="0.3">
      <c r="A129" s="29" t="s">
        <v>30</v>
      </c>
      <c r="B129" s="116">
        <v>-3830000</v>
      </c>
      <c r="C129" s="217">
        <v>-5950000</v>
      </c>
      <c r="D129" s="116">
        <f ca="1">D35</f>
        <v>-5386773.6795166293</v>
      </c>
      <c r="E129" s="116">
        <f ca="1">E35/(1+'LTFP Assumptions'!$B$13)*(1+'LTFP Assumptions'!$E$13)</f>
        <v>-6869037.4982148726</v>
      </c>
      <c r="F129" s="204">
        <f ca="1">F35/(1+'LTFP Assumptions'!$B$13)*(1+'LTFP Assumptions'!$E$13)</f>
        <v>-5970292.9597329386</v>
      </c>
      <c r="G129" s="204">
        <f ca="1">G35/(1+'LTFP Assumptions'!$B$13)*(1+'LTFP Assumptions'!$E$13)</f>
        <v>-6630420.5554642072</v>
      </c>
      <c r="H129" s="204">
        <f ca="1">H35/(1+'LTFP Assumptions'!$B$13)*(1+'LTFP Assumptions'!$E$13)</f>
        <v>-11558267.290281707</v>
      </c>
      <c r="I129" s="204">
        <f ca="1">I35/(1+'LTFP Assumptions'!$B$13)*(1+'LTFP Assumptions'!$E$13)</f>
        <v>-6988760.1907281922</v>
      </c>
      <c r="J129" s="204">
        <f ca="1">J35/(1+'LTFP Assumptions'!$B$13)*(1+'LTFP Assumptions'!$E$13)</f>
        <v>-9644446.2463969775</v>
      </c>
      <c r="K129" s="204">
        <f ca="1">K35/(1+'LTFP Assumptions'!$B$13)*(1+'LTFP Assumptions'!$E$13)</f>
        <v>-5475779.917529624</v>
      </c>
      <c r="L129" s="204" t="e">
        <f>L35/(1+'LTFP Assumptions'!$B$13)*(1+'LTFP Assumptions'!$E$13)</f>
        <v>#REF!</v>
      </c>
      <c r="M129" s="204" t="e">
        <f>M35/(1+'LTFP Assumptions'!$B$13)*(1+'LTFP Assumptions'!$E$13)</f>
        <v>#REF!</v>
      </c>
      <c r="N129" s="217">
        <f>N35/(1+'LTFP Assumptions'!$B$13)*(1+'LTFP Assumptions'!$E$13)</f>
        <v>0</v>
      </c>
      <c r="O129" s="217">
        <f>O35/(1+'LTFP Assumptions'!$B$13)*(1+'LTFP Assumptions'!$E$13)</f>
        <v>0</v>
      </c>
    </row>
    <row r="130" spans="1:15" x14ac:dyDescent="0.3">
      <c r="A130" s="4" t="s">
        <v>109</v>
      </c>
      <c r="B130" s="116">
        <v>611000</v>
      </c>
      <c r="C130" s="217">
        <v>621000</v>
      </c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217"/>
      <c r="O130" s="217"/>
    </row>
    <row r="131" spans="1:15" x14ac:dyDescent="0.3">
      <c r="A131" s="29" t="s">
        <v>33</v>
      </c>
      <c r="B131" s="116">
        <f>+B113</f>
        <v>4402000</v>
      </c>
      <c r="C131" s="217">
        <f>C113</f>
        <v>4755000</v>
      </c>
      <c r="D131" s="116">
        <f>D113</f>
        <v>0</v>
      </c>
      <c r="E131" s="116">
        <f t="shared" ref="E131:M131" si="88">E113</f>
        <v>4610348</v>
      </c>
      <c r="F131" s="116">
        <f t="shared" si="88"/>
        <v>4725606</v>
      </c>
      <c r="G131" s="116">
        <f t="shared" si="88"/>
        <v>4843746</v>
      </c>
      <c r="H131" s="116">
        <f t="shared" si="88"/>
        <v>4964840</v>
      </c>
      <c r="I131" s="116">
        <f t="shared" si="88"/>
        <v>5088961</v>
      </c>
      <c r="J131" s="116">
        <f t="shared" si="88"/>
        <v>5216185</v>
      </c>
      <c r="K131" s="116">
        <f t="shared" si="88"/>
        <v>5346590</v>
      </c>
      <c r="L131" s="116">
        <f t="shared" si="88"/>
        <v>5480254</v>
      </c>
      <c r="M131" s="116">
        <f t="shared" si="88"/>
        <v>5617261</v>
      </c>
      <c r="N131" s="217">
        <f t="shared" ref="N131:O131" si="89">N113</f>
        <v>5617261</v>
      </c>
      <c r="O131" s="217">
        <f t="shared" si="89"/>
        <v>5617261</v>
      </c>
    </row>
    <row r="132" spans="1:15" x14ac:dyDescent="0.3">
      <c r="A132" s="2"/>
      <c r="B132" s="116"/>
      <c r="C132" s="217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217"/>
      <c r="O132" s="217"/>
    </row>
    <row r="133" spans="1:15" x14ac:dyDescent="0.3">
      <c r="A133" s="29" t="s">
        <v>31</v>
      </c>
      <c r="B133" s="116">
        <v>-8130000</v>
      </c>
      <c r="C133" s="217">
        <v>-258000</v>
      </c>
      <c r="D133" s="204">
        <f t="shared" ref="D133:M134" si="90">D39</f>
        <v>0</v>
      </c>
      <c r="E133" s="204">
        <f t="shared" si="90"/>
        <v>0</v>
      </c>
      <c r="F133" s="204">
        <f t="shared" si="90"/>
        <v>0</v>
      </c>
      <c r="G133" s="204">
        <f t="shared" si="90"/>
        <v>0</v>
      </c>
      <c r="H133" s="204">
        <f t="shared" si="90"/>
        <v>0</v>
      </c>
      <c r="I133" s="204">
        <f t="shared" si="90"/>
        <v>0</v>
      </c>
      <c r="J133" s="204">
        <f t="shared" si="90"/>
        <v>0</v>
      </c>
      <c r="K133" s="204">
        <f t="shared" si="90"/>
        <v>0</v>
      </c>
      <c r="L133" s="204">
        <f t="shared" si="90"/>
        <v>0</v>
      </c>
      <c r="M133" s="204">
        <f t="shared" si="90"/>
        <v>0</v>
      </c>
      <c r="N133" s="217">
        <f t="shared" ref="N133:O133" si="91">N39</f>
        <v>0</v>
      </c>
      <c r="O133" s="217">
        <f t="shared" si="91"/>
        <v>0</v>
      </c>
    </row>
    <row r="134" spans="1:15" x14ac:dyDescent="0.3">
      <c r="A134" s="29" t="s">
        <v>22</v>
      </c>
      <c r="B134" s="116">
        <v>3862000</v>
      </c>
      <c r="C134" s="217">
        <v>121000</v>
      </c>
      <c r="D134" s="204">
        <f t="shared" si="90"/>
        <v>0</v>
      </c>
      <c r="E134" s="204">
        <f t="shared" si="90"/>
        <v>0</v>
      </c>
      <c r="F134" s="204">
        <f t="shared" si="90"/>
        <v>2262.9380000000001</v>
      </c>
      <c r="G134" s="204" t="e">
        <f t="shared" si="90"/>
        <v>#REF!</v>
      </c>
      <c r="H134" s="204">
        <f t="shared" si="90"/>
        <v>2200</v>
      </c>
      <c r="I134" s="204">
        <f t="shared" si="90"/>
        <v>8000</v>
      </c>
      <c r="J134" s="204">
        <f t="shared" si="90"/>
        <v>2000</v>
      </c>
      <c r="K134" s="204">
        <f t="shared" si="90"/>
        <v>2040</v>
      </c>
      <c r="L134" s="204">
        <f t="shared" si="90"/>
        <v>2080.8000000000002</v>
      </c>
      <c r="M134" s="204">
        <f t="shared" si="90"/>
        <v>2122.4160000000002</v>
      </c>
      <c r="N134" s="217">
        <f t="shared" ref="N134:O134" si="92">N40</f>
        <v>2164.8643199999997</v>
      </c>
      <c r="O134" s="217">
        <f t="shared" si="92"/>
        <v>2208.1616064</v>
      </c>
    </row>
    <row r="135" spans="1:15" x14ac:dyDescent="0.3">
      <c r="A135" s="4" t="s">
        <v>113</v>
      </c>
      <c r="B135" s="116">
        <v>-80000</v>
      </c>
      <c r="C135" s="217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217"/>
      <c r="O135" s="217"/>
    </row>
    <row r="136" spans="1:15" x14ac:dyDescent="0.3">
      <c r="A136" s="4" t="s">
        <v>114</v>
      </c>
      <c r="B136" s="116">
        <v>349000</v>
      </c>
      <c r="C136" s="217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217"/>
      <c r="O136" s="217"/>
    </row>
    <row r="137" spans="1:15" x14ac:dyDescent="0.3">
      <c r="A137" s="4" t="s">
        <v>115</v>
      </c>
      <c r="B137" s="116">
        <v>-223000</v>
      </c>
      <c r="C137" s="217">
        <v>-281000</v>
      </c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217"/>
      <c r="O137" s="217"/>
    </row>
    <row r="138" spans="1:15" x14ac:dyDescent="0.3">
      <c r="A138" s="29"/>
      <c r="B138" s="116"/>
      <c r="C138" s="217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217"/>
      <c r="O138" s="217"/>
    </row>
    <row r="139" spans="1:15" s="152" customFormat="1" x14ac:dyDescent="0.3">
      <c r="A139" s="164" t="s">
        <v>34</v>
      </c>
      <c r="B139" s="217">
        <f>+B122+SUM(B129:B138)</f>
        <v>-95000</v>
      </c>
      <c r="C139" s="217">
        <f t="shared" ref="C139" si="93">+C122+SUM(C129:C138)</f>
        <v>-1179000</v>
      </c>
      <c r="D139" s="217">
        <f t="shared" ref="D139:M139" ca="1" si="94">+D122+SUM(D129:D138)</f>
        <v>-5386773.6795166293</v>
      </c>
      <c r="E139" s="217">
        <f t="shared" ca="1" si="94"/>
        <v>-2165884.8030538987</v>
      </c>
      <c r="F139" s="217">
        <f t="shared" ca="1" si="94"/>
        <v>-944656.48903537635</v>
      </c>
      <c r="G139" s="217" t="e">
        <f t="shared" ca="1" si="94"/>
        <v>#REF!</v>
      </c>
      <c r="H139" s="217">
        <f t="shared" ca="1" si="94"/>
        <v>-5777405.8435778711</v>
      </c>
      <c r="I139" s="217">
        <f t="shared" ca="1" si="94"/>
        <v>-1114160.824940999</v>
      </c>
      <c r="J139" s="217">
        <f t="shared" ca="1" si="94"/>
        <v>-3902335.4584329985</v>
      </c>
      <c r="K139" s="217">
        <f t="shared" ca="1" si="94"/>
        <v>493718.97937678173</v>
      </c>
      <c r="L139" s="217" t="e">
        <f t="shared" si="94"/>
        <v>#REF!</v>
      </c>
      <c r="M139" s="217" t="e">
        <f t="shared" si="94"/>
        <v>#REF!</v>
      </c>
      <c r="N139" s="217">
        <f t="shared" ref="N139:O139" si="95">+N122+SUM(N129:N138)</f>
        <v>6128632.5900577726</v>
      </c>
      <c r="O139" s="217">
        <f t="shared" si="95"/>
        <v>6128676.8873441732</v>
      </c>
    </row>
    <row r="140" spans="1:15" s="152" customFormat="1" x14ac:dyDescent="0.3">
      <c r="A140" s="152" t="s">
        <v>451</v>
      </c>
      <c r="C140" s="154">
        <f>B141</f>
        <v>2191000</v>
      </c>
      <c r="D140" s="154">
        <f t="shared" ref="D140:M140" si="96">C141</f>
        <v>1012000</v>
      </c>
      <c r="E140" s="154">
        <f t="shared" ca="1" si="96"/>
        <v>-4374773.6795166293</v>
      </c>
      <c r="F140" s="154">
        <f t="shared" ca="1" si="96"/>
        <v>-6540658.4825705281</v>
      </c>
      <c r="G140" s="154">
        <f t="shared" ca="1" si="96"/>
        <v>-7485314.9716059044</v>
      </c>
      <c r="H140" s="154" t="e">
        <f t="shared" ca="1" si="96"/>
        <v>#REF!</v>
      </c>
      <c r="I140" s="154" t="e">
        <f t="shared" ca="1" si="96"/>
        <v>#REF!</v>
      </c>
      <c r="J140" s="154" t="e">
        <f t="shared" ca="1" si="96"/>
        <v>#REF!</v>
      </c>
      <c r="K140" s="154" t="e">
        <f t="shared" ca="1" si="96"/>
        <v>#REF!</v>
      </c>
      <c r="L140" s="154" t="e">
        <f t="shared" ca="1" si="96"/>
        <v>#REF!</v>
      </c>
      <c r="M140" s="154" t="e">
        <f t="shared" si="96"/>
        <v>#REF!</v>
      </c>
      <c r="N140" s="154" t="e">
        <f t="shared" ref="N140" si="97">M141</f>
        <v>#REF!</v>
      </c>
      <c r="O140" s="154" t="e">
        <f t="shared" ref="O140" si="98">N141</f>
        <v>#REF!</v>
      </c>
    </row>
    <row r="141" spans="1:15" s="152" customFormat="1" x14ac:dyDescent="0.3">
      <c r="A141" s="153" t="s">
        <v>452</v>
      </c>
      <c r="B141" s="145">
        <v>2191000</v>
      </c>
      <c r="C141" s="144">
        <f>SUM(C139:C140)</f>
        <v>1012000</v>
      </c>
      <c r="D141" s="144">
        <f t="shared" ref="D141:M141" ca="1" si="99">SUM(D139:D140)</f>
        <v>-4374773.6795166293</v>
      </c>
      <c r="E141" s="144">
        <f t="shared" ca="1" si="99"/>
        <v>-6540658.4825705281</v>
      </c>
      <c r="F141" s="144">
        <f t="shared" ca="1" si="99"/>
        <v>-7485314.9716059044</v>
      </c>
      <c r="G141" s="144" t="e">
        <f t="shared" ca="1" si="99"/>
        <v>#REF!</v>
      </c>
      <c r="H141" s="144" t="e">
        <f t="shared" ca="1" si="99"/>
        <v>#REF!</v>
      </c>
      <c r="I141" s="144" t="e">
        <f t="shared" ca="1" si="99"/>
        <v>#REF!</v>
      </c>
      <c r="J141" s="144" t="e">
        <f t="shared" ca="1" si="99"/>
        <v>#REF!</v>
      </c>
      <c r="K141" s="144" t="e">
        <f t="shared" ca="1" si="99"/>
        <v>#REF!</v>
      </c>
      <c r="L141" s="144" t="e">
        <f t="shared" si="99"/>
        <v>#REF!</v>
      </c>
      <c r="M141" s="144" t="e">
        <f t="shared" si="99"/>
        <v>#REF!</v>
      </c>
      <c r="N141" s="144" t="e">
        <f t="shared" ref="N141:O141" si="100">SUM(N139:N140)</f>
        <v>#REF!</v>
      </c>
      <c r="O141" s="144" t="e">
        <f t="shared" si="100"/>
        <v>#REF!</v>
      </c>
    </row>
  </sheetData>
  <pageMargins left="0.74803149606299213" right="0.74803149606299213" top="0.6692913385826772" bottom="0.6692913385826772" header="0.51181102362204722" footer="0.51181102362204722"/>
  <pageSetup paperSize="9" scale="67" fitToHeight="0" orientation="landscape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R159"/>
  <sheetViews>
    <sheetView zoomScaleNormal="100" workbookViewId="0">
      <pane xSplit="3" ySplit="3" topLeftCell="D37" activePane="bottomRight" state="frozen"/>
      <selection pane="topRight" activeCell="D1" sqref="D1"/>
      <selection pane="bottomLeft" activeCell="A3" sqref="A3"/>
      <selection pane="bottomRight" activeCell="D1" sqref="D1:D1048576"/>
    </sheetView>
  </sheetViews>
  <sheetFormatPr defaultColWidth="9.109375" defaultRowHeight="12" outlineLevelCol="1" x14ac:dyDescent="0.25"/>
  <cols>
    <col min="1" max="1" width="38.88671875" style="639" customWidth="1"/>
    <col min="2" max="2" width="16.44140625" style="639" hidden="1" customWidth="1" outlineLevel="1"/>
    <col min="3" max="3" width="12.109375" style="639" hidden="1" customWidth="1" outlineLevel="1"/>
    <col min="4" max="4" width="13.109375" style="639" hidden="1" customWidth="1" outlineLevel="1" collapsed="1"/>
    <col min="5" max="5" width="10.33203125" style="639" customWidth="1" collapsed="1"/>
    <col min="6" max="16" width="9.88671875" style="639" bestFit="1" customWidth="1"/>
    <col min="17" max="16384" width="9.109375" style="639"/>
  </cols>
  <sheetData>
    <row r="1" spans="1:16" ht="12.75" x14ac:dyDescent="0.2">
      <c r="A1" s="1091" t="s">
        <v>1365</v>
      </c>
    </row>
    <row r="2" spans="1:16" s="637" customFormat="1" x14ac:dyDescent="0.2">
      <c r="A2" s="585" t="s">
        <v>1110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16" x14ac:dyDescent="0.2">
      <c r="A3" s="585" t="s">
        <v>73</v>
      </c>
      <c r="B3" s="638" t="s">
        <v>68</v>
      </c>
      <c r="C3" s="586" t="s">
        <v>0</v>
      </c>
      <c r="D3" s="586" t="s">
        <v>1</v>
      </c>
      <c r="E3" s="586" t="s">
        <v>2</v>
      </c>
      <c r="F3" s="586" t="s">
        <v>3</v>
      </c>
      <c r="G3" s="586" t="s">
        <v>4</v>
      </c>
      <c r="H3" s="586" t="s">
        <v>5</v>
      </c>
      <c r="I3" s="586" t="s">
        <v>6</v>
      </c>
      <c r="J3" s="586" t="s">
        <v>7</v>
      </c>
      <c r="K3" s="586" t="s">
        <v>8</v>
      </c>
      <c r="L3" s="586" t="s">
        <v>9</v>
      </c>
      <c r="M3" s="586" t="s">
        <v>514</v>
      </c>
      <c r="N3" s="586" t="s">
        <v>515</v>
      </c>
      <c r="O3" s="586" t="s">
        <v>904</v>
      </c>
      <c r="P3" s="586" t="s">
        <v>1046</v>
      </c>
    </row>
    <row r="5" spans="1:16" x14ac:dyDescent="0.2">
      <c r="A5" s="592" t="s">
        <v>82</v>
      </c>
    </row>
    <row r="6" spans="1:16" x14ac:dyDescent="0.2">
      <c r="A6" s="640" t="s">
        <v>83</v>
      </c>
      <c r="B6" s="590"/>
      <c r="C6" s="590"/>
      <c r="D6" s="590" t="s">
        <v>516</v>
      </c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</row>
    <row r="7" spans="1:16" x14ac:dyDescent="0.2">
      <c r="A7" s="639" t="s">
        <v>11</v>
      </c>
      <c r="B7" s="594"/>
      <c r="C7" s="594"/>
      <c r="D7" s="594">
        <v>18724</v>
      </c>
      <c r="E7" s="594">
        <v>18207</v>
      </c>
      <c r="F7" s="594">
        <f>+'GF &amp; FF  Inc Exp Statement'!F11</f>
        <v>14450.315000000001</v>
      </c>
      <c r="G7" s="594">
        <f>+'GF &amp; FF  Inc Exp Statement'!G11</f>
        <v>15263.939960000002</v>
      </c>
      <c r="H7" s="594">
        <f>+'GF &amp; FF  Inc Exp Statement'!H11</f>
        <v>15775.877474999999</v>
      </c>
      <c r="I7" s="594">
        <f>+'GF &amp; FF  Inc Exp Statement'!I11</f>
        <v>16452.106275000002</v>
      </c>
      <c r="J7" s="594">
        <f>+'GF &amp; FF  Inc Exp Statement'!J11</f>
        <v>16902.498425000002</v>
      </c>
      <c r="K7" s="594">
        <f>+'GF &amp; FF  Inc Exp Statement'!K11</f>
        <v>17325.060885625</v>
      </c>
      <c r="L7" s="594">
        <f>+'GF &amp; FF  Inc Exp Statement'!L11</f>
        <v>17758.187407765625</v>
      </c>
      <c r="M7" s="594">
        <f>+'GF &amp; FF  Inc Exp Statement'!M11</f>
        <v>18202.142092959763</v>
      </c>
      <c r="N7" s="594">
        <f>+'GF &amp; FF  Inc Exp Statement'!N11</f>
        <v>18657.195645283755</v>
      </c>
      <c r="O7" s="594">
        <f>+'GF &amp; FF  Inc Exp Statement'!O11</f>
        <v>19123.625536415846</v>
      </c>
      <c r="P7" s="594">
        <f>+'GF &amp; FF  Inc Exp Statement'!P11</f>
        <v>19601.716174826241</v>
      </c>
    </row>
    <row r="8" spans="1:16" x14ac:dyDescent="0.2">
      <c r="A8" s="639" t="s">
        <v>12</v>
      </c>
      <c r="B8" s="594"/>
      <c r="C8" s="594"/>
      <c r="D8" s="594">
        <v>11585</v>
      </c>
      <c r="E8" s="594">
        <v>10646</v>
      </c>
      <c r="F8" s="594">
        <f>+'GF &amp; FF  Inc Exp Statement'!F12</f>
        <v>9486.969000000001</v>
      </c>
      <c r="G8" s="594">
        <f>+'GF &amp; FF  Inc Exp Statement'!G12</f>
        <v>9897.5250000000015</v>
      </c>
      <c r="H8" s="594">
        <f>+'GF &amp; FF  Inc Exp Statement'!H12</f>
        <v>10068</v>
      </c>
      <c r="I8" s="594">
        <f>+'GF &amp; FF  Inc Exp Statement'!I12</f>
        <v>10252.253000000001</v>
      </c>
      <c r="J8" s="594">
        <f>+'GF &amp; FF  Inc Exp Statement'!J12</f>
        <v>10485.2922</v>
      </c>
      <c r="K8" s="594">
        <f>+'GF &amp; FF  Inc Exp Statement'!K12</f>
        <v>10694.998044</v>
      </c>
      <c r="L8" s="594">
        <f>+'GF &amp; FF  Inc Exp Statement'!L12</f>
        <v>10908.89800488</v>
      </c>
      <c r="M8" s="594">
        <f>+'GF &amp; FF  Inc Exp Statement'!M12</f>
        <v>11127.075964977601</v>
      </c>
      <c r="N8" s="594">
        <f>+'GF &amp; FF  Inc Exp Statement'!N12</f>
        <v>11349.617484277152</v>
      </c>
      <c r="O8" s="594">
        <f>+'GF &amp; FF  Inc Exp Statement'!O12</f>
        <v>11576.609833962695</v>
      </c>
      <c r="P8" s="594">
        <f>+'GF &amp; FF  Inc Exp Statement'!P12</f>
        <v>11808.14203064195</v>
      </c>
    </row>
    <row r="9" spans="1:16" x14ac:dyDescent="0.2">
      <c r="A9" s="639" t="s">
        <v>84</v>
      </c>
      <c r="B9" s="594"/>
      <c r="C9" s="594"/>
      <c r="D9" s="594">
        <v>2499</v>
      </c>
      <c r="E9" s="594">
        <v>2571</v>
      </c>
      <c r="F9" s="594">
        <f>+'GF &amp; FF  Inc Exp Statement'!F13</f>
        <v>931.5</v>
      </c>
      <c r="G9" s="594">
        <f>+'GF &amp; FF  Inc Exp Statement'!G13</f>
        <v>938.20899999999995</v>
      </c>
      <c r="H9" s="594">
        <f>+'GF &amp; FF  Inc Exp Statement'!H13</f>
        <v>947.19299999999998</v>
      </c>
      <c r="I9" s="594">
        <f>+'GF &amp; FF  Inc Exp Statement'!I13</f>
        <v>956.88900000000001</v>
      </c>
      <c r="J9" s="594">
        <f>+'GF &amp; FF  Inc Exp Statement'!J13</f>
        <v>965.43299999999999</v>
      </c>
      <c r="K9" s="594">
        <f>+'GF &amp; FF  Inc Exp Statement'!K13</f>
        <v>665.95123412236012</v>
      </c>
      <c r="L9" s="594">
        <f>+'GF &amp; FF  Inc Exp Statement'!L13</f>
        <v>667.94846667024865</v>
      </c>
      <c r="M9" s="594">
        <f>+'GF &amp; FF  Inc Exp Statement'!M13</f>
        <v>672.94786350282743</v>
      </c>
      <c r="N9" s="594">
        <f>+'GF &amp; FF  Inc Exp Statement'!N13</f>
        <v>692.51450252355767</v>
      </c>
      <c r="O9" s="594">
        <f>+'GF &amp; FF  Inc Exp Statement'!O13</f>
        <v>706.94833283437345</v>
      </c>
      <c r="P9" s="594">
        <f>+'GF &amp; FF  Inc Exp Statement'!P13</f>
        <v>721.43375179095733</v>
      </c>
    </row>
    <row r="10" spans="1:16" x14ac:dyDescent="0.2">
      <c r="A10" s="639" t="s">
        <v>85</v>
      </c>
      <c r="B10" s="594"/>
      <c r="C10" s="594"/>
      <c r="D10" s="594">
        <v>26703</v>
      </c>
      <c r="E10" s="594">
        <v>24423</v>
      </c>
      <c r="F10" s="594">
        <f>+'GF &amp; FF  Inc Exp Statement'!F15+'GF &amp; FF  Inc Exp Statement'!F16</f>
        <v>9072.7510000000002</v>
      </c>
      <c r="G10" s="594">
        <f>+'GF &amp; FF  Inc Exp Statement'!G15+'GF &amp; FF  Inc Exp Statement'!G16</f>
        <v>9238.8559999999998</v>
      </c>
      <c r="H10" s="594">
        <f>+'GF &amp; FF  Inc Exp Statement'!H15+'GF &amp; FF  Inc Exp Statement'!H16</f>
        <v>9391.7220099999995</v>
      </c>
      <c r="I10" s="594">
        <f>+'GF &amp; FF  Inc Exp Statement'!I15+'GF &amp; FF  Inc Exp Statement'!I16</f>
        <v>9546.0480153000008</v>
      </c>
      <c r="J10" s="594">
        <f>+'GF &amp; FF  Inc Exp Statement'!J15+'GF &amp; FF  Inc Exp Statement'!J16</f>
        <v>9704.0470926340004</v>
      </c>
      <c r="K10" s="594">
        <f>+'GF &amp; FF  Inc Exp Statement'!K15+'GF &amp; FF  Inc Exp Statement'!K16</f>
        <v>9946.6482699498501</v>
      </c>
      <c r="L10" s="594">
        <f>+'GF &amp; FF  Inc Exp Statement'!L15+'GF &amp; FF  Inc Exp Statement'!L16</f>
        <v>10195.314476698593</v>
      </c>
      <c r="M10" s="594">
        <f>+'GF &amp; FF  Inc Exp Statement'!M15+'GF &amp; FF  Inc Exp Statement'!M16</f>
        <v>10450.197338616061</v>
      </c>
      <c r="N10" s="594">
        <f>+'GF &amp; FF  Inc Exp Statement'!N15+'GF &amp; FF  Inc Exp Statement'!N16</f>
        <v>10711.45227208146</v>
      </c>
      <c r="O10" s="594">
        <f>+'GF &amp; FF  Inc Exp Statement'!O15+'GF &amp; FF  Inc Exp Statement'!O16</f>
        <v>10979.238578883496</v>
      </c>
      <c r="P10" s="594">
        <f>+'GF &amp; FF  Inc Exp Statement'!P15+'GF &amp; FF  Inc Exp Statement'!P16</f>
        <v>11253.719543355583</v>
      </c>
    </row>
    <row r="11" spans="1:16" x14ac:dyDescent="0.2">
      <c r="A11" s="639" t="s">
        <v>86</v>
      </c>
      <c r="B11" s="594"/>
      <c r="C11" s="594"/>
      <c r="D11" s="594">
        <v>97</v>
      </c>
      <c r="E11" s="594">
        <v>296</v>
      </c>
      <c r="F11" s="594">
        <v>0</v>
      </c>
      <c r="G11" s="594">
        <v>0</v>
      </c>
      <c r="H11" s="594">
        <v>0</v>
      </c>
      <c r="I11" s="594">
        <v>0</v>
      </c>
      <c r="J11" s="594">
        <v>0</v>
      </c>
      <c r="K11" s="594">
        <v>0</v>
      </c>
      <c r="L11" s="594">
        <v>0</v>
      </c>
      <c r="M11" s="594">
        <v>0</v>
      </c>
      <c r="N11" s="594">
        <v>0</v>
      </c>
      <c r="O11" s="594">
        <v>0</v>
      </c>
      <c r="P11" s="594">
        <v>0</v>
      </c>
    </row>
    <row r="12" spans="1:16" x14ac:dyDescent="0.2">
      <c r="A12" s="639" t="s">
        <v>41</v>
      </c>
      <c r="B12" s="594"/>
      <c r="C12" s="594"/>
      <c r="D12" s="594">
        <v>5309</v>
      </c>
      <c r="E12" s="594">
        <v>4000</v>
      </c>
      <c r="F12" s="594">
        <f>+'GF &amp; FF  Inc Exp Statement'!F14+'GF &amp; FF  Inc Exp Statement'!F17</f>
        <v>7207.8899999999994</v>
      </c>
      <c r="G12" s="594">
        <f>+'GF &amp; FF  Inc Exp Statement'!G14+'GF &amp; FF  Inc Exp Statement'!G17</f>
        <v>7469.6399999999994</v>
      </c>
      <c r="H12" s="594">
        <f>+'GF &amp; FF  Inc Exp Statement'!H14+'GF &amp; FF  Inc Exp Statement'!H17</f>
        <v>7703.4269999999997</v>
      </c>
      <c r="I12" s="594">
        <f>+'GF &amp; FF  Inc Exp Statement'!I14+'GF &amp; FF  Inc Exp Statement'!I17</f>
        <v>7939.5569999999998</v>
      </c>
      <c r="J12" s="594">
        <f>+'GF &amp; FF  Inc Exp Statement'!J14+'GF &amp; FF  Inc Exp Statement'!J17</f>
        <v>8034.5349999999999</v>
      </c>
      <c r="K12" s="594">
        <f>+'GF &amp; FF  Inc Exp Statement'!K14+'GF &amp; FF  Inc Exp Statement'!K17</f>
        <v>8195.2257000000009</v>
      </c>
      <c r="L12" s="594">
        <f>+'GF &amp; FF  Inc Exp Statement'!L14+'GF &amp; FF  Inc Exp Statement'!L17</f>
        <v>8359.1302140000007</v>
      </c>
      <c r="M12" s="594">
        <f>+'GF &amp; FF  Inc Exp Statement'!M14+'GF &amp; FF  Inc Exp Statement'!M17</f>
        <v>8526.3128182800028</v>
      </c>
      <c r="N12" s="594">
        <f>+'GF &amp; FF  Inc Exp Statement'!N14+'GF &amp; FF  Inc Exp Statement'!N17</f>
        <v>8696.8390746456025</v>
      </c>
      <c r="O12" s="594">
        <f>+'GF &amp; FF  Inc Exp Statement'!O14+'GF &amp; FF  Inc Exp Statement'!O17</f>
        <v>8870.7758561385144</v>
      </c>
      <c r="P12" s="594">
        <f>+'GF &amp; FF  Inc Exp Statement'!P14+'GF &amp; FF  Inc Exp Statement'!P17</f>
        <v>9048.1913732612848</v>
      </c>
    </row>
    <row r="13" spans="1:16" ht="6" customHeight="1" x14ac:dyDescent="0.2">
      <c r="B13" s="594"/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4"/>
      <c r="O13" s="594"/>
      <c r="P13" s="594"/>
    </row>
    <row r="14" spans="1:16" x14ac:dyDescent="0.2">
      <c r="A14" s="640" t="s">
        <v>87</v>
      </c>
      <c r="B14" s="594"/>
      <c r="C14" s="594"/>
      <c r="D14" s="594"/>
      <c r="E14" s="594"/>
      <c r="F14" s="594"/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">
      <c r="A15" s="639" t="s">
        <v>25</v>
      </c>
      <c r="B15" s="594"/>
      <c r="C15" s="594"/>
      <c r="D15" s="594">
        <v>-12900</v>
      </c>
      <c r="E15" s="594">
        <v>-12519</v>
      </c>
      <c r="F15" s="594">
        <f>-'GF &amp; FF  Inc Exp Statement'!F23</f>
        <v>-11311.316000000001</v>
      </c>
      <c r="G15" s="594">
        <f>-'GF &amp; FF  Inc Exp Statement'!G23</f>
        <v>-11644.458000000001</v>
      </c>
      <c r="H15" s="594">
        <f>-'GF &amp; FF  Inc Exp Statement'!H23</f>
        <v>-12065.505999999999</v>
      </c>
      <c r="I15" s="594">
        <f>-'GF &amp; FF  Inc Exp Statement'!I23</f>
        <v>-12400.875</v>
      </c>
      <c r="J15" s="594">
        <f>-'GF &amp; FF  Inc Exp Statement'!J23</f>
        <v>-12761.976000000001</v>
      </c>
      <c r="K15" s="594">
        <f>-'GF &amp; FF  Inc Exp Statement'!K23</f>
        <v>-13144.835280000001</v>
      </c>
      <c r="L15" s="594">
        <f>-'GF &amp; FF  Inc Exp Statement'!L23</f>
        <v>-13539.180338400003</v>
      </c>
      <c r="M15" s="594">
        <f>-'GF &amp; FF  Inc Exp Statement'!M23</f>
        <v>-13945.355748552003</v>
      </c>
      <c r="N15" s="594">
        <f>-'GF &amp; FF  Inc Exp Statement'!N23</f>
        <v>-14363.716421008563</v>
      </c>
      <c r="O15" s="594">
        <f>-'GF &amp; FF  Inc Exp Statement'!O23</f>
        <v>-14794.627913638822</v>
      </c>
      <c r="P15" s="594">
        <f>-'GF &amp; FF  Inc Exp Statement'!P23</f>
        <v>-15238.466751047987</v>
      </c>
    </row>
    <row r="16" spans="1:16" x14ac:dyDescent="0.2">
      <c r="A16" s="639" t="s">
        <v>27</v>
      </c>
      <c r="B16" s="594"/>
      <c r="C16" s="594"/>
      <c r="D16" s="594">
        <v>-9702</v>
      </c>
      <c r="E16" s="594">
        <v>-12687</v>
      </c>
      <c r="F16" s="594">
        <f>-'GF &amp; FF  Inc Exp Statement'!F25-'GF &amp; FF  Inc Exp Statement'!F26</f>
        <v>-14253.201000000001</v>
      </c>
      <c r="G16" s="594">
        <f>-'GF &amp; FF  Inc Exp Statement'!G25-'GF &amp; FF  Inc Exp Statement'!G26</f>
        <v>-14845.944</v>
      </c>
      <c r="H16" s="594">
        <f>-'GF &amp; FF  Inc Exp Statement'!H25-'GF &amp; FF  Inc Exp Statement'!H26</f>
        <v>-15284.558000000001</v>
      </c>
      <c r="I16" s="594">
        <f>-'GF &amp; FF  Inc Exp Statement'!I25-'GF &amp; FF  Inc Exp Statement'!I26</f>
        <v>-15702.859</v>
      </c>
      <c r="J16" s="594">
        <f>-'GF &amp; FF  Inc Exp Statement'!J25-'GF &amp; FF  Inc Exp Statement'!J26</f>
        <v>-16132.908999999998</v>
      </c>
      <c r="K16" s="594">
        <f>-'GF &amp; FF  Inc Exp Statement'!K25-'GF &amp; FF  Inc Exp Statement'!K26</f>
        <v>-16455.567179999998</v>
      </c>
      <c r="L16" s="594">
        <f>-'GF &amp; FF  Inc Exp Statement'!L25-'GF &amp; FF  Inc Exp Statement'!L26</f>
        <v>-16784.6785236</v>
      </c>
      <c r="M16" s="594">
        <f>-'GF &amp; FF  Inc Exp Statement'!M25-'GF &amp; FF  Inc Exp Statement'!M26</f>
        <v>-17120.372094071998</v>
      </c>
      <c r="N16" s="594">
        <f>-'GF &amp; FF  Inc Exp Statement'!N25-'GF &amp; FF  Inc Exp Statement'!N26</f>
        <v>-17462.779535953439</v>
      </c>
      <c r="O16" s="594">
        <f>-'GF &amp; FF  Inc Exp Statement'!O25-'GF &amp; FF  Inc Exp Statement'!O26</f>
        <v>-17812.035126672508</v>
      </c>
      <c r="P16" s="594">
        <f>-'GF &amp; FF  Inc Exp Statement'!P25-'GF &amp; FF  Inc Exp Statement'!P26</f>
        <v>-18168.275829205959</v>
      </c>
    </row>
    <row r="17" spans="1:18" x14ac:dyDescent="0.2">
      <c r="A17" s="639" t="s">
        <v>926</v>
      </c>
      <c r="B17" s="594"/>
      <c r="C17" s="594"/>
      <c r="D17" s="594">
        <v>-639</v>
      </c>
      <c r="E17" s="594">
        <v>-634</v>
      </c>
      <c r="F17" s="594">
        <f>-'GF &amp; FF  Inc Exp Statement'!F24</f>
        <v>-1500.3620000000001</v>
      </c>
      <c r="G17" s="594">
        <f>-'GF &amp; FF  Inc Exp Statement'!G24</f>
        <v>-1497.172</v>
      </c>
      <c r="H17" s="594">
        <f>-'GF &amp; FF  Inc Exp Statement'!H24</f>
        <v>-1494.3220000000001</v>
      </c>
      <c r="I17" s="594">
        <f>-'GF &amp; FF  Inc Exp Statement'!I24</f>
        <v>-1491.566</v>
      </c>
      <c r="J17" s="594">
        <f>-'GF &amp; FF  Inc Exp Statement'!J24</f>
        <v>-1488.5889999999999</v>
      </c>
      <c r="K17" s="594">
        <f>-'GF &amp; FF  Inc Exp Statement'!K24</f>
        <v>-1469.6289999999999</v>
      </c>
      <c r="L17" s="594">
        <f>-'GF &amp; FF  Inc Exp Statement'!L24</f>
        <v>-1449.5889999999999</v>
      </c>
      <c r="M17" s="594">
        <f>-'GF &amp; FF  Inc Exp Statement'!M24</f>
        <v>-1440.3090000000002</v>
      </c>
      <c r="N17" s="594">
        <f>-'GF &amp; FF  Inc Exp Statement'!N24</f>
        <v>-1434.509</v>
      </c>
      <c r="O17" s="594">
        <f>-'GF &amp; FF  Inc Exp Statement'!O24</f>
        <v>-1428.4290000000001</v>
      </c>
      <c r="P17" s="594">
        <f>-'GF &amp; FF  Inc Exp Statement'!P24</f>
        <v>-1422.029</v>
      </c>
    </row>
    <row r="18" spans="1:18" x14ac:dyDescent="0.2">
      <c r="A18" s="639" t="s">
        <v>88</v>
      </c>
      <c r="B18" s="594"/>
      <c r="C18" s="594"/>
      <c r="D18" s="594">
        <v>-79</v>
      </c>
      <c r="E18" s="594">
        <v>-305</v>
      </c>
      <c r="F18" s="594">
        <v>0</v>
      </c>
      <c r="G18" s="594">
        <v>0</v>
      </c>
      <c r="H18" s="594">
        <v>0</v>
      </c>
      <c r="I18" s="594">
        <v>0</v>
      </c>
      <c r="J18" s="594">
        <v>0</v>
      </c>
      <c r="K18" s="594">
        <v>0</v>
      </c>
      <c r="L18" s="594">
        <v>0</v>
      </c>
      <c r="M18" s="594">
        <v>0</v>
      </c>
      <c r="N18" s="594">
        <v>0</v>
      </c>
      <c r="O18" s="594">
        <v>0</v>
      </c>
      <c r="P18" s="594">
        <v>0</v>
      </c>
    </row>
    <row r="19" spans="1:18" x14ac:dyDescent="0.2">
      <c r="A19" s="641" t="s">
        <v>41</v>
      </c>
      <c r="B19" s="591"/>
      <c r="C19" s="591"/>
      <c r="D19" s="591">
        <v>-7816</v>
      </c>
      <c r="E19" s="591">
        <v>-9383</v>
      </c>
      <c r="F19" s="591">
        <f>-'GF &amp; FF  Inc Exp Statement'!F30</f>
        <v>-2645.893</v>
      </c>
      <c r="G19" s="591">
        <f>-'GF &amp; FF  Inc Exp Statement'!G30</f>
        <v>-2775.2309999999998</v>
      </c>
      <c r="H19" s="591">
        <f>-'GF &amp; FF  Inc Exp Statement'!H30</f>
        <v>-2825.77</v>
      </c>
      <c r="I19" s="591">
        <f>-'GF &amp; FF  Inc Exp Statement'!I30</f>
        <v>-2885.2280000000001</v>
      </c>
      <c r="J19" s="591">
        <f>-'GF &amp; FF  Inc Exp Statement'!J30</f>
        <v>-2956.5429999999997</v>
      </c>
      <c r="K19" s="591">
        <f>-'GF &amp; FF  Inc Exp Statement'!K30</f>
        <v>-3015.6738599999999</v>
      </c>
      <c r="L19" s="591">
        <f>-'GF &amp; FF  Inc Exp Statement'!L30</f>
        <v>-3075.9873372000002</v>
      </c>
      <c r="M19" s="591">
        <f>-'GF &amp; FF  Inc Exp Statement'!M30</f>
        <v>-3137.5070839440004</v>
      </c>
      <c r="N19" s="591">
        <f>-'GF &amp; FF  Inc Exp Statement'!N30</f>
        <v>-3200.2572256228805</v>
      </c>
      <c r="O19" s="591">
        <f>-'GF &amp; FF  Inc Exp Statement'!O30</f>
        <v>-3264.2623701353382</v>
      </c>
      <c r="P19" s="591">
        <f>-'GF &amp; FF  Inc Exp Statement'!P30</f>
        <v>-3329.5476175380454</v>
      </c>
    </row>
    <row r="20" spans="1:18" s="644" customFormat="1" x14ac:dyDescent="0.2">
      <c r="A20" s="642" t="s">
        <v>89</v>
      </c>
      <c r="B20" s="643">
        <f>SUM(B7:B19)</f>
        <v>0</v>
      </c>
      <c r="C20" s="643">
        <f t="shared" ref="C20:M20" si="0">SUM(C7:C19)</f>
        <v>0</v>
      </c>
      <c r="D20" s="643">
        <f t="shared" si="0"/>
        <v>33781</v>
      </c>
      <c r="E20" s="643">
        <f t="shared" si="0"/>
        <v>24615</v>
      </c>
      <c r="F20" s="643">
        <f t="shared" si="0"/>
        <v>11438.653000000002</v>
      </c>
      <c r="G20" s="643">
        <f t="shared" si="0"/>
        <v>12045.364960000001</v>
      </c>
      <c r="H20" s="643">
        <f t="shared" si="0"/>
        <v>12216.063484999991</v>
      </c>
      <c r="I20" s="643">
        <f t="shared" si="0"/>
        <v>12666.325290299999</v>
      </c>
      <c r="J20" s="643">
        <f t="shared" si="0"/>
        <v>12751.788717634006</v>
      </c>
      <c r="K20" s="643">
        <f t="shared" si="0"/>
        <v>12742.178813697214</v>
      </c>
      <c r="L20" s="643">
        <f t="shared" si="0"/>
        <v>13040.04337081447</v>
      </c>
      <c r="M20" s="643">
        <f t="shared" si="0"/>
        <v>13335.132151768255</v>
      </c>
      <c r="N20" s="643">
        <f t="shared" ref="N20:O20" si="1">SUM(N7:N19)</f>
        <v>13646.356796226646</v>
      </c>
      <c r="O20" s="643">
        <f t="shared" si="1"/>
        <v>13957.843727788253</v>
      </c>
      <c r="P20" s="643">
        <f t="shared" ref="P20" si="2">SUM(P7:P19)</f>
        <v>14274.883676084024</v>
      </c>
    </row>
    <row r="21" spans="1:18" x14ac:dyDescent="0.2">
      <c r="B21" s="590"/>
      <c r="C21" s="590"/>
      <c r="D21" s="590"/>
      <c r="E21" s="590"/>
      <c r="F21" s="590"/>
      <c r="G21" s="590"/>
      <c r="H21" s="590"/>
      <c r="I21" s="590"/>
      <c r="J21" s="590"/>
      <c r="K21" s="590"/>
      <c r="L21" s="590"/>
      <c r="M21" s="590"/>
      <c r="N21" s="590"/>
      <c r="O21" s="590"/>
      <c r="P21" s="590"/>
    </row>
    <row r="22" spans="1:18" x14ac:dyDescent="0.2">
      <c r="A22" s="592" t="s">
        <v>90</v>
      </c>
      <c r="B22" s="590"/>
      <c r="C22" s="590"/>
      <c r="D22" s="590"/>
      <c r="E22" s="590"/>
      <c r="F22" s="590"/>
      <c r="G22" s="590"/>
      <c r="H22" s="590"/>
      <c r="I22" s="590"/>
      <c r="J22" s="590"/>
      <c r="K22" s="590"/>
      <c r="L22" s="590"/>
      <c r="M22" s="590"/>
      <c r="N22" s="590"/>
      <c r="O22" s="590"/>
      <c r="P22" s="590"/>
    </row>
    <row r="23" spans="1:18" x14ac:dyDescent="0.2">
      <c r="A23" s="640" t="s">
        <v>83</v>
      </c>
      <c r="B23" s="590"/>
      <c r="C23" s="590"/>
      <c r="D23" s="590"/>
      <c r="E23" s="590"/>
      <c r="F23" s="590"/>
      <c r="G23" s="590"/>
      <c r="H23" s="590"/>
      <c r="I23" s="590"/>
      <c r="J23" s="590"/>
      <c r="K23" s="590"/>
      <c r="L23" s="590"/>
      <c r="M23" s="590"/>
      <c r="N23" s="590"/>
      <c r="O23" s="590"/>
      <c r="P23" s="590"/>
    </row>
    <row r="24" spans="1:18" x14ac:dyDescent="0.2">
      <c r="A24" s="639" t="s">
        <v>431</v>
      </c>
      <c r="B24" s="594"/>
      <c r="C24" s="594"/>
      <c r="D24" s="594">
        <v>7491</v>
      </c>
      <c r="E24" s="594">
        <v>8839</v>
      </c>
      <c r="F24" s="594">
        <f>'GF &amp; FF  Inc Exp Statement'!F63</f>
        <v>2262.9380000000001</v>
      </c>
      <c r="G24" s="594">
        <f>'GF &amp; FF  Inc Exp Statement'!G63</f>
        <v>2200</v>
      </c>
      <c r="H24" s="594">
        <f>'GF &amp; FF  Inc Exp Statement'!H63</f>
        <v>8000</v>
      </c>
      <c r="I24" s="594">
        <f>'GF &amp; FF  Inc Exp Statement'!I63</f>
        <v>2000</v>
      </c>
      <c r="J24" s="594">
        <f>'GF &amp; FF  Inc Exp Statement'!J63</f>
        <v>2000</v>
      </c>
      <c r="K24" s="594">
        <f>'GF &amp; FF  Inc Exp Statement'!K63</f>
        <v>2040</v>
      </c>
      <c r="L24" s="594">
        <f>'GF &amp; FF  Inc Exp Statement'!L63</f>
        <v>2080.8000000000002</v>
      </c>
      <c r="M24" s="594">
        <f>'GF &amp; FF  Inc Exp Statement'!M63</f>
        <v>2122.4160000000002</v>
      </c>
      <c r="N24" s="594">
        <f>'GF &amp; FF  Inc Exp Statement'!N63</f>
        <v>2164.8643199999997</v>
      </c>
      <c r="O24" s="594">
        <f>'GF &amp; FF  Inc Exp Statement'!O63</f>
        <v>2208.1616064</v>
      </c>
      <c r="P24" s="594">
        <f>'GF &amp; FF  Inc Exp Statement'!P63</f>
        <v>2252.3248385279999</v>
      </c>
      <c r="R24" s="639" t="s">
        <v>1036</v>
      </c>
    </row>
    <row r="25" spans="1:18" x14ac:dyDescent="0.2">
      <c r="A25" s="639" t="s">
        <v>1052</v>
      </c>
      <c r="B25" s="594"/>
      <c r="C25" s="594"/>
      <c r="D25" s="594"/>
      <c r="E25" s="594"/>
      <c r="F25" s="594"/>
      <c r="G25" s="594"/>
      <c r="H25" s="594"/>
      <c r="I25" s="594"/>
      <c r="J25" s="594"/>
      <c r="K25" s="594"/>
      <c r="L25" s="594"/>
      <c r="M25" s="594"/>
      <c r="N25" s="594"/>
      <c r="O25" s="594"/>
      <c r="P25" s="594"/>
    </row>
    <row r="26" spans="1:18" x14ac:dyDescent="0.2">
      <c r="A26" s="639" t="s">
        <v>91</v>
      </c>
      <c r="B26" s="594"/>
      <c r="C26" s="594"/>
      <c r="D26" s="594"/>
      <c r="E26" s="594"/>
      <c r="F26" s="594">
        <v>0</v>
      </c>
      <c r="G26" s="594">
        <v>0</v>
      </c>
      <c r="H26" s="594">
        <v>0</v>
      </c>
      <c r="I26" s="594">
        <v>0</v>
      </c>
      <c r="J26" s="594">
        <v>0</v>
      </c>
      <c r="K26" s="594">
        <v>0</v>
      </c>
      <c r="L26" s="594">
        <v>0</v>
      </c>
      <c r="M26" s="594">
        <v>0</v>
      </c>
      <c r="N26" s="594">
        <v>0</v>
      </c>
      <c r="O26" s="594"/>
      <c r="P26" s="594">
        <v>0</v>
      </c>
    </row>
    <row r="27" spans="1:18" x14ac:dyDescent="0.2">
      <c r="A27" s="639" t="s">
        <v>92</v>
      </c>
      <c r="B27" s="594"/>
      <c r="C27" s="594"/>
      <c r="D27" s="594">
        <v>167</v>
      </c>
      <c r="E27" s="594">
        <v>339</v>
      </c>
      <c r="F27" s="594">
        <f>'GF &amp; FF  Inc Exp Statement'!F65</f>
        <v>70</v>
      </c>
      <c r="G27" s="594">
        <f>'GF &amp; FF  Inc Exp Statement'!G65</f>
        <v>70</v>
      </c>
      <c r="H27" s="594">
        <f>'GF &amp; FF  Inc Exp Statement'!H65</f>
        <v>70</v>
      </c>
      <c r="I27" s="594">
        <f>'GF &amp; FF  Inc Exp Statement'!I65</f>
        <v>70</v>
      </c>
      <c r="J27" s="594">
        <f>'GF &amp; FF  Inc Exp Statement'!J65</f>
        <v>70</v>
      </c>
      <c r="K27" s="594">
        <f>'GF &amp; FF  Inc Exp Statement'!K65</f>
        <v>71.400000000000006</v>
      </c>
      <c r="L27" s="594">
        <f>'GF &amp; FF  Inc Exp Statement'!L65</f>
        <v>72.828000000000003</v>
      </c>
      <c r="M27" s="594">
        <f>'GF &amp; FF  Inc Exp Statement'!M65</f>
        <v>74.284559999999999</v>
      </c>
      <c r="N27" s="594">
        <f>'GF &amp; FF  Inc Exp Statement'!N65</f>
        <v>75.770251200000004</v>
      </c>
      <c r="O27" s="594">
        <f>'GF &amp; FF  Inc Exp Statement'!O65</f>
        <v>77.285656224000007</v>
      </c>
      <c r="P27" s="594">
        <f>'GF &amp; FF  Inc Exp Statement'!P65</f>
        <v>78.831369348479996</v>
      </c>
    </row>
    <row r="28" spans="1:18" ht="5.25" customHeight="1" x14ac:dyDescent="0.2"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594"/>
    </row>
    <row r="29" spans="1:18" x14ac:dyDescent="0.2">
      <c r="A29" s="640" t="s">
        <v>87</v>
      </c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P29" s="594"/>
    </row>
    <row r="30" spans="1:18" x14ac:dyDescent="0.2">
      <c r="A30" s="639" t="s">
        <v>93</v>
      </c>
      <c r="B30" s="594"/>
      <c r="C30" s="594"/>
      <c r="D30" s="594">
        <v>-10303</v>
      </c>
      <c r="E30" s="594">
        <v>-11000</v>
      </c>
      <c r="F30" s="594">
        <f>-'GF &amp; FF  Inc Exp Statement'!F55</f>
        <v>-1850.8820000000001</v>
      </c>
      <c r="G30" s="594">
        <f>-'GF &amp; FF  Inc Exp Statement'!G55</f>
        <v>-2144.2849999999999</v>
      </c>
      <c r="H30" s="594">
        <f>-'GF &amp; FF  Inc Exp Statement'!H55</f>
        <v>-2218.1630099999998</v>
      </c>
      <c r="I30" s="594">
        <f>-'GF &amp; FF  Inc Exp Statement'!I55</f>
        <v>-2294.8213903000001</v>
      </c>
      <c r="J30" s="594">
        <f>-'GF &amp; FF  Inc Exp Statement'!J55</f>
        <v>-2374.4054420090001</v>
      </c>
      <c r="K30" s="594">
        <f>-'GF &amp; FF  Inc Exp Statement'!K55</f>
        <v>-2421.89355084918</v>
      </c>
      <c r="L30" s="594">
        <f>-'GF &amp; FF  Inc Exp Statement'!L55</f>
        <v>-2470.3314218661635</v>
      </c>
      <c r="M30" s="594">
        <f>-'GF &amp; FF  Inc Exp Statement'!M55</f>
        <v>-2519.7380503034869</v>
      </c>
      <c r="N30" s="594">
        <f>-'GF &amp; FF  Inc Exp Statement'!N55</f>
        <v>-2570.1328113095569</v>
      </c>
      <c r="O30" s="594">
        <f>-'GF &amp; FF  Inc Exp Statement'!O55</f>
        <v>-2621.535467535748</v>
      </c>
      <c r="P30" s="594">
        <f>-'GF &amp; FF  Inc Exp Statement'!P55</f>
        <v>-2673.966176886463</v>
      </c>
      <c r="R30" s="639" t="s">
        <v>1036</v>
      </c>
    </row>
    <row r="31" spans="1:18" x14ac:dyDescent="0.2">
      <c r="A31" s="639" t="s">
        <v>1053</v>
      </c>
      <c r="B31" s="594"/>
      <c r="C31" s="594"/>
      <c r="D31" s="594">
        <v>-2531</v>
      </c>
      <c r="E31" s="594">
        <v>-15180</v>
      </c>
      <c r="F31" s="594">
        <f>-'GF &amp; FF  Inc Exp Statement'!F52</f>
        <v>-10000</v>
      </c>
      <c r="G31" s="594">
        <f>-'GF &amp; FF  Inc Exp Statement'!G52</f>
        <v>0</v>
      </c>
      <c r="H31" s="594">
        <f>-'GF &amp; FF  Inc Exp Statement'!H52</f>
        <v>0</v>
      </c>
      <c r="I31" s="594">
        <f>-'GF &amp; FF  Inc Exp Statement'!I52</f>
        <v>0</v>
      </c>
      <c r="J31" s="594">
        <f>-'GF &amp; FF  Inc Exp Statement'!J52</f>
        <v>0</v>
      </c>
      <c r="K31" s="594">
        <f>-'GF &amp; FF  Inc Exp Statement'!K52</f>
        <v>0</v>
      </c>
      <c r="L31" s="594">
        <f>-'GF &amp; FF  Inc Exp Statement'!L52</f>
        <v>0</v>
      </c>
      <c r="M31" s="594">
        <f>-'GF &amp; FF  Inc Exp Statement'!M52</f>
        <v>0</v>
      </c>
      <c r="N31" s="594">
        <f>-'GF &amp; FF  Inc Exp Statement'!N52</f>
        <v>0</v>
      </c>
      <c r="O31" s="594">
        <f>-'GF &amp; FF  Inc Exp Statement'!O52</f>
        <v>0</v>
      </c>
      <c r="P31" s="594">
        <f>-'GF &amp; FF  Inc Exp Statement'!P52</f>
        <v>0</v>
      </c>
    </row>
    <row r="32" spans="1:18" x14ac:dyDescent="0.2">
      <c r="A32" s="639" t="s">
        <v>94</v>
      </c>
      <c r="B32" s="594"/>
      <c r="C32" s="594"/>
      <c r="D32" s="594">
        <v>-26369</v>
      </c>
      <c r="E32" s="594">
        <v>-25288</v>
      </c>
      <c r="F32" s="816">
        <f>-SUM('GF &amp; FF  Inc Exp Statement'!F51:'GF &amp; FF  Inc Exp Statement'!F53)-F31-F33</f>
        <v>-11320.421999999999</v>
      </c>
      <c r="G32" s="816">
        <f>-('GF &amp; FF  Inc Exp Statement'!G51+'GF &amp; FF  Inc Exp Statement'!G53)-G31-G33</f>
        <v>-11458.994000000001</v>
      </c>
      <c r="H32" s="816">
        <f>-('GF &amp; FF  Inc Exp Statement'!H51+'GF &amp; FF  Inc Exp Statement'!H53)-H31-H33</f>
        <v>-17347.594800000003</v>
      </c>
      <c r="I32" s="816">
        <f>-('GF &amp; FF  Inc Exp Statement'!I51+'GF &amp; FF  Inc Exp Statement'!I53)-I31-I33</f>
        <v>-12209.422395</v>
      </c>
      <c r="J32" s="816">
        <f>-('GF &amp; FF  Inc Exp Statement'!J51+'GF &amp; FF  Inc Exp Statement'!J53)-J31-J33</f>
        <v>-12345.785404875</v>
      </c>
      <c r="K32" s="816">
        <f>-('GF &amp; FF  Inc Exp Statement'!K51+'GF &amp; FF  Inc Exp Statement'!K53)-K31-K33</f>
        <v>-12366.523000000001</v>
      </c>
      <c r="L32" s="816">
        <f>-('GF &amp; FF  Inc Exp Statement'!L51+'GF &amp; FF  Inc Exp Statement'!L53)-L31-L33</f>
        <v>-12565.683324999998</v>
      </c>
      <c r="M32" s="816">
        <f>-('GF &amp; FF  Inc Exp Statement'!M51+'GF &amp; FF  Inc Exp Statement'!M53)-M31-M33</f>
        <v>-12769.017533124999</v>
      </c>
      <c r="N32" s="816">
        <f>-('GF &amp; FF  Inc Exp Statement'!N51+'GF &amp; FF  Inc Exp Statement'!N53)-N31-N33</f>
        <v>-13299.067256453127</v>
      </c>
      <c r="O32" s="816">
        <f>-('GF &amp; FF  Inc Exp Statement'!O51+'GF &amp; FF  Inc Exp Statement'!O53)-O31-O33</f>
        <v>-13605.849526064452</v>
      </c>
      <c r="P32" s="816">
        <f>-('GF &amp; FF  Inc Exp Statement'!P51+'GF &amp; FF  Inc Exp Statement'!P53)-P31-P33</f>
        <v>-13658.381781680064</v>
      </c>
    </row>
    <row r="33" spans="1:18" x14ac:dyDescent="0.2">
      <c r="A33" s="641" t="s">
        <v>95</v>
      </c>
      <c r="B33" s="591"/>
      <c r="C33" s="591"/>
      <c r="D33" s="591">
        <v>-26</v>
      </c>
      <c r="E33" s="591">
        <v>-26</v>
      </c>
      <c r="F33" s="591">
        <v>0</v>
      </c>
      <c r="G33" s="591">
        <v>0</v>
      </c>
      <c r="H33" s="591">
        <v>0</v>
      </c>
      <c r="I33" s="591">
        <v>0</v>
      </c>
      <c r="J33" s="591">
        <v>0</v>
      </c>
      <c r="K33" s="591">
        <v>0</v>
      </c>
      <c r="L33" s="591">
        <v>0</v>
      </c>
      <c r="M33" s="591">
        <v>0</v>
      </c>
      <c r="N33" s="591">
        <v>0</v>
      </c>
      <c r="O33" s="591">
        <v>0</v>
      </c>
      <c r="P33" s="591">
        <f>O33</f>
        <v>0</v>
      </c>
    </row>
    <row r="34" spans="1:18" s="644" customFormat="1" x14ac:dyDescent="0.2">
      <c r="A34" s="642" t="s">
        <v>110</v>
      </c>
      <c r="B34" s="593">
        <f>SUM(B24:B33)</f>
        <v>0</v>
      </c>
      <c r="C34" s="593">
        <f t="shared" ref="C34:M34" si="3">SUM(C24:C33)</f>
        <v>0</v>
      </c>
      <c r="D34" s="593">
        <f t="shared" si="3"/>
        <v>-31571</v>
      </c>
      <c r="E34" s="593">
        <f t="shared" si="3"/>
        <v>-42316</v>
      </c>
      <c r="F34" s="593">
        <f t="shared" si="3"/>
        <v>-20838.365999999998</v>
      </c>
      <c r="G34" s="593">
        <f t="shared" si="3"/>
        <v>-11333.279</v>
      </c>
      <c r="H34" s="593">
        <f t="shared" si="3"/>
        <v>-11495.757810000003</v>
      </c>
      <c r="I34" s="593">
        <f t="shared" si="3"/>
        <v>-12434.243785299999</v>
      </c>
      <c r="J34" s="593">
        <f t="shared" si="3"/>
        <v>-12650.190846883999</v>
      </c>
      <c r="K34" s="593">
        <f t="shared" si="3"/>
        <v>-12677.016550849181</v>
      </c>
      <c r="L34" s="593">
        <f t="shared" si="3"/>
        <v>-12882.386746866161</v>
      </c>
      <c r="M34" s="593">
        <f t="shared" si="3"/>
        <v>-13092.055023428486</v>
      </c>
      <c r="N34" s="593">
        <f t="shared" ref="N34:O34" si="4">SUM(N24:N33)</f>
        <v>-13628.565496562684</v>
      </c>
      <c r="O34" s="593">
        <f t="shared" si="4"/>
        <v>-13941.9377309762</v>
      </c>
      <c r="P34" s="593">
        <f t="shared" ref="P34" si="5">SUM(P24:P33)</f>
        <v>-14001.191750690046</v>
      </c>
    </row>
    <row r="35" spans="1:18" ht="9" customHeight="1" x14ac:dyDescent="0.2">
      <c r="B35" s="594"/>
      <c r="C35" s="594"/>
      <c r="D35" s="594"/>
      <c r="E35" s="594"/>
      <c r="F35" s="594"/>
      <c r="G35" s="594"/>
      <c r="H35" s="594"/>
      <c r="I35" s="594"/>
      <c r="J35" s="594"/>
      <c r="K35" s="594"/>
      <c r="L35" s="594"/>
      <c r="M35" s="594"/>
      <c r="N35" s="594"/>
      <c r="O35" s="594"/>
      <c r="P35" s="594"/>
    </row>
    <row r="36" spans="1:18" x14ac:dyDescent="0.2">
      <c r="A36" s="592" t="s">
        <v>1054</v>
      </c>
      <c r="B36" s="590"/>
      <c r="C36" s="590"/>
      <c r="D36" s="590"/>
      <c r="E36" s="590"/>
      <c r="F36" s="590"/>
      <c r="G36" s="590"/>
      <c r="H36" s="590"/>
      <c r="I36" s="590"/>
      <c r="J36" s="590"/>
      <c r="K36" s="590"/>
      <c r="L36" s="590"/>
      <c r="M36" s="590"/>
      <c r="N36" s="590"/>
      <c r="O36" s="590"/>
      <c r="P36" s="590"/>
    </row>
    <row r="37" spans="1:18" x14ac:dyDescent="0.2">
      <c r="A37" s="640" t="s">
        <v>83</v>
      </c>
      <c r="B37" s="590"/>
      <c r="C37" s="590"/>
      <c r="D37" s="590"/>
      <c r="E37" s="590"/>
      <c r="F37" s="590"/>
      <c r="G37" s="590"/>
      <c r="H37" s="590"/>
      <c r="I37" s="590"/>
      <c r="J37" s="590"/>
      <c r="K37" s="590"/>
      <c r="L37" s="590"/>
      <c r="M37" s="590"/>
      <c r="N37" s="590"/>
      <c r="O37" s="590"/>
      <c r="P37" s="590"/>
    </row>
    <row r="38" spans="1:18" x14ac:dyDescent="0.2">
      <c r="A38" s="639" t="s">
        <v>1055</v>
      </c>
      <c r="B38" s="594"/>
      <c r="C38" s="594"/>
      <c r="D38" s="594">
        <v>5350</v>
      </c>
      <c r="E38" s="594">
        <v>13500</v>
      </c>
      <c r="F38" s="594">
        <f>'GF &amp; FF  Inc Exp Statement'!F64</f>
        <v>10000</v>
      </c>
      <c r="G38" s="594">
        <f>'GF &amp; FF  Inc Exp Statement'!G64</f>
        <v>0</v>
      </c>
      <c r="H38" s="594">
        <f>'GF &amp; FF  Inc Exp Statement'!H64</f>
        <v>0</v>
      </c>
      <c r="I38" s="594">
        <f>'GF &amp; FF  Inc Exp Statement'!I64</f>
        <v>0</v>
      </c>
      <c r="J38" s="594">
        <f>'GF &amp; FF  Inc Exp Statement'!J64</f>
        <v>0</v>
      </c>
      <c r="K38" s="594">
        <f>'GF &amp; FF  Inc Exp Statement'!K64</f>
        <v>0</v>
      </c>
      <c r="L38" s="594">
        <f>'GF &amp; FF  Inc Exp Statement'!L64</f>
        <v>0</v>
      </c>
      <c r="M38" s="594">
        <f>'GF &amp; FF  Inc Exp Statement'!M64</f>
        <v>0</v>
      </c>
      <c r="N38" s="594">
        <f>'GF &amp; FF  Inc Exp Statement'!N64</f>
        <v>0</v>
      </c>
      <c r="O38" s="594">
        <f>'GF &amp; FF  Inc Exp Statement'!O64</f>
        <v>0</v>
      </c>
      <c r="P38" s="594">
        <f>'GF &amp; FF  Inc Exp Statement'!P64</f>
        <v>0</v>
      </c>
      <c r="R38" s="639" t="s">
        <v>1036</v>
      </c>
    </row>
    <row r="39" spans="1:18" ht="5.25" customHeight="1" x14ac:dyDescent="0.2">
      <c r="B39" s="594"/>
      <c r="C39" s="594"/>
      <c r="D39" s="594"/>
      <c r="E39" s="594"/>
      <c r="F39" s="594"/>
      <c r="G39" s="594"/>
      <c r="H39" s="594"/>
      <c r="I39" s="594"/>
      <c r="J39" s="594"/>
      <c r="K39" s="594"/>
      <c r="L39" s="594"/>
      <c r="M39" s="594"/>
      <c r="N39" s="594"/>
      <c r="O39" s="594"/>
      <c r="P39" s="594"/>
    </row>
    <row r="40" spans="1:18" x14ac:dyDescent="0.2">
      <c r="A40" s="640" t="s">
        <v>87</v>
      </c>
      <c r="B40" s="594"/>
      <c r="C40" s="594"/>
      <c r="D40" s="594"/>
      <c r="E40" s="594"/>
      <c r="F40" s="594"/>
      <c r="G40" s="594"/>
      <c r="H40" s="594"/>
      <c r="I40" s="594"/>
      <c r="J40" s="594"/>
      <c r="K40" s="594"/>
      <c r="L40" s="594"/>
      <c r="M40" s="594"/>
      <c r="N40" s="594"/>
      <c r="O40" s="594"/>
      <c r="P40" s="594"/>
    </row>
    <row r="41" spans="1:18" x14ac:dyDescent="0.2">
      <c r="A41" s="639" t="s">
        <v>1056</v>
      </c>
      <c r="B41" s="594"/>
      <c r="C41" s="594"/>
      <c r="D41" s="594">
        <v>-1616</v>
      </c>
      <c r="E41" s="594">
        <v>-2776</v>
      </c>
      <c r="F41" s="594">
        <f>-'GF &amp; FF  Inc Exp Statement'!F54</f>
        <v>-570.28700000000003</v>
      </c>
      <c r="G41" s="594">
        <f>-'GF &amp; FF  Inc Exp Statement'!G54</f>
        <v>-621.83900000000006</v>
      </c>
      <c r="H41" s="594">
        <f>-'GF &amp; FF  Inc Exp Statement'!H54</f>
        <v>-555.48599999999999</v>
      </c>
      <c r="I41" s="594">
        <f>-'GF &amp; FF  Inc Exp Statement'!I54</f>
        <v>-422.65899999999999</v>
      </c>
      <c r="J41" s="594">
        <f>-'GF &amp; FF  Inc Exp Statement'!J54</f>
        <v>-446.92500000000001</v>
      </c>
      <c r="K41" s="594">
        <f>-'GF &amp; FF  Inc Exp Statement'!K54</f>
        <v>-474</v>
      </c>
      <c r="L41" s="594">
        <f>-'GF &amp; FF  Inc Exp Statement'!L54</f>
        <v>-501</v>
      </c>
      <c r="M41" s="594">
        <f>-'GF &amp; FF  Inc Exp Statement'!M54</f>
        <v>-232</v>
      </c>
      <c r="N41" s="594">
        <f>-'GF &amp; FF  Inc Exp Statement'!N54</f>
        <v>-145</v>
      </c>
      <c r="O41" s="594">
        <f>-'GF &amp; FF  Inc Exp Statement'!O54</f>
        <v>-152</v>
      </c>
      <c r="P41" s="594">
        <f>-'GF &amp; FF  Inc Exp Statement'!P54</f>
        <v>-160</v>
      </c>
      <c r="R41" s="639" t="s">
        <v>1036</v>
      </c>
    </row>
    <row r="42" spans="1:18" s="644" customFormat="1" x14ac:dyDescent="0.2">
      <c r="A42" s="770" t="s">
        <v>110</v>
      </c>
      <c r="B42" s="772">
        <f t="shared" ref="B42:P42" si="6">SUM(B38:B41)</f>
        <v>0</v>
      </c>
      <c r="C42" s="772">
        <f t="shared" si="6"/>
        <v>0</v>
      </c>
      <c r="D42" s="772">
        <f t="shared" si="6"/>
        <v>3734</v>
      </c>
      <c r="E42" s="772">
        <f t="shared" si="6"/>
        <v>10724</v>
      </c>
      <c r="F42" s="772">
        <f t="shared" si="6"/>
        <v>9429.7129999999997</v>
      </c>
      <c r="G42" s="772">
        <f t="shared" si="6"/>
        <v>-621.83900000000006</v>
      </c>
      <c r="H42" s="772">
        <f t="shared" si="6"/>
        <v>-555.48599999999999</v>
      </c>
      <c r="I42" s="772">
        <f t="shared" si="6"/>
        <v>-422.65899999999999</v>
      </c>
      <c r="J42" s="772">
        <f t="shared" si="6"/>
        <v>-446.92500000000001</v>
      </c>
      <c r="K42" s="772">
        <f t="shared" si="6"/>
        <v>-474</v>
      </c>
      <c r="L42" s="772">
        <f t="shared" si="6"/>
        <v>-501</v>
      </c>
      <c r="M42" s="772">
        <f t="shared" si="6"/>
        <v>-232</v>
      </c>
      <c r="N42" s="772">
        <f t="shared" si="6"/>
        <v>-145</v>
      </c>
      <c r="O42" s="772">
        <f t="shared" si="6"/>
        <v>-152</v>
      </c>
      <c r="P42" s="772">
        <f t="shared" si="6"/>
        <v>-160</v>
      </c>
    </row>
    <row r="43" spans="1:18" ht="3.75" customHeight="1" x14ac:dyDescent="0.2">
      <c r="B43" s="594"/>
      <c r="C43" s="594"/>
      <c r="D43" s="594"/>
      <c r="E43" s="594"/>
      <c r="F43" s="594"/>
      <c r="G43" s="594"/>
      <c r="H43" s="594"/>
      <c r="I43" s="594"/>
      <c r="J43" s="594"/>
      <c r="K43" s="594"/>
      <c r="L43" s="594"/>
      <c r="M43" s="594"/>
      <c r="N43" s="594"/>
      <c r="O43" s="594"/>
      <c r="P43" s="594"/>
    </row>
    <row r="44" spans="1:18" x14ac:dyDescent="0.2">
      <c r="A44" s="592" t="s">
        <v>321</v>
      </c>
      <c r="B44" s="594">
        <f>+B20+B34</f>
        <v>0</v>
      </c>
      <c r="C44" s="594">
        <f>+C20+C34</f>
        <v>0</v>
      </c>
      <c r="D44" s="594">
        <f>+D20+D34+D42</f>
        <v>5944</v>
      </c>
      <c r="E44" s="594">
        <f t="shared" ref="E44:P44" si="7">+E20+E34+E42</f>
        <v>-6977</v>
      </c>
      <c r="F44" s="594">
        <f t="shared" si="7"/>
        <v>30.000000000003638</v>
      </c>
      <c r="G44" s="594">
        <f t="shared" si="7"/>
        <v>90.246960000000286</v>
      </c>
      <c r="H44" s="594">
        <f t="shared" si="7"/>
        <v>164.81967499998871</v>
      </c>
      <c r="I44" s="594">
        <f t="shared" si="7"/>
        <v>-190.57749499999989</v>
      </c>
      <c r="J44" s="594">
        <f t="shared" si="7"/>
        <v>-345.32712924999288</v>
      </c>
      <c r="K44" s="594">
        <f t="shared" si="7"/>
        <v>-408.8377371519673</v>
      </c>
      <c r="L44" s="594">
        <f t="shared" si="7"/>
        <v>-343.34337605169094</v>
      </c>
      <c r="M44" s="594">
        <f t="shared" si="7"/>
        <v>11.077128339769843</v>
      </c>
      <c r="N44" s="594">
        <f t="shared" si="7"/>
        <v>-127.20870033603751</v>
      </c>
      <c r="O44" s="594">
        <f t="shared" si="7"/>
        <v>-136.09400318794724</v>
      </c>
      <c r="P44" s="594">
        <f t="shared" si="7"/>
        <v>113.69192539397773</v>
      </c>
    </row>
    <row r="45" spans="1:18" ht="3.75" customHeight="1" x14ac:dyDescent="0.2">
      <c r="A45" s="644"/>
      <c r="B45" s="594"/>
      <c r="C45" s="594"/>
      <c r="D45" s="594"/>
      <c r="E45" s="594"/>
      <c r="F45" s="594"/>
      <c r="G45" s="594"/>
      <c r="H45" s="594"/>
      <c r="I45" s="594"/>
      <c r="J45" s="594"/>
      <c r="K45" s="594"/>
      <c r="L45" s="594"/>
      <c r="M45" s="594"/>
      <c r="N45" s="594"/>
      <c r="O45" s="594"/>
      <c r="P45" s="594"/>
    </row>
    <row r="46" spans="1:18" x14ac:dyDescent="0.2">
      <c r="A46" s="592" t="s">
        <v>96</v>
      </c>
      <c r="B46" s="594"/>
      <c r="C46" s="594">
        <f>+B48</f>
        <v>0</v>
      </c>
      <c r="D46" s="594">
        <v>3352</v>
      </c>
      <c r="E46" s="594">
        <f t="shared" ref="E46:M46" si="8">+D48</f>
        <v>9296</v>
      </c>
      <c r="F46" s="594">
        <f t="shared" si="8"/>
        <v>2319</v>
      </c>
      <c r="G46" s="594">
        <f t="shared" si="8"/>
        <v>2349.0000000000036</v>
      </c>
      <c r="H46" s="594">
        <f t="shared" si="8"/>
        <v>2439.246960000004</v>
      </c>
      <c r="I46" s="594">
        <f t="shared" si="8"/>
        <v>2604.0666349999929</v>
      </c>
      <c r="J46" s="594">
        <f t="shared" si="8"/>
        <v>2413.4891399999929</v>
      </c>
      <c r="K46" s="594">
        <f t="shared" si="8"/>
        <v>2068.1620107499998</v>
      </c>
      <c r="L46" s="594">
        <f t="shared" si="8"/>
        <v>1659.3242735980325</v>
      </c>
      <c r="M46" s="594">
        <f t="shared" si="8"/>
        <v>1315.9808975463416</v>
      </c>
      <c r="N46" s="594">
        <f t="shared" ref="N46" si="9">+M48</f>
        <v>1327.0580258861114</v>
      </c>
      <c r="O46" s="594">
        <f t="shared" ref="O46:P46" si="10">+N48</f>
        <v>1199.8493255500739</v>
      </c>
      <c r="P46" s="594">
        <f t="shared" si="10"/>
        <v>1063.7553223621267</v>
      </c>
    </row>
    <row r="47" spans="1:18" ht="4.5" customHeight="1" x14ac:dyDescent="0.2">
      <c r="B47" s="594"/>
      <c r="C47" s="594"/>
      <c r="D47" s="594"/>
      <c r="E47" s="594"/>
      <c r="F47" s="594"/>
      <c r="G47" s="594"/>
      <c r="H47" s="594"/>
      <c r="I47" s="594"/>
      <c r="J47" s="594"/>
      <c r="K47" s="594"/>
      <c r="L47" s="594"/>
      <c r="M47" s="594"/>
      <c r="N47" s="594"/>
      <c r="O47" s="594"/>
      <c r="P47" s="594"/>
    </row>
    <row r="48" spans="1:18" s="592" customFormat="1" ht="12.75" thickBot="1" x14ac:dyDescent="0.25">
      <c r="A48" s="592" t="s">
        <v>97</v>
      </c>
      <c r="B48" s="645">
        <f>+B44+B46</f>
        <v>0</v>
      </c>
      <c r="C48" s="645">
        <f t="shared" ref="C48:M48" si="11">+C44+C46</f>
        <v>0</v>
      </c>
      <c r="D48" s="645">
        <f t="shared" si="11"/>
        <v>9296</v>
      </c>
      <c r="E48" s="645">
        <f t="shared" si="11"/>
        <v>2319</v>
      </c>
      <c r="F48" s="645">
        <f t="shared" si="11"/>
        <v>2349.0000000000036</v>
      </c>
      <c r="G48" s="645">
        <f t="shared" si="11"/>
        <v>2439.246960000004</v>
      </c>
      <c r="H48" s="645">
        <f t="shared" si="11"/>
        <v>2604.0666349999929</v>
      </c>
      <c r="I48" s="645">
        <f t="shared" si="11"/>
        <v>2413.4891399999929</v>
      </c>
      <c r="J48" s="645">
        <f t="shared" si="11"/>
        <v>2068.1620107499998</v>
      </c>
      <c r="K48" s="645">
        <f t="shared" si="11"/>
        <v>1659.3242735980325</v>
      </c>
      <c r="L48" s="645">
        <f t="shared" si="11"/>
        <v>1315.9808975463416</v>
      </c>
      <c r="M48" s="645">
        <f t="shared" si="11"/>
        <v>1327.0580258861114</v>
      </c>
      <c r="N48" s="645">
        <f t="shared" ref="N48:O48" si="12">+N44+N46</f>
        <v>1199.8493255500739</v>
      </c>
      <c r="O48" s="645">
        <f t="shared" si="12"/>
        <v>1063.7553223621267</v>
      </c>
      <c r="P48" s="645">
        <f t="shared" ref="P48" si="13">+P44+P46</f>
        <v>1177.4472477561044</v>
      </c>
    </row>
    <row r="49" spans="1:16" ht="4.5" customHeight="1" x14ac:dyDescent="0.2"/>
    <row r="50" spans="1:16" x14ac:dyDescent="0.2">
      <c r="A50" s="639" t="s">
        <v>98</v>
      </c>
      <c r="B50" s="590"/>
      <c r="C50" s="590">
        <f>B50-C30-C24</f>
        <v>0</v>
      </c>
      <c r="D50" s="590">
        <f>'GF &amp; FF  Bal Sheet'!D8+'GF &amp; FF  Bal Sheet'!D15</f>
        <v>46112</v>
      </c>
      <c r="E50" s="590">
        <f>'GF &amp; FF  Bal Sheet'!E8+'GF &amp; FF  Bal Sheet'!E15</f>
        <v>17083</v>
      </c>
      <c r="F50" s="590">
        <f t="shared" ref="F50:P50" si="14">E50-F30-F24</f>
        <v>16670.944000000003</v>
      </c>
      <c r="G50" s="590">
        <f t="shared" si="14"/>
        <v>16615.229000000003</v>
      </c>
      <c r="H50" s="590">
        <f t="shared" si="14"/>
        <v>10833.392010000003</v>
      </c>
      <c r="I50" s="590">
        <f t="shared" si="14"/>
        <v>11128.213400300003</v>
      </c>
      <c r="J50" s="590">
        <f t="shared" si="14"/>
        <v>11502.618842309003</v>
      </c>
      <c r="K50" s="590">
        <f t="shared" si="14"/>
        <v>11884.512393158182</v>
      </c>
      <c r="L50" s="590">
        <f t="shared" si="14"/>
        <v>12274.043815024346</v>
      </c>
      <c r="M50" s="590">
        <f t="shared" si="14"/>
        <v>12671.365865327833</v>
      </c>
      <c r="N50" s="590">
        <f t="shared" si="14"/>
        <v>13076.634356637391</v>
      </c>
      <c r="O50" s="590">
        <f t="shared" si="14"/>
        <v>13490.008217773138</v>
      </c>
      <c r="P50" s="590">
        <f t="shared" si="14"/>
        <v>13911.649556131601</v>
      </c>
    </row>
    <row r="51" spans="1:16" ht="3.75" customHeight="1" x14ac:dyDescent="0.2">
      <c r="B51" s="590"/>
      <c r="C51" s="590"/>
      <c r="D51" s="590"/>
      <c r="E51" s="590"/>
      <c r="F51" s="590"/>
      <c r="G51" s="590"/>
      <c r="H51" s="590"/>
      <c r="I51" s="590"/>
      <c r="J51" s="590"/>
      <c r="K51" s="590"/>
      <c r="L51" s="590"/>
      <c r="M51" s="590"/>
      <c r="N51" s="590"/>
      <c r="O51" s="590"/>
      <c r="P51" s="590"/>
    </row>
    <row r="52" spans="1:16" s="644" customFormat="1" ht="12.75" thickBot="1" x14ac:dyDescent="0.25">
      <c r="A52" s="592" t="s">
        <v>99</v>
      </c>
      <c r="B52" s="646">
        <f>+B48+B50</f>
        <v>0</v>
      </c>
      <c r="C52" s="646">
        <f t="shared" ref="C52:M52" si="15">+C48+C50</f>
        <v>0</v>
      </c>
      <c r="D52" s="646">
        <f t="shared" si="15"/>
        <v>55408</v>
      </c>
      <c r="E52" s="646">
        <f t="shared" si="15"/>
        <v>19402</v>
      </c>
      <c r="F52" s="646">
        <f t="shared" si="15"/>
        <v>19019.944000000007</v>
      </c>
      <c r="G52" s="646">
        <f t="shared" si="15"/>
        <v>19054.475960000007</v>
      </c>
      <c r="H52" s="646">
        <f t="shared" si="15"/>
        <v>13437.458644999995</v>
      </c>
      <c r="I52" s="646">
        <f t="shared" si="15"/>
        <v>13541.702540299995</v>
      </c>
      <c r="J52" s="646">
        <f t="shared" si="15"/>
        <v>13570.780853059003</v>
      </c>
      <c r="K52" s="646">
        <f t="shared" si="15"/>
        <v>13543.836666756215</v>
      </c>
      <c r="L52" s="646">
        <f t="shared" si="15"/>
        <v>13590.024712570688</v>
      </c>
      <c r="M52" s="646">
        <f t="shared" si="15"/>
        <v>13998.423891213944</v>
      </c>
      <c r="N52" s="646">
        <f t="shared" ref="N52:O52" si="16">+N48+N50</f>
        <v>14276.483682187465</v>
      </c>
      <c r="O52" s="646">
        <f t="shared" si="16"/>
        <v>14553.763540135265</v>
      </c>
      <c r="P52" s="646">
        <f t="shared" ref="P52" si="17">+P48+P50</f>
        <v>15089.096803887705</v>
      </c>
    </row>
    <row r="53" spans="1:16" ht="12.75" thickTop="1" x14ac:dyDescent="0.2">
      <c r="B53" s="590"/>
      <c r="C53" s="590"/>
      <c r="D53" s="590"/>
      <c r="E53" s="590"/>
      <c r="F53" s="590"/>
      <c r="G53" s="590"/>
      <c r="H53" s="590"/>
      <c r="I53" s="590"/>
      <c r="J53" s="590"/>
      <c r="K53" s="590"/>
      <c r="L53" s="590"/>
      <c r="M53" s="590"/>
      <c r="N53" s="590"/>
      <c r="O53" s="590"/>
      <c r="P53" s="590"/>
    </row>
    <row r="54" spans="1:16" ht="12.75" x14ac:dyDescent="0.2">
      <c r="A54" s="1091" t="s">
        <v>1365</v>
      </c>
      <c r="B54" s="590"/>
      <c r="C54" s="590"/>
      <c r="D54" s="590"/>
      <c r="E54" s="590"/>
      <c r="F54" s="590"/>
      <c r="G54" s="590"/>
      <c r="H54" s="590"/>
      <c r="I54" s="590"/>
      <c r="J54" s="590"/>
      <c r="K54" s="590"/>
      <c r="L54" s="590"/>
      <c r="M54" s="590"/>
      <c r="N54" s="590"/>
      <c r="O54" s="590"/>
      <c r="P54" s="590"/>
    </row>
    <row r="55" spans="1:16" x14ac:dyDescent="0.2">
      <c r="A55" s="596" t="s">
        <v>1068</v>
      </c>
      <c r="B55" s="586" t="s">
        <v>69</v>
      </c>
      <c r="C55" s="586" t="s">
        <v>69</v>
      </c>
      <c r="D55" s="586" t="str">
        <f t="shared" ref="D55:P55" si="18">D2</f>
        <v>Actual</v>
      </c>
      <c r="E55" s="586" t="str">
        <f t="shared" si="18"/>
        <v>Actual</v>
      </c>
      <c r="F55" s="586" t="str">
        <f t="shared" si="18"/>
        <v>Budget</v>
      </c>
      <c r="G55" s="586" t="str">
        <f t="shared" si="18"/>
        <v>Budget</v>
      </c>
      <c r="H55" s="586" t="str">
        <f t="shared" si="18"/>
        <v>Projected</v>
      </c>
      <c r="I55" s="586" t="str">
        <f t="shared" si="18"/>
        <v>Projected</v>
      </c>
      <c r="J55" s="586" t="str">
        <f t="shared" si="18"/>
        <v>Projected</v>
      </c>
      <c r="K55" s="586" t="str">
        <f t="shared" si="18"/>
        <v>Projected</v>
      </c>
      <c r="L55" s="586" t="str">
        <f t="shared" si="18"/>
        <v>Projected</v>
      </c>
      <c r="M55" s="586" t="str">
        <f t="shared" si="18"/>
        <v>Projected</v>
      </c>
      <c r="N55" s="586" t="str">
        <f t="shared" si="18"/>
        <v>Projected</v>
      </c>
      <c r="O55" s="586" t="str">
        <f t="shared" si="18"/>
        <v>Projected</v>
      </c>
      <c r="P55" s="586" t="str">
        <f t="shared" si="18"/>
        <v>Projected</v>
      </c>
    </row>
    <row r="56" spans="1:16" x14ac:dyDescent="0.2">
      <c r="A56" s="585" t="s">
        <v>73</v>
      </c>
      <c r="B56" s="638" t="s">
        <v>68</v>
      </c>
      <c r="C56" s="586" t="s">
        <v>0</v>
      </c>
      <c r="D56" s="586" t="s">
        <v>1</v>
      </c>
      <c r="E56" s="586" t="s">
        <v>2</v>
      </c>
      <c r="F56" s="586" t="s">
        <v>3</v>
      </c>
      <c r="G56" s="586" t="s">
        <v>4</v>
      </c>
      <c r="H56" s="586" t="s">
        <v>5</v>
      </c>
      <c r="I56" s="586" t="s">
        <v>6</v>
      </c>
      <c r="J56" s="586" t="s">
        <v>7</v>
      </c>
      <c r="K56" s="586" t="s">
        <v>8</v>
      </c>
      <c r="L56" s="586" t="s">
        <v>9</v>
      </c>
      <c r="M56" s="586" t="s">
        <v>514</v>
      </c>
      <c r="N56" s="586" t="s">
        <v>515</v>
      </c>
      <c r="O56" s="586" t="s">
        <v>904</v>
      </c>
      <c r="P56" s="586" t="s">
        <v>1046</v>
      </c>
    </row>
    <row r="58" spans="1:16" x14ac:dyDescent="0.2">
      <c r="A58" s="592" t="s">
        <v>82</v>
      </c>
    </row>
    <row r="59" spans="1:16" x14ac:dyDescent="0.2">
      <c r="A59" s="640" t="s">
        <v>83</v>
      </c>
      <c r="B59" s="590"/>
      <c r="C59" s="590"/>
      <c r="D59" s="590"/>
      <c r="E59" s="590"/>
      <c r="F59" s="590"/>
      <c r="G59" s="590"/>
      <c r="H59" s="590"/>
      <c r="I59" s="590"/>
      <c r="J59" s="590"/>
      <c r="K59" s="590"/>
      <c r="L59" s="590"/>
      <c r="M59" s="590"/>
      <c r="N59" s="590"/>
      <c r="O59" s="590"/>
      <c r="P59" s="590"/>
    </row>
    <row r="60" spans="1:16" x14ac:dyDescent="0.2">
      <c r="A60" s="639" t="s">
        <v>11</v>
      </c>
      <c r="B60" s="594"/>
      <c r="C60" s="594">
        <f t="shared" ref="C60:E65" si="19">C7</f>
        <v>0</v>
      </c>
      <c r="D60" s="594">
        <f t="shared" si="19"/>
        <v>18724</v>
      </c>
      <c r="E60" s="594">
        <f t="shared" si="19"/>
        <v>18207</v>
      </c>
      <c r="F60" s="594">
        <f>+'GF &amp; FF  Inc Exp Statement'!F84</f>
        <v>14450.315000000001</v>
      </c>
      <c r="G60" s="594">
        <f>+'GF &amp; FF  Inc Exp Statement'!G84</f>
        <v>15563.977000000001</v>
      </c>
      <c r="H60" s="594">
        <f>+'GF &amp; FF  Inc Exp Statement'!H84</f>
        <v>16356.162</v>
      </c>
      <c r="I60" s="594">
        <f>+'GF &amp; FF  Inc Exp Statement'!I84</f>
        <v>17465.652999999998</v>
      </c>
      <c r="J60" s="594">
        <f>+'GF &amp; FF  Inc Exp Statement'!J84</f>
        <v>18306.118999999999</v>
      </c>
      <c r="K60" s="594">
        <f>+'GF &amp; FF  Inc Exp Statement'!K84</f>
        <v>18763.771974999996</v>
      </c>
      <c r="L60" s="594">
        <f>+'GF &amp; FF  Inc Exp Statement'!L84</f>
        <v>19232.866274374996</v>
      </c>
      <c r="M60" s="594">
        <f>+'GF &amp; FF  Inc Exp Statement'!M84</f>
        <v>19713.68793123437</v>
      </c>
      <c r="N60" s="594">
        <f>+'GF &amp; FF  Inc Exp Statement'!N84</f>
        <v>20206.530129515228</v>
      </c>
      <c r="O60" s="594">
        <f>+'GF &amp; FF  Inc Exp Statement'!O84</f>
        <v>20711.693382753107</v>
      </c>
      <c r="P60" s="594">
        <f>+'GF &amp; FF  Inc Exp Statement'!P84</f>
        <v>21229.485717321932</v>
      </c>
    </row>
    <row r="61" spans="1:16" x14ac:dyDescent="0.2">
      <c r="A61" s="639" t="s">
        <v>12</v>
      </c>
      <c r="B61" s="594"/>
      <c r="C61" s="594">
        <f t="shared" si="19"/>
        <v>0</v>
      </c>
      <c r="D61" s="594">
        <f t="shared" si="19"/>
        <v>11585</v>
      </c>
      <c r="E61" s="594">
        <f t="shared" si="19"/>
        <v>10646</v>
      </c>
      <c r="F61" s="594">
        <f>+'GF &amp; FF  Inc Exp Statement'!F85</f>
        <v>9486.969000000001</v>
      </c>
      <c r="G61" s="594">
        <f>+'GF &amp; FF  Inc Exp Statement'!G85</f>
        <v>9897.5250000000015</v>
      </c>
      <c r="H61" s="594">
        <f>+'GF &amp; FF  Inc Exp Statement'!H85</f>
        <v>9797.2430000000004</v>
      </c>
      <c r="I61" s="594">
        <f>+'GF &amp; FF  Inc Exp Statement'!I85</f>
        <v>10156.66</v>
      </c>
      <c r="J61" s="594">
        <f>+'GF &amp; FF  Inc Exp Statement'!J85</f>
        <v>10598.714</v>
      </c>
      <c r="K61" s="594">
        <f>+'GF &amp; FF  Inc Exp Statement'!K85</f>
        <v>10810.68828</v>
      </c>
      <c r="L61" s="594">
        <f>+'GF &amp; FF  Inc Exp Statement'!L85</f>
        <v>11026.9020456</v>
      </c>
      <c r="M61" s="594">
        <f>+'GF &amp; FF  Inc Exp Statement'!M85</f>
        <v>11247.440086512001</v>
      </c>
      <c r="N61" s="594">
        <f>+'GF &amp; FF  Inc Exp Statement'!N85</f>
        <v>11472.38888824224</v>
      </c>
      <c r="O61" s="594">
        <f>+'GF &amp; FF  Inc Exp Statement'!O85</f>
        <v>11701.836666007086</v>
      </c>
      <c r="P61" s="594">
        <f>+'GF &amp; FF  Inc Exp Statement'!P85</f>
        <v>11935.873399327229</v>
      </c>
    </row>
    <row r="62" spans="1:16" x14ac:dyDescent="0.2">
      <c r="A62" s="639" t="s">
        <v>84</v>
      </c>
      <c r="B62" s="594"/>
      <c r="C62" s="594">
        <f t="shared" si="19"/>
        <v>0</v>
      </c>
      <c r="D62" s="594">
        <f t="shared" si="19"/>
        <v>2499</v>
      </c>
      <c r="E62" s="594">
        <f t="shared" si="19"/>
        <v>2571</v>
      </c>
      <c r="F62" s="594">
        <f>+'GF &amp; FF  Inc Exp Statement'!F86</f>
        <v>931.5</v>
      </c>
      <c r="G62" s="594">
        <f>+'GF &amp; FF  Inc Exp Statement'!G86</f>
        <v>938.20899999999995</v>
      </c>
      <c r="H62" s="594">
        <f>+'GF &amp; FF  Inc Exp Statement'!H86</f>
        <v>947.19299999999998</v>
      </c>
      <c r="I62" s="594">
        <f>+'GF &amp; FF  Inc Exp Statement'!I86</f>
        <v>956.88900000000001</v>
      </c>
      <c r="J62" s="594">
        <f>+'GF &amp; FF  Inc Exp Statement'!J86</f>
        <v>965.43299999999999</v>
      </c>
      <c r="K62" s="594">
        <f>+'GF &amp; FF  Inc Exp Statement'!K86</f>
        <v>823.88358072235985</v>
      </c>
      <c r="L62" s="594">
        <f>+'GF &amp; FF  Inc Exp Statement'!L86</f>
        <v>889.10882305084647</v>
      </c>
      <c r="M62" s="594">
        <f>+'GF &amp; FF  Inc Exp Statement'!M86</f>
        <v>923.62613593826484</v>
      </c>
      <c r="N62" s="594">
        <f>+'GF &amp; FF  Inc Exp Statement'!N86</f>
        <v>925.5196853801832</v>
      </c>
      <c r="O62" s="594">
        <f>+'GF &amp; FF  Inc Exp Statement'!O86</f>
        <v>949.96085188058635</v>
      </c>
      <c r="P62" s="594">
        <f>+'GF &amp; FF  Inc Exp Statement'!P86</f>
        <v>978.6517640903254</v>
      </c>
    </row>
    <row r="63" spans="1:16" x14ac:dyDescent="0.2">
      <c r="A63" s="639" t="s">
        <v>85</v>
      </c>
      <c r="B63" s="594"/>
      <c r="C63" s="594">
        <f t="shared" si="19"/>
        <v>0</v>
      </c>
      <c r="D63" s="594">
        <f t="shared" si="19"/>
        <v>26703</v>
      </c>
      <c r="E63" s="594">
        <f t="shared" si="19"/>
        <v>24423</v>
      </c>
      <c r="F63" s="594">
        <f>+'GF &amp; FF  Inc Exp Statement'!F88+'GF &amp; FF  Inc Exp Statement'!F89</f>
        <v>9072.7510000000002</v>
      </c>
      <c r="G63" s="594">
        <f>+'GF &amp; FF  Inc Exp Statement'!G88+'GF &amp; FF  Inc Exp Statement'!G89</f>
        <v>9238.8559999999998</v>
      </c>
      <c r="H63" s="594">
        <f>+'GF &amp; FF  Inc Exp Statement'!H88+'GF &amp; FF  Inc Exp Statement'!H89</f>
        <v>9391.7220099999995</v>
      </c>
      <c r="I63" s="594">
        <f>+'GF &amp; FF  Inc Exp Statement'!I88+'GF &amp; FF  Inc Exp Statement'!I89</f>
        <v>13046.048015299999</v>
      </c>
      <c r="J63" s="594">
        <f>+'GF &amp; FF  Inc Exp Statement'!J88+'GF &amp; FF  Inc Exp Statement'!J89</f>
        <v>9704.0470926340004</v>
      </c>
      <c r="K63" s="594">
        <f>+'GF &amp; FF  Inc Exp Statement'!K88+'GF &amp; FF  Inc Exp Statement'!K89</f>
        <v>9935.5418632866804</v>
      </c>
      <c r="L63" s="594">
        <f>+'GF &amp; FF  Inc Exp Statement'!L88+'GF &amp; FF  Inc Exp Statement'!L89</f>
        <v>10172.601875072414</v>
      </c>
      <c r="M63" s="594">
        <f>+'GF &amp; FF  Inc Exp Statement'!M88+'GF &amp; FF  Inc Exp Statement'!M89</f>
        <v>10415.361816456862</v>
      </c>
      <c r="N63" s="594">
        <f>+'GF &amp; FF  Inc Exp Statement'!N88+'GF &amp; FF  Inc Exp Statement'!N89</f>
        <v>10663.959654266073</v>
      </c>
      <c r="O63" s="594">
        <f>+'GF &amp; FF  Inc Exp Statement'!O88+'GF &amp; FF  Inc Exp Statement'!O89</f>
        <v>10918.536713868471</v>
      </c>
      <c r="P63" s="594">
        <f>+'GF &amp; FF  Inc Exp Statement'!P88+'GF &amp; FF  Inc Exp Statement'!P89</f>
        <v>11179.237761325843</v>
      </c>
    </row>
    <row r="64" spans="1:16" x14ac:dyDescent="0.2">
      <c r="A64" s="639" t="s">
        <v>86</v>
      </c>
      <c r="B64" s="594"/>
      <c r="C64" s="594">
        <f t="shared" si="19"/>
        <v>0</v>
      </c>
      <c r="D64" s="594">
        <f t="shared" si="19"/>
        <v>97</v>
      </c>
      <c r="E64" s="594">
        <f t="shared" si="19"/>
        <v>296</v>
      </c>
      <c r="F64" s="594">
        <v>0</v>
      </c>
      <c r="G64" s="594">
        <v>0</v>
      </c>
      <c r="H64" s="594">
        <v>0</v>
      </c>
      <c r="I64" s="594">
        <v>0</v>
      </c>
      <c r="J64" s="594">
        <v>0</v>
      </c>
      <c r="K64" s="594">
        <v>0</v>
      </c>
      <c r="L64" s="594">
        <v>0</v>
      </c>
      <c r="M64" s="594">
        <v>0</v>
      </c>
      <c r="N64" s="594">
        <v>0</v>
      </c>
      <c r="O64" s="594">
        <v>0</v>
      </c>
      <c r="P64" s="594">
        <v>0</v>
      </c>
    </row>
    <row r="65" spans="1:16" x14ac:dyDescent="0.2">
      <c r="A65" s="639" t="s">
        <v>41</v>
      </c>
      <c r="B65" s="594"/>
      <c r="C65" s="594">
        <f t="shared" si="19"/>
        <v>0</v>
      </c>
      <c r="D65" s="594">
        <f t="shared" si="19"/>
        <v>5309</v>
      </c>
      <c r="E65" s="594">
        <f t="shared" si="19"/>
        <v>4000</v>
      </c>
      <c r="F65" s="594">
        <f>+'GF &amp; FF  Inc Exp Statement'!F87+'GF &amp; FF  Inc Exp Statement'!F90</f>
        <v>7207.8899999999994</v>
      </c>
      <c r="G65" s="594">
        <f>+'GF &amp; FF  Inc Exp Statement'!G87+'GF &amp; FF  Inc Exp Statement'!G90</f>
        <v>7469.6399999999994</v>
      </c>
      <c r="H65" s="594">
        <f>+'GF &amp; FF  Inc Exp Statement'!H87+'GF &amp; FF  Inc Exp Statement'!H90</f>
        <v>7703.4269999999997</v>
      </c>
      <c r="I65" s="594">
        <f>+'GF &amp; FF  Inc Exp Statement'!I87+'GF &amp; FF  Inc Exp Statement'!I90</f>
        <v>7939.5569999999998</v>
      </c>
      <c r="J65" s="594">
        <f>+'GF &amp; FF  Inc Exp Statement'!J87+'GF &amp; FF  Inc Exp Statement'!J90</f>
        <v>8034.5349999999999</v>
      </c>
      <c r="K65" s="594">
        <f>+'GF &amp; FF  Inc Exp Statement'!K87+'GF &amp; FF  Inc Exp Statement'!K90</f>
        <v>8195.2257000000009</v>
      </c>
      <c r="L65" s="594">
        <f>+'GF &amp; FF  Inc Exp Statement'!L87+'GF &amp; FF  Inc Exp Statement'!L90</f>
        <v>8359.1302140000007</v>
      </c>
      <c r="M65" s="594">
        <f>+'GF &amp; FF  Inc Exp Statement'!M87+'GF &amp; FF  Inc Exp Statement'!M90</f>
        <v>8526.3128182800028</v>
      </c>
      <c r="N65" s="594">
        <f>+'GF &amp; FF  Inc Exp Statement'!N87+'GF &amp; FF  Inc Exp Statement'!N90</f>
        <v>8696.8390746456025</v>
      </c>
      <c r="O65" s="594">
        <f>+'GF &amp; FF  Inc Exp Statement'!O87+'GF &amp; FF  Inc Exp Statement'!O90</f>
        <v>8870.7758561385144</v>
      </c>
      <c r="P65" s="594">
        <f>+'GF &amp; FF  Inc Exp Statement'!P87+'GF &amp; FF  Inc Exp Statement'!P90</f>
        <v>9048.1913732612848</v>
      </c>
    </row>
    <row r="66" spans="1:16" x14ac:dyDescent="0.2">
      <c r="B66" s="594"/>
      <c r="C66" s="594"/>
      <c r="D66" s="594"/>
      <c r="E66" s="594"/>
      <c r="F66" s="594"/>
      <c r="G66" s="594"/>
      <c r="H66" s="594"/>
      <c r="I66" s="594"/>
      <c r="J66" s="594"/>
      <c r="K66" s="594"/>
      <c r="L66" s="594"/>
      <c r="M66" s="594"/>
      <c r="N66" s="594"/>
      <c r="O66" s="594"/>
      <c r="P66" s="594"/>
    </row>
    <row r="67" spans="1:16" x14ac:dyDescent="0.2">
      <c r="A67" s="640" t="s">
        <v>87</v>
      </c>
      <c r="B67" s="594"/>
      <c r="C67" s="594"/>
      <c r="D67" s="594"/>
      <c r="E67" s="594"/>
      <c r="F67" s="594"/>
      <c r="G67" s="594"/>
      <c r="H67" s="594"/>
      <c r="I67" s="594"/>
      <c r="J67" s="594"/>
      <c r="K67" s="594"/>
      <c r="L67" s="594"/>
      <c r="M67" s="594"/>
      <c r="N67" s="594"/>
      <c r="O67" s="594"/>
      <c r="P67" s="594"/>
    </row>
    <row r="68" spans="1:16" x14ac:dyDescent="0.2">
      <c r="A68" s="639" t="s">
        <v>25</v>
      </c>
      <c r="B68" s="594"/>
      <c r="C68" s="594">
        <f t="shared" ref="C68:E69" si="20">C15</f>
        <v>0</v>
      </c>
      <c r="D68" s="594">
        <f t="shared" si="20"/>
        <v>-12900</v>
      </c>
      <c r="E68" s="594">
        <f t="shared" si="20"/>
        <v>-12519</v>
      </c>
      <c r="F68" s="594">
        <f>-'GF &amp; FF  Inc Exp Statement'!F98</f>
        <v>-11311.316000000001</v>
      </c>
      <c r="G68" s="594">
        <f>-'GF &amp; FF  Inc Exp Statement'!G98</f>
        <v>-11644.458000000001</v>
      </c>
      <c r="H68" s="594">
        <f>-'GF &amp; FF  Inc Exp Statement'!H98</f>
        <v>-11891.706</v>
      </c>
      <c r="I68" s="594">
        <f>-'GF &amp; FF  Inc Exp Statement'!I98</f>
        <v>-12397.860999999999</v>
      </c>
      <c r="J68" s="594">
        <f>-'GF &amp; FF  Inc Exp Statement'!J98</f>
        <v>-12951.976000000001</v>
      </c>
      <c r="K68" s="594">
        <f>-'GF &amp; FF  Inc Exp Statement'!K98</f>
        <v>-13340.53528</v>
      </c>
      <c r="L68" s="594">
        <f>-'GF &amp; FF  Inc Exp Statement'!L98</f>
        <v>-13740.751338400001</v>
      </c>
      <c r="M68" s="594">
        <f>-'GF &amp; FF  Inc Exp Statement'!M98</f>
        <v>-14152.973878552002</v>
      </c>
      <c r="N68" s="594">
        <f>-'GF &amp; FF  Inc Exp Statement'!N98</f>
        <v>-14577.563094908561</v>
      </c>
      <c r="O68" s="594">
        <f>-'GF &amp; FF  Inc Exp Statement'!O98</f>
        <v>-15014.88998775582</v>
      </c>
      <c r="P68" s="594">
        <f>-'GF &amp; FF  Inc Exp Statement'!P98</f>
        <v>-15465.336687388493</v>
      </c>
    </row>
    <row r="69" spans="1:16" x14ac:dyDescent="0.2">
      <c r="A69" s="639" t="s">
        <v>27</v>
      </c>
      <c r="B69" s="594"/>
      <c r="C69" s="594">
        <f t="shared" si="20"/>
        <v>0</v>
      </c>
      <c r="D69" s="594">
        <f t="shared" si="20"/>
        <v>-9702</v>
      </c>
      <c r="E69" s="594">
        <f t="shared" si="20"/>
        <v>-12687</v>
      </c>
      <c r="F69" s="594">
        <f>-'GF &amp; FF  Inc Exp Statement'!F100-'GF &amp; FF  Inc Exp Statement'!F101</f>
        <v>-14253.201000000001</v>
      </c>
      <c r="G69" s="594">
        <f>-'GF &amp; FF  Inc Exp Statement'!G100-'GF &amp; FF  Inc Exp Statement'!G101</f>
        <v>-14845.944</v>
      </c>
      <c r="H69" s="594">
        <f>-'GF &amp; FF  Inc Exp Statement'!H100-'GF &amp; FF  Inc Exp Statement'!H101</f>
        <v>-15229.583000000002</v>
      </c>
      <c r="I69" s="594">
        <f>-'GF &amp; FF  Inc Exp Statement'!I100-'GF &amp; FF  Inc Exp Statement'!I101</f>
        <v>-15698.798000000001</v>
      </c>
      <c r="J69" s="594">
        <f>-'GF &amp; FF  Inc Exp Statement'!J100-'GF &amp; FF  Inc Exp Statement'!J101</f>
        <v>-16502.347999999998</v>
      </c>
      <c r="K69" s="594">
        <f>-'GF &amp; FF  Inc Exp Statement'!K100-'GF &amp; FF  Inc Exp Statement'!K101</f>
        <v>-16832.394959999998</v>
      </c>
      <c r="L69" s="594">
        <f>-'GF &amp; FF  Inc Exp Statement'!L100-'GF &amp; FF  Inc Exp Statement'!L101</f>
        <v>-17169.042859199999</v>
      </c>
      <c r="M69" s="594">
        <f>-'GF &amp; FF  Inc Exp Statement'!M100-'GF &amp; FF  Inc Exp Statement'!M101</f>
        <v>-17512.423716384001</v>
      </c>
      <c r="N69" s="594">
        <f>-'GF &amp; FF  Inc Exp Statement'!N100-'GF &amp; FF  Inc Exp Statement'!N101</f>
        <v>-17862.672190711681</v>
      </c>
      <c r="O69" s="594">
        <f>-'GF &amp; FF  Inc Exp Statement'!O100-'GF &amp; FF  Inc Exp Statement'!O101</f>
        <v>-18219.925634525913</v>
      </c>
      <c r="P69" s="594">
        <f>-'GF &amp; FF  Inc Exp Statement'!P100-'GF &amp; FF  Inc Exp Statement'!P101</f>
        <v>-18584.324147216434</v>
      </c>
    </row>
    <row r="70" spans="1:16" x14ac:dyDescent="0.2">
      <c r="A70" s="639" t="s">
        <v>926</v>
      </c>
      <c r="B70" s="594"/>
      <c r="C70" s="594"/>
      <c r="D70" s="594">
        <f>D17</f>
        <v>-639</v>
      </c>
      <c r="E70" s="594">
        <f t="shared" ref="E70" si="21">E17</f>
        <v>-634</v>
      </c>
      <c r="F70" s="594">
        <f>-'GF &amp; FF  Inc Exp Statement'!F99</f>
        <v>-1500.3620000000001</v>
      </c>
      <c r="G70" s="594">
        <f>-'GF &amp; FF  Inc Exp Statement'!G99</f>
        <v>-1497.172</v>
      </c>
      <c r="H70" s="594">
        <f>-'GF &amp; FF  Inc Exp Statement'!H99</f>
        <v>-1494.3220000000001</v>
      </c>
      <c r="I70" s="594">
        <f>-'GF &amp; FF  Inc Exp Statement'!I99</f>
        <v>-1911.231</v>
      </c>
      <c r="J70" s="594">
        <f>-'GF &amp; FF  Inc Exp Statement'!J99</f>
        <v>-2341.6210000000001</v>
      </c>
      <c r="K70" s="594">
        <f>-'GF &amp; FF  Inc Exp Statement'!K99</f>
        <v>-2301.9348808</v>
      </c>
      <c r="L70" s="594">
        <f>-'GF &amp; FF  Inc Exp Statement'!L99</f>
        <v>-2261.4550392159999</v>
      </c>
      <c r="M70" s="594">
        <f>-'GF &amp; FF  Inc Exp Statement'!M99</f>
        <v>-2220.1656008003201</v>
      </c>
      <c r="N70" s="594">
        <f>-'GF &amp; FF  Inc Exp Statement'!N99</f>
        <v>-2178.0503736163264</v>
      </c>
      <c r="O70" s="594">
        <f>-'GF &amp; FF  Inc Exp Statement'!O99</f>
        <v>-2135.0928418886529</v>
      </c>
      <c r="P70" s="594">
        <f>-'GF &amp; FF  Inc Exp Statement'!P99</f>
        <v>-2091.276159526426</v>
      </c>
    </row>
    <row r="71" spans="1:16" x14ac:dyDescent="0.2">
      <c r="A71" s="639" t="s">
        <v>88</v>
      </c>
      <c r="B71" s="594"/>
      <c r="C71" s="594">
        <f>C18</f>
        <v>0</v>
      </c>
      <c r="D71" s="594">
        <f>D18</f>
        <v>-79</v>
      </c>
      <c r="E71" s="594">
        <f>E18</f>
        <v>-305</v>
      </c>
      <c r="F71" s="594">
        <v>0</v>
      </c>
      <c r="G71" s="594">
        <v>0</v>
      </c>
      <c r="H71" s="594">
        <v>0</v>
      </c>
      <c r="I71" s="594">
        <v>0</v>
      </c>
      <c r="J71" s="594">
        <v>0</v>
      </c>
      <c r="K71" s="594">
        <v>0</v>
      </c>
      <c r="L71" s="594">
        <v>0</v>
      </c>
      <c r="M71" s="594">
        <v>0</v>
      </c>
      <c r="N71" s="594">
        <v>0</v>
      </c>
      <c r="O71" s="594">
        <v>0</v>
      </c>
      <c r="P71" s="594">
        <v>0</v>
      </c>
    </row>
    <row r="72" spans="1:16" x14ac:dyDescent="0.2">
      <c r="A72" s="641" t="s">
        <v>41</v>
      </c>
      <c r="B72" s="591"/>
      <c r="C72" s="594">
        <f>C19</f>
        <v>0</v>
      </c>
      <c r="D72" s="594">
        <f>D19</f>
        <v>-7816</v>
      </c>
      <c r="E72" s="594">
        <f>E19</f>
        <v>-9383</v>
      </c>
      <c r="F72" s="591">
        <f>-'GF &amp; FF  Inc Exp Statement'!F105</f>
        <v>-2645.893</v>
      </c>
      <c r="G72" s="591">
        <f>-'GF &amp; FF  Inc Exp Statement'!G105</f>
        <v>-2775.2309999999998</v>
      </c>
      <c r="H72" s="591">
        <f>-'GF &amp; FF  Inc Exp Statement'!H105</f>
        <v>-2825.77</v>
      </c>
      <c r="I72" s="591">
        <f>-'GF &amp; FF  Inc Exp Statement'!I105</f>
        <v>-2900.8040000000001</v>
      </c>
      <c r="J72" s="591">
        <f>-'GF &amp; FF  Inc Exp Statement'!J105</f>
        <v>-3049.8710000000001</v>
      </c>
      <c r="K72" s="591">
        <f>-'GF &amp; FF  Inc Exp Statement'!K105</f>
        <v>-3110.8684199999998</v>
      </c>
      <c r="L72" s="591">
        <f>-'GF &amp; FF  Inc Exp Statement'!L105</f>
        <v>-3173.0857883999997</v>
      </c>
      <c r="M72" s="591">
        <f>-'GF &amp; FF  Inc Exp Statement'!M105</f>
        <v>-3236.5475041680002</v>
      </c>
      <c r="N72" s="591">
        <f>-'GF &amp; FF  Inc Exp Statement'!N105</f>
        <v>-3301.27845425136</v>
      </c>
      <c r="O72" s="591">
        <f>-'GF &amp; FF  Inc Exp Statement'!O105</f>
        <v>-3367.3040233363872</v>
      </c>
      <c r="P72" s="591">
        <f>-'GF &amp; FF  Inc Exp Statement'!P105</f>
        <v>-3434.6501038031147</v>
      </c>
    </row>
    <row r="73" spans="1:16" x14ac:dyDescent="0.2">
      <c r="A73" s="642" t="s">
        <v>89</v>
      </c>
      <c r="B73" s="643">
        <f>SUM(B60:B72)</f>
        <v>0</v>
      </c>
      <c r="C73" s="643">
        <f t="shared" ref="C73:M73" si="22">SUM(C60:C72)</f>
        <v>0</v>
      </c>
      <c r="D73" s="643">
        <f t="shared" si="22"/>
        <v>33781</v>
      </c>
      <c r="E73" s="643">
        <f t="shared" si="22"/>
        <v>24615</v>
      </c>
      <c r="F73" s="643">
        <f t="shared" si="22"/>
        <v>11438.653000000002</v>
      </c>
      <c r="G73" s="643">
        <f t="shared" si="22"/>
        <v>12345.401999999996</v>
      </c>
      <c r="H73" s="643">
        <f t="shared" si="22"/>
        <v>12754.366009999991</v>
      </c>
      <c r="I73" s="643">
        <f t="shared" si="22"/>
        <v>16656.113015300001</v>
      </c>
      <c r="J73" s="643">
        <f t="shared" si="22"/>
        <v>12763.032092633999</v>
      </c>
      <c r="K73" s="647">
        <f t="shared" si="22"/>
        <v>12943.377858209045</v>
      </c>
      <c r="L73" s="647">
        <f t="shared" si="22"/>
        <v>13336.274206882255</v>
      </c>
      <c r="M73" s="647">
        <f t="shared" si="22"/>
        <v>13704.318088517179</v>
      </c>
      <c r="N73" s="647">
        <f t="shared" ref="N73:O73" si="23">SUM(N60:N72)</f>
        <v>14045.673318561398</v>
      </c>
      <c r="O73" s="647">
        <f t="shared" si="23"/>
        <v>14415.590983140988</v>
      </c>
      <c r="P73" s="647">
        <f t="shared" ref="P73" si="24">SUM(P60:P72)</f>
        <v>14795.852917392147</v>
      </c>
    </row>
    <row r="74" spans="1:16" x14ac:dyDescent="0.2">
      <c r="B74" s="590"/>
      <c r="C74" s="590"/>
      <c r="D74" s="590"/>
      <c r="E74" s="590"/>
      <c r="F74" s="590"/>
      <c r="G74" s="590"/>
      <c r="H74" s="590"/>
      <c r="I74" s="590"/>
      <c r="J74" s="590"/>
      <c r="K74" s="590"/>
      <c r="L74" s="590"/>
      <c r="M74" s="590"/>
      <c r="N74" s="590"/>
      <c r="O74" s="590"/>
      <c r="P74" s="590"/>
    </row>
    <row r="75" spans="1:16" x14ac:dyDescent="0.2">
      <c r="A75" s="592" t="s">
        <v>90</v>
      </c>
      <c r="B75" s="590"/>
      <c r="C75" s="590"/>
      <c r="D75" s="590"/>
      <c r="E75" s="590"/>
      <c r="F75" s="590"/>
      <c r="G75" s="590"/>
      <c r="H75" s="590"/>
      <c r="I75" s="590"/>
      <c r="J75" s="590"/>
      <c r="K75" s="590"/>
      <c r="L75" s="590"/>
      <c r="M75" s="590"/>
      <c r="N75" s="590"/>
      <c r="O75" s="590"/>
      <c r="P75" s="590"/>
    </row>
    <row r="76" spans="1:16" x14ac:dyDescent="0.2">
      <c r="A76" s="640" t="s">
        <v>83</v>
      </c>
      <c r="B76" s="590"/>
      <c r="C76" s="590"/>
      <c r="D76" s="590"/>
      <c r="E76" s="590"/>
      <c r="F76" s="590"/>
      <c r="G76" s="590"/>
      <c r="H76" s="590"/>
      <c r="I76" s="590"/>
      <c r="J76" s="590"/>
      <c r="K76" s="590"/>
      <c r="L76" s="590"/>
      <c r="M76" s="590"/>
      <c r="N76" s="590"/>
      <c r="O76" s="590"/>
      <c r="P76" s="590"/>
    </row>
    <row r="77" spans="1:16" x14ac:dyDescent="0.2">
      <c r="A77" s="639" t="s">
        <v>431</v>
      </c>
      <c r="B77" s="590"/>
      <c r="C77" s="590">
        <f>C24</f>
        <v>0</v>
      </c>
      <c r="D77" s="590">
        <f>D24</f>
        <v>7491</v>
      </c>
      <c r="E77" s="590">
        <f>E24</f>
        <v>8839</v>
      </c>
      <c r="F77" s="590">
        <f>'GF &amp; FF  Inc Exp Statement'!F138</f>
        <v>2262.9380000000001</v>
      </c>
      <c r="G77" s="590">
        <f>'GF &amp; FF  Inc Exp Statement'!G138</f>
        <v>550</v>
      </c>
      <c r="H77" s="590">
        <f>'GF &amp; FF  Inc Exp Statement'!H138</f>
        <v>11000</v>
      </c>
      <c r="I77" s="590">
        <f>'GF &amp; FF  Inc Exp Statement'!I138</f>
        <v>0</v>
      </c>
      <c r="J77" s="590">
        <f>'GF &amp; FF  Inc Exp Statement'!J138</f>
        <v>0</v>
      </c>
      <c r="K77" s="590">
        <f>'GF &amp; FF  Inc Exp Statement'!K138</f>
        <v>2200</v>
      </c>
      <c r="L77" s="590">
        <f>'GF &amp; FF  Inc Exp Statement'!L138</f>
        <v>2244</v>
      </c>
      <c r="M77" s="590">
        <f>'GF &amp; FF  Inc Exp Statement'!M138</f>
        <v>2288.88</v>
      </c>
      <c r="N77" s="590">
        <f>'GF &amp; FF  Inc Exp Statement'!N138</f>
        <v>2334.6576</v>
      </c>
      <c r="O77" s="590">
        <f>'GF &amp; FF  Inc Exp Statement'!O138</f>
        <v>2381.3507520000003</v>
      </c>
      <c r="P77" s="590">
        <f>'GF &amp; FF  Inc Exp Statement'!P138</f>
        <v>2428.9777670400003</v>
      </c>
    </row>
    <row r="78" spans="1:16" x14ac:dyDescent="0.2">
      <c r="A78" s="590" t="str">
        <f>A25</f>
        <v>Sale of Investment Property</v>
      </c>
      <c r="B78" s="590"/>
      <c r="C78" s="590"/>
      <c r="D78" s="590">
        <f>D25</f>
        <v>0</v>
      </c>
      <c r="E78" s="590">
        <f t="shared" ref="E78:P78" si="25">E25</f>
        <v>0</v>
      </c>
      <c r="F78" s="590">
        <f t="shared" si="25"/>
        <v>0</v>
      </c>
      <c r="G78" s="590">
        <f t="shared" si="25"/>
        <v>0</v>
      </c>
      <c r="H78" s="590">
        <f t="shared" si="25"/>
        <v>0</v>
      </c>
      <c r="I78" s="590">
        <f t="shared" si="25"/>
        <v>0</v>
      </c>
      <c r="J78" s="590">
        <f t="shared" si="25"/>
        <v>0</v>
      </c>
      <c r="K78" s="590">
        <f t="shared" si="25"/>
        <v>0</v>
      </c>
      <c r="L78" s="590">
        <f t="shared" si="25"/>
        <v>0</v>
      </c>
      <c r="M78" s="590">
        <f t="shared" si="25"/>
        <v>0</v>
      </c>
      <c r="N78" s="590">
        <f t="shared" si="25"/>
        <v>0</v>
      </c>
      <c r="O78" s="590">
        <f t="shared" si="25"/>
        <v>0</v>
      </c>
      <c r="P78" s="590">
        <f t="shared" si="25"/>
        <v>0</v>
      </c>
    </row>
    <row r="79" spans="1:16" x14ac:dyDescent="0.2">
      <c r="A79" s="639" t="s">
        <v>91</v>
      </c>
      <c r="B79" s="594"/>
      <c r="C79" s="590">
        <f>C26</f>
        <v>0</v>
      </c>
      <c r="D79" s="590">
        <f>D26</f>
        <v>0</v>
      </c>
      <c r="E79" s="590">
        <f>E26</f>
        <v>0</v>
      </c>
      <c r="F79" s="594">
        <v>0</v>
      </c>
      <c r="G79" s="594">
        <v>0</v>
      </c>
      <c r="H79" s="594">
        <v>0</v>
      </c>
      <c r="I79" s="594">
        <v>0</v>
      </c>
      <c r="J79" s="594">
        <v>0</v>
      </c>
      <c r="K79" s="594">
        <v>0</v>
      </c>
      <c r="L79" s="594">
        <v>0</v>
      </c>
      <c r="M79" s="594">
        <v>0</v>
      </c>
      <c r="N79" s="594">
        <v>0</v>
      </c>
      <c r="O79" s="594">
        <v>0</v>
      </c>
      <c r="P79" s="594">
        <v>0</v>
      </c>
    </row>
    <row r="80" spans="1:16" x14ac:dyDescent="0.25">
      <c r="A80" s="639" t="s">
        <v>92</v>
      </c>
      <c r="B80" s="594"/>
      <c r="C80" s="590">
        <f>C27</f>
        <v>0</v>
      </c>
      <c r="D80" s="590">
        <f>D27</f>
        <v>167</v>
      </c>
      <c r="E80" s="590">
        <f>E27</f>
        <v>339</v>
      </c>
      <c r="F80" s="594">
        <f>'GF &amp; FF  Inc Exp Statement'!F140</f>
        <v>70</v>
      </c>
      <c r="G80" s="594">
        <f>'GF &amp; FF  Inc Exp Statement'!G140</f>
        <v>70</v>
      </c>
      <c r="H80" s="594">
        <f>'GF &amp; FF  Inc Exp Statement'!H140</f>
        <v>1570</v>
      </c>
      <c r="I80" s="594">
        <f>'GF &amp; FF  Inc Exp Statement'!I140</f>
        <v>70</v>
      </c>
      <c r="J80" s="594">
        <f>'GF &amp; FF  Inc Exp Statement'!J140</f>
        <v>70</v>
      </c>
      <c r="K80" s="594">
        <f>'GF &amp; FF  Inc Exp Statement'!K140</f>
        <v>71.400000000000006</v>
      </c>
      <c r="L80" s="594">
        <f>'GF &amp; FF  Inc Exp Statement'!L140</f>
        <v>72.828000000000003</v>
      </c>
      <c r="M80" s="594">
        <f>'GF &amp; FF  Inc Exp Statement'!M140</f>
        <v>74.284559999999999</v>
      </c>
      <c r="N80" s="594">
        <f>'GF &amp; FF  Inc Exp Statement'!N140</f>
        <v>75.770251200000004</v>
      </c>
      <c r="O80" s="594">
        <f>'GF &amp; FF  Inc Exp Statement'!O140</f>
        <v>77.285656224000007</v>
      </c>
      <c r="P80" s="594">
        <f>'GF &amp; FF  Inc Exp Statement'!P140</f>
        <v>78.831369348479996</v>
      </c>
    </row>
    <row r="81" spans="1:16" x14ac:dyDescent="0.25">
      <c r="B81" s="594"/>
      <c r="C81" s="594"/>
      <c r="D81" s="594"/>
      <c r="E81" s="594"/>
      <c r="F81" s="594"/>
      <c r="G81" s="594"/>
      <c r="H81" s="594"/>
      <c r="I81" s="594"/>
      <c r="J81" s="594"/>
      <c r="K81" s="594"/>
      <c r="L81" s="594"/>
      <c r="M81" s="594"/>
      <c r="N81" s="594"/>
      <c r="O81" s="594"/>
      <c r="P81" s="594"/>
    </row>
    <row r="82" spans="1:16" x14ac:dyDescent="0.25">
      <c r="A82" s="640" t="s">
        <v>87</v>
      </c>
      <c r="B82" s="594"/>
      <c r="C82" s="594"/>
      <c r="D82" s="594"/>
      <c r="E82" s="594"/>
      <c r="F82" s="594"/>
      <c r="G82" s="594"/>
      <c r="H82" s="594"/>
      <c r="I82" s="594"/>
      <c r="J82" s="594"/>
      <c r="K82" s="594"/>
      <c r="L82" s="594"/>
      <c r="M82" s="594"/>
      <c r="N82" s="594"/>
      <c r="O82" s="594"/>
      <c r="P82" s="594"/>
    </row>
    <row r="83" spans="1:16" x14ac:dyDescent="0.25">
      <c r="A83" s="639" t="s">
        <v>93</v>
      </c>
      <c r="B83" s="594"/>
      <c r="C83" s="648">
        <f>C30</f>
        <v>0</v>
      </c>
      <c r="D83" s="648">
        <f>D30</f>
        <v>-10303</v>
      </c>
      <c r="E83" s="648">
        <f>E30</f>
        <v>-11000</v>
      </c>
      <c r="F83" s="594">
        <f>-'GF &amp; FF  Inc Exp Statement'!F130</f>
        <v>-1850.8820000000001</v>
      </c>
      <c r="G83" s="594">
        <f>-'GF &amp; FF  Inc Exp Statement'!G130</f>
        <v>-2144.2849999999999</v>
      </c>
      <c r="H83" s="594">
        <f>-'GF &amp; FF  Inc Exp Statement'!H130</f>
        <v>-3718.17301</v>
      </c>
      <c r="I83" s="594">
        <f>-'GF &amp; FF  Inc Exp Statement'!I130</f>
        <v>-2294.8213903000001</v>
      </c>
      <c r="J83" s="594">
        <f>-'GF &amp; FF  Inc Exp Statement'!J130</f>
        <v>-2374.3454420090002</v>
      </c>
      <c r="K83" s="594">
        <f>-'GF &amp; FF  Inc Exp Statement'!K130</f>
        <v>-2421.8323508491799</v>
      </c>
      <c r="L83" s="594">
        <f>-'GF &amp; FF  Inc Exp Statement'!L130</f>
        <v>-2470.2689978661633</v>
      </c>
      <c r="M83" s="594">
        <f>-'GF &amp; FF  Inc Exp Statement'!M130</f>
        <v>-2519.6743778234868</v>
      </c>
      <c r="N83" s="594">
        <f>-'GF &amp; FF  Inc Exp Statement'!N130</f>
        <v>-2570.0678653799564</v>
      </c>
      <c r="O83" s="594">
        <f>-'GF &amp; FF  Inc Exp Statement'!O130</f>
        <v>-2621.4692226875559</v>
      </c>
      <c r="P83" s="594">
        <f>-'GF &amp; FF  Inc Exp Statement'!P130</f>
        <v>-2673.8986071413069</v>
      </c>
    </row>
    <row r="84" spans="1:16" x14ac:dyDescent="0.25">
      <c r="A84" s="648" t="str">
        <f>A31</f>
        <v>Purchase of Investment Property</v>
      </c>
      <c r="B84" s="594"/>
      <c r="C84" s="648"/>
      <c r="D84" s="648">
        <f>D31</f>
        <v>-2531</v>
      </c>
      <c r="E84" s="648">
        <f t="shared" ref="E84" si="26">E31</f>
        <v>-15180</v>
      </c>
      <c r="F84" s="648">
        <f>-'GF &amp; FF  Inc Exp Statement'!F127</f>
        <v>0</v>
      </c>
      <c r="G84" s="648">
        <f>-'GF &amp; FF  Inc Exp Statement'!G127</f>
        <v>0</v>
      </c>
      <c r="H84" s="648">
        <f>-'GF &amp; FF  Inc Exp Statement'!H127</f>
        <v>0</v>
      </c>
      <c r="I84" s="648">
        <f>-'GF &amp; FF  Inc Exp Statement'!I127</f>
        <v>0</v>
      </c>
      <c r="J84" s="648">
        <f>-'GF &amp; FF  Inc Exp Statement'!J127</f>
        <v>0</v>
      </c>
      <c r="K84" s="648">
        <f>-'GF &amp; FF  Inc Exp Statement'!K127</f>
        <v>0</v>
      </c>
      <c r="L84" s="648">
        <f>-'GF &amp; FF  Inc Exp Statement'!L127</f>
        <v>0</v>
      </c>
      <c r="M84" s="648">
        <f>-'GF &amp; FF  Inc Exp Statement'!M127</f>
        <v>0</v>
      </c>
      <c r="N84" s="648">
        <f>-'GF &amp; FF  Inc Exp Statement'!N127</f>
        <v>0</v>
      </c>
      <c r="O84" s="648">
        <f>-'GF &amp; FF  Inc Exp Statement'!O127</f>
        <v>0</v>
      </c>
      <c r="P84" s="648">
        <f>-'GF &amp; FF  Inc Exp Statement'!P127</f>
        <v>0</v>
      </c>
    </row>
    <row r="85" spans="1:16" x14ac:dyDescent="0.25">
      <c r="A85" s="639" t="s">
        <v>94</v>
      </c>
      <c r="B85" s="594"/>
      <c r="C85" s="648">
        <f>C32</f>
        <v>0</v>
      </c>
      <c r="D85" s="648">
        <f>D32</f>
        <v>-26369</v>
      </c>
      <c r="E85" s="648">
        <f>E32</f>
        <v>-25288</v>
      </c>
      <c r="F85" s="594">
        <f>-SUM('GF &amp; FF  Inc Exp Statement'!F126:'GF &amp; FF  Inc Exp Statement'!F128)-F84-F86</f>
        <v>-21320.421999999999</v>
      </c>
      <c r="G85" s="594">
        <f>-SUM('GF &amp; FF  Inc Exp Statement'!G126:'GF &amp; FF  Inc Exp Statement'!G128)-G84-G86</f>
        <v>-10428.812</v>
      </c>
      <c r="H85" s="594">
        <f>-SUM('GF &amp; FF  Inc Exp Statement'!H126:'GF &amp; FF  Inc Exp Statement'!H128)-H84-H86</f>
        <v>-31571.091800000002</v>
      </c>
      <c r="I85" s="594">
        <f>-SUM('GF &amp; FF  Inc Exp Statement'!I126:'GF &amp; FF  Inc Exp Statement'!I128)-I84-I86</f>
        <v>-25103.173394999998</v>
      </c>
      <c r="J85" s="594">
        <f>-SUM('GF &amp; FF  Inc Exp Statement'!J126:'GF &amp; FF  Inc Exp Statement'!J128)-J84-J86</f>
        <v>-10982.533404874999</v>
      </c>
      <c r="K85" s="594">
        <f>-SUM('GF &amp; FF  Inc Exp Statement'!K126:'GF &amp; FF  Inc Exp Statement'!K128)-K84-K86</f>
        <v>-10427.522139996876</v>
      </c>
      <c r="L85" s="594">
        <f>-SUM('GF &amp; FF  Inc Exp Statement'!L126:'GF &amp; FF  Inc Exp Statement'!L128)-L84-L86</f>
        <v>-11558.835593496795</v>
      </c>
      <c r="M85" s="594">
        <f>-SUM('GF &amp; FF  Inc Exp Statement'!M126:'GF &amp; FF  Inc Exp Statement'!M128)-M84-M86</f>
        <v>-13006.124883334218</v>
      </c>
      <c r="N85" s="594">
        <f>-SUM('GF &amp; FF  Inc Exp Statement'!N126:'GF &amp; FF  Inc Exp Statement'!N128)-N84-N86</f>
        <v>-12867.414265417572</v>
      </c>
      <c r="O85" s="594">
        <f>-SUM('GF &amp; FF  Inc Exp Statement'!O126:'GF &amp; FF  Inc Exp Statement'!O128)-O84-O86</f>
        <v>-13119.728599253009</v>
      </c>
      <c r="P85" s="594">
        <f>-SUM('GF &amp; FF  Inc Exp Statement'!P126:'GF &amp; FF  Inc Exp Statement'!P128)-P84-P86</f>
        <v>-13373.093362978338</v>
      </c>
    </row>
    <row r="86" spans="1:16" x14ac:dyDescent="0.25">
      <c r="A86" s="641" t="s">
        <v>95</v>
      </c>
      <c r="B86" s="591"/>
      <c r="C86" s="649">
        <f>C33</f>
        <v>0</v>
      </c>
      <c r="D86" s="648">
        <f>D33</f>
        <v>-26</v>
      </c>
      <c r="E86" s="648">
        <f t="shared" ref="E86:P86" si="27">E33</f>
        <v>-26</v>
      </c>
      <c r="F86" s="648">
        <f t="shared" si="27"/>
        <v>0</v>
      </c>
      <c r="G86" s="648">
        <f t="shared" si="27"/>
        <v>0</v>
      </c>
      <c r="H86" s="648">
        <f t="shared" si="27"/>
        <v>0</v>
      </c>
      <c r="I86" s="648">
        <f t="shared" si="27"/>
        <v>0</v>
      </c>
      <c r="J86" s="648">
        <f t="shared" si="27"/>
        <v>0</v>
      </c>
      <c r="K86" s="648">
        <f t="shared" si="27"/>
        <v>0</v>
      </c>
      <c r="L86" s="648">
        <f t="shared" si="27"/>
        <v>0</v>
      </c>
      <c r="M86" s="648">
        <f t="shared" si="27"/>
        <v>0</v>
      </c>
      <c r="N86" s="648">
        <f t="shared" si="27"/>
        <v>0</v>
      </c>
      <c r="O86" s="648">
        <f t="shared" si="27"/>
        <v>0</v>
      </c>
      <c r="P86" s="648">
        <f t="shared" si="27"/>
        <v>0</v>
      </c>
    </row>
    <row r="87" spans="1:16" x14ac:dyDescent="0.25">
      <c r="A87" s="642" t="s">
        <v>110</v>
      </c>
      <c r="B87" s="593">
        <f>SUM(B77:B86)</f>
        <v>0</v>
      </c>
      <c r="C87" s="593">
        <f t="shared" ref="C87:P87" si="28">SUM(C77:C86)</f>
        <v>0</v>
      </c>
      <c r="D87" s="772">
        <f t="shared" si="28"/>
        <v>-31571</v>
      </c>
      <c r="E87" s="772">
        <f t="shared" si="28"/>
        <v>-42316</v>
      </c>
      <c r="F87" s="772">
        <f t="shared" si="28"/>
        <v>-20838.365999999998</v>
      </c>
      <c r="G87" s="772">
        <f t="shared" si="28"/>
        <v>-11953.097</v>
      </c>
      <c r="H87" s="772">
        <f t="shared" si="28"/>
        <v>-22719.264810000001</v>
      </c>
      <c r="I87" s="772">
        <f t="shared" si="28"/>
        <v>-27327.994785299998</v>
      </c>
      <c r="J87" s="772">
        <f t="shared" si="28"/>
        <v>-13286.878846883999</v>
      </c>
      <c r="K87" s="772">
        <f t="shared" si="28"/>
        <v>-10577.954490846056</v>
      </c>
      <c r="L87" s="772">
        <f t="shared" si="28"/>
        <v>-11712.276591362959</v>
      </c>
      <c r="M87" s="772">
        <f t="shared" si="28"/>
        <v>-13162.634701157705</v>
      </c>
      <c r="N87" s="772">
        <f t="shared" si="28"/>
        <v>-13027.054279597529</v>
      </c>
      <c r="O87" s="772">
        <f t="shared" si="28"/>
        <v>-13282.561413716565</v>
      </c>
      <c r="P87" s="772">
        <f t="shared" si="28"/>
        <v>-13539.182833731164</v>
      </c>
    </row>
    <row r="88" spans="1:16" x14ac:dyDescent="0.25">
      <c r="B88" s="594"/>
      <c r="C88" s="594"/>
      <c r="D88" s="594"/>
      <c r="E88" s="594"/>
      <c r="F88" s="594"/>
      <c r="G88" s="594"/>
      <c r="H88" s="594"/>
      <c r="I88" s="594"/>
      <c r="J88" s="594"/>
      <c r="K88" s="594"/>
      <c r="L88" s="594"/>
      <c r="M88" s="594"/>
      <c r="N88" s="594"/>
      <c r="O88" s="594"/>
      <c r="P88" s="594"/>
    </row>
    <row r="89" spans="1:16" x14ac:dyDescent="0.25">
      <c r="A89" s="592" t="s">
        <v>1054</v>
      </c>
      <c r="B89" s="590"/>
      <c r="C89" s="590"/>
      <c r="D89" s="590"/>
      <c r="E89" s="590"/>
      <c r="F89" s="590"/>
      <c r="G89" s="590"/>
      <c r="H89" s="590"/>
      <c r="I89" s="590"/>
      <c r="J89" s="590"/>
      <c r="K89" s="590"/>
      <c r="L89" s="590"/>
      <c r="M89" s="590"/>
      <c r="N89" s="590"/>
      <c r="O89" s="590"/>
      <c r="P89" s="590"/>
    </row>
    <row r="90" spans="1:16" x14ac:dyDescent="0.25">
      <c r="A90" s="640" t="s">
        <v>83</v>
      </c>
      <c r="B90" s="590"/>
      <c r="C90" s="590"/>
      <c r="D90" s="590"/>
      <c r="E90" s="590"/>
      <c r="F90" s="590"/>
      <c r="G90" s="590"/>
      <c r="H90" s="590"/>
      <c r="I90" s="590"/>
      <c r="J90" s="590"/>
      <c r="K90" s="590"/>
      <c r="L90" s="590"/>
      <c r="M90" s="590"/>
      <c r="N90" s="590"/>
      <c r="O90" s="590"/>
      <c r="P90" s="590"/>
    </row>
    <row r="91" spans="1:16" x14ac:dyDescent="0.25">
      <c r="A91" s="639" t="s">
        <v>1055</v>
      </c>
      <c r="B91" s="594"/>
      <c r="C91" s="594"/>
      <c r="D91" s="594">
        <f>D38</f>
        <v>5350</v>
      </c>
      <c r="E91" s="594">
        <f t="shared" ref="E91" si="29">E38</f>
        <v>13500</v>
      </c>
      <c r="F91" s="594">
        <f>'GF &amp; FF  Inc Exp Statement'!F139</f>
        <v>10000</v>
      </c>
      <c r="G91" s="594">
        <f>'GF &amp; FF  Inc Exp Statement'!G139</f>
        <v>0</v>
      </c>
      <c r="H91" s="594">
        <f>'GF &amp; FF  Inc Exp Statement'!H139</f>
        <v>10500</v>
      </c>
      <c r="I91" s="594">
        <f>'GF &amp; FF  Inc Exp Statement'!I139</f>
        <v>11000</v>
      </c>
      <c r="J91" s="594">
        <f>'GF &amp; FF  Inc Exp Statement'!J139</f>
        <v>0</v>
      </c>
      <c r="K91" s="594">
        <f>'GF &amp; FF  Inc Exp Statement'!K139</f>
        <v>0</v>
      </c>
      <c r="L91" s="594">
        <f>'GF &amp; FF  Inc Exp Statement'!L139</f>
        <v>0</v>
      </c>
      <c r="M91" s="594">
        <f>'GF &amp; FF  Inc Exp Statement'!M139</f>
        <v>0</v>
      </c>
      <c r="N91" s="594">
        <f>'GF &amp; FF  Inc Exp Statement'!N139</f>
        <v>0</v>
      </c>
      <c r="O91" s="594">
        <f>'GF &amp; FF  Inc Exp Statement'!O139</f>
        <v>0</v>
      </c>
      <c r="P91" s="594">
        <f>'GF &amp; FF  Inc Exp Statement'!P139</f>
        <v>0</v>
      </c>
    </row>
    <row r="92" spans="1:16" ht="5.25" customHeight="1" x14ac:dyDescent="0.25">
      <c r="B92" s="594"/>
      <c r="C92" s="594"/>
      <c r="D92" s="594"/>
      <c r="E92" s="594"/>
      <c r="F92" s="594"/>
      <c r="G92" s="594"/>
      <c r="H92" s="594"/>
      <c r="I92" s="594"/>
      <c r="J92" s="594"/>
      <c r="K92" s="594"/>
      <c r="L92" s="594"/>
      <c r="M92" s="594"/>
      <c r="N92" s="594"/>
      <c r="O92" s="594"/>
      <c r="P92" s="594"/>
    </row>
    <row r="93" spans="1:16" x14ac:dyDescent="0.25">
      <c r="A93" s="640" t="s">
        <v>87</v>
      </c>
      <c r="B93" s="594"/>
      <c r="C93" s="594"/>
      <c r="D93" s="594"/>
      <c r="E93" s="594"/>
      <c r="F93" s="594"/>
      <c r="G93" s="594"/>
      <c r="H93" s="594"/>
      <c r="I93" s="594"/>
      <c r="J93" s="594"/>
      <c r="K93" s="594"/>
      <c r="L93" s="594"/>
      <c r="M93" s="594"/>
      <c r="N93" s="594"/>
      <c r="O93" s="594"/>
      <c r="P93" s="594"/>
    </row>
    <row r="94" spans="1:16" x14ac:dyDescent="0.25">
      <c r="A94" s="639" t="s">
        <v>1056</v>
      </c>
      <c r="B94" s="594"/>
      <c r="C94" s="594"/>
      <c r="D94" s="594">
        <f>D41</f>
        <v>-1616</v>
      </c>
      <c r="E94" s="594">
        <f t="shared" ref="E94" si="30">E41</f>
        <v>-2776</v>
      </c>
      <c r="F94" s="594">
        <f>-'GF &amp; FF  Inc Exp Statement'!F129</f>
        <v>-570.28700000000003</v>
      </c>
      <c r="G94" s="594">
        <f>-'GF &amp; FF  Inc Exp Statement'!G129</f>
        <v>-621.83900000000006</v>
      </c>
      <c r="H94" s="594">
        <f>-'GF &amp; FF  Inc Exp Statement'!H129</f>
        <v>-555.48599999999999</v>
      </c>
      <c r="I94" s="594">
        <f>-'GF &amp; FF  Inc Exp Statement'!I129</f>
        <v>-672.75099999999998</v>
      </c>
      <c r="J94" s="594">
        <f>-'GF &amp; FF  Inc Exp Statement'!J129</f>
        <v>-972.69899999999996</v>
      </c>
      <c r="K94" s="594">
        <f>-'GF &amp; FF  Inc Exp Statement'!K129</f>
        <v>-1007</v>
      </c>
      <c r="L94" s="594">
        <f>-'GF &amp; FF  Inc Exp Statement'!L129</f>
        <v>-1054</v>
      </c>
      <c r="M94" s="594">
        <f>-'GF &amp; FF  Inc Exp Statement'!M129</f>
        <v>-809</v>
      </c>
      <c r="N94" s="594">
        <f>-'GF &amp; FF  Inc Exp Statement'!N129</f>
        <v>-745</v>
      </c>
      <c r="O94" s="594">
        <f>-'GF &amp; FF  Inc Exp Statement'!O129</f>
        <v>-777</v>
      </c>
      <c r="P94" s="594">
        <f>-'GF &amp; FF  Inc Exp Statement'!P129</f>
        <v>-811</v>
      </c>
    </row>
    <row r="95" spans="1:16" s="644" customFormat="1" x14ac:dyDescent="0.25">
      <c r="A95" s="770" t="s">
        <v>110</v>
      </c>
      <c r="B95" s="772">
        <f t="shared" ref="B95:P95" si="31">SUM(B91:B94)</f>
        <v>0</v>
      </c>
      <c r="C95" s="772">
        <f t="shared" si="31"/>
        <v>0</v>
      </c>
      <c r="D95" s="772">
        <f t="shared" si="31"/>
        <v>3734</v>
      </c>
      <c r="E95" s="772">
        <f t="shared" si="31"/>
        <v>10724</v>
      </c>
      <c r="F95" s="772">
        <f t="shared" si="31"/>
        <v>9429.7129999999997</v>
      </c>
      <c r="G95" s="772">
        <f t="shared" si="31"/>
        <v>-621.83900000000006</v>
      </c>
      <c r="H95" s="772">
        <f t="shared" si="31"/>
        <v>9944.5139999999992</v>
      </c>
      <c r="I95" s="772">
        <f t="shared" si="31"/>
        <v>10327.249</v>
      </c>
      <c r="J95" s="772">
        <f t="shared" si="31"/>
        <v>-972.69899999999996</v>
      </c>
      <c r="K95" s="772">
        <f t="shared" si="31"/>
        <v>-1007</v>
      </c>
      <c r="L95" s="772">
        <f t="shared" si="31"/>
        <v>-1054</v>
      </c>
      <c r="M95" s="772">
        <f t="shared" si="31"/>
        <v>-809</v>
      </c>
      <c r="N95" s="772">
        <f t="shared" si="31"/>
        <v>-745</v>
      </c>
      <c r="O95" s="772">
        <f t="shared" si="31"/>
        <v>-777</v>
      </c>
      <c r="P95" s="772">
        <f t="shared" si="31"/>
        <v>-811</v>
      </c>
    </row>
    <row r="96" spans="1:16" ht="3.75" customHeight="1" x14ac:dyDescent="0.25">
      <c r="B96" s="594"/>
      <c r="C96" s="594"/>
      <c r="D96" s="594"/>
      <c r="E96" s="594"/>
      <c r="F96" s="594"/>
      <c r="G96" s="594"/>
      <c r="H96" s="594"/>
      <c r="I96" s="594"/>
      <c r="J96" s="594"/>
      <c r="K96" s="594"/>
      <c r="L96" s="594"/>
      <c r="M96" s="594"/>
      <c r="N96" s="594"/>
      <c r="O96" s="594"/>
      <c r="P96" s="594"/>
    </row>
    <row r="97" spans="1:16" x14ac:dyDescent="0.25">
      <c r="A97" s="592" t="s">
        <v>321</v>
      </c>
      <c r="B97" s="594">
        <f>+B73+B87</f>
        <v>0</v>
      </c>
      <c r="C97" s="594">
        <f>+C73+C87</f>
        <v>0</v>
      </c>
      <c r="D97" s="594">
        <f>+D73+D87+D95</f>
        <v>5944</v>
      </c>
      <c r="E97" s="594">
        <f t="shared" ref="E97:P97" si="32">+E73+E87+E95</f>
        <v>-6977</v>
      </c>
      <c r="F97" s="594">
        <f t="shared" si="32"/>
        <v>30.000000000003638</v>
      </c>
      <c r="G97" s="594">
        <f t="shared" si="32"/>
        <v>-229.5340000000034</v>
      </c>
      <c r="H97" s="594">
        <f t="shared" si="32"/>
        <v>-20.384800000010728</v>
      </c>
      <c r="I97" s="594">
        <f t="shared" si="32"/>
        <v>-344.63276999999653</v>
      </c>
      <c r="J97" s="594">
        <f t="shared" si="32"/>
        <v>-1496.5457542500003</v>
      </c>
      <c r="K97" s="594">
        <f t="shared" si="32"/>
        <v>1358.4233673629897</v>
      </c>
      <c r="L97" s="594">
        <f t="shared" si="32"/>
        <v>569.99761551929623</v>
      </c>
      <c r="M97" s="594">
        <f t="shared" si="32"/>
        <v>-267.31661264052673</v>
      </c>
      <c r="N97" s="594">
        <f t="shared" si="32"/>
        <v>273.61903896386866</v>
      </c>
      <c r="O97" s="594">
        <f t="shared" si="32"/>
        <v>356.02956942442324</v>
      </c>
      <c r="P97" s="594">
        <f t="shared" si="32"/>
        <v>445.67008366098344</v>
      </c>
    </row>
    <row r="98" spans="1:16" x14ac:dyDescent="0.25">
      <c r="A98" s="644"/>
      <c r="B98" s="594"/>
      <c r="C98" s="594"/>
      <c r="D98" s="594"/>
      <c r="E98" s="594"/>
      <c r="F98" s="594"/>
      <c r="G98" s="594"/>
      <c r="H98" s="594"/>
      <c r="I98" s="594"/>
      <c r="J98" s="594"/>
      <c r="K98" s="594"/>
      <c r="L98" s="594"/>
      <c r="M98" s="594"/>
      <c r="N98" s="594"/>
      <c r="O98" s="594"/>
      <c r="P98" s="594"/>
    </row>
    <row r="99" spans="1:16" x14ac:dyDescent="0.25">
      <c r="A99" s="592" t="s">
        <v>96</v>
      </c>
      <c r="B99" s="594"/>
      <c r="C99" s="594">
        <f>+B101</f>
        <v>0</v>
      </c>
      <c r="D99" s="594">
        <f>D46</f>
        <v>3352</v>
      </c>
      <c r="E99" s="594">
        <f t="shared" ref="E99" si="33">+D101</f>
        <v>9296</v>
      </c>
      <c r="F99" s="594">
        <f t="shared" ref="F99" si="34">+E101</f>
        <v>2319</v>
      </c>
      <c r="G99" s="594">
        <f t="shared" ref="G99" si="35">+F101</f>
        <v>2349.0000000000036</v>
      </c>
      <c r="H99" s="594">
        <f t="shared" ref="H99" si="36">+G101</f>
        <v>2119.4660000000003</v>
      </c>
      <c r="I99" s="594">
        <f t="shared" ref="I99" si="37">+H101</f>
        <v>2099.0811999999896</v>
      </c>
      <c r="J99" s="594">
        <f t="shared" ref="J99" si="38">+I101</f>
        <v>1754.4484299999931</v>
      </c>
      <c r="K99" s="594">
        <f t="shared" ref="K99" si="39">+J101</f>
        <v>257.9026757499928</v>
      </c>
      <c r="L99" s="594">
        <f t="shared" ref="L99" si="40">+K101</f>
        <v>1616.3260431129825</v>
      </c>
      <c r="M99" s="594">
        <f t="shared" ref="M99" si="41">+L101</f>
        <v>2186.3236586322787</v>
      </c>
      <c r="N99" s="594">
        <f t="shared" ref="N99" si="42">+M101</f>
        <v>1919.007045991752</v>
      </c>
      <c r="O99" s="594">
        <f t="shared" ref="O99:P99" si="43">+N101</f>
        <v>2192.6260849556206</v>
      </c>
      <c r="P99" s="594">
        <f t="shared" si="43"/>
        <v>2548.6556543800439</v>
      </c>
    </row>
    <row r="100" spans="1:16" x14ac:dyDescent="0.25">
      <c r="B100" s="594"/>
      <c r="C100" s="594"/>
      <c r="D100" s="594"/>
      <c r="E100" s="594"/>
      <c r="F100" s="594"/>
      <c r="G100" s="594"/>
      <c r="H100" s="594"/>
      <c r="I100" s="594"/>
      <c r="J100" s="594"/>
      <c r="K100" s="594"/>
      <c r="L100" s="594"/>
      <c r="M100" s="594"/>
      <c r="N100" s="594"/>
      <c r="O100" s="594"/>
      <c r="P100" s="594"/>
    </row>
    <row r="101" spans="1:16" ht="12.6" thickBot="1" x14ac:dyDescent="0.3">
      <c r="A101" s="592" t="s">
        <v>97</v>
      </c>
      <c r="B101" s="645">
        <f>+B97+B99</f>
        <v>0</v>
      </c>
      <c r="C101" s="645">
        <f t="shared" ref="C101:M101" si="44">+C97+C99</f>
        <v>0</v>
      </c>
      <c r="D101" s="645">
        <f t="shared" si="44"/>
        <v>9296</v>
      </c>
      <c r="E101" s="650">
        <f t="shared" si="44"/>
        <v>2319</v>
      </c>
      <c r="F101" s="650">
        <f t="shared" si="44"/>
        <v>2349.0000000000036</v>
      </c>
      <c r="G101" s="650">
        <f t="shared" si="44"/>
        <v>2119.4660000000003</v>
      </c>
      <c r="H101" s="650">
        <f t="shared" si="44"/>
        <v>2099.0811999999896</v>
      </c>
      <c r="I101" s="650">
        <f t="shared" si="44"/>
        <v>1754.4484299999931</v>
      </c>
      <c r="J101" s="650">
        <f t="shared" si="44"/>
        <v>257.9026757499928</v>
      </c>
      <c r="K101" s="650">
        <f t="shared" si="44"/>
        <v>1616.3260431129825</v>
      </c>
      <c r="L101" s="650">
        <f t="shared" si="44"/>
        <v>2186.3236586322787</v>
      </c>
      <c r="M101" s="650">
        <f t="shared" si="44"/>
        <v>1919.007045991752</v>
      </c>
      <c r="N101" s="650">
        <f t="shared" ref="N101:O101" si="45">+N97+N99</f>
        <v>2192.6260849556206</v>
      </c>
      <c r="O101" s="650">
        <f t="shared" si="45"/>
        <v>2548.6556543800439</v>
      </c>
      <c r="P101" s="650">
        <f t="shared" ref="P101" si="46">+P97+P99</f>
        <v>2994.3257380410273</v>
      </c>
    </row>
    <row r="103" spans="1:16" x14ac:dyDescent="0.25">
      <c r="A103" s="639" t="s">
        <v>98</v>
      </c>
      <c r="B103" s="590"/>
      <c r="C103" s="590">
        <f>B103-C83-C77</f>
        <v>0</v>
      </c>
      <c r="D103" s="590">
        <f>D50</f>
        <v>46112</v>
      </c>
      <c r="E103" s="590">
        <f>'GF &amp; FF  Bal Sheet'!E54+'GF &amp; FF  Bal Sheet'!E61</f>
        <v>17083</v>
      </c>
      <c r="F103" s="590">
        <f t="shared" ref="F103:P103" si="47">E103-F83-F77</f>
        <v>16670.944000000003</v>
      </c>
      <c r="G103" s="590">
        <f t="shared" si="47"/>
        <v>18265.229000000003</v>
      </c>
      <c r="H103" s="590">
        <f t="shared" si="47"/>
        <v>10983.402010000002</v>
      </c>
      <c r="I103" s="590">
        <f t="shared" si="47"/>
        <v>13278.223400300001</v>
      </c>
      <c r="J103" s="590">
        <f t="shared" si="47"/>
        <v>15652.568842309001</v>
      </c>
      <c r="K103" s="590">
        <f t="shared" si="47"/>
        <v>15874.401193158181</v>
      </c>
      <c r="L103" s="590">
        <f t="shared" si="47"/>
        <v>16100.670191024343</v>
      </c>
      <c r="M103" s="590">
        <f t="shared" si="47"/>
        <v>16331.46456884783</v>
      </c>
      <c r="N103" s="590">
        <f t="shared" si="47"/>
        <v>16566.874834227787</v>
      </c>
      <c r="O103" s="590">
        <f t="shared" si="47"/>
        <v>16806.993304915341</v>
      </c>
      <c r="P103" s="590">
        <f t="shared" si="47"/>
        <v>17051.914145016646</v>
      </c>
    </row>
    <row r="104" spans="1:16" x14ac:dyDescent="0.25">
      <c r="B104" s="590"/>
      <c r="C104" s="590"/>
      <c r="D104" s="590"/>
      <c r="E104" s="590"/>
      <c r="F104" s="590"/>
      <c r="G104" s="590"/>
      <c r="H104" s="590"/>
      <c r="I104" s="590"/>
      <c r="J104" s="590"/>
      <c r="K104" s="590"/>
      <c r="L104" s="590"/>
      <c r="M104" s="590"/>
      <c r="N104" s="590"/>
      <c r="O104" s="590"/>
      <c r="P104" s="590"/>
    </row>
    <row r="105" spans="1:16" ht="12.6" thickBot="1" x14ac:dyDescent="0.3">
      <c r="A105" s="592" t="s">
        <v>99</v>
      </c>
      <c r="B105" s="646">
        <f>+B101+B103</f>
        <v>0</v>
      </c>
      <c r="C105" s="646">
        <f t="shared" ref="C105:M105" si="48">+C101+C103</f>
        <v>0</v>
      </c>
      <c r="D105" s="646">
        <f t="shared" si="48"/>
        <v>55408</v>
      </c>
      <c r="E105" s="646">
        <f t="shared" si="48"/>
        <v>19402</v>
      </c>
      <c r="F105" s="646">
        <f t="shared" si="48"/>
        <v>19019.944000000007</v>
      </c>
      <c r="G105" s="646">
        <f t="shared" si="48"/>
        <v>20384.695000000003</v>
      </c>
      <c r="H105" s="646">
        <f t="shared" si="48"/>
        <v>13082.483209999991</v>
      </c>
      <c r="I105" s="646">
        <f t="shared" si="48"/>
        <v>15032.671830299994</v>
      </c>
      <c r="J105" s="595">
        <f t="shared" si="48"/>
        <v>15910.471518058994</v>
      </c>
      <c r="K105" s="595">
        <f t="shared" si="48"/>
        <v>17490.727236271163</v>
      </c>
      <c r="L105" s="595">
        <f t="shared" si="48"/>
        <v>18286.993849656621</v>
      </c>
      <c r="M105" s="595">
        <f t="shared" si="48"/>
        <v>18250.471614839582</v>
      </c>
      <c r="N105" s="595">
        <f t="shared" ref="N105:O105" si="49">+N101+N103</f>
        <v>18759.500919183407</v>
      </c>
      <c r="O105" s="595">
        <f t="shared" si="49"/>
        <v>19355.648959295384</v>
      </c>
      <c r="P105" s="595">
        <f t="shared" ref="P105" si="50">+P101+P103</f>
        <v>20046.239883057675</v>
      </c>
    </row>
    <row r="106" spans="1:16" ht="12.6" thickTop="1" x14ac:dyDescent="0.25"/>
    <row r="107" spans="1:16" ht="13.8" x14ac:dyDescent="0.3">
      <c r="A107" s="1091" t="s">
        <v>1365</v>
      </c>
    </row>
    <row r="108" spans="1:16" x14ac:dyDescent="0.25">
      <c r="A108" s="597" t="s">
        <v>1067</v>
      </c>
      <c r="B108" s="586" t="s">
        <v>69</v>
      </c>
      <c r="C108" s="586" t="s">
        <v>69</v>
      </c>
      <c r="D108" s="586" t="str">
        <f t="shared" ref="D108:P108" si="51">D55</f>
        <v>Actual</v>
      </c>
      <c r="E108" s="586" t="str">
        <f t="shared" si="51"/>
        <v>Actual</v>
      </c>
      <c r="F108" s="586" t="str">
        <f t="shared" si="51"/>
        <v>Budget</v>
      </c>
      <c r="G108" s="586" t="str">
        <f t="shared" si="51"/>
        <v>Budget</v>
      </c>
      <c r="H108" s="586" t="str">
        <f t="shared" si="51"/>
        <v>Projected</v>
      </c>
      <c r="I108" s="586" t="str">
        <f t="shared" si="51"/>
        <v>Projected</v>
      </c>
      <c r="J108" s="586" t="str">
        <f t="shared" si="51"/>
        <v>Projected</v>
      </c>
      <c r="K108" s="586" t="str">
        <f t="shared" si="51"/>
        <v>Projected</v>
      </c>
      <c r="L108" s="586" t="str">
        <f t="shared" si="51"/>
        <v>Projected</v>
      </c>
      <c r="M108" s="586" t="str">
        <f t="shared" si="51"/>
        <v>Projected</v>
      </c>
      <c r="N108" s="586" t="str">
        <f t="shared" si="51"/>
        <v>Projected</v>
      </c>
      <c r="O108" s="586" t="str">
        <f t="shared" si="51"/>
        <v>Projected</v>
      </c>
      <c r="P108" s="586" t="str">
        <f t="shared" si="51"/>
        <v>Projected</v>
      </c>
    </row>
    <row r="109" spans="1:16" x14ac:dyDescent="0.25">
      <c r="A109" s="585" t="s">
        <v>73</v>
      </c>
      <c r="B109" s="638" t="s">
        <v>68</v>
      </c>
      <c r="C109" s="586" t="s">
        <v>0</v>
      </c>
      <c r="D109" s="586" t="s">
        <v>1</v>
      </c>
      <c r="E109" s="586" t="s">
        <v>2</v>
      </c>
      <c r="F109" s="586" t="s">
        <v>3</v>
      </c>
      <c r="G109" s="586" t="s">
        <v>4</v>
      </c>
      <c r="H109" s="586" t="s">
        <v>5</v>
      </c>
      <c r="I109" s="586" t="s">
        <v>6</v>
      </c>
      <c r="J109" s="586" t="s">
        <v>7</v>
      </c>
      <c r="K109" s="586" t="s">
        <v>8</v>
      </c>
      <c r="L109" s="586" t="s">
        <v>9</v>
      </c>
      <c r="M109" s="586" t="s">
        <v>514</v>
      </c>
      <c r="N109" s="586" t="s">
        <v>515</v>
      </c>
      <c r="O109" s="586" t="s">
        <v>904</v>
      </c>
      <c r="P109" s="586" t="s">
        <v>1046</v>
      </c>
    </row>
    <row r="111" spans="1:16" x14ac:dyDescent="0.25">
      <c r="A111" s="592" t="s">
        <v>82</v>
      </c>
    </row>
    <row r="112" spans="1:16" x14ac:dyDescent="0.25">
      <c r="A112" s="640" t="s">
        <v>83</v>
      </c>
      <c r="B112" s="590"/>
      <c r="C112" s="590"/>
      <c r="D112" s="590"/>
      <c r="E112" s="590"/>
      <c r="F112" s="590"/>
      <c r="G112" s="590"/>
      <c r="H112" s="590"/>
      <c r="I112" s="590"/>
      <c r="J112" s="590"/>
      <c r="K112" s="590"/>
      <c r="L112" s="590"/>
      <c r="M112" s="590"/>
      <c r="N112" s="590"/>
      <c r="O112" s="590"/>
      <c r="P112" s="590"/>
    </row>
    <row r="113" spans="1:16" x14ac:dyDescent="0.25">
      <c r="A113" s="639" t="s">
        <v>11</v>
      </c>
      <c r="B113" s="594"/>
      <c r="C113" s="594">
        <f t="shared" ref="C113:E118" si="52">C60</f>
        <v>0</v>
      </c>
      <c r="D113" s="594">
        <f t="shared" si="52"/>
        <v>18724</v>
      </c>
      <c r="E113" s="594">
        <f t="shared" si="52"/>
        <v>18207</v>
      </c>
      <c r="F113" s="594">
        <f>+'GF &amp; FF  Inc Exp Statement'!F153</f>
        <v>14450.315000000001</v>
      </c>
      <c r="G113" s="594">
        <f>+'GF &amp; FF  Inc Exp Statement'!G153</f>
        <v>16122.328500000001</v>
      </c>
      <c r="H113" s="594">
        <f>+'GF &amp; FF  Inc Exp Statement'!H153</f>
        <v>16449.500283500001</v>
      </c>
      <c r="I113" s="594">
        <f>+'GF &amp; FF  Inc Exp Statement'!I153</f>
        <v>17827.920834337499</v>
      </c>
      <c r="J113" s="594">
        <f>+'GF &amp; FF  Inc Exp Statement'!J153</f>
        <v>18677.443530195935</v>
      </c>
      <c r="K113" s="594">
        <f>+'GF &amp; FF  Inc Exp Statement'!K153</f>
        <v>18584.194576458645</v>
      </c>
      <c r="L113" s="594">
        <f>+'GF &amp; FF  Inc Exp Statement'!L153</f>
        <v>19048.799440870109</v>
      </c>
      <c r="M113" s="594">
        <f>+'GF &amp; FF  Inc Exp Statement'!M153</f>
        <v>19125.360105834112</v>
      </c>
      <c r="N113" s="594">
        <f>+'GF &amp; FF  Inc Exp Statement'!N153</f>
        <v>19603.494108479965</v>
      </c>
      <c r="O113" s="594">
        <f>+'GF &amp; FF  Inc Exp Statement'!O153</f>
        <v>18795.068573170767</v>
      </c>
      <c r="P113" s="594">
        <f>+'GF &amp; FF  Inc Exp Statement'!P153</f>
        <v>17257.126597965384</v>
      </c>
    </row>
    <row r="114" spans="1:16" x14ac:dyDescent="0.25">
      <c r="A114" s="639" t="s">
        <v>12</v>
      </c>
      <c r="B114" s="594"/>
      <c r="C114" s="594">
        <f t="shared" si="52"/>
        <v>0</v>
      </c>
      <c r="D114" s="594">
        <f t="shared" si="52"/>
        <v>11585</v>
      </c>
      <c r="E114" s="594">
        <f t="shared" si="52"/>
        <v>10646</v>
      </c>
      <c r="F114" s="594">
        <f>+'GF &amp; FF  Inc Exp Statement'!F154</f>
        <v>9486.969000000001</v>
      </c>
      <c r="G114" s="594">
        <f>+'GF &amp; FF  Inc Exp Statement'!G154</f>
        <v>9897.5250000000015</v>
      </c>
      <c r="H114" s="594">
        <f>+'GF &amp; FF  Inc Exp Statement'!H154</f>
        <v>9797.2430000000004</v>
      </c>
      <c r="I114" s="594">
        <f>+'GF &amp; FF  Inc Exp Statement'!I154</f>
        <v>10156.66</v>
      </c>
      <c r="J114" s="594">
        <f>+'GF &amp; FF  Inc Exp Statement'!J154</f>
        <v>10598.714</v>
      </c>
      <c r="K114" s="594">
        <f>+'GF &amp; FF  Inc Exp Statement'!K154</f>
        <v>10810.68828</v>
      </c>
      <c r="L114" s="594">
        <f>+'GF &amp; FF  Inc Exp Statement'!L154</f>
        <v>11026.9020456</v>
      </c>
      <c r="M114" s="594">
        <f>+'GF &amp; FF  Inc Exp Statement'!M154</f>
        <v>11247.440086512001</v>
      </c>
      <c r="N114" s="594">
        <f>+'GF &amp; FF  Inc Exp Statement'!N154</f>
        <v>11472.38888824224</v>
      </c>
      <c r="O114" s="594">
        <f>+'GF &amp; FF  Inc Exp Statement'!O154</f>
        <v>11701.836666007086</v>
      </c>
      <c r="P114" s="594">
        <f>+'GF &amp; FF  Inc Exp Statement'!P154</f>
        <v>11935.873399327229</v>
      </c>
    </row>
    <row r="115" spans="1:16" x14ac:dyDescent="0.25">
      <c r="A115" s="639" t="s">
        <v>84</v>
      </c>
      <c r="B115" s="594"/>
      <c r="C115" s="594">
        <f t="shared" si="52"/>
        <v>0</v>
      </c>
      <c r="D115" s="594">
        <f t="shared" si="52"/>
        <v>2499</v>
      </c>
      <c r="E115" s="594">
        <f t="shared" si="52"/>
        <v>2571</v>
      </c>
      <c r="F115" s="594">
        <f>+'GF &amp; FF  Inc Exp Statement'!F155</f>
        <v>931.5</v>
      </c>
      <c r="G115" s="594">
        <f>+'GF &amp; FF  Inc Exp Statement'!G155</f>
        <v>938.20899999999995</v>
      </c>
      <c r="H115" s="594">
        <f>+'GF &amp; FF  Inc Exp Statement'!H155</f>
        <v>947.19299999999998</v>
      </c>
      <c r="I115" s="594">
        <f>+'GF &amp; FF  Inc Exp Statement'!I155</f>
        <v>956.88900000000001</v>
      </c>
      <c r="J115" s="594">
        <f>+'GF &amp; FF  Inc Exp Statement'!J155</f>
        <v>965.43299999999999</v>
      </c>
      <c r="K115" s="594">
        <f>+'GF &amp; FF  Inc Exp Statement'!K155</f>
        <v>879.29486664369801</v>
      </c>
      <c r="L115" s="594">
        <f>+'GF &amp; FF  Inc Exp Statement'!L155</f>
        <v>908.81266794835881</v>
      </c>
      <c r="M115" s="594">
        <f>+'GF &amp; FF  Inc Exp Statement'!M155</f>
        <v>943.02786427007584</v>
      </c>
      <c r="N115" s="594">
        <f>+'GF &amp; FF  Inc Exp Statement'!N155</f>
        <v>966.1976963611213</v>
      </c>
      <c r="O115" s="594">
        <f>+'GF &amp; FF  Inc Exp Statement'!O155</f>
        <v>993.523037582896</v>
      </c>
      <c r="P115" s="594">
        <f>+'GF &amp; FF  Inc Exp Statement'!P155</f>
        <v>973.27580415601676</v>
      </c>
    </row>
    <row r="116" spans="1:16" x14ac:dyDescent="0.25">
      <c r="A116" s="639" t="s">
        <v>85</v>
      </c>
      <c r="B116" s="594"/>
      <c r="C116" s="594">
        <f t="shared" si="52"/>
        <v>0</v>
      </c>
      <c r="D116" s="594">
        <f t="shared" si="52"/>
        <v>26703</v>
      </c>
      <c r="E116" s="594">
        <f t="shared" si="52"/>
        <v>24423</v>
      </c>
      <c r="F116" s="594">
        <f>+'GF &amp; FF  Inc Exp Statement'!F157+'GF &amp; FF  Inc Exp Statement'!F158</f>
        <v>9072.7510000000002</v>
      </c>
      <c r="G116" s="594">
        <f>+'GF &amp; FF  Inc Exp Statement'!G157+'GF &amp; FF  Inc Exp Statement'!G158</f>
        <v>9238.8559999999998</v>
      </c>
      <c r="H116" s="594">
        <f>+'GF &amp; FF  Inc Exp Statement'!H157+'GF &amp; FF  Inc Exp Statement'!H158</f>
        <v>9391.7220099999995</v>
      </c>
      <c r="I116" s="594">
        <f>+'GF &amp; FF  Inc Exp Statement'!I157+'GF &amp; FF  Inc Exp Statement'!I158</f>
        <v>13046.048015299999</v>
      </c>
      <c r="J116" s="594">
        <f>+'GF &amp; FF  Inc Exp Statement'!J157+'GF &amp; FF  Inc Exp Statement'!J158</f>
        <v>9704.0470926340004</v>
      </c>
      <c r="K116" s="594">
        <f>+'GF &amp; FF  Inc Exp Statement'!K157+'GF &amp; FF  Inc Exp Statement'!K158</f>
        <v>9926.8368632866805</v>
      </c>
      <c r="L116" s="594">
        <f>+'GF &amp; FF  Inc Exp Statement'!L157+'GF &amp; FF  Inc Exp Statement'!L158</f>
        <v>10154.800150072413</v>
      </c>
      <c r="M116" s="594">
        <f>+'GF &amp; FF  Inc Exp Statement'!M157+'GF &amp; FF  Inc Exp Statement'!M158</f>
        <v>10388.058366331861</v>
      </c>
      <c r="N116" s="594">
        <f>+'GF &amp; FF  Inc Exp Statement'!N157+'GF &amp; FF  Inc Exp Statement'!N158</f>
        <v>10626.735802247949</v>
      </c>
      <c r="O116" s="594">
        <f>+'GF &amp; FF  Inc Exp Statement'!O157+'GF &amp; FF  Inc Exp Statement'!O158</f>
        <v>10870.959693597093</v>
      </c>
      <c r="P116" s="594">
        <f>+'GF &amp; FF  Inc Exp Statement'!P157+'GF &amp; FF  Inc Exp Statement'!P158</f>
        <v>11120.860292155827</v>
      </c>
    </row>
    <row r="117" spans="1:16" x14ac:dyDescent="0.25">
      <c r="A117" s="639" t="s">
        <v>86</v>
      </c>
      <c r="B117" s="594"/>
      <c r="C117" s="594">
        <f t="shared" si="52"/>
        <v>0</v>
      </c>
      <c r="D117" s="594">
        <f t="shared" si="52"/>
        <v>97</v>
      </c>
      <c r="E117" s="594">
        <f t="shared" si="52"/>
        <v>296</v>
      </c>
      <c r="F117" s="594">
        <v>0</v>
      </c>
      <c r="G117" s="594">
        <v>0</v>
      </c>
      <c r="H117" s="594">
        <v>0</v>
      </c>
      <c r="I117" s="594">
        <v>0</v>
      </c>
      <c r="J117" s="594">
        <v>0</v>
      </c>
      <c r="K117" s="594">
        <v>0</v>
      </c>
      <c r="L117" s="594">
        <v>0</v>
      </c>
      <c r="M117" s="594">
        <v>0</v>
      </c>
      <c r="N117" s="594">
        <v>0</v>
      </c>
      <c r="O117" s="594">
        <v>0</v>
      </c>
      <c r="P117" s="594">
        <v>0</v>
      </c>
    </row>
    <row r="118" spans="1:16" x14ac:dyDescent="0.25">
      <c r="A118" s="639" t="s">
        <v>41</v>
      </c>
      <c r="B118" s="594"/>
      <c r="C118" s="594">
        <f t="shared" si="52"/>
        <v>0</v>
      </c>
      <c r="D118" s="594">
        <f t="shared" si="52"/>
        <v>5309</v>
      </c>
      <c r="E118" s="594">
        <f t="shared" si="52"/>
        <v>4000</v>
      </c>
      <c r="F118" s="594">
        <f>+'GF &amp; FF  Inc Exp Statement'!F156+'GF &amp; FF  Inc Exp Statement'!F159</f>
        <v>7207.8899999999994</v>
      </c>
      <c r="G118" s="594">
        <f>+'GF &amp; FF  Inc Exp Statement'!G156+'GF &amp; FF  Inc Exp Statement'!G159</f>
        <v>7469.6399999999994</v>
      </c>
      <c r="H118" s="594">
        <f>+'GF &amp; FF  Inc Exp Statement'!H156+'GF &amp; FF  Inc Exp Statement'!H159</f>
        <v>7703.4269999999997</v>
      </c>
      <c r="I118" s="594">
        <f>+'GF &amp; FF  Inc Exp Statement'!I156+'GF &amp; FF  Inc Exp Statement'!I159</f>
        <v>7939.5569999999998</v>
      </c>
      <c r="J118" s="594">
        <f>+'GF &amp; FF  Inc Exp Statement'!J156+'GF &amp; FF  Inc Exp Statement'!J159</f>
        <v>8034.5349999999999</v>
      </c>
      <c r="K118" s="594">
        <f>+'GF &amp; FF  Inc Exp Statement'!K156+'GF &amp; FF  Inc Exp Statement'!K159</f>
        <v>8195.2257000000009</v>
      </c>
      <c r="L118" s="594">
        <f>+'GF &amp; FF  Inc Exp Statement'!L156+'GF &amp; FF  Inc Exp Statement'!L159</f>
        <v>8359.1302140000007</v>
      </c>
      <c r="M118" s="594">
        <f>+'GF &amp; FF  Inc Exp Statement'!M156+'GF &amp; FF  Inc Exp Statement'!M159</f>
        <v>8526.3128182800028</v>
      </c>
      <c r="N118" s="594">
        <f>+'GF &amp; FF  Inc Exp Statement'!N156+'GF &amp; FF  Inc Exp Statement'!N159</f>
        <v>8696.8390746456025</v>
      </c>
      <c r="O118" s="594">
        <f>+'GF &amp; FF  Inc Exp Statement'!O156+'GF &amp; FF  Inc Exp Statement'!O159</f>
        <v>8870.7758561385144</v>
      </c>
      <c r="P118" s="594">
        <f>+'GF &amp; FF  Inc Exp Statement'!P156+'GF &amp; FF  Inc Exp Statement'!P159</f>
        <v>9048.1913732612848</v>
      </c>
    </row>
    <row r="119" spans="1:16" x14ac:dyDescent="0.25"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</row>
    <row r="120" spans="1:16" x14ac:dyDescent="0.25">
      <c r="A120" s="640" t="s">
        <v>87</v>
      </c>
      <c r="B120" s="594"/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</row>
    <row r="121" spans="1:16" x14ac:dyDescent="0.25">
      <c r="A121" s="639" t="s">
        <v>25</v>
      </c>
      <c r="B121" s="594"/>
      <c r="C121" s="594">
        <f t="shared" ref="C121:E122" si="53">C68</f>
        <v>0</v>
      </c>
      <c r="D121" s="594">
        <f t="shared" si="53"/>
        <v>-12900</v>
      </c>
      <c r="E121" s="594">
        <f t="shared" si="53"/>
        <v>-12519</v>
      </c>
      <c r="F121" s="594">
        <f>-'GF &amp; FF  Inc Exp Statement'!F167</f>
        <v>-11311.316000000001</v>
      </c>
      <c r="G121" s="594">
        <f>-'GF &amp; FF  Inc Exp Statement'!G167</f>
        <v>-11644.458000000001</v>
      </c>
      <c r="H121" s="594">
        <f>-'GF &amp; FF  Inc Exp Statement'!H167</f>
        <v>-11891.706</v>
      </c>
      <c r="I121" s="594">
        <f>-'GF &amp; FF  Inc Exp Statement'!I167</f>
        <v>-12397.860999999999</v>
      </c>
      <c r="J121" s="594">
        <f>-'GF &amp; FF  Inc Exp Statement'!J167</f>
        <v>-12951.976000000001</v>
      </c>
      <c r="K121" s="594">
        <f>-'GF &amp; FF  Inc Exp Statement'!K167</f>
        <v>-13340.53528</v>
      </c>
      <c r="L121" s="594">
        <f>-'GF &amp; FF  Inc Exp Statement'!L167</f>
        <v>-13740.751338400001</v>
      </c>
      <c r="M121" s="594">
        <f>-'GF &amp; FF  Inc Exp Statement'!M167</f>
        <v>-14152.973878552002</v>
      </c>
      <c r="N121" s="594">
        <f>-'GF &amp; FF  Inc Exp Statement'!N167</f>
        <v>-14577.563094908561</v>
      </c>
      <c r="O121" s="594">
        <f>-'GF &amp; FF  Inc Exp Statement'!O167</f>
        <v>-15014.88998775582</v>
      </c>
      <c r="P121" s="594">
        <f>-'GF &amp; FF  Inc Exp Statement'!P167</f>
        <v>-15465.336687388493</v>
      </c>
    </row>
    <row r="122" spans="1:16" x14ac:dyDescent="0.25">
      <c r="A122" s="639" t="s">
        <v>27</v>
      </c>
      <c r="B122" s="594"/>
      <c r="C122" s="594">
        <f t="shared" si="53"/>
        <v>0</v>
      </c>
      <c r="D122" s="594">
        <f t="shared" si="53"/>
        <v>-9702</v>
      </c>
      <c r="E122" s="594">
        <f t="shared" si="53"/>
        <v>-12687</v>
      </c>
      <c r="F122" s="594">
        <f>-'GF &amp; FF  Inc Exp Statement'!F169-'GF &amp; FF  Inc Exp Statement'!F170</f>
        <v>-14253.201000000001</v>
      </c>
      <c r="G122" s="594">
        <f>-'GF &amp; FF  Inc Exp Statement'!G169-'GF &amp; FF  Inc Exp Statement'!G170</f>
        <v>-14845.944</v>
      </c>
      <c r="H122" s="594">
        <f>-'GF &amp; FF  Inc Exp Statement'!H169-'GF &amp; FF  Inc Exp Statement'!H170</f>
        <v>-15229.583000000002</v>
      </c>
      <c r="I122" s="594">
        <f>-'GF &amp; FF  Inc Exp Statement'!I169-'GF &amp; FF  Inc Exp Statement'!I170</f>
        <v>-15698.798000000001</v>
      </c>
      <c r="J122" s="594">
        <f>-'GF &amp; FF  Inc Exp Statement'!J169-'GF &amp; FF  Inc Exp Statement'!J170</f>
        <v>-16502.347999999998</v>
      </c>
      <c r="K122" s="594">
        <f>-'GF &amp; FF  Inc Exp Statement'!K169-'GF &amp; FF  Inc Exp Statement'!K170</f>
        <v>-16832.394959999998</v>
      </c>
      <c r="L122" s="594">
        <f>-'GF &amp; FF  Inc Exp Statement'!L169-'GF &amp; FF  Inc Exp Statement'!L170</f>
        <v>-17169.042859199999</v>
      </c>
      <c r="M122" s="594">
        <f>-'GF &amp; FF  Inc Exp Statement'!M169-'GF &amp; FF  Inc Exp Statement'!M170</f>
        <v>-17512.423716384001</v>
      </c>
      <c r="N122" s="594">
        <f>-'GF &amp; FF  Inc Exp Statement'!N169-'GF &amp; FF  Inc Exp Statement'!N170</f>
        <v>-17862.672190711681</v>
      </c>
      <c r="O122" s="594">
        <f>-'GF &amp; FF  Inc Exp Statement'!O169-'GF &amp; FF  Inc Exp Statement'!O170</f>
        <v>-18219.925634525913</v>
      </c>
      <c r="P122" s="594">
        <f>-'GF &amp; FF  Inc Exp Statement'!P169-'GF &amp; FF  Inc Exp Statement'!P170</f>
        <v>-18584.324147216434</v>
      </c>
    </row>
    <row r="123" spans="1:16" x14ac:dyDescent="0.25">
      <c r="A123" s="639" t="s">
        <v>926</v>
      </c>
      <c r="B123" s="594"/>
      <c r="C123" s="594"/>
      <c r="D123" s="594">
        <f>D70</f>
        <v>-639</v>
      </c>
      <c r="E123" s="594">
        <f t="shared" ref="E123" si="54">E70</f>
        <v>-634</v>
      </c>
      <c r="F123" s="594">
        <f>-'GF &amp; FF  Inc Exp Statement'!F168</f>
        <v>-1500.3620000000001</v>
      </c>
      <c r="G123" s="594">
        <f>-'GF &amp; FF  Inc Exp Statement'!G168</f>
        <v>-1497.172</v>
      </c>
      <c r="H123" s="594">
        <f>-'GF &amp; FF  Inc Exp Statement'!H168</f>
        <v>-1494.3220000000001</v>
      </c>
      <c r="I123" s="594">
        <f>-'GF &amp; FF  Inc Exp Statement'!I168</f>
        <v>-1911.231</v>
      </c>
      <c r="J123" s="594">
        <f>-'GF &amp; FF  Inc Exp Statement'!J168</f>
        <v>-2341.6210000000001</v>
      </c>
      <c r="K123" s="594">
        <f>-'GF &amp; FF  Inc Exp Statement'!K168</f>
        <v>-2301.9348808</v>
      </c>
      <c r="L123" s="594">
        <f>-'GF &amp; FF  Inc Exp Statement'!L168</f>
        <v>-2261.4550392159999</v>
      </c>
      <c r="M123" s="594">
        <f>-'GF &amp; FF  Inc Exp Statement'!M168</f>
        <v>-2220.1656008003201</v>
      </c>
      <c r="N123" s="594">
        <f>-'GF &amp; FF  Inc Exp Statement'!N168</f>
        <v>-2178.0503736163264</v>
      </c>
      <c r="O123" s="594">
        <f>-'GF &amp; FF  Inc Exp Statement'!O168</f>
        <v>-2135.0928418886529</v>
      </c>
      <c r="P123" s="594">
        <f>-'GF &amp; FF  Inc Exp Statement'!P168</f>
        <v>-2091.276159526426</v>
      </c>
    </row>
    <row r="124" spans="1:16" x14ac:dyDescent="0.25">
      <c r="A124" s="639" t="s">
        <v>88</v>
      </c>
      <c r="B124" s="594"/>
      <c r="C124" s="594">
        <f>C71</f>
        <v>0</v>
      </c>
      <c r="D124" s="594">
        <f>D71</f>
        <v>-79</v>
      </c>
      <c r="E124" s="594">
        <f>E71</f>
        <v>-305</v>
      </c>
      <c r="F124" s="594">
        <v>0</v>
      </c>
      <c r="G124" s="594">
        <v>0</v>
      </c>
      <c r="H124" s="594">
        <v>0</v>
      </c>
      <c r="I124" s="594">
        <v>0</v>
      </c>
      <c r="J124" s="594">
        <v>0</v>
      </c>
      <c r="K124" s="594">
        <v>0</v>
      </c>
      <c r="L124" s="594">
        <v>0</v>
      </c>
      <c r="M124" s="594">
        <v>0</v>
      </c>
      <c r="N124" s="594">
        <v>0</v>
      </c>
      <c r="O124" s="594">
        <v>0</v>
      </c>
      <c r="P124" s="594">
        <v>0</v>
      </c>
    </row>
    <row r="125" spans="1:16" x14ac:dyDescent="0.25">
      <c r="A125" s="641" t="s">
        <v>41</v>
      </c>
      <c r="B125" s="591"/>
      <c r="C125" s="594">
        <f>C72</f>
        <v>0</v>
      </c>
      <c r="D125" s="594">
        <f>D72</f>
        <v>-7816</v>
      </c>
      <c r="E125" s="594">
        <f>E72</f>
        <v>-9383</v>
      </c>
      <c r="F125" s="591">
        <f>-'GF &amp; FF  Inc Exp Statement'!F174</f>
        <v>-2645.893</v>
      </c>
      <c r="G125" s="591">
        <f>-'GF &amp; FF  Inc Exp Statement'!G174</f>
        <v>-2775.2309999999998</v>
      </c>
      <c r="H125" s="591">
        <f>-'GF &amp; FF  Inc Exp Statement'!H174</f>
        <v>-2825.77</v>
      </c>
      <c r="I125" s="591">
        <f>-'GF &amp; FF  Inc Exp Statement'!I174</f>
        <v>-2900.8040000000001</v>
      </c>
      <c r="J125" s="591">
        <f>-'GF &amp; FF  Inc Exp Statement'!J174</f>
        <v>-3049.8710000000001</v>
      </c>
      <c r="K125" s="591">
        <f>-'GF &amp; FF  Inc Exp Statement'!K174</f>
        <v>-3110.8684199999998</v>
      </c>
      <c r="L125" s="591">
        <f>-'GF &amp; FF  Inc Exp Statement'!L174</f>
        <v>-3173.0857883999997</v>
      </c>
      <c r="M125" s="591">
        <f>-'GF &amp; FF  Inc Exp Statement'!M174</f>
        <v>-3236.5475041680002</v>
      </c>
      <c r="N125" s="591">
        <f>-'GF &amp; FF  Inc Exp Statement'!N174</f>
        <v>-3301.27845425136</v>
      </c>
      <c r="O125" s="591">
        <f>-'GF &amp; FF  Inc Exp Statement'!O174</f>
        <v>-3367.3040233363872</v>
      </c>
      <c r="P125" s="591">
        <f>-'GF &amp; FF  Inc Exp Statement'!P174</f>
        <v>-3434.6501038031147</v>
      </c>
    </row>
    <row r="126" spans="1:16" x14ac:dyDescent="0.25">
      <c r="A126" s="642" t="s">
        <v>89</v>
      </c>
      <c r="B126" s="643">
        <f>SUM(B113:B125)</f>
        <v>0</v>
      </c>
      <c r="C126" s="643">
        <f t="shared" ref="C126:M126" si="55">SUM(C113:C125)</f>
        <v>0</v>
      </c>
      <c r="D126" s="643">
        <f t="shared" si="55"/>
        <v>33781</v>
      </c>
      <c r="E126" s="643">
        <f t="shared" si="55"/>
        <v>24615</v>
      </c>
      <c r="F126" s="643">
        <f t="shared" si="55"/>
        <v>11438.653000000002</v>
      </c>
      <c r="G126" s="643">
        <f t="shared" si="55"/>
        <v>12903.753500000001</v>
      </c>
      <c r="H126" s="643">
        <f t="shared" si="55"/>
        <v>12847.704293499999</v>
      </c>
      <c r="I126" s="643">
        <f t="shared" si="55"/>
        <v>17018.380849637502</v>
      </c>
      <c r="J126" s="643">
        <f t="shared" si="55"/>
        <v>13134.356622829939</v>
      </c>
      <c r="K126" s="643">
        <f t="shared" si="55"/>
        <v>12810.506745589024</v>
      </c>
      <c r="L126" s="643">
        <f t="shared" si="55"/>
        <v>13154.10949327488</v>
      </c>
      <c r="M126" s="643">
        <f t="shared" si="55"/>
        <v>13108.08854132373</v>
      </c>
      <c r="N126" s="643">
        <f t="shared" ref="N126:O126" si="56">SUM(N113:N125)</f>
        <v>13446.091456488952</v>
      </c>
      <c r="O126" s="643">
        <f t="shared" si="56"/>
        <v>12494.95133898958</v>
      </c>
      <c r="P126" s="643">
        <f t="shared" ref="P126" si="57">SUM(P113:P125)</f>
        <v>10759.74036893127</v>
      </c>
    </row>
    <row r="127" spans="1:16" x14ac:dyDescent="0.25">
      <c r="B127" s="590"/>
      <c r="C127" s="590"/>
      <c r="D127" s="590"/>
      <c r="E127" s="590"/>
      <c r="F127" s="590"/>
      <c r="G127" s="590"/>
      <c r="H127" s="590"/>
      <c r="I127" s="590"/>
      <c r="J127" s="590"/>
      <c r="K127" s="590"/>
      <c r="L127" s="590"/>
      <c r="M127" s="590"/>
      <c r="N127" s="590"/>
      <c r="O127" s="590"/>
      <c r="P127" s="590"/>
    </row>
    <row r="128" spans="1:16" x14ac:dyDescent="0.25">
      <c r="A128" s="592" t="s">
        <v>90</v>
      </c>
      <c r="B128" s="590"/>
      <c r="C128" s="590"/>
      <c r="D128" s="590"/>
      <c r="E128" s="590"/>
      <c r="F128" s="590"/>
      <c r="G128" s="590"/>
      <c r="H128" s="590"/>
      <c r="I128" s="590"/>
      <c r="J128" s="590"/>
      <c r="K128" s="590"/>
      <c r="L128" s="590"/>
      <c r="M128" s="590"/>
      <c r="N128" s="590"/>
      <c r="O128" s="590"/>
      <c r="P128" s="590"/>
    </row>
    <row r="129" spans="1:16" x14ac:dyDescent="0.25">
      <c r="A129" s="640" t="s">
        <v>83</v>
      </c>
      <c r="B129" s="590"/>
      <c r="C129" s="590"/>
      <c r="D129" s="590"/>
      <c r="E129" s="590"/>
      <c r="F129" s="590"/>
      <c r="G129" s="590"/>
      <c r="H129" s="590"/>
      <c r="I129" s="590"/>
      <c r="J129" s="590"/>
      <c r="K129" s="590"/>
      <c r="L129" s="590"/>
      <c r="M129" s="590"/>
      <c r="N129" s="590"/>
      <c r="O129" s="590"/>
      <c r="P129" s="590"/>
    </row>
    <row r="130" spans="1:16" x14ac:dyDescent="0.25">
      <c r="A130" s="639" t="s">
        <v>431</v>
      </c>
      <c r="B130" s="590"/>
      <c r="C130" s="590">
        <f>C77</f>
        <v>0</v>
      </c>
      <c r="D130" s="594">
        <f>D77</f>
        <v>7491</v>
      </c>
      <c r="E130" s="594">
        <f>E77</f>
        <v>8839</v>
      </c>
      <c r="F130" s="594">
        <f>'GF &amp; FF  Inc Exp Statement'!F207</f>
        <v>2262.9380000000001</v>
      </c>
      <c r="G130" s="594">
        <f>'GF &amp; FF  Inc Exp Statement'!G207</f>
        <v>550</v>
      </c>
      <c r="H130" s="594">
        <f>'GF &amp; FF  Inc Exp Statement'!H207</f>
        <v>11000</v>
      </c>
      <c r="I130" s="594">
        <f>'GF &amp; FF  Inc Exp Statement'!I207</f>
        <v>0</v>
      </c>
      <c r="J130" s="594">
        <f>'GF &amp; FF  Inc Exp Statement'!J207</f>
        <v>0</v>
      </c>
      <c r="K130" s="594">
        <f>'GF &amp; FF  Inc Exp Statement'!K207</f>
        <v>2200</v>
      </c>
      <c r="L130" s="594">
        <f>'GF &amp; FF  Inc Exp Statement'!L207</f>
        <v>2244</v>
      </c>
      <c r="M130" s="594">
        <f>'GF &amp; FF  Inc Exp Statement'!M207</f>
        <v>2288.88</v>
      </c>
      <c r="N130" s="594">
        <f>'GF &amp; FF  Inc Exp Statement'!N207</f>
        <v>2334.6576</v>
      </c>
      <c r="O130" s="594">
        <f>'GF &amp; FF  Inc Exp Statement'!O207</f>
        <v>2381.3507520000003</v>
      </c>
      <c r="P130" s="594">
        <f>'GF &amp; FF  Inc Exp Statement'!P207</f>
        <v>2428.9777670400003</v>
      </c>
    </row>
    <row r="131" spans="1:16" x14ac:dyDescent="0.25">
      <c r="A131" s="594" t="str">
        <f>A78</f>
        <v>Sale of Investment Property</v>
      </c>
      <c r="B131" s="590"/>
      <c r="C131" s="590"/>
      <c r="D131" s="594">
        <f t="shared" ref="D131:E133" si="58">D78</f>
        <v>0</v>
      </c>
      <c r="E131" s="594">
        <f t="shared" si="58"/>
        <v>0</v>
      </c>
      <c r="F131" s="594">
        <f t="shared" ref="F131:P131" si="59">F78</f>
        <v>0</v>
      </c>
      <c r="G131" s="594">
        <f t="shared" si="59"/>
        <v>0</v>
      </c>
      <c r="H131" s="594">
        <f t="shared" si="59"/>
        <v>0</v>
      </c>
      <c r="I131" s="594">
        <f t="shared" si="59"/>
        <v>0</v>
      </c>
      <c r="J131" s="594">
        <f t="shared" si="59"/>
        <v>0</v>
      </c>
      <c r="K131" s="594">
        <f t="shared" si="59"/>
        <v>0</v>
      </c>
      <c r="L131" s="594">
        <f t="shared" si="59"/>
        <v>0</v>
      </c>
      <c r="M131" s="594">
        <f t="shared" si="59"/>
        <v>0</v>
      </c>
      <c r="N131" s="594">
        <f t="shared" si="59"/>
        <v>0</v>
      </c>
      <c r="O131" s="594">
        <f t="shared" si="59"/>
        <v>0</v>
      </c>
      <c r="P131" s="594">
        <f t="shared" si="59"/>
        <v>0</v>
      </c>
    </row>
    <row r="132" spans="1:16" x14ac:dyDescent="0.25">
      <c r="A132" s="639" t="s">
        <v>91</v>
      </c>
      <c r="B132" s="594"/>
      <c r="C132" s="590">
        <f>C79</f>
        <v>0</v>
      </c>
      <c r="D132" s="594">
        <f t="shared" si="58"/>
        <v>0</v>
      </c>
      <c r="E132" s="594">
        <f t="shared" si="58"/>
        <v>0</v>
      </c>
      <c r="F132" s="594">
        <v>0</v>
      </c>
      <c r="G132" s="594">
        <v>0</v>
      </c>
      <c r="H132" s="594">
        <v>0</v>
      </c>
      <c r="I132" s="594">
        <v>0</v>
      </c>
      <c r="J132" s="594">
        <v>0</v>
      </c>
      <c r="K132" s="594">
        <v>0</v>
      </c>
      <c r="L132" s="594">
        <v>0</v>
      </c>
      <c r="M132" s="594">
        <v>0</v>
      </c>
      <c r="N132" s="594">
        <v>0</v>
      </c>
      <c r="O132" s="594">
        <v>0</v>
      </c>
      <c r="P132" s="594">
        <v>0</v>
      </c>
    </row>
    <row r="133" spans="1:16" x14ac:dyDescent="0.25">
      <c r="A133" s="639" t="s">
        <v>92</v>
      </c>
      <c r="B133" s="594"/>
      <c r="C133" s="590">
        <f>C80</f>
        <v>0</v>
      </c>
      <c r="D133" s="594">
        <f t="shared" si="58"/>
        <v>167</v>
      </c>
      <c r="E133" s="594">
        <f t="shared" si="58"/>
        <v>339</v>
      </c>
      <c r="F133" s="594">
        <f>'GF &amp; FF  Inc Exp Statement'!F209</f>
        <v>70</v>
      </c>
      <c r="G133" s="594">
        <f>'GF &amp; FF  Inc Exp Statement'!G209</f>
        <v>70</v>
      </c>
      <c r="H133" s="594">
        <f>'GF &amp; FF  Inc Exp Statement'!H209</f>
        <v>1570</v>
      </c>
      <c r="I133" s="594">
        <f>'GF &amp; FF  Inc Exp Statement'!I209</f>
        <v>70</v>
      </c>
      <c r="J133" s="594">
        <f>'GF &amp; FF  Inc Exp Statement'!J209</f>
        <v>70</v>
      </c>
      <c r="K133" s="594">
        <f>'GF &amp; FF  Inc Exp Statement'!K209</f>
        <v>71.400000000000006</v>
      </c>
      <c r="L133" s="594">
        <f>'GF &amp; FF  Inc Exp Statement'!L209</f>
        <v>72.828000000000003</v>
      </c>
      <c r="M133" s="594">
        <f>'GF &amp; FF  Inc Exp Statement'!M209</f>
        <v>74.284559999999999</v>
      </c>
      <c r="N133" s="594">
        <f>'GF &amp; FF  Inc Exp Statement'!N209</f>
        <v>75.770251200000004</v>
      </c>
      <c r="O133" s="594">
        <f>'GF &amp; FF  Inc Exp Statement'!O209</f>
        <v>77.285656224000007</v>
      </c>
      <c r="P133" s="594">
        <f>'GF &amp; FF  Inc Exp Statement'!P209</f>
        <v>78.83136934848001</v>
      </c>
    </row>
    <row r="134" spans="1:16" x14ac:dyDescent="0.25">
      <c r="B134" s="594"/>
      <c r="C134" s="594"/>
      <c r="D134" s="594"/>
      <c r="E134" s="594"/>
      <c r="F134" s="594"/>
      <c r="G134" s="594"/>
      <c r="H134" s="594"/>
      <c r="I134" s="594"/>
      <c r="J134" s="594"/>
      <c r="K134" s="594"/>
      <c r="L134" s="594"/>
      <c r="M134" s="594"/>
      <c r="N134" s="594"/>
      <c r="O134" s="594"/>
      <c r="P134" s="594"/>
    </row>
    <row r="135" spans="1:16" x14ac:dyDescent="0.25">
      <c r="A135" s="640" t="s">
        <v>87</v>
      </c>
      <c r="B135" s="594"/>
      <c r="C135" s="594"/>
      <c r="D135" s="594"/>
      <c r="E135" s="594"/>
      <c r="F135" s="594"/>
      <c r="G135" s="594"/>
      <c r="H135" s="594"/>
      <c r="I135" s="594"/>
      <c r="J135" s="594"/>
      <c r="K135" s="594"/>
      <c r="L135" s="594"/>
      <c r="M135" s="594"/>
      <c r="N135" s="594"/>
      <c r="O135" s="594"/>
      <c r="P135" s="594"/>
    </row>
    <row r="136" spans="1:16" x14ac:dyDescent="0.25">
      <c r="A136" s="639" t="s">
        <v>93</v>
      </c>
      <c r="B136" s="594"/>
      <c r="C136" s="594">
        <f>C83</f>
        <v>0</v>
      </c>
      <c r="D136" s="594">
        <f>D83</f>
        <v>-10303</v>
      </c>
      <c r="E136" s="594">
        <f>E83</f>
        <v>-11000</v>
      </c>
      <c r="F136" s="594">
        <f>-'GF &amp; FF  Inc Exp Statement'!F199</f>
        <v>-1850.8820000000001</v>
      </c>
      <c r="G136" s="594">
        <f>-'GF &amp; FF  Inc Exp Statement'!G199</f>
        <v>-2144.2849999999999</v>
      </c>
      <c r="H136" s="594">
        <f>-'GF &amp; FF  Inc Exp Statement'!H199</f>
        <v>-3718.17301</v>
      </c>
      <c r="I136" s="594">
        <f>-'GF &amp; FF  Inc Exp Statement'!I199</f>
        <v>-2294.8213903000001</v>
      </c>
      <c r="J136" s="594">
        <f>-'GF &amp; FF  Inc Exp Statement'!J199</f>
        <v>-2374.3454420090002</v>
      </c>
      <c r="K136" s="594">
        <f>-'GF &amp; FF  Inc Exp Statement'!K199</f>
        <v>-2421.8323508491803</v>
      </c>
      <c r="L136" s="594">
        <f>-'GF &amp; FF  Inc Exp Statement'!L199</f>
        <v>-2470.2689978661638</v>
      </c>
      <c r="M136" s="594">
        <f>-'GF &amp; FF  Inc Exp Statement'!M199</f>
        <v>-2519.6743778234872</v>
      </c>
      <c r="N136" s="594">
        <f>-'GF &amp; FF  Inc Exp Statement'!N199</f>
        <v>-2570.0678653799569</v>
      </c>
      <c r="O136" s="594">
        <f>-'GF &amp; FF  Inc Exp Statement'!O199</f>
        <v>-2621.4692226875559</v>
      </c>
      <c r="P136" s="594">
        <f>-'GF &amp; FF  Inc Exp Statement'!P199</f>
        <v>-2673.8986071413069</v>
      </c>
    </row>
    <row r="137" spans="1:16" x14ac:dyDescent="0.25">
      <c r="A137" s="594" t="str">
        <f>A84</f>
        <v>Purchase of Investment Property</v>
      </c>
      <c r="B137" s="594"/>
      <c r="C137" s="594"/>
      <c r="D137" s="594">
        <f>D84</f>
        <v>-2531</v>
      </c>
      <c r="E137" s="594">
        <f t="shared" ref="E137" si="60">E84</f>
        <v>-15180</v>
      </c>
      <c r="F137" s="594">
        <f>-'GF &amp; FF  Inc Exp Statement'!F196</f>
        <v>0</v>
      </c>
      <c r="G137" s="594">
        <f>-'GF &amp; FF  Inc Exp Statement'!G196</f>
        <v>0</v>
      </c>
      <c r="H137" s="594">
        <f>-'GF &amp; FF  Inc Exp Statement'!H196</f>
        <v>0</v>
      </c>
      <c r="I137" s="594">
        <f>-'GF &amp; FF  Inc Exp Statement'!I196</f>
        <v>0</v>
      </c>
      <c r="J137" s="594">
        <f>-'GF &amp; FF  Inc Exp Statement'!J196</f>
        <v>0</v>
      </c>
      <c r="K137" s="594">
        <f>-'GF &amp; FF  Inc Exp Statement'!K196</f>
        <v>0</v>
      </c>
      <c r="L137" s="594">
        <f>-'GF &amp; FF  Inc Exp Statement'!L196</f>
        <v>0</v>
      </c>
      <c r="M137" s="594">
        <f>-'GF &amp; FF  Inc Exp Statement'!M196</f>
        <v>0</v>
      </c>
      <c r="N137" s="594">
        <f>-'GF &amp; FF  Inc Exp Statement'!N196</f>
        <v>0</v>
      </c>
      <c r="O137" s="594">
        <f>-'GF &amp; FF  Inc Exp Statement'!O196</f>
        <v>0</v>
      </c>
      <c r="P137" s="594">
        <f>-'GF &amp; FF  Inc Exp Statement'!P196</f>
        <v>0</v>
      </c>
    </row>
    <row r="138" spans="1:16" x14ac:dyDescent="0.25">
      <c r="A138" s="639" t="s">
        <v>94</v>
      </c>
      <c r="B138" s="594"/>
      <c r="C138" s="594">
        <f>C85</f>
        <v>0</v>
      </c>
      <c r="D138" s="594">
        <f>D85</f>
        <v>-26369</v>
      </c>
      <c r="E138" s="594">
        <f>E85</f>
        <v>-25288</v>
      </c>
      <c r="F138" s="594">
        <f>-SUM('GF &amp; FF  Inc Exp Statement'!F195:'GF &amp; FF  Inc Exp Statement'!F197)-F137-F139</f>
        <v>-21320.421999999999</v>
      </c>
      <c r="G138" s="594">
        <f>-SUM('GF &amp; FF  Inc Exp Statement'!G195:'GF &amp; FF  Inc Exp Statement'!G197)-G137-G139</f>
        <v>-10428.812</v>
      </c>
      <c r="H138" s="594">
        <f>-SUM('GF &amp; FF  Inc Exp Statement'!H195:'GF &amp; FF  Inc Exp Statement'!H197)-H137-H139</f>
        <v>-31571.091800000002</v>
      </c>
      <c r="I138" s="594">
        <f>-SUM('GF &amp; FF  Inc Exp Statement'!I195:'GF &amp; FF  Inc Exp Statement'!I197)-I137-I139</f>
        <v>-25103.173394999998</v>
      </c>
      <c r="J138" s="594">
        <f>-SUM('GF &amp; FF  Inc Exp Statement'!J195:'GF &amp; FF  Inc Exp Statement'!J197)-J137-J139</f>
        <v>-10982.533404874999</v>
      </c>
      <c r="K138" s="594">
        <f>-SUM('GF &amp; FF  Inc Exp Statement'!K195:'GF &amp; FF  Inc Exp Statement'!K197)-K137-K139</f>
        <v>-11202.184072972501</v>
      </c>
      <c r="L138" s="594">
        <f>-SUM('GF &amp; FF  Inc Exp Statement'!L195:'GF &amp; FF  Inc Exp Statement'!L197)-L137-L139</f>
        <v>-11426.227754431951</v>
      </c>
      <c r="M138" s="594">
        <f>-SUM('GF &amp; FF  Inc Exp Statement'!M195:'GF &amp; FF  Inc Exp Statement'!M197)-M137-M139</f>
        <v>-11654.752309520591</v>
      </c>
      <c r="N138" s="594">
        <f>-SUM('GF &amp; FF  Inc Exp Statement'!N195:'GF &amp; FF  Inc Exp Statement'!N197)-N137-N139</f>
        <v>-11887.847355711003</v>
      </c>
      <c r="O138" s="594">
        <f>-SUM('GF &amp; FF  Inc Exp Statement'!O195:'GF &amp; FF  Inc Exp Statement'!O197)-O137-O139</f>
        <v>-12125.604302825222</v>
      </c>
      <c r="P138" s="594">
        <f>-SUM('GF &amp; FF  Inc Exp Statement'!P195:'GF &amp; FF  Inc Exp Statement'!P197)-P137-P139</f>
        <v>-12368.116388881726</v>
      </c>
    </row>
    <row r="139" spans="1:16" x14ac:dyDescent="0.25">
      <c r="A139" s="641" t="s">
        <v>95</v>
      </c>
      <c r="B139" s="591"/>
      <c r="C139" s="591">
        <f>C86</f>
        <v>0</v>
      </c>
      <c r="D139" s="591">
        <f>D86</f>
        <v>-26</v>
      </c>
      <c r="E139" s="591">
        <f>E86</f>
        <v>-26</v>
      </c>
      <c r="F139" s="591">
        <f t="shared" ref="F139:P139" si="61">F86</f>
        <v>0</v>
      </c>
      <c r="G139" s="591">
        <f t="shared" si="61"/>
        <v>0</v>
      </c>
      <c r="H139" s="591">
        <f t="shared" si="61"/>
        <v>0</v>
      </c>
      <c r="I139" s="591">
        <f t="shared" si="61"/>
        <v>0</v>
      </c>
      <c r="J139" s="591">
        <f t="shared" si="61"/>
        <v>0</v>
      </c>
      <c r="K139" s="591">
        <f t="shared" si="61"/>
        <v>0</v>
      </c>
      <c r="L139" s="591">
        <f t="shared" si="61"/>
        <v>0</v>
      </c>
      <c r="M139" s="591">
        <f t="shared" si="61"/>
        <v>0</v>
      </c>
      <c r="N139" s="591">
        <f t="shared" si="61"/>
        <v>0</v>
      </c>
      <c r="O139" s="591">
        <f t="shared" si="61"/>
        <v>0</v>
      </c>
      <c r="P139" s="591">
        <f t="shared" si="61"/>
        <v>0</v>
      </c>
    </row>
    <row r="140" spans="1:16" x14ac:dyDescent="0.25">
      <c r="A140" s="642" t="s">
        <v>110</v>
      </c>
      <c r="B140" s="593">
        <f>SUM(B130:B139)</f>
        <v>0</v>
      </c>
      <c r="C140" s="593">
        <f t="shared" ref="C140:M140" si="62">SUM(C130:C139)</f>
        <v>0</v>
      </c>
      <c r="D140" s="593">
        <f t="shared" si="62"/>
        <v>-31571</v>
      </c>
      <c r="E140" s="593">
        <f t="shared" si="62"/>
        <v>-42316</v>
      </c>
      <c r="F140" s="593">
        <f t="shared" si="62"/>
        <v>-20838.365999999998</v>
      </c>
      <c r="G140" s="593">
        <f t="shared" si="62"/>
        <v>-11953.097</v>
      </c>
      <c r="H140" s="593">
        <f t="shared" si="62"/>
        <v>-22719.264810000001</v>
      </c>
      <c r="I140" s="593">
        <f t="shared" si="62"/>
        <v>-27327.994785299998</v>
      </c>
      <c r="J140" s="593">
        <f t="shared" si="62"/>
        <v>-13286.878846883999</v>
      </c>
      <c r="K140" s="593">
        <f t="shared" si="62"/>
        <v>-11352.616423821681</v>
      </c>
      <c r="L140" s="593">
        <f t="shared" si="62"/>
        <v>-11579.668752298116</v>
      </c>
      <c r="M140" s="593">
        <f t="shared" si="62"/>
        <v>-11811.262127344078</v>
      </c>
      <c r="N140" s="593">
        <f t="shared" ref="N140:O140" si="63">SUM(N130:N139)</f>
        <v>-12047.48736989096</v>
      </c>
      <c r="O140" s="593">
        <f t="shared" si="63"/>
        <v>-12288.437117288779</v>
      </c>
      <c r="P140" s="593">
        <f t="shared" ref="P140" si="64">SUM(P130:P139)</f>
        <v>-12534.205859634552</v>
      </c>
    </row>
    <row r="141" spans="1:16" x14ac:dyDescent="0.25">
      <c r="B141" s="594"/>
      <c r="C141" s="594"/>
      <c r="D141" s="594"/>
      <c r="E141" s="594"/>
      <c r="F141" s="594"/>
      <c r="G141" s="594"/>
      <c r="H141" s="594"/>
      <c r="I141" s="594"/>
      <c r="J141" s="594"/>
      <c r="K141" s="594"/>
      <c r="L141" s="594"/>
      <c r="M141" s="594"/>
      <c r="N141" s="594"/>
      <c r="O141" s="594"/>
      <c r="P141" s="594"/>
    </row>
    <row r="142" spans="1:16" x14ac:dyDescent="0.25">
      <c r="A142" s="592" t="s">
        <v>1054</v>
      </c>
      <c r="B142" s="590"/>
      <c r="C142" s="590"/>
      <c r="D142" s="590"/>
      <c r="E142" s="590"/>
      <c r="F142" s="590"/>
      <c r="G142" s="590"/>
      <c r="H142" s="590"/>
      <c r="I142" s="590"/>
      <c r="J142" s="590"/>
      <c r="K142" s="590"/>
      <c r="L142" s="590"/>
      <c r="M142" s="590"/>
      <c r="N142" s="590"/>
      <c r="O142" s="590"/>
      <c r="P142" s="590"/>
    </row>
    <row r="143" spans="1:16" x14ac:dyDescent="0.25">
      <c r="A143" s="640" t="s">
        <v>83</v>
      </c>
      <c r="B143" s="590"/>
      <c r="C143" s="590"/>
      <c r="D143" s="590"/>
      <c r="E143" s="590"/>
      <c r="F143" s="590"/>
      <c r="G143" s="590"/>
      <c r="H143" s="590"/>
      <c r="I143" s="590"/>
      <c r="J143" s="590"/>
      <c r="K143" s="590"/>
      <c r="L143" s="590"/>
      <c r="M143" s="590"/>
      <c r="N143" s="590"/>
      <c r="O143" s="590"/>
      <c r="P143" s="590"/>
    </row>
    <row r="144" spans="1:16" x14ac:dyDescent="0.25">
      <c r="A144" s="639" t="s">
        <v>1055</v>
      </c>
      <c r="B144" s="594"/>
      <c r="C144" s="594"/>
      <c r="D144" s="594">
        <f>D38</f>
        <v>5350</v>
      </c>
      <c r="E144" s="594">
        <f t="shared" ref="E144" si="65">E38</f>
        <v>13500</v>
      </c>
      <c r="F144" s="594">
        <f>'GF &amp; FF  Inc Exp Statement'!F208</f>
        <v>10000</v>
      </c>
      <c r="G144" s="594">
        <f>'GF &amp; FF  Inc Exp Statement'!G208</f>
        <v>0</v>
      </c>
      <c r="H144" s="594">
        <f>'GF &amp; FF  Inc Exp Statement'!H208</f>
        <v>10500</v>
      </c>
      <c r="I144" s="594">
        <f>'GF &amp; FF  Inc Exp Statement'!I208</f>
        <v>11000</v>
      </c>
      <c r="J144" s="594">
        <f>'GF &amp; FF  Inc Exp Statement'!J208</f>
        <v>0</v>
      </c>
      <c r="K144" s="594">
        <f>'GF &amp; FF  Inc Exp Statement'!K208</f>
        <v>0</v>
      </c>
      <c r="L144" s="594">
        <f>'GF &amp; FF  Inc Exp Statement'!L208</f>
        <v>0</v>
      </c>
      <c r="M144" s="594">
        <f>'GF &amp; FF  Inc Exp Statement'!M208</f>
        <v>0</v>
      </c>
      <c r="N144" s="594">
        <f>'GF &amp; FF  Inc Exp Statement'!N208</f>
        <v>0</v>
      </c>
      <c r="O144" s="594">
        <f>'GF &amp; FF  Inc Exp Statement'!O208</f>
        <v>0</v>
      </c>
      <c r="P144" s="594">
        <f>'GF &amp; FF  Inc Exp Statement'!P208</f>
        <v>0</v>
      </c>
    </row>
    <row r="145" spans="1:16" ht="5.25" customHeight="1" x14ac:dyDescent="0.25">
      <c r="B145" s="594"/>
      <c r="C145" s="594"/>
      <c r="D145" s="594"/>
      <c r="E145" s="594"/>
      <c r="F145" s="594"/>
      <c r="G145" s="594"/>
      <c r="H145" s="594"/>
      <c r="I145" s="594"/>
      <c r="J145" s="594"/>
      <c r="K145" s="594"/>
      <c r="L145" s="594"/>
      <c r="M145" s="594"/>
      <c r="N145" s="594"/>
      <c r="O145" s="594"/>
      <c r="P145" s="594"/>
    </row>
    <row r="146" spans="1:16" x14ac:dyDescent="0.25">
      <c r="A146" s="640" t="s">
        <v>87</v>
      </c>
      <c r="B146" s="594"/>
      <c r="C146" s="594"/>
      <c r="D146" s="594"/>
      <c r="E146" s="594"/>
      <c r="F146" s="594"/>
      <c r="G146" s="594"/>
      <c r="H146" s="594"/>
      <c r="I146" s="594"/>
      <c r="J146" s="594"/>
      <c r="K146" s="594"/>
      <c r="L146" s="594"/>
      <c r="M146" s="594"/>
      <c r="N146" s="594"/>
      <c r="O146" s="594"/>
      <c r="P146" s="594"/>
    </row>
    <row r="147" spans="1:16" x14ac:dyDescent="0.25">
      <c r="A147" s="639" t="s">
        <v>1056</v>
      </c>
      <c r="B147" s="594"/>
      <c r="C147" s="594"/>
      <c r="D147" s="594">
        <f>D41</f>
        <v>-1616</v>
      </c>
      <c r="E147" s="594">
        <f t="shared" ref="E147" si="66">E41</f>
        <v>-2776</v>
      </c>
      <c r="F147" s="594">
        <f>-'GF &amp; FF  Inc Exp Statement'!F198</f>
        <v>-570.28700000000003</v>
      </c>
      <c r="G147" s="594">
        <f>-'GF &amp; FF  Inc Exp Statement'!G198</f>
        <v>-621.83900000000006</v>
      </c>
      <c r="H147" s="594">
        <f>-'GF &amp; FF  Inc Exp Statement'!H198</f>
        <v>-555.48599999999999</v>
      </c>
      <c r="I147" s="594">
        <f>-'GF &amp; FF  Inc Exp Statement'!I198</f>
        <v>-672.75099999999998</v>
      </c>
      <c r="J147" s="594">
        <f>-'GF &amp; FF  Inc Exp Statement'!J198</f>
        <v>-972.69899999999996</v>
      </c>
      <c r="K147" s="594">
        <f>-'GF &amp; FF  Inc Exp Statement'!K198</f>
        <v>-992.15297999999996</v>
      </c>
      <c r="L147" s="594">
        <f>-'GF &amp; FF  Inc Exp Statement'!L198</f>
        <v>-1011.9960396</v>
      </c>
      <c r="M147" s="594">
        <f>-'GF &amp; FF  Inc Exp Statement'!M198</f>
        <v>-1032.2359603919999</v>
      </c>
      <c r="N147" s="594">
        <f>-'GF &amp; FF  Inc Exp Statement'!N198</f>
        <v>-1052.8806795998401</v>
      </c>
      <c r="O147" s="594">
        <f>-'GF &amp; FF  Inc Exp Statement'!O198</f>
        <v>-1073.9382931918369</v>
      </c>
      <c r="P147" s="594">
        <f>-'GF &amp; FF  Inc Exp Statement'!P198</f>
        <v>-1095.4170590556737</v>
      </c>
    </row>
    <row r="148" spans="1:16" s="644" customFormat="1" x14ac:dyDescent="0.25">
      <c r="A148" s="770" t="s">
        <v>110</v>
      </c>
      <c r="B148" s="772">
        <f t="shared" ref="B148:P148" si="67">SUM(B144:B147)</f>
        <v>0</v>
      </c>
      <c r="C148" s="772">
        <f t="shared" si="67"/>
        <v>0</v>
      </c>
      <c r="D148" s="772">
        <f t="shared" si="67"/>
        <v>3734</v>
      </c>
      <c r="E148" s="772">
        <f t="shared" si="67"/>
        <v>10724</v>
      </c>
      <c r="F148" s="772">
        <f t="shared" si="67"/>
        <v>9429.7129999999997</v>
      </c>
      <c r="G148" s="772">
        <f t="shared" si="67"/>
        <v>-621.83900000000006</v>
      </c>
      <c r="H148" s="772">
        <f t="shared" si="67"/>
        <v>9944.5139999999992</v>
      </c>
      <c r="I148" s="772">
        <f t="shared" si="67"/>
        <v>10327.249</v>
      </c>
      <c r="J148" s="772">
        <f t="shared" si="67"/>
        <v>-972.69899999999996</v>
      </c>
      <c r="K148" s="772">
        <f t="shared" si="67"/>
        <v>-992.15297999999996</v>
      </c>
      <c r="L148" s="772">
        <f t="shared" si="67"/>
        <v>-1011.9960396</v>
      </c>
      <c r="M148" s="772">
        <f t="shared" si="67"/>
        <v>-1032.2359603919999</v>
      </c>
      <c r="N148" s="772">
        <f t="shared" si="67"/>
        <v>-1052.8806795998401</v>
      </c>
      <c r="O148" s="772">
        <f t="shared" si="67"/>
        <v>-1073.9382931918369</v>
      </c>
      <c r="P148" s="772">
        <f t="shared" si="67"/>
        <v>-1095.4170590556737</v>
      </c>
    </row>
    <row r="149" spans="1:16" s="644" customFormat="1" x14ac:dyDescent="0.25">
      <c r="A149" s="642"/>
      <c r="B149" s="593"/>
      <c r="C149" s="593"/>
      <c r="D149" s="593"/>
      <c r="E149" s="593"/>
      <c r="F149" s="593"/>
      <c r="G149" s="593"/>
      <c r="H149" s="593"/>
      <c r="I149" s="593"/>
      <c r="J149" s="593"/>
      <c r="K149" s="593"/>
      <c r="L149" s="593"/>
      <c r="M149" s="593"/>
      <c r="N149" s="593"/>
      <c r="O149" s="593"/>
      <c r="P149" s="593"/>
    </row>
    <row r="150" spans="1:16" x14ac:dyDescent="0.25">
      <c r="A150" s="592" t="s">
        <v>321</v>
      </c>
      <c r="B150" s="594">
        <f>+B126+B140</f>
        <v>0</v>
      </c>
      <c r="C150" s="594">
        <f>+C126+C140</f>
        <v>0</v>
      </c>
      <c r="D150" s="594">
        <f>+D126+D140+D148</f>
        <v>5944</v>
      </c>
      <c r="E150" s="594">
        <f t="shared" ref="E150:P150" si="68">+E126+E140+E148</f>
        <v>-6977</v>
      </c>
      <c r="F150" s="594">
        <f t="shared" si="68"/>
        <v>30.000000000003638</v>
      </c>
      <c r="G150" s="594">
        <f t="shared" si="68"/>
        <v>328.8175000000009</v>
      </c>
      <c r="H150" s="594">
        <f t="shared" si="68"/>
        <v>72.953483499997674</v>
      </c>
      <c r="I150" s="594">
        <f t="shared" si="68"/>
        <v>17.635064337504446</v>
      </c>
      <c r="J150" s="594">
        <f t="shared" si="68"/>
        <v>-1125.2212240540607</v>
      </c>
      <c r="K150" s="594">
        <f t="shared" si="68"/>
        <v>465.73734176734331</v>
      </c>
      <c r="L150" s="594">
        <f t="shared" si="68"/>
        <v>562.44470137676456</v>
      </c>
      <c r="M150" s="594">
        <f t="shared" si="68"/>
        <v>264.59045358765206</v>
      </c>
      <c r="N150" s="594">
        <f t="shared" si="68"/>
        <v>345.72340699815209</v>
      </c>
      <c r="O150" s="594">
        <f t="shared" si="68"/>
        <v>-867.42407149103542</v>
      </c>
      <c r="P150" s="594">
        <f t="shared" si="68"/>
        <v>-2869.8825497589555</v>
      </c>
    </row>
    <row r="151" spans="1:16" x14ac:dyDescent="0.25">
      <c r="A151" s="644"/>
      <c r="B151" s="594"/>
      <c r="C151" s="594"/>
      <c r="D151" s="594"/>
      <c r="E151" s="594"/>
      <c r="F151" s="594"/>
      <c r="G151" s="594"/>
      <c r="H151" s="594"/>
      <c r="I151" s="594"/>
      <c r="J151" s="594"/>
      <c r="K151" s="594"/>
      <c r="L151" s="594"/>
      <c r="M151" s="594"/>
      <c r="N151" s="594"/>
      <c r="O151" s="594"/>
      <c r="P151" s="594"/>
    </row>
    <row r="152" spans="1:16" x14ac:dyDescent="0.25">
      <c r="A152" s="592" t="s">
        <v>96</v>
      </c>
      <c r="B152" s="594"/>
      <c r="C152" s="594">
        <f>+B154</f>
        <v>0</v>
      </c>
      <c r="D152" s="594">
        <f t="shared" ref="D152" si="69">D99</f>
        <v>3352</v>
      </c>
      <c r="E152" s="594">
        <f t="shared" ref="E152" si="70">+D154</f>
        <v>9296</v>
      </c>
      <c r="F152" s="594">
        <f t="shared" ref="F152" si="71">+E154</f>
        <v>2319</v>
      </c>
      <c r="G152" s="594">
        <f t="shared" ref="G152" si="72">+F154</f>
        <v>2349.0000000000036</v>
      </c>
      <c r="H152" s="594">
        <f t="shared" ref="H152" si="73">+G154</f>
        <v>2677.8175000000047</v>
      </c>
      <c r="I152" s="594">
        <f t="shared" ref="I152" si="74">+H154</f>
        <v>2750.7709835000023</v>
      </c>
      <c r="J152" s="594">
        <f t="shared" ref="J152" si="75">+I154</f>
        <v>2768.4060478375068</v>
      </c>
      <c r="K152" s="594">
        <f t="shared" ref="K152" si="76">+J154</f>
        <v>1643.1848237834461</v>
      </c>
      <c r="L152" s="594">
        <f t="shared" ref="L152" si="77">+K154</f>
        <v>2108.9221655507895</v>
      </c>
      <c r="M152" s="594">
        <f t="shared" ref="M152" si="78">+L154</f>
        <v>2671.3668669275539</v>
      </c>
      <c r="N152" s="594">
        <f t="shared" ref="N152" si="79">+M154</f>
        <v>2935.957320515206</v>
      </c>
      <c r="O152" s="594">
        <f t="shared" ref="O152:P152" si="80">+N154</f>
        <v>3281.6807275133579</v>
      </c>
      <c r="P152" s="594">
        <f t="shared" si="80"/>
        <v>2414.2566560223222</v>
      </c>
    </row>
    <row r="153" spans="1:16" x14ac:dyDescent="0.25">
      <c r="B153" s="594"/>
      <c r="C153" s="594"/>
      <c r="D153" s="594"/>
      <c r="E153" s="594"/>
      <c r="F153" s="594"/>
      <c r="G153" s="594"/>
      <c r="H153" s="594"/>
      <c r="I153" s="594"/>
      <c r="J153" s="594"/>
      <c r="K153" s="594"/>
      <c r="L153" s="594"/>
      <c r="M153" s="594"/>
      <c r="N153" s="594"/>
      <c r="O153" s="594"/>
      <c r="P153" s="594"/>
    </row>
    <row r="154" spans="1:16" ht="12.6" thickBot="1" x14ac:dyDescent="0.3">
      <c r="A154" s="592" t="s">
        <v>97</v>
      </c>
      <c r="B154" s="645">
        <f>+B150+B152</f>
        <v>0</v>
      </c>
      <c r="C154" s="645">
        <f t="shared" ref="C154:M154" si="81">+C150+C152</f>
        <v>0</v>
      </c>
      <c r="D154" s="645">
        <f t="shared" si="81"/>
        <v>9296</v>
      </c>
      <c r="E154" s="645">
        <f t="shared" si="81"/>
        <v>2319</v>
      </c>
      <c r="F154" s="645">
        <f t="shared" si="81"/>
        <v>2349.0000000000036</v>
      </c>
      <c r="G154" s="645">
        <f t="shared" si="81"/>
        <v>2677.8175000000047</v>
      </c>
      <c r="H154" s="645">
        <f t="shared" si="81"/>
        <v>2750.7709835000023</v>
      </c>
      <c r="I154" s="645">
        <f t="shared" si="81"/>
        <v>2768.4060478375068</v>
      </c>
      <c r="J154" s="645">
        <f t="shared" si="81"/>
        <v>1643.1848237834461</v>
      </c>
      <c r="K154" s="651">
        <f t="shared" si="81"/>
        <v>2108.9221655507895</v>
      </c>
      <c r="L154" s="645">
        <f t="shared" si="81"/>
        <v>2671.3668669275539</v>
      </c>
      <c r="M154" s="645">
        <f t="shared" si="81"/>
        <v>2935.957320515206</v>
      </c>
      <c r="N154" s="645">
        <f t="shared" ref="N154:O154" si="82">+N150+N152</f>
        <v>3281.6807275133579</v>
      </c>
      <c r="O154" s="645">
        <f t="shared" si="82"/>
        <v>2414.2566560223222</v>
      </c>
      <c r="P154" s="645">
        <f t="shared" ref="P154" si="83">+P150+P152</f>
        <v>-455.62589373663332</v>
      </c>
    </row>
    <row r="156" spans="1:16" x14ac:dyDescent="0.25">
      <c r="A156" s="639" t="s">
        <v>98</v>
      </c>
      <c r="B156" s="590"/>
      <c r="C156" s="590">
        <f>B156-C136-C130</f>
        <v>0</v>
      </c>
      <c r="D156" s="590">
        <f>D103</f>
        <v>46112</v>
      </c>
      <c r="E156" s="590">
        <f>'GF &amp; FF  Bal Sheet'!E100+'GF &amp; FF  Bal Sheet'!E107</f>
        <v>17083</v>
      </c>
      <c r="F156" s="590">
        <f t="shared" ref="F156:M156" si="84">E156-F136-F130</f>
        <v>16670.944000000003</v>
      </c>
      <c r="G156" s="590">
        <f t="shared" si="84"/>
        <v>18265.229000000003</v>
      </c>
      <c r="H156" s="590">
        <f t="shared" si="84"/>
        <v>10983.402010000002</v>
      </c>
      <c r="I156" s="590">
        <f t="shared" si="84"/>
        <v>13278.223400300001</v>
      </c>
      <c r="J156" s="590">
        <f t="shared" si="84"/>
        <v>15652.568842309001</v>
      </c>
      <c r="K156" s="590">
        <f t="shared" si="84"/>
        <v>15874.401193158181</v>
      </c>
      <c r="L156" s="590">
        <f t="shared" si="84"/>
        <v>16100.670191024343</v>
      </c>
      <c r="M156" s="590">
        <f t="shared" si="84"/>
        <v>16331.46456884783</v>
      </c>
      <c r="N156" s="590">
        <f t="shared" ref="N156" si="85">M156-N136-N130</f>
        <v>16566.87483422779</v>
      </c>
      <c r="O156" s="590">
        <f t="shared" ref="O156:P156" si="86">N156-O136-O130</f>
        <v>16806.993304915348</v>
      </c>
      <c r="P156" s="590">
        <f t="shared" si="86"/>
        <v>17051.914145016653</v>
      </c>
    </row>
    <row r="157" spans="1:16" x14ac:dyDescent="0.25">
      <c r="B157" s="590"/>
      <c r="C157" s="590"/>
      <c r="D157" s="590"/>
      <c r="E157" s="590"/>
      <c r="F157" s="590"/>
      <c r="G157" s="590"/>
      <c r="H157" s="590"/>
      <c r="I157" s="590"/>
      <c r="J157" s="590"/>
      <c r="K157" s="590"/>
      <c r="L157" s="590"/>
      <c r="M157" s="590"/>
      <c r="N157" s="590"/>
      <c r="O157" s="590"/>
      <c r="P157" s="590"/>
    </row>
    <row r="158" spans="1:16" ht="12.6" thickBot="1" x14ac:dyDescent="0.3">
      <c r="A158" s="592" t="s">
        <v>99</v>
      </c>
      <c r="B158" s="646">
        <f>+B154+B156</f>
        <v>0</v>
      </c>
      <c r="C158" s="646">
        <f t="shared" ref="C158:M158" si="87">+C154+C156</f>
        <v>0</v>
      </c>
      <c r="D158" s="646">
        <f t="shared" si="87"/>
        <v>55408</v>
      </c>
      <c r="E158" s="646">
        <f t="shared" si="87"/>
        <v>19402</v>
      </c>
      <c r="F158" s="646">
        <f t="shared" si="87"/>
        <v>19019.944000000007</v>
      </c>
      <c r="G158" s="646">
        <f t="shared" si="87"/>
        <v>20943.046500000008</v>
      </c>
      <c r="H158" s="646">
        <f t="shared" si="87"/>
        <v>13734.172993500004</v>
      </c>
      <c r="I158" s="646">
        <f t="shared" si="87"/>
        <v>16046.629448137508</v>
      </c>
      <c r="J158" s="646">
        <f t="shared" si="87"/>
        <v>17295.753666092449</v>
      </c>
      <c r="K158" s="646">
        <f t="shared" si="87"/>
        <v>17983.323358708971</v>
      </c>
      <c r="L158" s="646">
        <f t="shared" si="87"/>
        <v>18772.037057951897</v>
      </c>
      <c r="M158" s="646">
        <f t="shared" si="87"/>
        <v>19267.421889363035</v>
      </c>
      <c r="N158" s="646">
        <f t="shared" ref="N158:O158" si="88">+N154+N156</f>
        <v>19848.555561741148</v>
      </c>
      <c r="O158" s="646">
        <f t="shared" si="88"/>
        <v>19221.249960937668</v>
      </c>
      <c r="P158" s="646">
        <f t="shared" ref="P158" si="89">+P154+P156</f>
        <v>16596.288251280021</v>
      </c>
    </row>
    <row r="159" spans="1:16" ht="12.6" thickTop="1" x14ac:dyDescent="0.25"/>
  </sheetData>
  <pageMargins left="0.70866141732283472" right="0.70866141732283472" top="0.74803149606299213" bottom="0.74803149606299213" header="0.31496062992125984" footer="0.31496062992125984"/>
  <pageSetup paperSize="9" scale="76" fitToHeight="0" orientation="landscape" r:id="rId1"/>
  <rowBreaks count="2" manualBreakCount="2">
    <brk id="53" max="16383" man="1"/>
    <brk id="10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O125"/>
  <sheetViews>
    <sheetView topLeftCell="D1" workbookViewId="0">
      <selection activeCell="D68" sqref="D68"/>
    </sheetView>
  </sheetViews>
  <sheetFormatPr defaultRowHeight="14.4" outlineLevelCol="1" x14ac:dyDescent="0.3"/>
  <cols>
    <col min="1" max="1" width="53.44140625" bestFit="1" customWidth="1"/>
    <col min="2" max="2" width="16.44140625" hidden="1" customWidth="1" outlineLevel="1"/>
    <col min="3" max="3" width="12.109375" style="211" hidden="1" customWidth="1" outlineLevel="1"/>
    <col min="4" max="4" width="11.5546875" bestFit="1" customWidth="1" collapsed="1"/>
    <col min="5" max="15" width="11.5546875" bestFit="1" customWidth="1"/>
  </cols>
  <sheetData>
    <row r="1" spans="1:15" s="17" customFormat="1" ht="15" x14ac:dyDescent="0.25">
      <c r="A1" s="18" t="s">
        <v>435</v>
      </c>
      <c r="B1" s="19" t="s">
        <v>69</v>
      </c>
      <c r="C1" s="213" t="s">
        <v>69</v>
      </c>
      <c r="D1" s="19" t="s">
        <v>69</v>
      </c>
      <c r="E1" s="19" t="s">
        <v>70</v>
      </c>
      <c r="F1" s="19" t="s">
        <v>71</v>
      </c>
      <c r="G1" s="19" t="s">
        <v>71</v>
      </c>
      <c r="H1" s="19" t="s">
        <v>71</v>
      </c>
      <c r="I1" s="19" t="s">
        <v>71</v>
      </c>
      <c r="J1" s="19" t="s">
        <v>71</v>
      </c>
      <c r="K1" s="19" t="s">
        <v>71</v>
      </c>
      <c r="L1" s="19" t="s">
        <v>71</v>
      </c>
      <c r="M1" s="19" t="s">
        <v>71</v>
      </c>
      <c r="N1" s="213" t="s">
        <v>71</v>
      </c>
      <c r="O1" s="213" t="s">
        <v>71</v>
      </c>
    </row>
    <row r="2" spans="1:15" ht="15" x14ac:dyDescent="0.25">
      <c r="A2" s="18" t="s">
        <v>73</v>
      </c>
      <c r="B2" s="20" t="s">
        <v>60</v>
      </c>
      <c r="C2" s="159" t="s">
        <v>68</v>
      </c>
      <c r="D2" s="19" t="s">
        <v>0</v>
      </c>
      <c r="E2" s="19" t="s">
        <v>1</v>
      </c>
      <c r="F2" s="19" t="s">
        <v>2</v>
      </c>
      <c r="G2" s="19" t="s">
        <v>3</v>
      </c>
      <c r="H2" s="19" t="s">
        <v>4</v>
      </c>
      <c r="I2" s="19" t="s">
        <v>5</v>
      </c>
      <c r="J2" s="19" t="s">
        <v>6</v>
      </c>
      <c r="K2" s="19" t="s">
        <v>7</v>
      </c>
      <c r="L2" s="19" t="s">
        <v>8</v>
      </c>
      <c r="M2" s="19" t="s">
        <v>9</v>
      </c>
      <c r="N2" s="213" t="s">
        <v>514</v>
      </c>
      <c r="O2" s="213" t="s">
        <v>515</v>
      </c>
    </row>
    <row r="3" spans="1:15" ht="15" x14ac:dyDescent="0.25">
      <c r="N3" s="221"/>
      <c r="O3" s="221"/>
    </row>
    <row r="4" spans="1:15" ht="15" x14ac:dyDescent="0.25">
      <c r="A4" s="40" t="s">
        <v>82</v>
      </c>
      <c r="N4" s="221"/>
      <c r="O4" s="221"/>
    </row>
    <row r="5" spans="1:15" ht="15" x14ac:dyDescent="0.25">
      <c r="A5" s="41" t="s">
        <v>83</v>
      </c>
      <c r="B5" s="4"/>
      <c r="C5" s="214"/>
      <c r="D5" s="4"/>
      <c r="E5" s="4"/>
      <c r="F5" s="4"/>
      <c r="G5" s="4"/>
      <c r="H5" s="4"/>
      <c r="I5" s="4"/>
      <c r="J5" s="4"/>
      <c r="K5" s="4"/>
      <c r="L5" s="4"/>
      <c r="M5" s="4"/>
      <c r="N5" s="214"/>
      <c r="O5" s="214"/>
    </row>
    <row r="6" spans="1:15" ht="15" x14ac:dyDescent="0.25">
      <c r="A6" t="s">
        <v>11</v>
      </c>
      <c r="B6" s="116">
        <v>18045000</v>
      </c>
      <c r="C6" s="217">
        <v>19766000</v>
      </c>
      <c r="D6" s="116">
        <f>+'Scenario 2 Inc Exp Statement'!D6</f>
        <v>0</v>
      </c>
      <c r="E6" s="116">
        <f>+'Scenario 2 Inc Exp Statement'!E6</f>
        <v>22124446.310000002</v>
      </c>
      <c r="F6" s="116">
        <f>+'Scenario 2 Inc Exp Statement'!F6</f>
        <v>22781729.699300002</v>
      </c>
      <c r="G6" s="116">
        <f>+'Scenario 2 Inc Exp Statement'!G6</f>
        <v>23458731.590278998</v>
      </c>
      <c r="H6" s="116">
        <f>+'Scenario 2 Inc Exp Statement'!H6</f>
        <v>24156043.53798737</v>
      </c>
      <c r="I6" s="116">
        <f>+'Scenario 2 Inc Exp Statement'!I6</f>
        <v>24874274.844126988</v>
      </c>
      <c r="J6" s="116">
        <f>+'Scenario 2 Inc Exp Statement'!J6</f>
        <v>25614053.089450795</v>
      </c>
      <c r="K6" s="116">
        <f>+'Scenario 2 Inc Exp Statement'!K6</f>
        <v>26376024.682134327</v>
      </c>
      <c r="L6" s="116">
        <f>+'Scenario 2 Inc Exp Statement'!L6</f>
        <v>27160855.422598358</v>
      </c>
      <c r="M6" s="116">
        <f>+'Scenario 2 Inc Exp Statement'!M6</f>
        <v>27969231.085276309</v>
      </c>
      <c r="N6" s="217">
        <f>+'Scenario 2 Inc Exp Statement'!N6</f>
        <v>27969231.085276309</v>
      </c>
      <c r="O6" s="217">
        <f>+'Scenario 2 Inc Exp Statement'!O6</f>
        <v>27969231.085276309</v>
      </c>
    </row>
    <row r="7" spans="1:15" ht="15" x14ac:dyDescent="0.25">
      <c r="A7" t="s">
        <v>12</v>
      </c>
      <c r="B7" s="116">
        <v>3575000</v>
      </c>
      <c r="C7" s="217">
        <v>2971000</v>
      </c>
      <c r="D7" s="116">
        <f>+'Scenario 2 Inc Exp Statement'!D7</f>
        <v>0</v>
      </c>
      <c r="E7" s="116">
        <f>+'Scenario 2 Inc Exp Statement'!E7</f>
        <v>3094175.2317545456</v>
      </c>
      <c r="F7" s="116">
        <f>+'Scenario 2 Inc Exp Statement'!F7</f>
        <v>3154197.1125484086</v>
      </c>
      <c r="G7" s="116">
        <f>+'Scenario 2 Inc Exp Statement'!G7</f>
        <v>3215719.5403621192</v>
      </c>
      <c r="H7" s="116">
        <f>+'Scenario 2 Inc Exp Statement'!H7</f>
        <v>3278780.0288711712</v>
      </c>
      <c r="I7" s="116">
        <f>+'Scenario 2 Inc Exp Statement'!I7</f>
        <v>3343417.0295929499</v>
      </c>
      <c r="J7" s="116">
        <f>+'Scenario 2 Inc Exp Statement'!J7</f>
        <v>3409669.9553327733</v>
      </c>
      <c r="K7" s="116">
        <f>+'Scenario 2 Inc Exp Statement'!K7</f>
        <v>3477579.2042160938</v>
      </c>
      <c r="L7" s="116">
        <f>+'Scenario 2 Inc Exp Statement'!L7</f>
        <v>3547186.1843214948</v>
      </c>
      <c r="M7" s="116">
        <f>+'Scenario 2 Inc Exp Statement'!M7</f>
        <v>3618533.3389295335</v>
      </c>
      <c r="N7" s="217">
        <f>+'Scenario 2 Inc Exp Statement'!N7</f>
        <v>3618533.3389295335</v>
      </c>
      <c r="O7" s="217">
        <f>+'Scenario 2 Inc Exp Statement'!O7</f>
        <v>3618533.3389295335</v>
      </c>
    </row>
    <row r="8" spans="1:15" ht="15" x14ac:dyDescent="0.25">
      <c r="A8" t="s">
        <v>84</v>
      </c>
      <c r="B8" s="116">
        <v>1238000</v>
      </c>
      <c r="C8" s="217">
        <v>1919000</v>
      </c>
      <c r="D8" s="116">
        <f>+'Scenario 2 Inc Exp Statement'!D8</f>
        <v>0</v>
      </c>
      <c r="E8" s="116">
        <f>+'Scenario 2 Inc Exp Statement'!E8</f>
        <v>957610.70921970764</v>
      </c>
      <c r="F8" s="116">
        <f>+'Scenario 2 Inc Exp Statement'!F8</f>
        <v>974820.89041883091</v>
      </c>
      <c r="G8" s="116">
        <f>+'Scenario 2 Inc Exp Statement'!G8</f>
        <v>992105.10522903618</v>
      </c>
      <c r="H8" s="116">
        <f>+'Scenario 2 Inc Exp Statement'!H8</f>
        <v>990514.32423423533</v>
      </c>
      <c r="I8" s="116">
        <f>+'Scenario 2 Inc Exp Statement'!I8</f>
        <v>1014549.5410442825</v>
      </c>
      <c r="J8" s="116">
        <f>+'Scenario 2 Inc Exp Statement'!J8</f>
        <v>1024133.6374527398</v>
      </c>
      <c r="K8" s="116">
        <f>+'Scenario 2 Inc Exp Statement'!K8</f>
        <v>987231.61070701655</v>
      </c>
      <c r="L8" s="116">
        <f>+'Scenario 2 Inc Exp Statement'!L8</f>
        <v>1006087.1726738459</v>
      </c>
      <c r="M8" s="116">
        <f>+'Scenario 2 Inc Exp Statement'!M8</f>
        <v>1020087.0262478264</v>
      </c>
      <c r="N8" s="217">
        <f>+'Scenario 2 Inc Exp Statement'!N8</f>
        <v>1020087.0262478264</v>
      </c>
      <c r="O8" s="217">
        <f>+'Scenario 2 Inc Exp Statement'!O8</f>
        <v>1020087.0262478264</v>
      </c>
    </row>
    <row r="9" spans="1:15" ht="15" x14ac:dyDescent="0.25">
      <c r="A9" t="s">
        <v>85</v>
      </c>
      <c r="B9" s="116">
        <v>4459000</v>
      </c>
      <c r="C9" s="217">
        <f>+'GF &amp; FF  Inc Exp Statement'!C15+'GF &amp; FF  Inc Exp Statement'!C16</f>
        <v>0</v>
      </c>
      <c r="D9" s="116">
        <f>+'Scenario 2 Inc Exp Statement'!D10+'Scenario 2 Inc Exp Statement'!D11</f>
        <v>0</v>
      </c>
      <c r="E9" s="116">
        <f>+'Scenario 2 Inc Exp Statement'!E10+'Scenario 2 Inc Exp Statement'!E11</f>
        <v>2955012.5</v>
      </c>
      <c r="F9" s="116">
        <f>+'Scenario 2 Inc Exp Statement'!F10+'Scenario 2 Inc Exp Statement'!F11</f>
        <v>2823887.8125</v>
      </c>
      <c r="G9" s="116">
        <f>+'Scenario 2 Inc Exp Statement'!G10+'Scenario 2 Inc Exp Statement'!G11</f>
        <v>2894485.0078124995</v>
      </c>
      <c r="H9" s="116">
        <f>+'Scenario 2 Inc Exp Statement'!H10+'Scenario 2 Inc Exp Statement'!H11</f>
        <v>3426847.1330078118</v>
      </c>
      <c r="I9" s="116">
        <f>+'Scenario 2 Inc Exp Statement'!I10+'Scenario 2 Inc Exp Statement'!I11</f>
        <v>3512518.3113330072</v>
      </c>
      <c r="J9" s="116">
        <f>+'Scenario 2 Inc Exp Statement'!J10+'Scenario 2 Inc Exp Statement'!J11</f>
        <v>3600331.2691163314</v>
      </c>
      <c r="K9" s="116">
        <f>+'Scenario 2 Inc Exp Statement'!K10+'Scenario 2 Inc Exp Statement'!K11</f>
        <v>3690339.55084424</v>
      </c>
      <c r="L9" s="116">
        <f>+'Scenario 2 Inc Exp Statement'!L10+'Scenario 2 Inc Exp Statement'!L11</f>
        <v>3782598.0396153457</v>
      </c>
      <c r="M9" s="116">
        <f>+'Scenario 2 Inc Exp Statement'!M10+'Scenario 2 Inc Exp Statement'!M11</f>
        <v>3877162.9906057287</v>
      </c>
      <c r="N9" s="217">
        <f>+'Scenario 2 Inc Exp Statement'!N10+'Scenario 2 Inc Exp Statement'!N11</f>
        <v>3877162.9906057287</v>
      </c>
      <c r="O9" s="217">
        <f>+'Scenario 2 Inc Exp Statement'!O10+'Scenario 2 Inc Exp Statement'!O11</f>
        <v>3877162.9906057287</v>
      </c>
    </row>
    <row r="10" spans="1:15" ht="15" x14ac:dyDescent="0.25">
      <c r="A10" t="s">
        <v>86</v>
      </c>
      <c r="B10" s="116">
        <v>0</v>
      </c>
      <c r="C10" s="217">
        <v>686000</v>
      </c>
      <c r="D10" s="116">
        <v>0</v>
      </c>
      <c r="E10" s="116">
        <v>0</v>
      </c>
      <c r="F10" s="116">
        <v>0</v>
      </c>
      <c r="G10" s="116">
        <v>0</v>
      </c>
      <c r="H10" s="116">
        <v>0</v>
      </c>
      <c r="I10" s="116">
        <v>0</v>
      </c>
      <c r="J10" s="116">
        <v>0</v>
      </c>
      <c r="K10" s="116">
        <v>0</v>
      </c>
      <c r="L10" s="116">
        <v>0</v>
      </c>
      <c r="M10" s="116">
        <v>0</v>
      </c>
      <c r="N10" s="217">
        <v>1</v>
      </c>
      <c r="O10" s="217">
        <v>2</v>
      </c>
    </row>
    <row r="11" spans="1:15" ht="15" x14ac:dyDescent="0.25">
      <c r="A11" t="s">
        <v>41</v>
      </c>
      <c r="B11" s="116">
        <v>1211000</v>
      </c>
      <c r="C11" s="217">
        <v>1972000</v>
      </c>
      <c r="D11" s="116">
        <f>+'Scenario 2 Inc Exp Statement'!D9</f>
        <v>0</v>
      </c>
      <c r="E11" s="116">
        <f>+'Scenario 2 Inc Exp Statement'!E9</f>
        <v>1323177.0129724999</v>
      </c>
      <c r="F11" s="116">
        <f>+'Scenario 2 Inc Exp Statement'!F9</f>
        <v>1356256.4382968124</v>
      </c>
      <c r="G11" s="116">
        <f>+'Scenario 2 Inc Exp Statement'!G9</f>
        <v>1390162.8492542326</v>
      </c>
      <c r="H11" s="116">
        <f>+'Scenario 2 Inc Exp Statement'!H9</f>
        <v>1424916.9204855883</v>
      </c>
      <c r="I11" s="116">
        <f>+'Scenario 2 Inc Exp Statement'!I9</f>
        <v>1460539.8434977275</v>
      </c>
      <c r="J11" s="116">
        <f>+'Scenario 2 Inc Exp Statement'!J9</f>
        <v>1497053.3395851708</v>
      </c>
      <c r="K11" s="116">
        <f>+'Scenario 2 Inc Exp Statement'!K9</f>
        <v>1534479.6730747996</v>
      </c>
      <c r="L11" s="116">
        <f>+'Scenario 2 Inc Exp Statement'!L9</f>
        <v>1572841.6649016694</v>
      </c>
      <c r="M11" s="116">
        <f>+'Scenario 2 Inc Exp Statement'!M9</f>
        <v>1612162.7065242112</v>
      </c>
      <c r="N11" s="217">
        <f>+'Scenario 2 Inc Exp Statement'!N9</f>
        <v>1612162.7065242112</v>
      </c>
      <c r="O11" s="217">
        <f>+'Scenario 2 Inc Exp Statement'!O9</f>
        <v>1612162.7065242112</v>
      </c>
    </row>
    <row r="12" spans="1:15" ht="15" x14ac:dyDescent="0.25">
      <c r="B12" s="116"/>
      <c r="C12" s="217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217"/>
      <c r="O12" s="217"/>
    </row>
    <row r="13" spans="1:15" ht="15" x14ac:dyDescent="0.25">
      <c r="A13" s="41" t="s">
        <v>87</v>
      </c>
      <c r="B13" s="116"/>
      <c r="C13" s="217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217"/>
      <c r="O13" s="217"/>
    </row>
    <row r="14" spans="1:15" ht="15" x14ac:dyDescent="0.25">
      <c r="A14" t="s">
        <v>25</v>
      </c>
      <c r="B14" s="116">
        <v>-12508000</v>
      </c>
      <c r="C14" s="217">
        <v>-13272000</v>
      </c>
      <c r="D14" s="116">
        <f>-'Scenario 2 Inc Exp Statement'!D17</f>
        <v>0</v>
      </c>
      <c r="E14" s="116">
        <f>-'Scenario 2 Inc Exp Statement'!E17</f>
        <v>-13780905</v>
      </c>
      <c r="F14" s="116">
        <f>-'Scenario 2 Inc Exp Statement'!F17</f>
        <v>-14263237</v>
      </c>
      <c r="G14" s="116">
        <f>-'Scenario 2 Inc Exp Statement'!G17</f>
        <v>-14762450</v>
      </c>
      <c r="H14" s="116">
        <f>-'Scenario 2 Inc Exp Statement'!H17</f>
        <v>-15279136</v>
      </c>
      <c r="I14" s="116">
        <f>-'Scenario 2 Inc Exp Statement'!I17</f>
        <v>-15813906</v>
      </c>
      <c r="J14" s="116">
        <f>-'Scenario 2 Inc Exp Statement'!J17</f>
        <v>-16367392</v>
      </c>
      <c r="K14" s="116">
        <f>-'Scenario 2 Inc Exp Statement'!K17</f>
        <v>-16940251</v>
      </c>
      <c r="L14" s="116">
        <f>-'Scenario 2 Inc Exp Statement'!L17</f>
        <v>-17533160</v>
      </c>
      <c r="M14" s="116">
        <f>-'Scenario 2 Inc Exp Statement'!M17</f>
        <v>-18146821</v>
      </c>
      <c r="N14" s="217">
        <f>-'Scenario 2 Inc Exp Statement'!N17</f>
        <v>-18146821</v>
      </c>
      <c r="O14" s="217">
        <f>-'Scenario 2 Inc Exp Statement'!O17</f>
        <v>-18146821</v>
      </c>
    </row>
    <row r="15" spans="1:15" ht="15" x14ac:dyDescent="0.25">
      <c r="A15" t="s">
        <v>27</v>
      </c>
      <c r="B15" s="116">
        <v>-5969000</v>
      </c>
      <c r="C15" s="217">
        <v>-5814000</v>
      </c>
      <c r="D15" s="116">
        <f>-'Scenario 2 Inc Exp Statement'!D18</f>
        <v>0</v>
      </c>
      <c r="E15" s="116">
        <f>-'Scenario 2 Inc Exp Statement'!E18</f>
        <v>-5061438</v>
      </c>
      <c r="F15" s="116">
        <f>-'Scenario 2 Inc Exp Statement'!F18</f>
        <v>-4525823</v>
      </c>
      <c r="G15" s="116">
        <f>-'Scenario 2 Inc Exp Statement'!G18</f>
        <v>-4638969</v>
      </c>
      <c r="H15" s="116">
        <f>-'Scenario 2 Inc Exp Statement'!H18</f>
        <v>-4754943</v>
      </c>
      <c r="I15" s="116">
        <f>-'Scenario 2 Inc Exp Statement'!I18</f>
        <v>-4873817</v>
      </c>
      <c r="J15" s="116">
        <f>-'Scenario 2 Inc Exp Statement'!J18</f>
        <v>-4995662</v>
      </c>
      <c r="K15" s="116">
        <f>-'Scenario 2 Inc Exp Statement'!K18</f>
        <v>-5120554</v>
      </c>
      <c r="L15" s="116">
        <f>-'Scenario 2 Inc Exp Statement'!L18</f>
        <v>-5248568</v>
      </c>
      <c r="M15" s="116">
        <f>-'Scenario 2 Inc Exp Statement'!M18</f>
        <v>-5379782</v>
      </c>
      <c r="N15" s="217">
        <f>-'Scenario 2 Inc Exp Statement'!N18</f>
        <v>-5379782</v>
      </c>
      <c r="O15" s="217">
        <f>-'Scenario 2 Inc Exp Statement'!O18</f>
        <v>-5379782</v>
      </c>
    </row>
    <row r="16" spans="1:15" ht="15" x14ac:dyDescent="0.25">
      <c r="A16" t="s">
        <v>88</v>
      </c>
      <c r="B16" s="116">
        <v>-223000</v>
      </c>
      <c r="C16" s="217">
        <v>-764000</v>
      </c>
      <c r="D16" s="116">
        <v>0</v>
      </c>
      <c r="E16" s="116">
        <v>0</v>
      </c>
      <c r="F16" s="116">
        <v>0</v>
      </c>
      <c r="G16" s="116">
        <v>0</v>
      </c>
      <c r="H16" s="116">
        <v>0</v>
      </c>
      <c r="I16" s="116">
        <v>0</v>
      </c>
      <c r="J16" s="116">
        <v>0</v>
      </c>
      <c r="K16" s="116">
        <v>0</v>
      </c>
      <c r="L16" s="116">
        <v>0</v>
      </c>
      <c r="M16" s="116">
        <v>0</v>
      </c>
      <c r="N16" s="217">
        <v>1</v>
      </c>
      <c r="O16" s="217">
        <v>2</v>
      </c>
    </row>
    <row r="17" spans="1:15" ht="15" x14ac:dyDescent="0.25">
      <c r="A17" s="5" t="s">
        <v>41</v>
      </c>
      <c r="B17" s="118">
        <v>-6559000</v>
      </c>
      <c r="C17" s="216">
        <v>-7178000</v>
      </c>
      <c r="D17" s="118">
        <f>-'Scenario 2 Inc Exp Statement'!D20</f>
        <v>0</v>
      </c>
      <c r="E17" s="118">
        <f>-'Scenario 2 Inc Exp Statement'!E20</f>
        <v>-7372991</v>
      </c>
      <c r="F17" s="118">
        <f>-'Scenario 2 Inc Exp Statement'!F20</f>
        <v>-7742316</v>
      </c>
      <c r="G17" s="118">
        <f>-'Scenario 2 Inc Exp Statement'!G20</f>
        <v>-7746249</v>
      </c>
      <c r="H17" s="118">
        <f>-'Scenario 2 Inc Exp Statement'!H20</f>
        <v>-7939905</v>
      </c>
      <c r="I17" s="118">
        <f>-'Scenario 2 Inc Exp Statement'!I20</f>
        <v>-8138403</v>
      </c>
      <c r="J17" s="118">
        <f>-'Scenario 2 Inc Exp Statement'!J20</f>
        <v>-8541863</v>
      </c>
      <c r="K17" s="118">
        <f>-'Scenario 2 Inc Exp Statement'!K20</f>
        <v>-8550410</v>
      </c>
      <c r="L17" s="118">
        <f>-'Scenario 2 Inc Exp Statement'!L20</f>
        <v>-8764170</v>
      </c>
      <c r="M17" s="118">
        <f>-'Scenario 2 Inc Exp Statement'!M20</f>
        <v>-8983274</v>
      </c>
      <c r="N17" s="216">
        <f>-'Scenario 2 Inc Exp Statement'!N20</f>
        <v>-8983274</v>
      </c>
      <c r="O17" s="216">
        <f>-'Scenario 2 Inc Exp Statement'!O20</f>
        <v>-8983274</v>
      </c>
    </row>
    <row r="18" spans="1:15" s="44" customFormat="1" ht="15" x14ac:dyDescent="0.25">
      <c r="A18" s="42" t="s">
        <v>89</v>
      </c>
      <c r="B18" s="43">
        <f>SUM(B6:B17)</f>
        <v>3269000</v>
      </c>
      <c r="C18" s="167">
        <f t="shared" ref="C18" si="0">SUM(C6:C17)</f>
        <v>286000</v>
      </c>
      <c r="D18" s="43">
        <f t="shared" ref="D18:M18" si="1">SUM(D6:D17)</f>
        <v>0</v>
      </c>
      <c r="E18" s="43">
        <f t="shared" si="1"/>
        <v>4239087.7639467567</v>
      </c>
      <c r="F18" s="43">
        <f t="shared" si="1"/>
        <v>4559515.9530640543</v>
      </c>
      <c r="G18" s="43">
        <f t="shared" si="1"/>
        <v>4803536.0929368846</v>
      </c>
      <c r="H18" s="43">
        <f t="shared" si="1"/>
        <v>5303117.9445861802</v>
      </c>
      <c r="I18" s="43">
        <f t="shared" si="1"/>
        <v>5379173.5695949569</v>
      </c>
      <c r="J18" s="43">
        <f t="shared" si="1"/>
        <v>5240324.2909378111</v>
      </c>
      <c r="K18" s="43">
        <f t="shared" si="1"/>
        <v>5454439.7209764719</v>
      </c>
      <c r="L18" s="43">
        <f t="shared" si="1"/>
        <v>5523670.484110713</v>
      </c>
      <c r="M18" s="43">
        <f t="shared" si="1"/>
        <v>5587300.1475836039</v>
      </c>
      <c r="N18" s="167">
        <f t="shared" ref="N18:O18" si="2">SUM(N6:N17)</f>
        <v>5587302.1475836039</v>
      </c>
      <c r="O18" s="167">
        <f t="shared" si="2"/>
        <v>5587304.1475836039</v>
      </c>
    </row>
    <row r="19" spans="1:15" ht="15" x14ac:dyDescent="0.25">
      <c r="B19" s="4"/>
      <c r="C19" s="214"/>
      <c r="D19" s="4"/>
      <c r="E19" s="4"/>
      <c r="F19" s="4"/>
      <c r="G19" s="4"/>
      <c r="H19" s="4"/>
      <c r="I19" s="4"/>
      <c r="J19" s="4"/>
      <c r="K19" s="4"/>
      <c r="L19" s="4"/>
      <c r="M19" s="4"/>
      <c r="N19" s="214"/>
      <c r="O19" s="214"/>
    </row>
    <row r="20" spans="1:15" ht="15" x14ac:dyDescent="0.25">
      <c r="A20" s="40" t="s">
        <v>90</v>
      </c>
      <c r="B20" s="4"/>
      <c r="C20" s="214"/>
      <c r="D20" s="4"/>
      <c r="E20" s="4"/>
      <c r="F20" s="4"/>
      <c r="G20" s="4"/>
      <c r="H20" s="4"/>
      <c r="I20" s="4"/>
      <c r="J20" s="4"/>
      <c r="K20" s="4"/>
      <c r="L20" s="4"/>
      <c r="M20" s="4"/>
      <c r="N20" s="214"/>
      <c r="O20" s="214"/>
    </row>
    <row r="21" spans="1:15" ht="15" x14ac:dyDescent="0.25">
      <c r="A21" s="41" t="s">
        <v>83</v>
      </c>
      <c r="B21" s="4"/>
      <c r="C21" s="214"/>
      <c r="D21" s="4"/>
      <c r="E21" s="4"/>
      <c r="F21" s="4"/>
      <c r="G21" s="4"/>
      <c r="H21" s="4"/>
      <c r="I21" s="4"/>
      <c r="J21" s="4"/>
      <c r="K21" s="4"/>
      <c r="L21" s="4"/>
      <c r="M21" s="4"/>
      <c r="N21" s="214"/>
      <c r="O21" s="214"/>
    </row>
    <row r="22" spans="1:15" ht="15" x14ac:dyDescent="0.25">
      <c r="A22" t="s">
        <v>431</v>
      </c>
      <c r="B22" s="116">
        <v>0</v>
      </c>
      <c r="C22" s="217">
        <v>44500000</v>
      </c>
      <c r="D22" s="116">
        <v>0</v>
      </c>
      <c r="E22" s="116">
        <v>0</v>
      </c>
      <c r="F22" s="116">
        <v>0</v>
      </c>
      <c r="G22" s="116">
        <v>0</v>
      </c>
      <c r="H22" s="116">
        <v>600000</v>
      </c>
      <c r="I22" s="116">
        <v>1100000</v>
      </c>
      <c r="J22" s="116">
        <v>0</v>
      </c>
      <c r="K22" s="116">
        <v>1800000</v>
      </c>
      <c r="L22" s="116">
        <v>200000</v>
      </c>
      <c r="M22" s="116">
        <v>250000</v>
      </c>
      <c r="N22" s="217">
        <v>250000</v>
      </c>
      <c r="O22" s="217">
        <v>250000</v>
      </c>
    </row>
    <row r="23" spans="1:15" ht="15" x14ac:dyDescent="0.25">
      <c r="A23" t="s">
        <v>91</v>
      </c>
      <c r="B23" s="116">
        <v>5528000</v>
      </c>
      <c r="C23" s="217">
        <v>0</v>
      </c>
      <c r="D23" s="116">
        <v>1500000</v>
      </c>
      <c r="E23" s="116">
        <v>0</v>
      </c>
      <c r="F23" s="116">
        <v>0</v>
      </c>
      <c r="G23" s="116">
        <v>0</v>
      </c>
      <c r="H23" s="116">
        <v>0</v>
      </c>
      <c r="I23" s="116">
        <v>0</v>
      </c>
      <c r="J23" s="116">
        <v>0</v>
      </c>
      <c r="K23" s="116">
        <v>0</v>
      </c>
      <c r="L23" s="116">
        <v>0</v>
      </c>
      <c r="M23" s="116">
        <v>0</v>
      </c>
      <c r="N23" s="217">
        <v>0</v>
      </c>
      <c r="O23" s="217">
        <v>0</v>
      </c>
    </row>
    <row r="24" spans="1:15" ht="15" x14ac:dyDescent="0.25">
      <c r="A24" t="s">
        <v>92</v>
      </c>
      <c r="B24" s="116">
        <v>332000</v>
      </c>
      <c r="C24" s="217">
        <v>566000</v>
      </c>
      <c r="D24" s="116">
        <f>+'Scenario 2 Inc Exp Statement'!D13-D23</f>
        <v>-1500000</v>
      </c>
      <c r="E24" s="116">
        <f>+'Scenario 2 Inc Exp Statement'!E13-E23</f>
        <v>475000</v>
      </c>
      <c r="F24" s="116">
        <f>+'Scenario 2 Inc Exp Statement'!F13-F23</f>
        <v>475000</v>
      </c>
      <c r="G24" s="116">
        <f>+'Scenario 2 Inc Exp Statement'!G13-G23</f>
        <v>475000</v>
      </c>
      <c r="H24" s="116">
        <f>+'Scenario 2 Inc Exp Statement'!H13-H23</f>
        <v>486874.99999999994</v>
      </c>
      <c r="I24" s="116">
        <f>+'Scenario 2 Inc Exp Statement'!I13-I23</f>
        <v>499046.87499999988</v>
      </c>
      <c r="J24" s="116">
        <f>+'Scenario 2 Inc Exp Statement'!J13-J23</f>
        <v>511523.04687499983</v>
      </c>
      <c r="K24" s="116">
        <f>+'Scenario 2 Inc Exp Statement'!K13-K23</f>
        <v>524311.12304687477</v>
      </c>
      <c r="L24" s="116">
        <f>+'Scenario 2 Inc Exp Statement'!L13-L23</f>
        <v>537418.90112304664</v>
      </c>
      <c r="M24" s="116">
        <f>+'Scenario 2 Inc Exp Statement'!M13-M23</f>
        <v>550854.37365112279</v>
      </c>
      <c r="N24" s="217">
        <f>+'Scenario 2 Inc Exp Statement'!N13-N23</f>
        <v>550854.37365112279</v>
      </c>
      <c r="O24" s="217">
        <f>+'Scenario 2 Inc Exp Statement'!O13-O23</f>
        <v>550854.37365112279</v>
      </c>
    </row>
    <row r="25" spans="1:15" ht="15" x14ac:dyDescent="0.25">
      <c r="B25" s="116"/>
      <c r="C25" s="217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217"/>
      <c r="O25" s="217"/>
    </row>
    <row r="26" spans="1:15" ht="15" x14ac:dyDescent="0.25">
      <c r="A26" s="41" t="s">
        <v>87</v>
      </c>
      <c r="B26" s="116"/>
      <c r="C26" s="217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217"/>
      <c r="O26" s="217"/>
    </row>
    <row r="27" spans="1:15" ht="15" x14ac:dyDescent="0.25">
      <c r="A27" t="s">
        <v>93</v>
      </c>
      <c r="B27" s="116">
        <v>-23500000</v>
      </c>
      <c r="C27" s="217">
        <v>-43000000</v>
      </c>
      <c r="D27" s="116">
        <v>0</v>
      </c>
      <c r="E27" s="116">
        <v>0</v>
      </c>
      <c r="F27" s="116">
        <v>-1000000</v>
      </c>
      <c r="G27" s="116">
        <v>-1000000</v>
      </c>
      <c r="H27" s="116">
        <v>-1000000</v>
      </c>
      <c r="I27" s="116">
        <v>0</v>
      </c>
      <c r="J27" s="116">
        <v>0</v>
      </c>
      <c r="K27" s="116">
        <v>0</v>
      </c>
      <c r="L27" s="116">
        <v>0</v>
      </c>
      <c r="M27" s="116">
        <v>0</v>
      </c>
      <c r="N27" s="217">
        <v>1</v>
      </c>
      <c r="O27" s="217">
        <v>2</v>
      </c>
    </row>
    <row r="28" spans="1:15" ht="15" x14ac:dyDescent="0.25">
      <c r="A28" t="s">
        <v>94</v>
      </c>
      <c r="B28" s="116">
        <v>-3831000</v>
      </c>
      <c r="C28" s="217">
        <v>-5933000</v>
      </c>
      <c r="D28" s="116">
        <f ca="1">+'Scenario 2 Inc Exp Statement'!D35-D29</f>
        <v>-3886773.6795166293</v>
      </c>
      <c r="E28" s="116">
        <f ca="1">+'Scenario 2 Inc Exp Statement'!E35-E29</f>
        <v>-6869037.4982148726</v>
      </c>
      <c r="F28" s="116">
        <f ca="1">+'Scenario 2 Inc Exp Statement'!F35-F29</f>
        <v>-5970292.9597329386</v>
      </c>
      <c r="G28" s="116">
        <f ca="1">+'Scenario 2 Inc Exp Statement'!G35-G29</f>
        <v>-6630420.5554642072</v>
      </c>
      <c r="H28" s="116">
        <f ca="1">+'Scenario 2 Inc Exp Statement'!H35-H29</f>
        <v>-11558267.290281707</v>
      </c>
      <c r="I28" s="116">
        <f ca="1">+'Scenario 2 Inc Exp Statement'!I35-I29</f>
        <v>-6988760.1907281922</v>
      </c>
      <c r="J28" s="116">
        <f ca="1">+'Scenario 2 Inc Exp Statement'!J35-J29</f>
        <v>-9644446.2463969775</v>
      </c>
      <c r="K28" s="116">
        <f ca="1">+'Scenario 2 Inc Exp Statement'!K35-K29</f>
        <v>-5475779.917529624</v>
      </c>
      <c r="L28" s="116" t="e">
        <f>+'Scenario 2 Inc Exp Statement'!L35-L29</f>
        <v>#REF!</v>
      </c>
      <c r="M28" s="116" t="e">
        <f>+'Scenario 2 Inc Exp Statement'!M35-M29</f>
        <v>#REF!</v>
      </c>
      <c r="N28" s="217">
        <f>+'Scenario 2 Inc Exp Statement'!N35-N29</f>
        <v>-1</v>
      </c>
      <c r="O28" s="217">
        <f>+'Scenario 2 Inc Exp Statement'!O35-O29</f>
        <v>-2</v>
      </c>
    </row>
    <row r="29" spans="1:15" ht="15" x14ac:dyDescent="0.25">
      <c r="A29" s="5" t="s">
        <v>95</v>
      </c>
      <c r="B29" s="118">
        <v>-8000</v>
      </c>
      <c r="C29" s="216">
        <v>0</v>
      </c>
      <c r="D29" s="118">
        <v>-1500000</v>
      </c>
      <c r="E29" s="118">
        <v>0</v>
      </c>
      <c r="F29" s="118">
        <v>0</v>
      </c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>
        <v>0</v>
      </c>
      <c r="M29" s="118">
        <v>0</v>
      </c>
      <c r="N29" s="216">
        <v>1</v>
      </c>
      <c r="O29" s="216">
        <v>2</v>
      </c>
    </row>
    <row r="30" spans="1:15" s="44" customFormat="1" x14ac:dyDescent="0.3">
      <c r="A30" s="42" t="s">
        <v>110</v>
      </c>
      <c r="B30" s="120">
        <f>SUM(B22:B29)</f>
        <v>-21479000</v>
      </c>
      <c r="C30" s="220">
        <f t="shared" ref="C30" si="3">SUM(C22:C29)</f>
        <v>-3867000</v>
      </c>
      <c r="D30" s="120">
        <f t="shared" ref="D30:M30" ca="1" si="4">SUM(D22:D29)</f>
        <v>-5386773.6795166293</v>
      </c>
      <c r="E30" s="120">
        <f t="shared" ca="1" si="4"/>
        <v>-6394037.4982148726</v>
      </c>
      <c r="F30" s="120">
        <f t="shared" ca="1" si="4"/>
        <v>-6495292.9597329386</v>
      </c>
      <c r="G30" s="120">
        <f t="shared" ca="1" si="4"/>
        <v>-7155420.5554642072</v>
      </c>
      <c r="H30" s="120">
        <f t="shared" ca="1" si="4"/>
        <v>-11471392.290281707</v>
      </c>
      <c r="I30" s="120">
        <f t="shared" ca="1" si="4"/>
        <v>-5389713.3157281922</v>
      </c>
      <c r="J30" s="120">
        <f t="shared" ca="1" si="4"/>
        <v>-9132923.1995219775</v>
      </c>
      <c r="K30" s="120">
        <f t="shared" ca="1" si="4"/>
        <v>-3151468.794482749</v>
      </c>
      <c r="L30" s="120" t="e">
        <f t="shared" si="4"/>
        <v>#REF!</v>
      </c>
      <c r="M30" s="120" t="e">
        <f t="shared" si="4"/>
        <v>#REF!</v>
      </c>
      <c r="N30" s="220">
        <f t="shared" ref="N30:O30" si="5">SUM(N22:N29)</f>
        <v>800855.37365112279</v>
      </c>
      <c r="O30" s="220">
        <f t="shared" si="5"/>
        <v>800856.37365112279</v>
      </c>
    </row>
    <row r="31" spans="1:15" x14ac:dyDescent="0.3">
      <c r="B31" s="116"/>
      <c r="C31" s="217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217"/>
      <c r="O31" s="217"/>
    </row>
    <row r="32" spans="1:15" x14ac:dyDescent="0.3">
      <c r="A32" s="40" t="s">
        <v>321</v>
      </c>
      <c r="B32" s="116">
        <f>+B18+B30</f>
        <v>-18210000</v>
      </c>
      <c r="C32" s="217">
        <f>+C18+C30</f>
        <v>-3581000</v>
      </c>
      <c r="D32" s="116">
        <f t="shared" ref="D32:M32" ca="1" si="6">+D18+D30</f>
        <v>-5386773.6795166293</v>
      </c>
      <c r="E32" s="116">
        <f t="shared" ca="1" si="6"/>
        <v>-2154949.7342681158</v>
      </c>
      <c r="F32" s="116">
        <f t="shared" ca="1" si="6"/>
        <v>-1935777.0066688843</v>
      </c>
      <c r="G32" s="116">
        <f t="shared" ca="1" si="6"/>
        <v>-2351884.4625273226</v>
      </c>
      <c r="H32" s="116">
        <f t="shared" ca="1" si="6"/>
        <v>-6168274.3456955273</v>
      </c>
      <c r="I32" s="116">
        <f t="shared" ca="1" si="6"/>
        <v>-10539.746133235283</v>
      </c>
      <c r="J32" s="116">
        <f t="shared" ca="1" si="6"/>
        <v>-3892598.9085841663</v>
      </c>
      <c r="K32" s="116">
        <f t="shared" ca="1" si="6"/>
        <v>2302970.9264937229</v>
      </c>
      <c r="L32" s="116" t="e">
        <f t="shared" si="6"/>
        <v>#REF!</v>
      </c>
      <c r="M32" s="116" t="e">
        <f t="shared" si="6"/>
        <v>#REF!</v>
      </c>
      <c r="N32" s="217">
        <f t="shared" ref="N32:O32" si="7">+N18+N30</f>
        <v>6388157.5212347265</v>
      </c>
      <c r="O32" s="217">
        <f t="shared" si="7"/>
        <v>6388160.5212347265</v>
      </c>
    </row>
    <row r="33" spans="1:15" ht="9" customHeight="1" x14ac:dyDescent="0.3">
      <c r="A33" s="44"/>
      <c r="B33" s="116"/>
      <c r="C33" s="217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217"/>
      <c r="O33" s="217"/>
    </row>
    <row r="34" spans="1:15" x14ac:dyDescent="0.3">
      <c r="A34" s="40" t="s">
        <v>96</v>
      </c>
      <c r="B34" s="116">
        <v>24915000</v>
      </c>
      <c r="C34" s="217">
        <f>+B36</f>
        <v>6705000</v>
      </c>
      <c r="D34" s="116">
        <f t="shared" ref="D34:M34" si="8">+C36</f>
        <v>3124000</v>
      </c>
      <c r="E34" s="116">
        <f t="shared" ca="1" si="8"/>
        <v>-2262773.6795166293</v>
      </c>
      <c r="F34" s="116">
        <f t="shared" ca="1" si="8"/>
        <v>-4417723.4137847451</v>
      </c>
      <c r="G34" s="116">
        <f t="shared" ca="1" si="8"/>
        <v>-6353500.4204536295</v>
      </c>
      <c r="H34" s="116">
        <f t="shared" ca="1" si="8"/>
        <v>-8705384.882980952</v>
      </c>
      <c r="I34" s="116">
        <f t="shared" ca="1" si="8"/>
        <v>-14873659.228676479</v>
      </c>
      <c r="J34" s="116">
        <f t="shared" ca="1" si="8"/>
        <v>-14884198.974809714</v>
      </c>
      <c r="K34" s="116">
        <f t="shared" ca="1" si="8"/>
        <v>-18776797.88339388</v>
      </c>
      <c r="L34" s="116">
        <f t="shared" ca="1" si="8"/>
        <v>-16473826.956900157</v>
      </c>
      <c r="M34" s="116" t="e">
        <f t="shared" ca="1" si="8"/>
        <v>#REF!</v>
      </c>
      <c r="N34" s="217" t="e">
        <f t="shared" ref="N34" ca="1" si="9">+M36</f>
        <v>#REF!</v>
      </c>
      <c r="O34" s="217" t="e">
        <f t="shared" ref="O34" ca="1" si="10">+N36</f>
        <v>#REF!</v>
      </c>
    </row>
    <row r="35" spans="1:15" x14ac:dyDescent="0.3">
      <c r="B35" s="116"/>
      <c r="C35" s="217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217"/>
      <c r="O35" s="217"/>
    </row>
    <row r="36" spans="1:15" s="40" customFormat="1" ht="15" thickBot="1" x14ac:dyDescent="0.35">
      <c r="A36" s="40" t="s">
        <v>97</v>
      </c>
      <c r="B36" s="46">
        <f>+B32+B34</f>
        <v>6705000</v>
      </c>
      <c r="C36" s="169">
        <f t="shared" ref="C36" si="11">+C32+C34</f>
        <v>3124000</v>
      </c>
      <c r="D36" s="46">
        <f t="shared" ref="D36:M36" ca="1" si="12">+D32+D34</f>
        <v>-2262773.6795166293</v>
      </c>
      <c r="E36" s="46">
        <f t="shared" ca="1" si="12"/>
        <v>-4417723.4137847451</v>
      </c>
      <c r="F36" s="46">
        <f t="shared" ca="1" si="12"/>
        <v>-6353500.4204536295</v>
      </c>
      <c r="G36" s="46">
        <f t="shared" ca="1" si="12"/>
        <v>-8705384.882980952</v>
      </c>
      <c r="H36" s="46">
        <f t="shared" ca="1" si="12"/>
        <v>-14873659.228676479</v>
      </c>
      <c r="I36" s="46">
        <f t="shared" ca="1" si="12"/>
        <v>-14884198.974809714</v>
      </c>
      <c r="J36" s="46">
        <f t="shared" ca="1" si="12"/>
        <v>-18776797.88339388</v>
      </c>
      <c r="K36" s="46">
        <f t="shared" ca="1" si="12"/>
        <v>-16473826.956900157</v>
      </c>
      <c r="L36" s="46" t="e">
        <f t="shared" ca="1" si="12"/>
        <v>#REF!</v>
      </c>
      <c r="M36" s="46" t="e">
        <f t="shared" ca="1" si="12"/>
        <v>#REF!</v>
      </c>
      <c r="N36" s="169" t="e">
        <f t="shared" ref="N36:O36" ca="1" si="13">+N32+N34</f>
        <v>#REF!</v>
      </c>
      <c r="O36" s="169" t="e">
        <f t="shared" ca="1" si="13"/>
        <v>#REF!</v>
      </c>
    </row>
    <row r="37" spans="1:15" ht="9" customHeight="1" x14ac:dyDescent="0.3">
      <c r="N37" s="221"/>
      <c r="O37" s="221"/>
    </row>
    <row r="38" spans="1:15" x14ac:dyDescent="0.3">
      <c r="A38" t="s">
        <v>98</v>
      </c>
      <c r="B38" s="4">
        <v>23500000</v>
      </c>
      <c r="C38" s="214">
        <f>B38-C27-C22</f>
        <v>22000000</v>
      </c>
      <c r="D38" s="214">
        <f t="shared" ref="D38:M38" si="14">+C38-D27-D22</f>
        <v>22000000</v>
      </c>
      <c r="E38" s="214">
        <f t="shared" si="14"/>
        <v>22000000</v>
      </c>
      <c r="F38" s="214">
        <f t="shared" si="14"/>
        <v>23000000</v>
      </c>
      <c r="G38" s="214">
        <f t="shared" si="14"/>
        <v>24000000</v>
      </c>
      <c r="H38" s="214">
        <f t="shared" si="14"/>
        <v>24400000</v>
      </c>
      <c r="I38" s="214">
        <f t="shared" si="14"/>
        <v>23300000</v>
      </c>
      <c r="J38" s="214">
        <f t="shared" si="14"/>
        <v>23300000</v>
      </c>
      <c r="K38" s="214">
        <f t="shared" si="14"/>
        <v>21500000</v>
      </c>
      <c r="L38" s="214">
        <f t="shared" si="14"/>
        <v>21300000</v>
      </c>
      <c r="M38" s="214">
        <f t="shared" si="14"/>
        <v>21050000</v>
      </c>
      <c r="N38" s="214">
        <f t="shared" ref="N38" si="15">+M38-N27-N22</f>
        <v>20799999</v>
      </c>
      <c r="O38" s="214">
        <f t="shared" ref="O38" si="16">+N38-O27-O22</f>
        <v>20549997</v>
      </c>
    </row>
    <row r="39" spans="1:15" x14ac:dyDescent="0.3">
      <c r="B39" s="4"/>
      <c r="C39" s="214"/>
      <c r="D39" s="4"/>
      <c r="E39" s="4"/>
      <c r="F39" s="4"/>
      <c r="G39" s="4"/>
      <c r="H39" s="4"/>
      <c r="I39" s="4"/>
      <c r="J39" s="4"/>
      <c r="K39" s="4"/>
      <c r="L39" s="4"/>
      <c r="M39" s="4"/>
      <c r="N39" s="214"/>
      <c r="O39" s="214"/>
    </row>
    <row r="40" spans="1:15" s="44" customFormat="1" ht="15" thickBot="1" x14ac:dyDescent="0.35">
      <c r="A40" s="40" t="s">
        <v>99</v>
      </c>
      <c r="B40" s="47">
        <f>+B36+B38</f>
        <v>30205000</v>
      </c>
      <c r="C40" s="170">
        <f t="shared" ref="C40" si="17">+C36+C38</f>
        <v>25124000</v>
      </c>
      <c r="D40" s="47">
        <f t="shared" ref="D40:M40" ca="1" si="18">+D36+D38</f>
        <v>19737226.320483372</v>
      </c>
      <c r="E40" s="47">
        <f t="shared" ca="1" si="18"/>
        <v>17582276.586215254</v>
      </c>
      <c r="F40" s="47">
        <f t="shared" ca="1" si="18"/>
        <v>16646499.57954637</v>
      </c>
      <c r="G40" s="47">
        <f t="shared" ca="1" si="18"/>
        <v>15294615.117019048</v>
      </c>
      <c r="H40" s="47">
        <f t="shared" ca="1" si="18"/>
        <v>9526340.7713235207</v>
      </c>
      <c r="I40" s="47">
        <f t="shared" ca="1" si="18"/>
        <v>8415801.0251902863</v>
      </c>
      <c r="J40" s="47">
        <f t="shared" ca="1" si="18"/>
        <v>4523202.11660612</v>
      </c>
      <c r="K40" s="47">
        <f t="shared" ca="1" si="18"/>
        <v>5026173.043099843</v>
      </c>
      <c r="L40" s="47" t="e">
        <f t="shared" ca="1" si="18"/>
        <v>#REF!</v>
      </c>
      <c r="M40" s="47" t="e">
        <f t="shared" ca="1" si="18"/>
        <v>#REF!</v>
      </c>
      <c r="N40" s="170" t="e">
        <f t="shared" ref="N40:O40" ca="1" si="19">+N36+N38</f>
        <v>#REF!</v>
      </c>
      <c r="O40" s="170" t="e">
        <f t="shared" ca="1" si="19"/>
        <v>#REF!</v>
      </c>
    </row>
    <row r="41" spans="1:15" ht="15" thickTop="1" x14ac:dyDescent="0.3">
      <c r="B41" s="4"/>
      <c r="C41" s="214"/>
      <c r="D41" s="4"/>
      <c r="E41" s="4"/>
      <c r="F41" s="4"/>
      <c r="G41" s="4"/>
      <c r="H41" s="4"/>
      <c r="I41" s="4"/>
      <c r="J41" s="4"/>
      <c r="K41" s="4"/>
      <c r="L41" s="4"/>
      <c r="M41" s="4"/>
      <c r="N41" s="214"/>
      <c r="O41" s="214"/>
    </row>
    <row r="42" spans="1:15" x14ac:dyDescent="0.3">
      <c r="B42" s="4"/>
      <c r="C42" s="214"/>
      <c r="D42" s="4"/>
      <c r="E42" s="4"/>
      <c r="F42" s="4"/>
      <c r="G42" s="4"/>
      <c r="H42" s="4"/>
      <c r="I42" s="4"/>
      <c r="J42" s="4"/>
      <c r="K42" s="4"/>
      <c r="L42" s="4"/>
      <c r="M42" s="4"/>
      <c r="N42" s="214"/>
      <c r="O42" s="214"/>
    </row>
    <row r="43" spans="1:15" x14ac:dyDescent="0.3">
      <c r="A43" s="112" t="s">
        <v>423</v>
      </c>
      <c r="B43" s="19" t="s">
        <v>69</v>
      </c>
      <c r="C43" s="213" t="s">
        <v>69</v>
      </c>
      <c r="D43" s="19" t="s">
        <v>70</v>
      </c>
      <c r="E43" s="19" t="s">
        <v>71</v>
      </c>
      <c r="F43" s="19" t="s">
        <v>71</v>
      </c>
      <c r="G43" s="19" t="s">
        <v>71</v>
      </c>
      <c r="H43" s="19" t="s">
        <v>71</v>
      </c>
      <c r="I43" s="19" t="s">
        <v>71</v>
      </c>
      <c r="J43" s="19" t="s">
        <v>71</v>
      </c>
      <c r="K43" s="19" t="s">
        <v>71</v>
      </c>
      <c r="L43" s="19" t="s">
        <v>71</v>
      </c>
      <c r="M43" s="19" t="s">
        <v>71</v>
      </c>
      <c r="N43" s="213" t="s">
        <v>71</v>
      </c>
      <c r="O43" s="213" t="s">
        <v>71</v>
      </c>
    </row>
    <row r="44" spans="1:15" x14ac:dyDescent="0.3">
      <c r="A44" s="18" t="s">
        <v>73</v>
      </c>
      <c r="B44" s="20" t="s">
        <v>60</v>
      </c>
      <c r="C44" s="159" t="s">
        <v>68</v>
      </c>
      <c r="D44" s="19" t="s">
        <v>0</v>
      </c>
      <c r="E44" s="19" t="s">
        <v>1</v>
      </c>
      <c r="F44" s="19" t="s">
        <v>2</v>
      </c>
      <c r="G44" s="19" t="s">
        <v>3</v>
      </c>
      <c r="H44" s="19" t="s">
        <v>4</v>
      </c>
      <c r="I44" s="19" t="s">
        <v>5</v>
      </c>
      <c r="J44" s="19" t="s">
        <v>6</v>
      </c>
      <c r="K44" s="19" t="s">
        <v>7</v>
      </c>
      <c r="L44" s="19" t="s">
        <v>8</v>
      </c>
      <c r="M44" s="19" t="s">
        <v>9</v>
      </c>
      <c r="N44" s="213" t="s">
        <v>514</v>
      </c>
      <c r="O44" s="213" t="s">
        <v>515</v>
      </c>
    </row>
    <row r="45" spans="1:15" x14ac:dyDescent="0.3">
      <c r="N45" s="221"/>
      <c r="O45" s="221"/>
    </row>
    <row r="46" spans="1:15" x14ac:dyDescent="0.3">
      <c r="A46" s="40" t="s">
        <v>82</v>
      </c>
      <c r="N46" s="221"/>
      <c r="O46" s="221"/>
    </row>
    <row r="47" spans="1:15" x14ac:dyDescent="0.3">
      <c r="A47" s="41" t="s">
        <v>83</v>
      </c>
      <c r="B47" s="4"/>
      <c r="C47" s="214"/>
      <c r="D47" s="4"/>
      <c r="E47" s="4"/>
      <c r="F47" s="4"/>
      <c r="G47" s="4"/>
      <c r="H47" s="4"/>
      <c r="I47" s="4"/>
      <c r="J47" s="4"/>
      <c r="K47" s="4"/>
      <c r="L47" s="4"/>
      <c r="M47" s="4"/>
      <c r="N47" s="214"/>
      <c r="O47" s="214"/>
    </row>
    <row r="48" spans="1:15" x14ac:dyDescent="0.3">
      <c r="A48" t="s">
        <v>11</v>
      </c>
      <c r="B48" s="116">
        <v>18045000</v>
      </c>
      <c r="C48" s="217">
        <f>C6</f>
        <v>19766000</v>
      </c>
      <c r="D48" s="116">
        <f>+'Scenario 2 Inc Exp Statement'!D53</f>
        <v>0</v>
      </c>
      <c r="E48" s="116">
        <f>+'Scenario 2 Inc Exp Statement'!E53</f>
        <v>22124446.310000002</v>
      </c>
      <c r="F48" s="116">
        <f>+'Scenario 2 Inc Exp Statement'!F53</f>
        <v>22781729.699300002</v>
      </c>
      <c r="G48" s="116">
        <f>+'Scenario 2 Inc Exp Statement'!G53</f>
        <v>23458731.590278998</v>
      </c>
      <c r="H48" s="116">
        <f>+'Scenario 2 Inc Exp Statement'!H53</f>
        <v>24156043.53798737</v>
      </c>
      <c r="I48" s="116">
        <f>+'Scenario 2 Inc Exp Statement'!I53</f>
        <v>24874274.844126988</v>
      </c>
      <c r="J48" s="116">
        <f>+'Scenario 2 Inc Exp Statement'!J53</f>
        <v>25614053.089450795</v>
      </c>
      <c r="K48" s="116">
        <f>+'Scenario 2 Inc Exp Statement'!K53</f>
        <v>26376024.682134327</v>
      </c>
      <c r="L48" s="116">
        <f>+'Scenario 2 Inc Exp Statement'!L53</f>
        <v>27160855.422598358</v>
      </c>
      <c r="M48" s="116">
        <f>+'Scenario 2 Inc Exp Statement'!M53</f>
        <v>27969231.085276309</v>
      </c>
      <c r="N48" s="217">
        <f>+'Scenario 2 Inc Exp Statement'!N53</f>
        <v>27969231.085276309</v>
      </c>
      <c r="O48" s="217">
        <f>+'Scenario 2 Inc Exp Statement'!O53</f>
        <v>27969231.085276309</v>
      </c>
    </row>
    <row r="49" spans="1:15" x14ac:dyDescent="0.3">
      <c r="A49" t="s">
        <v>12</v>
      </c>
      <c r="B49" s="116">
        <v>3575000</v>
      </c>
      <c r="C49" s="217">
        <f t="shared" ref="C49:C53" si="20">C7</f>
        <v>2971000</v>
      </c>
      <c r="D49" s="116">
        <f>+'Scenario 2 Inc Exp Statement'!D54</f>
        <v>0</v>
      </c>
      <c r="E49" s="116">
        <f>+'Scenario 2 Inc Exp Statement'!E54</f>
        <v>3094175.2317545456</v>
      </c>
      <c r="F49" s="116">
        <f>+'Scenario 2 Inc Exp Statement'!F54</f>
        <v>3154197.1125484086</v>
      </c>
      <c r="G49" s="116">
        <f>+'Scenario 2 Inc Exp Statement'!G54</f>
        <v>3215719.5403621192</v>
      </c>
      <c r="H49" s="116">
        <f>+'Scenario 2 Inc Exp Statement'!H54</f>
        <v>3278780.0288711712</v>
      </c>
      <c r="I49" s="116">
        <f>+'Scenario 2 Inc Exp Statement'!I54</f>
        <v>3343417.0295929499</v>
      </c>
      <c r="J49" s="116">
        <f>+'Scenario 2 Inc Exp Statement'!J54</f>
        <v>3409669.9553327733</v>
      </c>
      <c r="K49" s="116">
        <f>+'Scenario 2 Inc Exp Statement'!K54</f>
        <v>3477579.2042160938</v>
      </c>
      <c r="L49" s="116">
        <f>+'Scenario 2 Inc Exp Statement'!L54</f>
        <v>3547186.1843214948</v>
      </c>
      <c r="M49" s="116">
        <f>+'Scenario 2 Inc Exp Statement'!M54</f>
        <v>3618533.3389295335</v>
      </c>
      <c r="N49" s="217">
        <f>+'Scenario 2 Inc Exp Statement'!N54</f>
        <v>3618533.3389295335</v>
      </c>
      <c r="O49" s="217">
        <f>+'Scenario 2 Inc Exp Statement'!O54</f>
        <v>3618533.3389295335</v>
      </c>
    </row>
    <row r="50" spans="1:15" x14ac:dyDescent="0.3">
      <c r="A50" t="s">
        <v>84</v>
      </c>
      <c r="B50" s="116">
        <v>1238000</v>
      </c>
      <c r="C50" s="217">
        <f t="shared" si="20"/>
        <v>1919000</v>
      </c>
      <c r="D50" s="116">
        <f>+'Scenario 2 Inc Exp Statement'!D55</f>
        <v>0</v>
      </c>
      <c r="E50" s="116">
        <f>+'Scenario 2 Inc Exp Statement'!E55</f>
        <v>946675.64043392788</v>
      </c>
      <c r="F50" s="116">
        <f>+'Scenario 2 Inc Exp Statement'!F55</f>
        <v>963678.47005233879</v>
      </c>
      <c r="G50" s="116">
        <f>+'Scenario 2 Inc Exp Statement'!G55</f>
        <v>980754.44131061388</v>
      </c>
      <c r="H50" s="116">
        <f>+'Scenario 2 Inc Exp Statement'!H55</f>
        <v>979182.826351895</v>
      </c>
      <c r="I50" s="116">
        <f>+'Scenario 2 Inc Exp Statement'!I55</f>
        <v>1002928.4622365199</v>
      </c>
      <c r="J50" s="116">
        <f>+'Scenario 2 Inc Exp Statement'!J55</f>
        <v>1012397.0876039114</v>
      </c>
      <c r="K50" s="116">
        <f>+'Scenario 2 Inc Exp Statement'!K55</f>
        <v>975939.66359006439</v>
      </c>
      <c r="L50" s="116">
        <f>+'Scenario 2 Inc Exp Statement'!L55</f>
        <v>994568.05011151021</v>
      </c>
      <c r="M50" s="116">
        <f>+'Scenario 2 Inc Exp Statement'!M55</f>
        <v>1008399.2307508645</v>
      </c>
      <c r="N50" s="217">
        <f>+'Scenario 2 Inc Exp Statement'!N55</f>
        <v>1008399.2307508645</v>
      </c>
      <c r="O50" s="217">
        <f>+'Scenario 2 Inc Exp Statement'!O55</f>
        <v>1008399.2307508645</v>
      </c>
    </row>
    <row r="51" spans="1:15" x14ac:dyDescent="0.3">
      <c r="A51" t="s">
        <v>85</v>
      </c>
      <c r="B51" s="116">
        <v>4459000</v>
      </c>
      <c r="C51" s="217">
        <f t="shared" si="20"/>
        <v>0</v>
      </c>
      <c r="D51" s="116">
        <f>+'Scenario 2 Inc Exp Statement'!D57+'Scenario 2 Inc Exp Statement'!D58</f>
        <v>0</v>
      </c>
      <c r="E51" s="116">
        <f>+'Scenario 2 Inc Exp Statement'!E57+'Scenario 2 Inc Exp Statement'!E58</f>
        <v>2955012.5</v>
      </c>
      <c r="F51" s="116">
        <f>+'Scenario 2 Inc Exp Statement'!F57+'Scenario 2 Inc Exp Statement'!F58</f>
        <v>2823887.8125</v>
      </c>
      <c r="G51" s="116">
        <f>+'Scenario 2 Inc Exp Statement'!G57+'Scenario 2 Inc Exp Statement'!G58</f>
        <v>2894485.0078124995</v>
      </c>
      <c r="H51" s="116">
        <f>+'Scenario 2 Inc Exp Statement'!H57+'Scenario 2 Inc Exp Statement'!H58</f>
        <v>3426847.1330078118</v>
      </c>
      <c r="I51" s="116">
        <f>+'Scenario 2 Inc Exp Statement'!I57+'Scenario 2 Inc Exp Statement'!I58</f>
        <v>3512518.3113330072</v>
      </c>
      <c r="J51" s="116">
        <f>+'Scenario 2 Inc Exp Statement'!J57+'Scenario 2 Inc Exp Statement'!J58</f>
        <v>3600331.2691163314</v>
      </c>
      <c r="K51" s="116">
        <f>+'Scenario 2 Inc Exp Statement'!K57+'Scenario 2 Inc Exp Statement'!K58</f>
        <v>3690339.55084424</v>
      </c>
      <c r="L51" s="116">
        <f>+'Scenario 2 Inc Exp Statement'!L57+'Scenario 2 Inc Exp Statement'!L58</f>
        <v>3782598.0396153457</v>
      </c>
      <c r="M51" s="116">
        <f>+'Scenario 2 Inc Exp Statement'!M57+'Scenario 2 Inc Exp Statement'!M58</f>
        <v>3877162.9906057287</v>
      </c>
      <c r="N51" s="217">
        <f>+'Scenario 2 Inc Exp Statement'!N57+'Scenario 2 Inc Exp Statement'!N58</f>
        <v>3877162.9906057287</v>
      </c>
      <c r="O51" s="217">
        <f>+'Scenario 2 Inc Exp Statement'!O57+'Scenario 2 Inc Exp Statement'!O58</f>
        <v>3877162.9906057287</v>
      </c>
    </row>
    <row r="52" spans="1:15" x14ac:dyDescent="0.3">
      <c r="A52" t="s">
        <v>86</v>
      </c>
      <c r="B52" s="116">
        <v>0</v>
      </c>
      <c r="C52" s="217">
        <f t="shared" si="20"/>
        <v>686000</v>
      </c>
      <c r="D52" s="116">
        <v>0</v>
      </c>
      <c r="E52" s="116">
        <v>0</v>
      </c>
      <c r="F52" s="116">
        <v>0</v>
      </c>
      <c r="G52" s="116">
        <v>0</v>
      </c>
      <c r="H52" s="116">
        <v>0</v>
      </c>
      <c r="I52" s="116">
        <v>0</v>
      </c>
      <c r="J52" s="116">
        <v>0</v>
      </c>
      <c r="K52" s="116">
        <v>0</v>
      </c>
      <c r="L52" s="116">
        <v>0</v>
      </c>
      <c r="M52" s="116">
        <v>0</v>
      </c>
      <c r="N52" s="217">
        <v>1</v>
      </c>
      <c r="O52" s="217">
        <v>2</v>
      </c>
    </row>
    <row r="53" spans="1:15" x14ac:dyDescent="0.3">
      <c r="A53" t="s">
        <v>41</v>
      </c>
      <c r="B53" s="116">
        <v>1211000</v>
      </c>
      <c r="C53" s="217">
        <f t="shared" si="20"/>
        <v>1972000</v>
      </c>
      <c r="D53" s="116">
        <f>+'Scenario 2 Inc Exp Statement'!D56</f>
        <v>0</v>
      </c>
      <c r="E53" s="116">
        <f>+'Scenario 2 Inc Exp Statement'!E56</f>
        <v>1323177.0129724999</v>
      </c>
      <c r="F53" s="116">
        <f>+'Scenario 2 Inc Exp Statement'!F56</f>
        <v>1356256.4382968124</v>
      </c>
      <c r="G53" s="116">
        <f>+'Scenario 2 Inc Exp Statement'!G56</f>
        <v>1390162.8492542326</v>
      </c>
      <c r="H53" s="116">
        <f>+'Scenario 2 Inc Exp Statement'!H56</f>
        <v>1424916.9204855883</v>
      </c>
      <c r="I53" s="116">
        <f>+'Scenario 2 Inc Exp Statement'!I56</f>
        <v>1460539.8434977275</v>
      </c>
      <c r="J53" s="116">
        <f>+'Scenario 2 Inc Exp Statement'!J56</f>
        <v>1497053.3395851708</v>
      </c>
      <c r="K53" s="116">
        <f>+'Scenario 2 Inc Exp Statement'!K56</f>
        <v>1534479.6730747996</v>
      </c>
      <c r="L53" s="116">
        <f>+'Scenario 2 Inc Exp Statement'!L56</f>
        <v>1572841.6649016694</v>
      </c>
      <c r="M53" s="116">
        <f>+'Scenario 2 Inc Exp Statement'!M56</f>
        <v>1612162.7065242112</v>
      </c>
      <c r="N53" s="217">
        <f>+'Scenario 2 Inc Exp Statement'!N56</f>
        <v>1612162.7065242112</v>
      </c>
      <c r="O53" s="217">
        <f>+'Scenario 2 Inc Exp Statement'!O56</f>
        <v>1612162.7065242112</v>
      </c>
    </row>
    <row r="54" spans="1:15" x14ac:dyDescent="0.3">
      <c r="B54" s="116"/>
      <c r="C54" s="217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217"/>
      <c r="O54" s="217"/>
    </row>
    <row r="55" spans="1:15" x14ac:dyDescent="0.3">
      <c r="A55" s="41" t="s">
        <v>87</v>
      </c>
      <c r="B55" s="116"/>
      <c r="C55" s="217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217"/>
      <c r="O55" s="217"/>
    </row>
    <row r="56" spans="1:15" x14ac:dyDescent="0.3">
      <c r="A56" t="s">
        <v>25</v>
      </c>
      <c r="B56" s="116">
        <v>-12508000</v>
      </c>
      <c r="C56" s="217">
        <f>C14</f>
        <v>-13272000</v>
      </c>
      <c r="D56" s="116">
        <f>-'Scenario 2 Inc Exp Statement'!D64</f>
        <v>0</v>
      </c>
      <c r="E56" s="116">
        <f>-'Scenario 2 Inc Exp Statement'!E64</f>
        <v>-13780905</v>
      </c>
      <c r="F56" s="116">
        <f>-'Scenario 2 Inc Exp Statement'!F64</f>
        <v>-14263237</v>
      </c>
      <c r="G56" s="116">
        <f>-'Scenario 2 Inc Exp Statement'!G64</f>
        <v>-14762450</v>
      </c>
      <c r="H56" s="116">
        <f>-'Scenario 2 Inc Exp Statement'!H64</f>
        <v>-15279136</v>
      </c>
      <c r="I56" s="116">
        <f>-'Scenario 2 Inc Exp Statement'!I64</f>
        <v>-15813906</v>
      </c>
      <c r="J56" s="116">
        <f>-'Scenario 2 Inc Exp Statement'!J64</f>
        <v>-16367392</v>
      </c>
      <c r="K56" s="116">
        <f>-'Scenario 2 Inc Exp Statement'!K64</f>
        <v>-16940251</v>
      </c>
      <c r="L56" s="116">
        <f>-'Scenario 2 Inc Exp Statement'!L64</f>
        <v>-17533160</v>
      </c>
      <c r="M56" s="116">
        <f>-'Scenario 2 Inc Exp Statement'!M64</f>
        <v>-18146821</v>
      </c>
      <c r="N56" s="217">
        <f>-'Scenario 2 Inc Exp Statement'!N64</f>
        <v>-18146821</v>
      </c>
      <c r="O56" s="217">
        <f>-'Scenario 2 Inc Exp Statement'!O64</f>
        <v>-18146821</v>
      </c>
    </row>
    <row r="57" spans="1:15" x14ac:dyDescent="0.3">
      <c r="A57" t="s">
        <v>27</v>
      </c>
      <c r="B57" s="116">
        <v>-5969000</v>
      </c>
      <c r="C57" s="217">
        <f t="shared" ref="C57:C59" si="21">C15</f>
        <v>-5814000</v>
      </c>
      <c r="D57" s="116">
        <f>-'Scenario 2 Inc Exp Statement'!D65</f>
        <v>0</v>
      </c>
      <c r="E57" s="116">
        <f>-'Scenario 2 Inc Exp Statement'!E65</f>
        <v>-5061438</v>
      </c>
      <c r="F57" s="116">
        <f>-'Scenario 2 Inc Exp Statement'!F65</f>
        <v>-4525823</v>
      </c>
      <c r="G57" s="116">
        <f>-'Scenario 2 Inc Exp Statement'!G65</f>
        <v>-4638969</v>
      </c>
      <c r="H57" s="116">
        <f>-'Scenario 2 Inc Exp Statement'!H65</f>
        <v>-4754943</v>
      </c>
      <c r="I57" s="116">
        <f>-'Scenario 2 Inc Exp Statement'!I65</f>
        <v>-4873817</v>
      </c>
      <c r="J57" s="116">
        <f>-'Scenario 2 Inc Exp Statement'!J65</f>
        <v>-4995662</v>
      </c>
      <c r="K57" s="116">
        <f>-'Scenario 2 Inc Exp Statement'!K65</f>
        <v>-5120554</v>
      </c>
      <c r="L57" s="116">
        <f>-'Scenario 2 Inc Exp Statement'!L65</f>
        <v>-5248568</v>
      </c>
      <c r="M57" s="116">
        <f>-'Scenario 2 Inc Exp Statement'!M65</f>
        <v>-5379782</v>
      </c>
      <c r="N57" s="217">
        <f>-'Scenario 2 Inc Exp Statement'!N65</f>
        <v>-5379782</v>
      </c>
      <c r="O57" s="217">
        <f>-'Scenario 2 Inc Exp Statement'!O65</f>
        <v>-5379782</v>
      </c>
    </row>
    <row r="58" spans="1:15" x14ac:dyDescent="0.3">
      <c r="A58" t="s">
        <v>88</v>
      </c>
      <c r="B58" s="116">
        <v>-223000</v>
      </c>
      <c r="C58" s="217">
        <f t="shared" si="21"/>
        <v>-764000</v>
      </c>
      <c r="D58" s="116">
        <v>0</v>
      </c>
      <c r="E58" s="116">
        <v>0</v>
      </c>
      <c r="F58" s="116">
        <v>0</v>
      </c>
      <c r="G58" s="116">
        <v>0</v>
      </c>
      <c r="H58" s="116">
        <v>0</v>
      </c>
      <c r="I58" s="116">
        <v>0</v>
      </c>
      <c r="J58" s="116">
        <v>0</v>
      </c>
      <c r="K58" s="116">
        <v>0</v>
      </c>
      <c r="L58" s="116">
        <v>0</v>
      </c>
      <c r="M58" s="116">
        <v>0</v>
      </c>
      <c r="N58" s="217">
        <v>1</v>
      </c>
      <c r="O58" s="217">
        <v>2</v>
      </c>
    </row>
    <row r="59" spans="1:15" x14ac:dyDescent="0.3">
      <c r="A59" s="5" t="s">
        <v>41</v>
      </c>
      <c r="B59" s="118">
        <v>-6559000</v>
      </c>
      <c r="C59" s="217">
        <f t="shared" si="21"/>
        <v>-7178000</v>
      </c>
      <c r="D59" s="118">
        <f>-'Scenario 2 Inc Exp Statement'!D67</f>
        <v>0</v>
      </c>
      <c r="E59" s="118">
        <f>-'Scenario 2 Inc Exp Statement'!E67</f>
        <v>-7372991</v>
      </c>
      <c r="F59" s="118">
        <f>-'Scenario 2 Inc Exp Statement'!F67</f>
        <v>-7742316</v>
      </c>
      <c r="G59" s="118">
        <f>-'Scenario 2 Inc Exp Statement'!G67</f>
        <v>-7746249</v>
      </c>
      <c r="H59" s="118">
        <f>-'Scenario 2 Inc Exp Statement'!H67</f>
        <v>-7939905.0000000009</v>
      </c>
      <c r="I59" s="118">
        <f>-'Scenario 2 Inc Exp Statement'!I67</f>
        <v>-8138403</v>
      </c>
      <c r="J59" s="118">
        <f>-'Scenario 2 Inc Exp Statement'!J67</f>
        <v>-8541863</v>
      </c>
      <c r="K59" s="118">
        <f>-'Scenario 2 Inc Exp Statement'!K67</f>
        <v>-8550410</v>
      </c>
      <c r="L59" s="118">
        <f>-'Scenario 2 Inc Exp Statement'!L67</f>
        <v>-8764170</v>
      </c>
      <c r="M59" s="118">
        <f>-'Scenario 2 Inc Exp Statement'!M67</f>
        <v>-8983274</v>
      </c>
      <c r="N59" s="216">
        <f>-'Scenario 2 Inc Exp Statement'!N67</f>
        <v>-8983274</v>
      </c>
      <c r="O59" s="216">
        <f>-'Scenario 2 Inc Exp Statement'!O67</f>
        <v>-8983274</v>
      </c>
    </row>
    <row r="60" spans="1:15" x14ac:dyDescent="0.3">
      <c r="A60" s="42" t="s">
        <v>89</v>
      </c>
      <c r="B60" s="43">
        <f>SUM(B48:B59)</f>
        <v>3269000</v>
      </c>
      <c r="C60" s="167">
        <f t="shared" ref="C60" si="22">SUM(C48:C59)</f>
        <v>286000</v>
      </c>
      <c r="D60" s="43">
        <f t="shared" ref="D60:M60" si="23">SUM(D48:D59)</f>
        <v>0</v>
      </c>
      <c r="E60" s="43">
        <f t="shared" si="23"/>
        <v>4228152.6951609738</v>
      </c>
      <c r="F60" s="43">
        <f t="shared" si="23"/>
        <v>4548373.5326975621</v>
      </c>
      <c r="G60" s="43">
        <f t="shared" si="23"/>
        <v>4792185.4290184639</v>
      </c>
      <c r="H60" s="43">
        <f t="shared" si="23"/>
        <v>5291786.4467038391</v>
      </c>
      <c r="I60" s="43">
        <f t="shared" si="23"/>
        <v>5367552.4907871932</v>
      </c>
      <c r="J60" s="43">
        <f t="shared" si="23"/>
        <v>5228587.7410889864</v>
      </c>
      <c r="K60" s="43">
        <f t="shared" si="23"/>
        <v>5443147.7738595232</v>
      </c>
      <c r="L60" s="43">
        <f t="shared" si="23"/>
        <v>5512151.3615483791</v>
      </c>
      <c r="M60" s="43">
        <f t="shared" si="23"/>
        <v>5575612.3520866483</v>
      </c>
      <c r="N60" s="167">
        <f t="shared" ref="N60:O60" si="24">SUM(N48:N59)</f>
        <v>5575614.3520866483</v>
      </c>
      <c r="O60" s="167">
        <f t="shared" si="24"/>
        <v>5575616.3520866483</v>
      </c>
    </row>
    <row r="61" spans="1:15" x14ac:dyDescent="0.3">
      <c r="B61" s="4"/>
      <c r="C61" s="214"/>
      <c r="D61" s="4"/>
      <c r="E61" s="4"/>
      <c r="F61" s="4"/>
      <c r="G61" s="4"/>
      <c r="H61" s="4"/>
      <c r="I61" s="4"/>
      <c r="J61" s="4"/>
      <c r="K61" s="4"/>
      <c r="L61" s="4"/>
      <c r="M61" s="4"/>
      <c r="N61" s="214"/>
      <c r="O61" s="214"/>
    </row>
    <row r="62" spans="1:15" x14ac:dyDescent="0.3">
      <c r="A62" s="40" t="s">
        <v>90</v>
      </c>
      <c r="B62" s="4"/>
      <c r="C62" s="214"/>
      <c r="D62" s="4"/>
      <c r="E62" s="4"/>
      <c r="F62" s="4"/>
      <c r="G62" s="4"/>
      <c r="H62" s="4"/>
      <c r="I62" s="4"/>
      <c r="J62" s="4"/>
      <c r="K62" s="4"/>
      <c r="L62" s="4"/>
      <c r="M62" s="4"/>
      <c r="N62" s="214"/>
      <c r="O62" s="214"/>
    </row>
    <row r="63" spans="1:15" x14ac:dyDescent="0.3">
      <c r="A63" s="41" t="s">
        <v>83</v>
      </c>
      <c r="B63" s="4"/>
      <c r="C63" s="214"/>
      <c r="D63" s="4"/>
      <c r="E63" s="4"/>
      <c r="F63" s="4"/>
      <c r="G63" s="4"/>
      <c r="H63" s="4"/>
      <c r="I63" s="4"/>
      <c r="J63" s="4"/>
      <c r="K63" s="4"/>
      <c r="L63" s="4"/>
      <c r="M63" s="4"/>
      <c r="N63" s="214"/>
      <c r="O63" s="214"/>
    </row>
    <row r="64" spans="1:15" s="211" customFormat="1" x14ac:dyDescent="0.3">
      <c r="A64" s="221" t="s">
        <v>431</v>
      </c>
      <c r="B64" s="214"/>
      <c r="C64" s="214">
        <f>C22</f>
        <v>44500000</v>
      </c>
      <c r="D64" s="214"/>
      <c r="E64" s="214"/>
      <c r="F64" s="214"/>
      <c r="G64" s="214"/>
      <c r="H64" s="214">
        <v>1200000</v>
      </c>
      <c r="I64" s="214"/>
      <c r="J64" s="214"/>
      <c r="K64" s="214"/>
      <c r="L64" s="214"/>
      <c r="M64" s="214"/>
      <c r="N64" s="214"/>
      <c r="O64" s="214"/>
    </row>
    <row r="65" spans="1:15" x14ac:dyDescent="0.3">
      <c r="A65" t="s">
        <v>91</v>
      </c>
      <c r="B65" s="116">
        <v>5528000</v>
      </c>
      <c r="C65" s="214">
        <f t="shared" ref="C65:C66" si="25">C23</f>
        <v>0</v>
      </c>
      <c r="D65" s="116">
        <v>1500000</v>
      </c>
      <c r="E65" s="116">
        <v>0</v>
      </c>
      <c r="F65" s="116">
        <v>0</v>
      </c>
      <c r="G65" s="116">
        <v>0</v>
      </c>
      <c r="H65" s="116"/>
      <c r="I65" s="116">
        <v>0</v>
      </c>
      <c r="J65" s="116">
        <v>0</v>
      </c>
      <c r="K65" s="116">
        <v>0</v>
      </c>
      <c r="L65" s="116">
        <v>0</v>
      </c>
      <c r="M65" s="116">
        <v>0</v>
      </c>
      <c r="N65" s="217">
        <v>1</v>
      </c>
      <c r="O65" s="217">
        <v>2</v>
      </c>
    </row>
    <row r="66" spans="1:15" x14ac:dyDescent="0.3">
      <c r="A66" t="s">
        <v>92</v>
      </c>
      <c r="B66" s="116">
        <v>332000</v>
      </c>
      <c r="C66" s="214">
        <f t="shared" si="25"/>
        <v>566000</v>
      </c>
      <c r="D66" s="116">
        <f>+'Scenario 2 Inc Exp Statement'!D60-D65</f>
        <v>-1500000</v>
      </c>
      <c r="E66" s="116">
        <f>+'Scenario 2 Inc Exp Statement'!E60-E65</f>
        <v>475000</v>
      </c>
      <c r="F66" s="116">
        <f>+'Scenario 2 Inc Exp Statement'!F60-F65</f>
        <v>475000</v>
      </c>
      <c r="G66" s="116">
        <f>+'Scenario 2 Inc Exp Statement'!G60-G65</f>
        <v>475000</v>
      </c>
      <c r="H66" s="116">
        <f>+'Scenario 2 Inc Exp Statement'!H60-H65</f>
        <v>486874.99999999994</v>
      </c>
      <c r="I66" s="116">
        <f>+'Scenario 2 Inc Exp Statement'!I60-I65</f>
        <v>499046.87499999988</v>
      </c>
      <c r="J66" s="116">
        <f>+'Scenario 2 Inc Exp Statement'!J60-J65</f>
        <v>511523.04687499983</v>
      </c>
      <c r="K66" s="116">
        <f>+'Scenario 2 Inc Exp Statement'!K60-K65</f>
        <v>524311.12304687477</v>
      </c>
      <c r="L66" s="116">
        <f>+'Scenario 2 Inc Exp Statement'!L60-L65</f>
        <v>537418.90112304664</v>
      </c>
      <c r="M66" s="116">
        <f>+'Scenario 2 Inc Exp Statement'!M60-M65</f>
        <v>550854.37365112279</v>
      </c>
      <c r="N66" s="217">
        <f>+'Scenario 2 Inc Exp Statement'!N60-N65</f>
        <v>550853.37365112279</v>
      </c>
      <c r="O66" s="217">
        <f>+'Scenario 2 Inc Exp Statement'!O60-O65</f>
        <v>550852.37365112279</v>
      </c>
    </row>
    <row r="67" spans="1:15" x14ac:dyDescent="0.3">
      <c r="B67" s="116"/>
      <c r="C67" s="217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217"/>
      <c r="O67" s="217"/>
    </row>
    <row r="68" spans="1:15" x14ac:dyDescent="0.3">
      <c r="A68" s="41" t="s">
        <v>87</v>
      </c>
      <c r="B68" s="116"/>
      <c r="C68" s="217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217"/>
      <c r="O68" s="217"/>
    </row>
    <row r="69" spans="1:15" x14ac:dyDescent="0.3">
      <c r="A69" t="s">
        <v>93</v>
      </c>
      <c r="B69" s="116">
        <v>-23500000</v>
      </c>
      <c r="C69" s="143">
        <f>C27</f>
        <v>-43000000</v>
      </c>
      <c r="D69" s="116">
        <v>0</v>
      </c>
      <c r="E69" s="116">
        <v>0</v>
      </c>
      <c r="F69" s="116">
        <v>0</v>
      </c>
      <c r="G69" s="116">
        <v>0</v>
      </c>
      <c r="H69" s="116">
        <v>0</v>
      </c>
      <c r="I69" s="116">
        <v>0</v>
      </c>
      <c r="J69" s="116">
        <v>0</v>
      </c>
      <c r="K69" s="116">
        <v>0</v>
      </c>
      <c r="L69" s="116">
        <v>0</v>
      </c>
      <c r="M69" s="116">
        <v>0</v>
      </c>
      <c r="N69" s="217">
        <v>1</v>
      </c>
      <c r="O69" s="217">
        <v>2</v>
      </c>
    </row>
    <row r="70" spans="1:15" x14ac:dyDescent="0.3">
      <c r="A70" t="s">
        <v>94</v>
      </c>
      <c r="B70" s="116">
        <v>-3831000</v>
      </c>
      <c r="C70" s="143">
        <f t="shared" ref="C70:C71" si="26">C28</f>
        <v>-5933000</v>
      </c>
      <c r="D70" s="116">
        <f ca="1">+'Scenario 2 Inc Exp Statement'!D82-D71</f>
        <v>-3886773.6795166293</v>
      </c>
      <c r="E70" s="116">
        <f ca="1">+'Scenario 2 Inc Exp Statement'!E82-E71</f>
        <v>-6869037.4982148726</v>
      </c>
      <c r="F70" s="116">
        <f ca="1">+'Scenario 2 Inc Exp Statement'!F82-F71</f>
        <v>-5970292.9597329386</v>
      </c>
      <c r="G70" s="116">
        <f ca="1">+'Scenario 2 Inc Exp Statement'!G82-G71</f>
        <v>-6630420.5554642072</v>
      </c>
      <c r="H70" s="116">
        <f ca="1">+'Scenario 2 Inc Exp Statement'!H82-H71</f>
        <v>-11558267.290281707</v>
      </c>
      <c r="I70" s="116">
        <f ca="1">+'Scenario 2 Inc Exp Statement'!I82-I71</f>
        <v>-6988760.1907281922</v>
      </c>
      <c r="J70" s="116">
        <f ca="1">+'Scenario 2 Inc Exp Statement'!J82-J71</f>
        <v>-9644446.2463969775</v>
      </c>
      <c r="K70" s="116">
        <f ca="1">+'Scenario 2 Inc Exp Statement'!K82-K71</f>
        <v>-5475779.917529624</v>
      </c>
      <c r="L70" s="116" t="e">
        <f>+'Scenario 2 Inc Exp Statement'!L82-L71</f>
        <v>#REF!</v>
      </c>
      <c r="M70" s="116" t="e">
        <f>+'Scenario 2 Inc Exp Statement'!M82-M71</f>
        <v>#REF!</v>
      </c>
      <c r="N70" s="217">
        <f>+'Scenario 2 Inc Exp Statement'!N82-N71</f>
        <v>-1</v>
      </c>
      <c r="O70" s="217">
        <f>+'Scenario 2 Inc Exp Statement'!O82-O71</f>
        <v>-2</v>
      </c>
    </row>
    <row r="71" spans="1:15" x14ac:dyDescent="0.3">
      <c r="A71" s="5" t="s">
        <v>95</v>
      </c>
      <c r="B71" s="118">
        <v>-8000</v>
      </c>
      <c r="C71" s="146">
        <f t="shared" si="26"/>
        <v>0</v>
      </c>
      <c r="D71" s="118">
        <v>-1500000</v>
      </c>
      <c r="E71" s="118">
        <v>0</v>
      </c>
      <c r="F71" s="118">
        <v>0</v>
      </c>
      <c r="G71" s="118">
        <v>0</v>
      </c>
      <c r="H71" s="118">
        <v>0</v>
      </c>
      <c r="I71" s="118">
        <v>0</v>
      </c>
      <c r="J71" s="118">
        <v>0</v>
      </c>
      <c r="K71" s="118">
        <v>0</v>
      </c>
      <c r="L71" s="118">
        <v>0</v>
      </c>
      <c r="M71" s="118">
        <v>0</v>
      </c>
      <c r="N71" s="216">
        <v>1</v>
      </c>
      <c r="O71" s="216">
        <v>2</v>
      </c>
    </row>
    <row r="72" spans="1:15" x14ac:dyDescent="0.3">
      <c r="A72" s="42" t="s">
        <v>110</v>
      </c>
      <c r="B72" s="120">
        <f>SUM(B64:B71)</f>
        <v>-21479000</v>
      </c>
      <c r="C72" s="220">
        <f t="shared" ref="C72" si="27">SUM(C64:C71)</f>
        <v>-3867000</v>
      </c>
      <c r="D72" s="220">
        <f t="shared" ref="D72:M72" ca="1" si="28">SUM(D64:D71)</f>
        <v>-5386773.6795166293</v>
      </c>
      <c r="E72" s="220">
        <f t="shared" ca="1" si="28"/>
        <v>-6394037.4982148726</v>
      </c>
      <c r="F72" s="220">
        <f t="shared" ca="1" si="28"/>
        <v>-5495292.9597329386</v>
      </c>
      <c r="G72" s="220">
        <f t="shared" ca="1" si="28"/>
        <v>-6155420.5554642072</v>
      </c>
      <c r="H72" s="220">
        <f t="shared" ca="1" si="28"/>
        <v>-9871392.2902817074</v>
      </c>
      <c r="I72" s="220">
        <f t="shared" ca="1" si="28"/>
        <v>-6489713.3157281922</v>
      </c>
      <c r="J72" s="220">
        <f t="shared" ca="1" si="28"/>
        <v>-9132923.1995219775</v>
      </c>
      <c r="K72" s="220">
        <f t="shared" ca="1" si="28"/>
        <v>-4951468.794482749</v>
      </c>
      <c r="L72" s="220" t="e">
        <f t="shared" si="28"/>
        <v>#REF!</v>
      </c>
      <c r="M72" s="220" t="e">
        <f t="shared" si="28"/>
        <v>#REF!</v>
      </c>
      <c r="N72" s="220">
        <f t="shared" ref="N72:O72" si="29">SUM(N64:N71)</f>
        <v>550855.37365112279</v>
      </c>
      <c r="O72" s="220">
        <f t="shared" si="29"/>
        <v>550856.37365112279</v>
      </c>
    </row>
    <row r="73" spans="1:15" x14ac:dyDescent="0.3">
      <c r="B73" s="116"/>
      <c r="C73" s="217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217"/>
      <c r="O73" s="217"/>
    </row>
    <row r="74" spans="1:15" x14ac:dyDescent="0.3">
      <c r="A74" s="40" t="s">
        <v>321</v>
      </c>
      <c r="B74" s="116">
        <f>+B60+B72</f>
        <v>-18210000</v>
      </c>
      <c r="C74" s="217">
        <f>+C60+C72</f>
        <v>-3581000</v>
      </c>
      <c r="D74" s="116">
        <f t="shared" ref="D74:M74" ca="1" si="30">+D60+D72</f>
        <v>-5386773.6795166293</v>
      </c>
      <c r="E74" s="116">
        <f t="shared" ca="1" si="30"/>
        <v>-2165884.8030538987</v>
      </c>
      <c r="F74" s="116">
        <f t="shared" ca="1" si="30"/>
        <v>-946919.42703537643</v>
      </c>
      <c r="G74" s="116">
        <f t="shared" ca="1" si="30"/>
        <v>-1363235.1264457433</v>
      </c>
      <c r="H74" s="116">
        <f t="shared" ca="1" si="30"/>
        <v>-4579605.8435778683</v>
      </c>
      <c r="I74" s="116">
        <f t="shared" ca="1" si="30"/>
        <v>-1122160.824940999</v>
      </c>
      <c r="J74" s="116">
        <f t="shared" ca="1" si="30"/>
        <v>-3904335.4584329911</v>
      </c>
      <c r="K74" s="116">
        <f t="shared" ca="1" si="30"/>
        <v>491678.97937677428</v>
      </c>
      <c r="L74" s="116" t="e">
        <f t="shared" si="30"/>
        <v>#REF!</v>
      </c>
      <c r="M74" s="116" t="e">
        <f t="shared" si="30"/>
        <v>#REF!</v>
      </c>
      <c r="N74" s="217">
        <f t="shared" ref="N74:O74" si="31">+N60+N72</f>
        <v>6126469.725737771</v>
      </c>
      <c r="O74" s="217">
        <f t="shared" si="31"/>
        <v>6126472.725737771</v>
      </c>
    </row>
    <row r="75" spans="1:15" x14ac:dyDescent="0.3">
      <c r="A75" s="44"/>
      <c r="B75" s="116"/>
      <c r="C75" s="217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217"/>
      <c r="O75" s="217"/>
    </row>
    <row r="76" spans="1:15" x14ac:dyDescent="0.3">
      <c r="A76" s="40" t="s">
        <v>96</v>
      </c>
      <c r="B76" s="116">
        <v>24915000</v>
      </c>
      <c r="C76" s="217">
        <f>+B78</f>
        <v>6705000</v>
      </c>
      <c r="D76" s="116">
        <f t="shared" ref="D76:M76" si="32">+C78</f>
        <v>3124000</v>
      </c>
      <c r="E76" s="116">
        <f t="shared" ca="1" si="32"/>
        <v>-2262773.6795166293</v>
      </c>
      <c r="F76" s="116">
        <f t="shared" ca="1" si="32"/>
        <v>-4428658.4825705281</v>
      </c>
      <c r="G76" s="116">
        <f t="shared" ca="1" si="32"/>
        <v>-5375577.9096059045</v>
      </c>
      <c r="H76" s="116">
        <f t="shared" ca="1" si="32"/>
        <v>-6738813.0360516477</v>
      </c>
      <c r="I76" s="116">
        <f t="shared" ca="1" si="32"/>
        <v>-11318418.879629515</v>
      </c>
      <c r="J76" s="116">
        <f t="shared" ca="1" si="32"/>
        <v>-12440579.704570513</v>
      </c>
      <c r="K76" s="116">
        <f t="shared" ca="1" si="32"/>
        <v>-16344915.163003504</v>
      </c>
      <c r="L76" s="116">
        <f t="shared" ca="1" si="32"/>
        <v>-15853236.18362673</v>
      </c>
      <c r="M76" s="116" t="e">
        <f t="shared" ca="1" si="32"/>
        <v>#REF!</v>
      </c>
      <c r="N76" s="217" t="e">
        <f t="shared" ref="N76" ca="1" si="33">+M78</f>
        <v>#REF!</v>
      </c>
      <c r="O76" s="217" t="e">
        <f t="shared" ref="O76" ca="1" si="34">+N78</f>
        <v>#REF!</v>
      </c>
    </row>
    <row r="77" spans="1:15" x14ac:dyDescent="0.3">
      <c r="B77" s="116"/>
      <c r="C77" s="217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217"/>
      <c r="O77" s="217"/>
    </row>
    <row r="78" spans="1:15" ht="15" thickBot="1" x14ac:dyDescent="0.35">
      <c r="A78" s="40" t="s">
        <v>97</v>
      </c>
      <c r="B78" s="46">
        <f>+B74+B76</f>
        <v>6705000</v>
      </c>
      <c r="C78" s="169">
        <f t="shared" ref="C78" si="35">+C74+C76</f>
        <v>3124000</v>
      </c>
      <c r="D78" s="46">
        <f t="shared" ref="D78:M78" ca="1" si="36">+D74+D76</f>
        <v>-2262773.6795166293</v>
      </c>
      <c r="E78" s="46">
        <f t="shared" ca="1" si="36"/>
        <v>-4428658.4825705281</v>
      </c>
      <c r="F78" s="125">
        <f t="shared" ca="1" si="36"/>
        <v>-5375577.9096059045</v>
      </c>
      <c r="G78" s="125">
        <f t="shared" ca="1" si="36"/>
        <v>-6738813.0360516477</v>
      </c>
      <c r="H78" s="125">
        <f t="shared" ca="1" si="36"/>
        <v>-11318418.879629515</v>
      </c>
      <c r="I78" s="125">
        <f t="shared" ca="1" si="36"/>
        <v>-12440579.704570513</v>
      </c>
      <c r="J78" s="125">
        <f t="shared" ca="1" si="36"/>
        <v>-16344915.163003504</v>
      </c>
      <c r="K78" s="125">
        <f t="shared" ca="1" si="36"/>
        <v>-15853236.18362673</v>
      </c>
      <c r="L78" s="125" t="e">
        <f t="shared" ca="1" si="36"/>
        <v>#REF!</v>
      </c>
      <c r="M78" s="125" t="e">
        <f t="shared" ca="1" si="36"/>
        <v>#REF!</v>
      </c>
      <c r="N78" s="125" t="e">
        <f t="shared" ref="N78:O78" ca="1" si="37">+N74+N76</f>
        <v>#REF!</v>
      </c>
      <c r="O78" s="125" t="e">
        <f t="shared" ca="1" si="37"/>
        <v>#REF!</v>
      </c>
    </row>
    <row r="79" spans="1:15" x14ac:dyDescent="0.3">
      <c r="N79" s="221"/>
      <c r="O79" s="221"/>
    </row>
    <row r="80" spans="1:15" x14ac:dyDescent="0.3">
      <c r="A80" t="s">
        <v>98</v>
      </c>
      <c r="B80" s="4">
        <v>23500000</v>
      </c>
      <c r="C80" s="214">
        <f>B80-C69-C64</f>
        <v>22000000</v>
      </c>
      <c r="D80" s="214">
        <f t="shared" ref="D80:M80" si="38">+C80-D69-D64</f>
        <v>22000000</v>
      </c>
      <c r="E80" s="214">
        <f t="shared" si="38"/>
        <v>22000000</v>
      </c>
      <c r="F80" s="214">
        <f t="shared" si="38"/>
        <v>22000000</v>
      </c>
      <c r="G80" s="214">
        <f t="shared" si="38"/>
        <v>22000000</v>
      </c>
      <c r="H80" s="214">
        <f t="shared" si="38"/>
        <v>20800000</v>
      </c>
      <c r="I80" s="214">
        <f t="shared" si="38"/>
        <v>20800000</v>
      </c>
      <c r="J80" s="214">
        <f t="shared" si="38"/>
        <v>20800000</v>
      </c>
      <c r="K80" s="214">
        <f t="shared" si="38"/>
        <v>20800000</v>
      </c>
      <c r="L80" s="214">
        <f t="shared" si="38"/>
        <v>20800000</v>
      </c>
      <c r="M80" s="214">
        <f t="shared" si="38"/>
        <v>20800000</v>
      </c>
      <c r="N80" s="214">
        <f t="shared" ref="N80" si="39">+M80-N69-N64</f>
        <v>20799999</v>
      </c>
      <c r="O80" s="214">
        <f t="shared" ref="O80" si="40">+N80-O69-O64</f>
        <v>20799997</v>
      </c>
    </row>
    <row r="81" spans="1:15" x14ac:dyDescent="0.3">
      <c r="B81" s="4"/>
      <c r="C81" s="214"/>
      <c r="D81" s="4"/>
      <c r="E81" s="4"/>
      <c r="F81" s="4"/>
      <c r="G81" s="4"/>
      <c r="H81" s="4"/>
      <c r="I81" s="4"/>
      <c r="J81" s="4"/>
      <c r="K81" s="4"/>
      <c r="L81" s="4"/>
      <c r="M81" s="4"/>
      <c r="N81" s="214"/>
      <c r="O81" s="214"/>
    </row>
    <row r="82" spans="1:15" ht="15" thickBot="1" x14ac:dyDescent="0.35">
      <c r="A82" s="40" t="s">
        <v>99</v>
      </c>
      <c r="B82" s="47">
        <f>+B78+B80</f>
        <v>30205000</v>
      </c>
      <c r="C82" s="170">
        <f t="shared" ref="C82" si="41">+C78+C80</f>
        <v>25124000</v>
      </c>
      <c r="D82" s="47">
        <f t="shared" ref="D82:M82" ca="1" si="42">+D78+D80</f>
        <v>19737226.320483372</v>
      </c>
      <c r="E82" s="47">
        <f t="shared" ca="1" si="42"/>
        <v>17571341.517429471</v>
      </c>
      <c r="F82" s="47">
        <f t="shared" ca="1" si="42"/>
        <v>16624422.090394095</v>
      </c>
      <c r="G82" s="47">
        <f t="shared" ca="1" si="42"/>
        <v>15261186.963948352</v>
      </c>
      <c r="H82" s="47">
        <f t="shared" ca="1" si="42"/>
        <v>9481581.1203704849</v>
      </c>
      <c r="I82" s="47">
        <f t="shared" ca="1" si="42"/>
        <v>8359420.2954294868</v>
      </c>
      <c r="J82" s="47">
        <f t="shared" ca="1" si="42"/>
        <v>4455084.8369964957</v>
      </c>
      <c r="K82" s="124">
        <f t="shared" ca="1" si="42"/>
        <v>4946763.81637327</v>
      </c>
      <c r="L82" s="124" t="e">
        <f t="shared" ca="1" si="42"/>
        <v>#REF!</v>
      </c>
      <c r="M82" s="124" t="e">
        <f t="shared" ca="1" si="42"/>
        <v>#REF!</v>
      </c>
      <c r="N82" s="124" t="e">
        <f t="shared" ref="N82:O82" ca="1" si="43">+N78+N80</f>
        <v>#REF!</v>
      </c>
      <c r="O82" s="124" t="e">
        <f t="shared" ca="1" si="43"/>
        <v>#REF!</v>
      </c>
    </row>
    <row r="83" spans="1:15" ht="15" thickTop="1" x14ac:dyDescent="0.3">
      <c r="N83" s="221"/>
      <c r="O83" s="221"/>
    </row>
    <row r="84" spans="1:15" x14ac:dyDescent="0.3">
      <c r="N84" s="221"/>
      <c r="O84" s="221"/>
    </row>
    <row r="85" spans="1:15" x14ac:dyDescent="0.3">
      <c r="A85" s="113" t="s">
        <v>424</v>
      </c>
      <c r="B85" s="19" t="s">
        <v>69</v>
      </c>
      <c r="C85" s="213" t="s">
        <v>69</v>
      </c>
      <c r="D85" s="19" t="s">
        <v>70</v>
      </c>
      <c r="E85" s="19" t="s">
        <v>71</v>
      </c>
      <c r="F85" s="19" t="s">
        <v>71</v>
      </c>
      <c r="G85" s="19" t="s">
        <v>71</v>
      </c>
      <c r="H85" s="19" t="s">
        <v>71</v>
      </c>
      <c r="I85" s="19" t="s">
        <v>71</v>
      </c>
      <c r="J85" s="19" t="s">
        <v>71</v>
      </c>
      <c r="K85" s="19" t="s">
        <v>71</v>
      </c>
      <c r="L85" s="19" t="s">
        <v>71</v>
      </c>
      <c r="M85" s="19" t="s">
        <v>71</v>
      </c>
      <c r="N85" s="213" t="s">
        <v>71</v>
      </c>
      <c r="O85" s="213" t="s">
        <v>71</v>
      </c>
    </row>
    <row r="86" spans="1:15" x14ac:dyDescent="0.3">
      <c r="A86" s="18" t="s">
        <v>73</v>
      </c>
      <c r="B86" s="20" t="s">
        <v>60</v>
      </c>
      <c r="C86" s="159" t="s">
        <v>68</v>
      </c>
      <c r="D86" s="19" t="s">
        <v>0</v>
      </c>
      <c r="E86" s="19" t="s">
        <v>1</v>
      </c>
      <c r="F86" s="19" t="s">
        <v>2</v>
      </c>
      <c r="G86" s="19" t="s">
        <v>3</v>
      </c>
      <c r="H86" s="19" t="s">
        <v>4</v>
      </c>
      <c r="I86" s="19" t="s">
        <v>5</v>
      </c>
      <c r="J86" s="19" t="s">
        <v>6</v>
      </c>
      <c r="K86" s="19" t="s">
        <v>7</v>
      </c>
      <c r="L86" s="19" t="s">
        <v>8</v>
      </c>
      <c r="M86" s="19" t="s">
        <v>9</v>
      </c>
      <c r="N86" s="213" t="s">
        <v>514</v>
      </c>
      <c r="O86" s="213" t="s">
        <v>515</v>
      </c>
    </row>
    <row r="87" spans="1:15" x14ac:dyDescent="0.3">
      <c r="N87" s="221"/>
      <c r="O87" s="221"/>
    </row>
    <row r="88" spans="1:15" x14ac:dyDescent="0.3">
      <c r="A88" s="40" t="s">
        <v>82</v>
      </c>
      <c r="N88" s="221"/>
      <c r="O88" s="221"/>
    </row>
    <row r="89" spans="1:15" x14ac:dyDescent="0.3">
      <c r="A89" s="41" t="s">
        <v>83</v>
      </c>
      <c r="B89" s="4"/>
      <c r="C89" s="214"/>
      <c r="D89" s="4"/>
      <c r="E89" s="4"/>
      <c r="F89" s="4"/>
      <c r="G89" s="4"/>
      <c r="H89" s="4"/>
      <c r="I89" s="4"/>
      <c r="J89" s="4"/>
      <c r="K89" s="4"/>
      <c r="L89" s="4"/>
      <c r="M89" s="4"/>
      <c r="N89" s="214"/>
      <c r="O89" s="214"/>
    </row>
    <row r="90" spans="1:15" x14ac:dyDescent="0.3">
      <c r="A90" t="s">
        <v>11</v>
      </c>
      <c r="B90" s="116">
        <v>18045000</v>
      </c>
      <c r="C90" s="217">
        <f>C48</f>
        <v>19766000</v>
      </c>
      <c r="D90" s="116">
        <f>+'Scenario 2 Inc Exp Statement'!D100</f>
        <v>0</v>
      </c>
      <c r="E90" s="116">
        <f>+'Scenario 2 Inc Exp Statement'!E100</f>
        <v>22124446.310000002</v>
      </c>
      <c r="F90" s="116">
        <f>+'Scenario 2 Inc Exp Statement'!F100</f>
        <v>22781729.699300002</v>
      </c>
      <c r="G90" s="116">
        <f>+'Scenario 2 Inc Exp Statement'!G100</f>
        <v>23458731.590278998</v>
      </c>
      <c r="H90" s="116">
        <f>+'Scenario 2 Inc Exp Statement'!H100</f>
        <v>24156043.53798737</v>
      </c>
      <c r="I90" s="116">
        <f>+'Scenario 2 Inc Exp Statement'!I100</f>
        <v>24874274.844126988</v>
      </c>
      <c r="J90" s="116">
        <f>+'Scenario 2 Inc Exp Statement'!J100</f>
        <v>25614053.089450795</v>
      </c>
      <c r="K90" s="116">
        <f>+'Scenario 2 Inc Exp Statement'!K100</f>
        <v>26376024.682134327</v>
      </c>
      <c r="L90" s="116">
        <f>+'Scenario 2 Inc Exp Statement'!L100</f>
        <v>27160855.422598358</v>
      </c>
      <c r="M90" s="116">
        <f>+'Scenario 2 Inc Exp Statement'!M100</f>
        <v>27969231.085276309</v>
      </c>
      <c r="N90" s="217">
        <f>+'Scenario 2 Inc Exp Statement'!N100</f>
        <v>27969231.085276309</v>
      </c>
      <c r="O90" s="217">
        <f>+'Scenario 2 Inc Exp Statement'!O100</f>
        <v>27969231.085276309</v>
      </c>
    </row>
    <row r="91" spans="1:15" x14ac:dyDescent="0.3">
      <c r="A91" t="s">
        <v>12</v>
      </c>
      <c r="B91" s="116">
        <v>3575000</v>
      </c>
      <c r="C91" s="217">
        <f t="shared" ref="C91:C95" si="44">C49</f>
        <v>2971000</v>
      </c>
      <c r="D91" s="116">
        <f>+'Scenario 2 Inc Exp Statement'!D101</f>
        <v>0</v>
      </c>
      <c r="E91" s="116">
        <f>+'Scenario 2 Inc Exp Statement'!E101</f>
        <v>3094175.2317545456</v>
      </c>
      <c r="F91" s="116">
        <f>+'Scenario 2 Inc Exp Statement'!F101</f>
        <v>3154197.1125484086</v>
      </c>
      <c r="G91" s="116">
        <f>+'Scenario 2 Inc Exp Statement'!G101</f>
        <v>3215719.5403621192</v>
      </c>
      <c r="H91" s="116">
        <f>+'Scenario 2 Inc Exp Statement'!H101</f>
        <v>3278780.0288711712</v>
      </c>
      <c r="I91" s="116">
        <f>+'Scenario 2 Inc Exp Statement'!I101</f>
        <v>3343417.0295929499</v>
      </c>
      <c r="J91" s="116">
        <f>+'Scenario 2 Inc Exp Statement'!J101</f>
        <v>3409669.9553327733</v>
      </c>
      <c r="K91" s="116">
        <f>+'Scenario 2 Inc Exp Statement'!K101</f>
        <v>3477579.2042160938</v>
      </c>
      <c r="L91" s="116">
        <f>+'Scenario 2 Inc Exp Statement'!L101</f>
        <v>3547186.1843214948</v>
      </c>
      <c r="M91" s="116">
        <f>+'Scenario 2 Inc Exp Statement'!M101</f>
        <v>3618533.3389295335</v>
      </c>
      <c r="N91" s="217">
        <f>+'Scenario 2 Inc Exp Statement'!N101</f>
        <v>3618533.3389295335</v>
      </c>
      <c r="O91" s="217">
        <f>+'Scenario 2 Inc Exp Statement'!O101</f>
        <v>3618533.3389295335</v>
      </c>
    </row>
    <row r="92" spans="1:15" x14ac:dyDescent="0.3">
      <c r="A92" t="s">
        <v>84</v>
      </c>
      <c r="B92" s="116">
        <v>1238000</v>
      </c>
      <c r="C92" s="217">
        <f t="shared" si="44"/>
        <v>1919000</v>
      </c>
      <c r="D92" s="116">
        <f>+'Scenario 2 Inc Exp Statement'!D102</f>
        <v>0</v>
      </c>
      <c r="E92" s="116">
        <f>+'Scenario 2 Inc Exp Statement'!E102</f>
        <v>946675.64043392788</v>
      </c>
      <c r="F92" s="116">
        <f>+'Scenario 2 Inc Exp Statement'!F102</f>
        <v>963678.47005233879</v>
      </c>
      <c r="G92" s="116">
        <f>+'Scenario 2 Inc Exp Statement'!G102</f>
        <v>980754.44131061388</v>
      </c>
      <c r="H92" s="116">
        <f>+'Scenario 2 Inc Exp Statement'!H102</f>
        <v>979182.826351895</v>
      </c>
      <c r="I92" s="116">
        <f>+'Scenario 2 Inc Exp Statement'!I102</f>
        <v>1002928.4622365199</v>
      </c>
      <c r="J92" s="116">
        <f>+'Scenario 2 Inc Exp Statement'!J102</f>
        <v>1012397.0876039114</v>
      </c>
      <c r="K92" s="116">
        <f>+'Scenario 2 Inc Exp Statement'!K102</f>
        <v>975939.66359006439</v>
      </c>
      <c r="L92" s="116">
        <f>+'Scenario 2 Inc Exp Statement'!L102</f>
        <v>994568.05011151021</v>
      </c>
      <c r="M92" s="116">
        <f>+'Scenario 2 Inc Exp Statement'!M102</f>
        <v>1008399.2307508645</v>
      </c>
      <c r="N92" s="217">
        <f>+'Scenario 2 Inc Exp Statement'!N102</f>
        <v>1008399.2307508645</v>
      </c>
      <c r="O92" s="217">
        <f>+'Scenario 2 Inc Exp Statement'!O102</f>
        <v>1008399.2307508645</v>
      </c>
    </row>
    <row r="93" spans="1:15" x14ac:dyDescent="0.3">
      <c r="A93" t="s">
        <v>85</v>
      </c>
      <c r="B93" s="116">
        <v>4459000</v>
      </c>
      <c r="C93" s="217">
        <f t="shared" si="44"/>
        <v>0</v>
      </c>
      <c r="D93" s="116">
        <f>+'Scenario 2 Inc Exp Statement'!D104+'Scenario 2 Inc Exp Statement'!D105</f>
        <v>0</v>
      </c>
      <c r="E93" s="116">
        <f>+'Scenario 2 Inc Exp Statement'!E104+'Scenario 2 Inc Exp Statement'!E105</f>
        <v>2955012.5</v>
      </c>
      <c r="F93" s="116">
        <f>+'Scenario 2 Inc Exp Statement'!F104+'Scenario 2 Inc Exp Statement'!F105</f>
        <v>2823887.8125</v>
      </c>
      <c r="G93" s="116">
        <f>+'Scenario 2 Inc Exp Statement'!G104+'Scenario 2 Inc Exp Statement'!G105</f>
        <v>2894485.0078124995</v>
      </c>
      <c r="H93" s="116">
        <f>+'Scenario 2 Inc Exp Statement'!H104+'Scenario 2 Inc Exp Statement'!H105</f>
        <v>3426847.1330078118</v>
      </c>
      <c r="I93" s="116">
        <f>+'Scenario 2 Inc Exp Statement'!I104+'Scenario 2 Inc Exp Statement'!I105</f>
        <v>3512518.3113330072</v>
      </c>
      <c r="J93" s="116">
        <f>+'Scenario 2 Inc Exp Statement'!J104+'Scenario 2 Inc Exp Statement'!J105</f>
        <v>3600331.2691163314</v>
      </c>
      <c r="K93" s="116">
        <f>+'Scenario 2 Inc Exp Statement'!K104+'Scenario 2 Inc Exp Statement'!K105</f>
        <v>3690339.55084424</v>
      </c>
      <c r="L93" s="116">
        <f>+'Scenario 2 Inc Exp Statement'!L104+'Scenario 2 Inc Exp Statement'!L105</f>
        <v>3782598.0396153457</v>
      </c>
      <c r="M93" s="116">
        <f>+'Scenario 2 Inc Exp Statement'!M104+'Scenario 2 Inc Exp Statement'!M105</f>
        <v>3877162.9906057287</v>
      </c>
      <c r="N93" s="217">
        <f>+'Scenario 2 Inc Exp Statement'!N104+'Scenario 2 Inc Exp Statement'!N105</f>
        <v>3877162.9906057287</v>
      </c>
      <c r="O93" s="217">
        <f>+'Scenario 2 Inc Exp Statement'!O104+'Scenario 2 Inc Exp Statement'!O105</f>
        <v>3877162.9906057287</v>
      </c>
    </row>
    <row r="94" spans="1:15" x14ac:dyDescent="0.3">
      <c r="A94" t="s">
        <v>86</v>
      </c>
      <c r="B94" s="116">
        <v>0</v>
      </c>
      <c r="C94" s="217">
        <f t="shared" si="44"/>
        <v>686000</v>
      </c>
      <c r="D94" s="116">
        <v>0</v>
      </c>
      <c r="E94" s="116">
        <v>0</v>
      </c>
      <c r="F94" s="116">
        <v>0</v>
      </c>
      <c r="G94" s="116">
        <v>0</v>
      </c>
      <c r="H94" s="116">
        <v>0</v>
      </c>
      <c r="I94" s="116">
        <v>0</v>
      </c>
      <c r="J94" s="116">
        <v>0</v>
      </c>
      <c r="K94" s="116">
        <v>0</v>
      </c>
      <c r="L94" s="116">
        <v>0</v>
      </c>
      <c r="M94" s="116">
        <v>0</v>
      </c>
      <c r="N94" s="217">
        <v>1</v>
      </c>
      <c r="O94" s="217">
        <v>2</v>
      </c>
    </row>
    <row r="95" spans="1:15" x14ac:dyDescent="0.3">
      <c r="A95" t="s">
        <v>41</v>
      </c>
      <c r="B95" s="116">
        <v>1211000</v>
      </c>
      <c r="C95" s="217">
        <f t="shared" si="44"/>
        <v>1972000</v>
      </c>
      <c r="D95" s="116">
        <f>+'Scenario 2 Inc Exp Statement'!D103</f>
        <v>0</v>
      </c>
      <c r="E95" s="116">
        <f>+'Scenario 2 Inc Exp Statement'!E103</f>
        <v>1323177.0129724999</v>
      </c>
      <c r="F95" s="116">
        <f>+'Scenario 2 Inc Exp Statement'!F103</f>
        <v>1356256.4382968124</v>
      </c>
      <c r="G95" s="116">
        <f>+'Scenario 2 Inc Exp Statement'!G103</f>
        <v>1390162.8492542326</v>
      </c>
      <c r="H95" s="116">
        <f>+'Scenario 2 Inc Exp Statement'!H103</f>
        <v>1424916.9204855883</v>
      </c>
      <c r="I95" s="116">
        <f>+'Scenario 2 Inc Exp Statement'!I103</f>
        <v>1460539.8434977275</v>
      </c>
      <c r="J95" s="116">
        <f>+'Scenario 2 Inc Exp Statement'!J103</f>
        <v>1497053.3395851708</v>
      </c>
      <c r="K95" s="116">
        <f>+'Scenario 2 Inc Exp Statement'!K103</f>
        <v>1534479.6730747996</v>
      </c>
      <c r="L95" s="116">
        <f>+'Scenario 2 Inc Exp Statement'!L103</f>
        <v>1572841.6649016694</v>
      </c>
      <c r="M95" s="116">
        <f>+'Scenario 2 Inc Exp Statement'!M103</f>
        <v>1612162.7065242112</v>
      </c>
      <c r="N95" s="217">
        <f>+'Scenario 2 Inc Exp Statement'!N103</f>
        <v>1612162.7065242112</v>
      </c>
      <c r="O95" s="217">
        <f>+'Scenario 2 Inc Exp Statement'!O103</f>
        <v>1612162.7065242112</v>
      </c>
    </row>
    <row r="96" spans="1:15" x14ac:dyDescent="0.3">
      <c r="B96" s="116"/>
      <c r="C96" s="217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217"/>
      <c r="O96" s="217"/>
    </row>
    <row r="97" spans="1:15" x14ac:dyDescent="0.3">
      <c r="A97" s="41" t="s">
        <v>87</v>
      </c>
      <c r="B97" s="116"/>
      <c r="C97" s="217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217"/>
      <c r="O97" s="217"/>
    </row>
    <row r="98" spans="1:15" x14ac:dyDescent="0.3">
      <c r="A98" t="s">
        <v>25</v>
      </c>
      <c r="B98" s="116">
        <v>-12508000</v>
      </c>
      <c r="C98" s="217">
        <f>C56</f>
        <v>-13272000</v>
      </c>
      <c r="D98" s="116">
        <f>-'Scenario 2 Inc Exp Statement'!D111</f>
        <v>0</v>
      </c>
      <c r="E98" s="116">
        <f>-'Scenario 2 Inc Exp Statement'!E111</f>
        <v>-13780905</v>
      </c>
      <c r="F98" s="116">
        <f>-'Scenario 2 Inc Exp Statement'!F111</f>
        <v>-14263237</v>
      </c>
      <c r="G98" s="116">
        <f>-'Scenario 2 Inc Exp Statement'!G111</f>
        <v>-14762450</v>
      </c>
      <c r="H98" s="116">
        <f>-'Scenario 2 Inc Exp Statement'!H111</f>
        <v>-15279136</v>
      </c>
      <c r="I98" s="116">
        <f>-'Scenario 2 Inc Exp Statement'!I111</f>
        <v>-15813906</v>
      </c>
      <c r="J98" s="116">
        <f>-'Scenario 2 Inc Exp Statement'!J111</f>
        <v>-16367392</v>
      </c>
      <c r="K98" s="116">
        <f>-'Scenario 2 Inc Exp Statement'!K111</f>
        <v>-16940251</v>
      </c>
      <c r="L98" s="116">
        <f>-'Scenario 2 Inc Exp Statement'!L111</f>
        <v>-17533160</v>
      </c>
      <c r="M98" s="116">
        <f>-'Scenario 2 Inc Exp Statement'!M111</f>
        <v>-18146821</v>
      </c>
      <c r="N98" s="217">
        <f>-'Scenario 2 Inc Exp Statement'!N111</f>
        <v>-18146821</v>
      </c>
      <c r="O98" s="217">
        <f>-'Scenario 2 Inc Exp Statement'!O111</f>
        <v>-18146821</v>
      </c>
    </row>
    <row r="99" spans="1:15" x14ac:dyDescent="0.3">
      <c r="A99" t="s">
        <v>27</v>
      </c>
      <c r="B99" s="116">
        <v>-5969000</v>
      </c>
      <c r="C99" s="217">
        <f t="shared" ref="C99:C101" si="45">C57</f>
        <v>-5814000</v>
      </c>
      <c r="D99" s="116">
        <f>-'Scenario 2 Inc Exp Statement'!D112</f>
        <v>0</v>
      </c>
      <c r="E99" s="116">
        <f>-'Scenario 2 Inc Exp Statement'!E112</f>
        <v>-5061438</v>
      </c>
      <c r="F99" s="116">
        <f>-'Scenario 2 Inc Exp Statement'!F112</f>
        <v>-4525823</v>
      </c>
      <c r="G99" s="116">
        <f>-'Scenario 2 Inc Exp Statement'!G112</f>
        <v>-4638969</v>
      </c>
      <c r="H99" s="116">
        <f>-'Scenario 2 Inc Exp Statement'!H112</f>
        <v>-4754943</v>
      </c>
      <c r="I99" s="116">
        <f>-'Scenario 2 Inc Exp Statement'!I112</f>
        <v>-4873817</v>
      </c>
      <c r="J99" s="116">
        <f>-'Scenario 2 Inc Exp Statement'!J112</f>
        <v>-4995662</v>
      </c>
      <c r="K99" s="116">
        <f>-'Scenario 2 Inc Exp Statement'!K112</f>
        <v>-5120554</v>
      </c>
      <c r="L99" s="116">
        <f>-'Scenario 2 Inc Exp Statement'!L112</f>
        <v>-5248568</v>
      </c>
      <c r="M99" s="116">
        <f>-'Scenario 2 Inc Exp Statement'!M112</f>
        <v>-5379782</v>
      </c>
      <c r="N99" s="217">
        <f>-'Scenario 2 Inc Exp Statement'!N112</f>
        <v>-5379782</v>
      </c>
      <c r="O99" s="217">
        <f>-'Scenario 2 Inc Exp Statement'!O112</f>
        <v>-5379782</v>
      </c>
    </row>
    <row r="100" spans="1:15" x14ac:dyDescent="0.3">
      <c r="A100" t="s">
        <v>88</v>
      </c>
      <c r="B100" s="116">
        <v>-223000</v>
      </c>
      <c r="C100" s="217">
        <f t="shared" si="45"/>
        <v>-764000</v>
      </c>
      <c r="D100" s="116">
        <v>0</v>
      </c>
      <c r="E100" s="116">
        <v>0</v>
      </c>
      <c r="F100" s="116">
        <v>0</v>
      </c>
      <c r="G100" s="116">
        <v>0</v>
      </c>
      <c r="H100" s="116">
        <v>0</v>
      </c>
      <c r="I100" s="116">
        <v>0</v>
      </c>
      <c r="J100" s="116">
        <v>0</v>
      </c>
      <c r="K100" s="116">
        <v>0</v>
      </c>
      <c r="L100" s="116">
        <v>0</v>
      </c>
      <c r="M100" s="116">
        <v>0</v>
      </c>
      <c r="N100" s="217">
        <v>1</v>
      </c>
      <c r="O100" s="217">
        <v>2</v>
      </c>
    </row>
    <row r="101" spans="1:15" x14ac:dyDescent="0.3">
      <c r="A101" s="5" t="s">
        <v>41</v>
      </c>
      <c r="B101" s="118">
        <v>-6559000</v>
      </c>
      <c r="C101" s="217">
        <f t="shared" si="45"/>
        <v>-7178000</v>
      </c>
      <c r="D101" s="118">
        <f>-'Scenario 2 Inc Exp Statement'!D114</f>
        <v>0</v>
      </c>
      <c r="E101" s="118">
        <f>-'Scenario 2 Inc Exp Statement'!E114</f>
        <v>-7372991</v>
      </c>
      <c r="F101" s="118">
        <f>-'Scenario 2 Inc Exp Statement'!F114</f>
        <v>-7742316</v>
      </c>
      <c r="G101" s="118">
        <f>-'Scenario 2 Inc Exp Statement'!G114</f>
        <v>-7746249</v>
      </c>
      <c r="H101" s="118">
        <f>-'Scenario 2 Inc Exp Statement'!H114</f>
        <v>-7939905.0000000009</v>
      </c>
      <c r="I101" s="118">
        <f>-'Scenario 2 Inc Exp Statement'!I114</f>
        <v>-8138403</v>
      </c>
      <c r="J101" s="118">
        <f>-'Scenario 2 Inc Exp Statement'!J114</f>
        <v>-8541863</v>
      </c>
      <c r="K101" s="118">
        <f>-'Scenario 2 Inc Exp Statement'!K114</f>
        <v>-8550410</v>
      </c>
      <c r="L101" s="118">
        <f>-'Scenario 2 Inc Exp Statement'!L114</f>
        <v>-8764170</v>
      </c>
      <c r="M101" s="118">
        <f>-'Scenario 2 Inc Exp Statement'!M114</f>
        <v>-8983274</v>
      </c>
      <c r="N101" s="216">
        <f>-'Scenario 2 Inc Exp Statement'!N114</f>
        <v>-8983274</v>
      </c>
      <c r="O101" s="216">
        <f>-'Scenario 2 Inc Exp Statement'!O114</f>
        <v>-8983274</v>
      </c>
    </row>
    <row r="102" spans="1:15" x14ac:dyDescent="0.3">
      <c r="A102" s="42" t="s">
        <v>89</v>
      </c>
      <c r="B102" s="43">
        <f>SUM(B90:B101)</f>
        <v>3269000</v>
      </c>
      <c r="C102" s="167">
        <f t="shared" ref="C102" si="46">SUM(C90:C101)</f>
        <v>286000</v>
      </c>
      <c r="D102" s="43">
        <f t="shared" ref="D102:M102" si="47">SUM(D90:D101)</f>
        <v>0</v>
      </c>
      <c r="E102" s="43">
        <f t="shared" si="47"/>
        <v>4228152.6951609738</v>
      </c>
      <c r="F102" s="43">
        <f t="shared" si="47"/>
        <v>4548373.5326975621</v>
      </c>
      <c r="G102" s="43">
        <f t="shared" si="47"/>
        <v>4792185.4290184639</v>
      </c>
      <c r="H102" s="43">
        <f t="shared" si="47"/>
        <v>5291786.4467038391</v>
      </c>
      <c r="I102" s="43">
        <f t="shared" si="47"/>
        <v>5367552.4907871932</v>
      </c>
      <c r="J102" s="43">
        <f t="shared" si="47"/>
        <v>5228587.7410889864</v>
      </c>
      <c r="K102" s="43">
        <f t="shared" si="47"/>
        <v>5443147.7738595232</v>
      </c>
      <c r="L102" s="43">
        <f t="shared" si="47"/>
        <v>5512151.3615483791</v>
      </c>
      <c r="M102" s="43">
        <f t="shared" si="47"/>
        <v>5575612.3520866483</v>
      </c>
      <c r="N102" s="167">
        <f t="shared" ref="N102:O102" si="48">SUM(N90:N101)</f>
        <v>5575614.3520866483</v>
      </c>
      <c r="O102" s="167">
        <f t="shared" si="48"/>
        <v>5575616.3520866483</v>
      </c>
    </row>
    <row r="103" spans="1:15" x14ac:dyDescent="0.3">
      <c r="B103" s="4"/>
      <c r="C103" s="21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214"/>
      <c r="O103" s="214"/>
    </row>
    <row r="104" spans="1:15" x14ac:dyDescent="0.3">
      <c r="A104" s="40" t="s">
        <v>90</v>
      </c>
      <c r="B104" s="4"/>
      <c r="C104" s="21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214"/>
      <c r="O104" s="214"/>
    </row>
    <row r="105" spans="1:15" x14ac:dyDescent="0.3">
      <c r="A105" s="41" t="s">
        <v>83</v>
      </c>
      <c r="B105" s="4"/>
      <c r="C105" s="21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214"/>
      <c r="O105" s="214"/>
    </row>
    <row r="106" spans="1:15" s="211" customFormat="1" x14ac:dyDescent="0.3">
      <c r="A106" s="221" t="s">
        <v>431</v>
      </c>
      <c r="B106" s="214"/>
      <c r="C106" s="214">
        <f>C64</f>
        <v>44500000</v>
      </c>
      <c r="D106" s="214"/>
      <c r="E106" s="214"/>
      <c r="F106" s="214"/>
      <c r="G106" s="214"/>
      <c r="H106" s="214"/>
      <c r="I106" s="214"/>
      <c r="J106" s="214"/>
      <c r="K106" s="214"/>
      <c r="L106" s="214"/>
      <c r="M106" s="214"/>
      <c r="N106" s="214"/>
      <c r="O106" s="214"/>
    </row>
    <row r="107" spans="1:15" x14ac:dyDescent="0.3">
      <c r="A107" t="s">
        <v>91</v>
      </c>
      <c r="B107" s="116">
        <v>5528000</v>
      </c>
      <c r="C107" s="214">
        <f t="shared" ref="C107:C108" si="49">C65</f>
        <v>0</v>
      </c>
      <c r="D107" s="116">
        <v>1500000</v>
      </c>
      <c r="E107" s="116">
        <v>0</v>
      </c>
      <c r="F107" s="116">
        <v>0</v>
      </c>
      <c r="G107" s="116">
        <v>0</v>
      </c>
      <c r="H107" s="116">
        <v>0</v>
      </c>
      <c r="I107" s="116">
        <v>0</v>
      </c>
      <c r="J107" s="116">
        <v>0</v>
      </c>
      <c r="K107" s="116">
        <v>0</v>
      </c>
      <c r="L107" s="116">
        <v>0</v>
      </c>
      <c r="M107" s="116">
        <v>0</v>
      </c>
      <c r="N107" s="217">
        <v>1</v>
      </c>
      <c r="O107" s="217">
        <v>2</v>
      </c>
    </row>
    <row r="108" spans="1:15" x14ac:dyDescent="0.3">
      <c r="A108" t="s">
        <v>92</v>
      </c>
      <c r="B108" s="116">
        <v>332000</v>
      </c>
      <c r="C108" s="214">
        <f t="shared" si="49"/>
        <v>566000</v>
      </c>
      <c r="D108" s="116">
        <f>+'Scenario 2 Inc Exp Statement'!D107-D107</f>
        <v>-1500000</v>
      </c>
      <c r="E108" s="116">
        <f>+'Scenario 2 Inc Exp Statement'!E107-E107</f>
        <v>475000</v>
      </c>
      <c r="F108" s="116">
        <f>+'Scenario 2 Inc Exp Statement'!F107-F107</f>
        <v>475000</v>
      </c>
      <c r="G108" s="116">
        <f>+'Scenario 2 Inc Exp Statement'!G107-G107</f>
        <v>475000</v>
      </c>
      <c r="H108" s="116">
        <f>+'Scenario 2 Inc Exp Statement'!H107-H107</f>
        <v>486874.99999999994</v>
      </c>
      <c r="I108" s="116">
        <f>+'Scenario 2 Inc Exp Statement'!I107-I107</f>
        <v>499046.87499999988</v>
      </c>
      <c r="J108" s="116">
        <f>+'Scenario 2 Inc Exp Statement'!J107-J107</f>
        <v>511523.04687499983</v>
      </c>
      <c r="K108" s="116">
        <f>+'Scenario 2 Inc Exp Statement'!K107-K107</f>
        <v>524311.12304687477</v>
      </c>
      <c r="L108" s="116">
        <f>+'Scenario 2 Inc Exp Statement'!L107-L107</f>
        <v>537418.90112304664</v>
      </c>
      <c r="M108" s="116">
        <f>+'Scenario 2 Inc Exp Statement'!M107-M107</f>
        <v>550854.37365112279</v>
      </c>
      <c r="N108" s="217">
        <f>+'Scenario 2 Inc Exp Statement'!N107-N107</f>
        <v>550853.37365112279</v>
      </c>
      <c r="O108" s="217">
        <f>+'Scenario 2 Inc Exp Statement'!O107-O107</f>
        <v>550852.37365112279</v>
      </c>
    </row>
    <row r="109" spans="1:15" x14ac:dyDescent="0.3">
      <c r="B109" s="116"/>
      <c r="C109" s="217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217"/>
      <c r="O109" s="217"/>
    </row>
    <row r="110" spans="1:15" x14ac:dyDescent="0.3">
      <c r="A110" s="41" t="s">
        <v>87</v>
      </c>
      <c r="B110" s="116"/>
      <c r="C110" s="217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217"/>
      <c r="O110" s="217"/>
    </row>
    <row r="111" spans="1:15" x14ac:dyDescent="0.3">
      <c r="A111" t="s">
        <v>93</v>
      </c>
      <c r="B111" s="116">
        <v>-23500000</v>
      </c>
      <c r="C111" s="217">
        <f>C69</f>
        <v>-43000000</v>
      </c>
      <c r="D111" s="116">
        <v>0</v>
      </c>
      <c r="E111" s="116">
        <v>0</v>
      </c>
      <c r="F111" s="116">
        <v>0</v>
      </c>
      <c r="G111" s="116">
        <v>0</v>
      </c>
      <c r="H111" s="116">
        <v>0</v>
      </c>
      <c r="I111" s="116">
        <v>0</v>
      </c>
      <c r="J111" s="116">
        <v>0</v>
      </c>
      <c r="K111" s="116">
        <v>0</v>
      </c>
      <c r="L111" s="116">
        <v>0</v>
      </c>
      <c r="M111" s="116">
        <v>0</v>
      </c>
      <c r="N111" s="217">
        <v>1</v>
      </c>
      <c r="O111" s="217">
        <v>2</v>
      </c>
    </row>
    <row r="112" spans="1:15" x14ac:dyDescent="0.3">
      <c r="A112" t="s">
        <v>94</v>
      </c>
      <c r="B112" s="116">
        <v>-3831000</v>
      </c>
      <c r="C112" s="217">
        <f t="shared" ref="C112:C113" si="50">C70</f>
        <v>-5933000</v>
      </c>
      <c r="D112" s="116">
        <f ca="1">+'Scenario 2 Inc Exp Statement'!D129-D113</f>
        <v>-3886773.6795166293</v>
      </c>
      <c r="E112" s="116">
        <f ca="1">+'Scenario 2 Inc Exp Statement'!E129-E113</f>
        <v>-6869037.4982148726</v>
      </c>
      <c r="F112" s="116">
        <f ca="1">+'Scenario 2 Inc Exp Statement'!F129-F113</f>
        <v>-5970292.9597329386</v>
      </c>
      <c r="G112" s="116">
        <f ca="1">+'Scenario 2 Inc Exp Statement'!G129-G113</f>
        <v>-6630420.5554642072</v>
      </c>
      <c r="H112" s="116">
        <f ca="1">+'Scenario 2 Inc Exp Statement'!H129-H113</f>
        <v>-11558267.290281707</v>
      </c>
      <c r="I112" s="116">
        <f ca="1">+'Scenario 2 Inc Exp Statement'!I129-I113</f>
        <v>-6988760.1907281922</v>
      </c>
      <c r="J112" s="116">
        <f ca="1">+'Scenario 2 Inc Exp Statement'!J129-J113</f>
        <v>-9644446.2463969775</v>
      </c>
      <c r="K112" s="116">
        <f ca="1">+'Scenario 2 Inc Exp Statement'!K129-K113</f>
        <v>-5475779.917529624</v>
      </c>
      <c r="L112" s="116" t="e">
        <f>+'Scenario 2 Inc Exp Statement'!L129-L113</f>
        <v>#REF!</v>
      </c>
      <c r="M112" s="116" t="e">
        <f>+'Scenario 2 Inc Exp Statement'!M129-M113</f>
        <v>#REF!</v>
      </c>
      <c r="N112" s="217">
        <f>+'Scenario 2 Inc Exp Statement'!N129-N113</f>
        <v>-1</v>
      </c>
      <c r="O112" s="217">
        <f>+'Scenario 2 Inc Exp Statement'!O129-O113</f>
        <v>-2</v>
      </c>
    </row>
    <row r="113" spans="1:15" x14ac:dyDescent="0.3">
      <c r="A113" s="5" t="s">
        <v>95</v>
      </c>
      <c r="B113" s="118">
        <v>-8000</v>
      </c>
      <c r="C113" s="216">
        <f t="shared" si="50"/>
        <v>0</v>
      </c>
      <c r="D113" s="118">
        <v>-1500000</v>
      </c>
      <c r="E113" s="118">
        <v>0</v>
      </c>
      <c r="F113" s="118">
        <v>0</v>
      </c>
      <c r="G113" s="118">
        <v>0</v>
      </c>
      <c r="H113" s="118">
        <v>0</v>
      </c>
      <c r="I113" s="118">
        <v>0</v>
      </c>
      <c r="J113" s="118">
        <v>0</v>
      </c>
      <c r="K113" s="118">
        <v>0</v>
      </c>
      <c r="L113" s="118">
        <v>0</v>
      </c>
      <c r="M113" s="118">
        <v>0</v>
      </c>
      <c r="N113" s="216">
        <v>1</v>
      </c>
      <c r="O113" s="216">
        <v>2</v>
      </c>
    </row>
    <row r="114" spans="1:15" x14ac:dyDescent="0.3">
      <c r="A114" s="42" t="s">
        <v>110</v>
      </c>
      <c r="B114" s="120">
        <f>SUM(B106:B113)</f>
        <v>-21479000</v>
      </c>
      <c r="C114" s="220">
        <f t="shared" ref="C114" si="51">SUM(C106:C113)</f>
        <v>-3867000</v>
      </c>
      <c r="D114" s="220">
        <f t="shared" ref="D114:M114" ca="1" si="52">SUM(D106:D113)</f>
        <v>-5386773.6795166293</v>
      </c>
      <c r="E114" s="220">
        <f t="shared" ca="1" si="52"/>
        <v>-6394037.4982148726</v>
      </c>
      <c r="F114" s="220">
        <f t="shared" ca="1" si="52"/>
        <v>-5495292.9597329386</v>
      </c>
      <c r="G114" s="220">
        <f t="shared" ca="1" si="52"/>
        <v>-6155420.5554642072</v>
      </c>
      <c r="H114" s="220">
        <f t="shared" ca="1" si="52"/>
        <v>-11071392.290281707</v>
      </c>
      <c r="I114" s="220">
        <f t="shared" ca="1" si="52"/>
        <v>-6489713.3157281922</v>
      </c>
      <c r="J114" s="220">
        <f t="shared" ca="1" si="52"/>
        <v>-9132923.1995219775</v>
      </c>
      <c r="K114" s="220">
        <f t="shared" ca="1" si="52"/>
        <v>-4951468.794482749</v>
      </c>
      <c r="L114" s="220" t="e">
        <f t="shared" si="52"/>
        <v>#REF!</v>
      </c>
      <c r="M114" s="220" t="e">
        <f t="shared" si="52"/>
        <v>#REF!</v>
      </c>
      <c r="N114" s="220">
        <f t="shared" ref="N114:O114" si="53">SUM(N106:N113)</f>
        <v>550855.37365112279</v>
      </c>
      <c r="O114" s="220">
        <f t="shared" si="53"/>
        <v>550856.37365112279</v>
      </c>
    </row>
    <row r="115" spans="1:15" x14ac:dyDescent="0.3">
      <c r="B115" s="116"/>
      <c r="C115" s="217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217"/>
      <c r="O115" s="217"/>
    </row>
    <row r="116" spans="1:15" x14ac:dyDescent="0.3">
      <c r="A116" s="40" t="s">
        <v>321</v>
      </c>
      <c r="B116" s="116">
        <f>+B102+B114</f>
        <v>-18210000</v>
      </c>
      <c r="C116" s="217">
        <f>+C102+C114</f>
        <v>-3581000</v>
      </c>
      <c r="D116" s="116">
        <f t="shared" ref="D116:M116" ca="1" si="54">+D102+D114</f>
        <v>-5386773.6795166293</v>
      </c>
      <c r="E116" s="116">
        <f t="shared" ca="1" si="54"/>
        <v>-2165884.8030538987</v>
      </c>
      <c r="F116" s="116">
        <f t="shared" ca="1" si="54"/>
        <v>-946919.42703537643</v>
      </c>
      <c r="G116" s="116">
        <f t="shared" ca="1" si="54"/>
        <v>-1363235.1264457433</v>
      </c>
      <c r="H116" s="116">
        <f t="shared" ca="1" si="54"/>
        <v>-5779605.8435778683</v>
      </c>
      <c r="I116" s="116">
        <f t="shared" ca="1" si="54"/>
        <v>-1122160.824940999</v>
      </c>
      <c r="J116" s="116">
        <f t="shared" ca="1" si="54"/>
        <v>-3904335.4584329911</v>
      </c>
      <c r="K116" s="116">
        <f t="shared" ca="1" si="54"/>
        <v>491678.97937677428</v>
      </c>
      <c r="L116" s="116" t="e">
        <f t="shared" si="54"/>
        <v>#REF!</v>
      </c>
      <c r="M116" s="116" t="e">
        <f t="shared" si="54"/>
        <v>#REF!</v>
      </c>
      <c r="N116" s="217">
        <f t="shared" ref="N116:O116" si="55">+N102+N114</f>
        <v>6126469.725737771</v>
      </c>
      <c r="O116" s="217">
        <f t="shared" si="55"/>
        <v>6126472.725737771</v>
      </c>
    </row>
    <row r="117" spans="1:15" x14ac:dyDescent="0.3">
      <c r="A117" s="44"/>
      <c r="B117" s="116"/>
      <c r="C117" s="217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217"/>
      <c r="O117" s="217"/>
    </row>
    <row r="118" spans="1:15" x14ac:dyDescent="0.3">
      <c r="A118" s="40" t="s">
        <v>96</v>
      </c>
      <c r="B118" s="116">
        <v>24915000</v>
      </c>
      <c r="C118" s="217">
        <f>+B120</f>
        <v>6705000</v>
      </c>
      <c r="D118" s="116">
        <f t="shared" ref="D118:M118" si="56">+C120</f>
        <v>3124000</v>
      </c>
      <c r="E118" s="116">
        <f t="shared" ca="1" si="56"/>
        <v>-2262773.6795166293</v>
      </c>
      <c r="F118" s="116">
        <f t="shared" ca="1" si="56"/>
        <v>-4428658.4825705281</v>
      </c>
      <c r="G118" s="116">
        <f t="shared" ca="1" si="56"/>
        <v>-5375577.9096059045</v>
      </c>
      <c r="H118" s="116">
        <f t="shared" ca="1" si="56"/>
        <v>-6738813.0360516477</v>
      </c>
      <c r="I118" s="116">
        <f t="shared" ca="1" si="56"/>
        <v>-12518418.879629515</v>
      </c>
      <c r="J118" s="116">
        <f t="shared" ca="1" si="56"/>
        <v>-13640579.704570513</v>
      </c>
      <c r="K118" s="116">
        <f t="shared" ca="1" si="56"/>
        <v>-17544915.163003504</v>
      </c>
      <c r="L118" s="116">
        <f t="shared" ca="1" si="56"/>
        <v>-17053236.18362673</v>
      </c>
      <c r="M118" s="116" t="e">
        <f t="shared" ca="1" si="56"/>
        <v>#REF!</v>
      </c>
      <c r="N118" s="217" t="e">
        <f t="shared" ref="N118" ca="1" si="57">+M120</f>
        <v>#REF!</v>
      </c>
      <c r="O118" s="217" t="e">
        <f t="shared" ref="O118" ca="1" si="58">+N120</f>
        <v>#REF!</v>
      </c>
    </row>
    <row r="119" spans="1:15" x14ac:dyDescent="0.3">
      <c r="B119" s="116"/>
      <c r="C119" s="217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217"/>
      <c r="O119" s="217"/>
    </row>
    <row r="120" spans="1:15" ht="15" thickBot="1" x14ac:dyDescent="0.35">
      <c r="A120" s="40" t="s">
        <v>97</v>
      </c>
      <c r="B120" s="46">
        <f>+B116+B118</f>
        <v>6705000</v>
      </c>
      <c r="C120" s="169">
        <f t="shared" ref="C120" si="59">+C116+C118</f>
        <v>3124000</v>
      </c>
      <c r="D120" s="46">
        <f t="shared" ref="D120:M120" ca="1" si="60">+D116+D118</f>
        <v>-2262773.6795166293</v>
      </c>
      <c r="E120" s="46">
        <f t="shared" ca="1" si="60"/>
        <v>-4428658.4825705281</v>
      </c>
      <c r="F120" s="46">
        <f t="shared" ca="1" si="60"/>
        <v>-5375577.9096059045</v>
      </c>
      <c r="G120" s="46">
        <f t="shared" ca="1" si="60"/>
        <v>-6738813.0360516477</v>
      </c>
      <c r="H120" s="46">
        <f t="shared" ca="1" si="60"/>
        <v>-12518418.879629515</v>
      </c>
      <c r="I120" s="46">
        <f t="shared" ca="1" si="60"/>
        <v>-13640579.704570513</v>
      </c>
      <c r="J120" s="46">
        <f t="shared" ca="1" si="60"/>
        <v>-17544915.163003504</v>
      </c>
      <c r="K120" s="46">
        <f t="shared" ca="1" si="60"/>
        <v>-17053236.18362673</v>
      </c>
      <c r="L120" s="46" t="e">
        <f t="shared" ca="1" si="60"/>
        <v>#REF!</v>
      </c>
      <c r="M120" s="46" t="e">
        <f t="shared" ca="1" si="60"/>
        <v>#REF!</v>
      </c>
      <c r="N120" s="169" t="e">
        <f t="shared" ref="N120:O120" ca="1" si="61">+N116+N118</f>
        <v>#REF!</v>
      </c>
      <c r="O120" s="169" t="e">
        <f t="shared" ca="1" si="61"/>
        <v>#REF!</v>
      </c>
    </row>
    <row r="121" spans="1:15" x14ac:dyDescent="0.3">
      <c r="N121" s="221"/>
      <c r="O121" s="221"/>
    </row>
    <row r="122" spans="1:15" x14ac:dyDescent="0.3">
      <c r="A122" t="s">
        <v>98</v>
      </c>
      <c r="B122" s="4">
        <v>23500000</v>
      </c>
      <c r="C122" s="214">
        <f>B122-C111-C106</f>
        <v>22000000</v>
      </c>
      <c r="D122" s="214">
        <f t="shared" ref="D122:M122" si="62">+C122-D111-D106</f>
        <v>22000000</v>
      </c>
      <c r="E122" s="214">
        <f t="shared" si="62"/>
        <v>22000000</v>
      </c>
      <c r="F122" s="214">
        <f t="shared" si="62"/>
        <v>22000000</v>
      </c>
      <c r="G122" s="214">
        <f t="shared" si="62"/>
        <v>22000000</v>
      </c>
      <c r="H122" s="214">
        <f t="shared" si="62"/>
        <v>22000000</v>
      </c>
      <c r="I122" s="214">
        <f t="shared" si="62"/>
        <v>22000000</v>
      </c>
      <c r="J122" s="214">
        <f t="shared" si="62"/>
        <v>22000000</v>
      </c>
      <c r="K122" s="214">
        <f t="shared" si="62"/>
        <v>22000000</v>
      </c>
      <c r="L122" s="214">
        <f t="shared" si="62"/>
        <v>22000000</v>
      </c>
      <c r="M122" s="214">
        <f t="shared" si="62"/>
        <v>22000000</v>
      </c>
      <c r="N122" s="214">
        <f t="shared" ref="N122" si="63">+M122-N111-N106</f>
        <v>21999999</v>
      </c>
      <c r="O122" s="214">
        <f t="shared" ref="O122" si="64">+N122-O111-O106</f>
        <v>21999997</v>
      </c>
    </row>
    <row r="123" spans="1:15" x14ac:dyDescent="0.3">
      <c r="B123" s="4"/>
      <c r="C123" s="21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214"/>
      <c r="O123" s="214"/>
    </row>
    <row r="124" spans="1:15" ht="15" thickBot="1" x14ac:dyDescent="0.35">
      <c r="A124" s="40" t="s">
        <v>99</v>
      </c>
      <c r="B124" s="47">
        <f>+B120+B122</f>
        <v>30205000</v>
      </c>
      <c r="C124" s="170">
        <f t="shared" ref="C124" si="65">+C120+C122</f>
        <v>25124000</v>
      </c>
      <c r="D124" s="47">
        <f t="shared" ref="D124:M124" ca="1" si="66">+D120+D122</f>
        <v>19737226.320483372</v>
      </c>
      <c r="E124" s="47">
        <f t="shared" ca="1" si="66"/>
        <v>17571341.517429471</v>
      </c>
      <c r="F124" s="47">
        <f t="shared" ca="1" si="66"/>
        <v>16624422.090394095</v>
      </c>
      <c r="G124" s="47">
        <f t="shared" ca="1" si="66"/>
        <v>15261186.963948352</v>
      </c>
      <c r="H124" s="47">
        <f t="shared" ca="1" si="66"/>
        <v>9481581.1203704849</v>
      </c>
      <c r="I124" s="47">
        <f t="shared" ca="1" si="66"/>
        <v>8359420.2954294868</v>
      </c>
      <c r="J124" s="47">
        <f t="shared" ca="1" si="66"/>
        <v>4455084.8369964957</v>
      </c>
      <c r="K124" s="47">
        <f t="shared" ca="1" si="66"/>
        <v>4946763.81637327</v>
      </c>
      <c r="L124" s="47" t="e">
        <f t="shared" ca="1" si="66"/>
        <v>#REF!</v>
      </c>
      <c r="M124" s="47" t="e">
        <f t="shared" ca="1" si="66"/>
        <v>#REF!</v>
      </c>
      <c r="N124" s="170" t="e">
        <f t="shared" ref="N124:O124" ca="1" si="67">+N120+N122</f>
        <v>#REF!</v>
      </c>
      <c r="O124" s="170" t="e">
        <f t="shared" ca="1" si="67"/>
        <v>#REF!</v>
      </c>
    </row>
    <row r="125" spans="1:15" ht="15" thickTop="1" x14ac:dyDescent="0.3">
      <c r="N125" s="221"/>
      <c r="O125" s="221"/>
    </row>
  </sheetData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R137"/>
  <sheetViews>
    <sheetView workbookViewId="0">
      <pane xSplit="3" ySplit="3" topLeftCell="E116" activePane="bottomRight" state="frozen"/>
      <selection pane="topRight" activeCell="D1" sqref="D1"/>
      <selection pane="bottomLeft" activeCell="A3" sqref="A3"/>
      <selection pane="bottomRight" activeCell="P134" sqref="A1:P134"/>
    </sheetView>
  </sheetViews>
  <sheetFormatPr defaultColWidth="9.109375" defaultRowHeight="10.199999999999999" outlineLevelRow="1" outlineLevelCol="1" x14ac:dyDescent="0.2"/>
  <cols>
    <col min="1" max="1" width="31" style="653" customWidth="1"/>
    <col min="2" max="3" width="13.109375" style="653" hidden="1" customWidth="1" outlineLevel="1"/>
    <col min="4" max="4" width="13.109375" style="653" hidden="1" customWidth="1" outlineLevel="1" collapsed="1"/>
    <col min="5" max="5" width="9.88671875" style="653" customWidth="1" collapsed="1"/>
    <col min="6" max="16" width="9.88671875" style="653" bestFit="1" customWidth="1"/>
    <col min="17" max="16384" width="9.109375" style="653"/>
  </cols>
  <sheetData>
    <row r="1" spans="1:16" ht="12.75" x14ac:dyDescent="0.2">
      <c r="A1" s="1091" t="s">
        <v>1365</v>
      </c>
    </row>
    <row r="2" spans="1:16" s="660" customFormat="1" ht="12" x14ac:dyDescent="0.2">
      <c r="A2" s="652" t="s">
        <v>1071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16" ht="11.25" x14ac:dyDescent="0.2">
      <c r="A3" s="652" t="s">
        <v>72</v>
      </c>
      <c r="B3" s="741" t="s">
        <v>68</v>
      </c>
      <c r="C3" s="694" t="s">
        <v>0</v>
      </c>
      <c r="D3" s="694" t="s">
        <v>1</v>
      </c>
      <c r="E3" s="694" t="s">
        <v>2</v>
      </c>
      <c r="F3" s="694" t="s">
        <v>3</v>
      </c>
      <c r="G3" s="694" t="s">
        <v>4</v>
      </c>
      <c r="H3" s="694" t="s">
        <v>5</v>
      </c>
      <c r="I3" s="694" t="s">
        <v>6</v>
      </c>
      <c r="J3" s="694" t="s">
        <v>7</v>
      </c>
      <c r="K3" s="694" t="s">
        <v>8</v>
      </c>
      <c r="L3" s="694" t="s">
        <v>9</v>
      </c>
      <c r="M3" s="694" t="s">
        <v>514</v>
      </c>
      <c r="N3" s="694" t="s">
        <v>515</v>
      </c>
      <c r="O3" s="694" t="s">
        <v>904</v>
      </c>
      <c r="P3" s="694" t="s">
        <v>1046</v>
      </c>
    </row>
    <row r="4" spans="1:16" s="664" customFormat="1" ht="11.25" x14ac:dyDescent="0.2">
      <c r="A4" s="661"/>
      <c r="B4" s="662"/>
      <c r="C4" s="662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</row>
    <row r="5" spans="1:16" ht="11.25" x14ac:dyDescent="0.2">
      <c r="A5" s="654" t="s">
        <v>35</v>
      </c>
      <c r="B5" s="608"/>
      <c r="C5" s="608"/>
      <c r="D5" s="608"/>
      <c r="E5" s="608"/>
      <c r="F5" s="608"/>
      <c r="G5" s="608"/>
      <c r="H5" s="608"/>
      <c r="I5" s="608"/>
      <c r="J5" s="608"/>
      <c r="K5" s="608"/>
      <c r="L5" s="608"/>
      <c r="M5" s="608"/>
      <c r="N5" s="608"/>
      <c r="O5" s="608"/>
      <c r="P5" s="608"/>
    </row>
    <row r="6" spans="1:16" ht="11.25" x14ac:dyDescent="0.2">
      <c r="A6" s="654" t="s">
        <v>36</v>
      </c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</row>
    <row r="7" spans="1:16" ht="11.25" x14ac:dyDescent="0.2">
      <c r="A7" s="653" t="s">
        <v>37</v>
      </c>
      <c r="B7" s="608"/>
      <c r="C7" s="608"/>
      <c r="D7" s="608">
        <v>9296</v>
      </c>
      <c r="E7" s="608">
        <v>2319</v>
      </c>
      <c r="F7" s="608">
        <f>+'GF &amp; FF   Cash Flow'!F48</f>
        <v>2349.0000000000036</v>
      </c>
      <c r="G7" s="608">
        <f>+'GF &amp; FF   Cash Flow'!G48</f>
        <v>2439.246960000004</v>
      </c>
      <c r="H7" s="608">
        <f>+'GF &amp; FF   Cash Flow'!H48</f>
        <v>2604.0666349999929</v>
      </c>
      <c r="I7" s="608">
        <f>+'GF &amp; FF   Cash Flow'!I48</f>
        <v>2413.4891399999929</v>
      </c>
      <c r="J7" s="608">
        <f>+'GF &amp; FF   Cash Flow'!J48</f>
        <v>2068.1620107499998</v>
      </c>
      <c r="K7" s="608">
        <f>+'GF &amp; FF   Cash Flow'!K48</f>
        <v>1659.3242735980325</v>
      </c>
      <c r="L7" s="608">
        <f>+'GF &amp; FF   Cash Flow'!L48</f>
        <v>1315.9808975463416</v>
      </c>
      <c r="M7" s="608">
        <f>+'GF &amp; FF   Cash Flow'!M48</f>
        <v>1327.0580258861114</v>
      </c>
      <c r="N7" s="608">
        <f>+'GF &amp; FF   Cash Flow'!N48</f>
        <v>1199.8493255500739</v>
      </c>
      <c r="O7" s="608">
        <f>+'GF &amp; FF   Cash Flow'!O48</f>
        <v>1063.7553223621267</v>
      </c>
      <c r="P7" s="608">
        <f>+'GF &amp; FF   Cash Flow'!P48</f>
        <v>1177.4472477561044</v>
      </c>
    </row>
    <row r="8" spans="1:16" ht="11.25" x14ac:dyDescent="0.2">
      <c r="A8" s="653" t="s">
        <v>38</v>
      </c>
      <c r="B8" s="608"/>
      <c r="C8" s="608"/>
      <c r="D8" s="608">
        <v>7148</v>
      </c>
      <c r="E8" s="608">
        <f>83+1629</f>
        <v>1712</v>
      </c>
      <c r="F8" s="608">
        <f>+'GF &amp; FF   Cash Flow'!F50-F15</f>
        <v>1299.9440000000031</v>
      </c>
      <c r="G8" s="608">
        <f>+'GF &amp; FF   Cash Flow'!G50-G15</f>
        <v>1244.229000000003</v>
      </c>
      <c r="H8" s="608">
        <f>+'GF &amp; FF   Cash Flow'!H50-H15</f>
        <v>-1537.6079899999968</v>
      </c>
      <c r="I8" s="608">
        <f>+'GF &amp; FF   Cash Flow'!I50-I15</f>
        <v>-1242.7865996999972</v>
      </c>
      <c r="J8" s="608">
        <f>+'GF &amp; FF   Cash Flow'!J50-J15</f>
        <v>-868.3811576909975</v>
      </c>
      <c r="K8" s="608">
        <f>+'GF &amp; FF   Cash Flow'!K50-K15</f>
        <v>-486.48760684181798</v>
      </c>
      <c r="L8" s="608">
        <f>+'GF &amp; FF   Cash Flow'!L50-L15</f>
        <v>-96.956184975653741</v>
      </c>
      <c r="M8" s="608">
        <f>+'GF &amp; FF   Cash Flow'!M50-M15</f>
        <v>300.36586532783258</v>
      </c>
      <c r="N8" s="608">
        <f>+'GF &amp; FF   Cash Flow'!N50-N15</f>
        <v>705.63435663739074</v>
      </c>
      <c r="O8" s="608">
        <f>+'GF &amp; FF   Cash Flow'!O50-O15</f>
        <v>1119.0082177731383</v>
      </c>
      <c r="P8" s="608">
        <f>+'GF &amp; FF   Cash Flow'!P50-P15</f>
        <v>1540.6495561316005</v>
      </c>
    </row>
    <row r="9" spans="1:16" ht="11.25" x14ac:dyDescent="0.2">
      <c r="A9" s="653" t="s">
        <v>39</v>
      </c>
      <c r="B9" s="608"/>
      <c r="C9" s="608"/>
      <c r="D9" s="608">
        <v>5459</v>
      </c>
      <c r="E9" s="608">
        <f>168+6598</f>
        <v>6766</v>
      </c>
      <c r="F9" s="608">
        <f t="shared" ref="F9:M11" si="0">+E9</f>
        <v>6766</v>
      </c>
      <c r="G9" s="608">
        <f t="shared" si="0"/>
        <v>6766</v>
      </c>
      <c r="H9" s="608">
        <f t="shared" si="0"/>
        <v>6766</v>
      </c>
      <c r="I9" s="608">
        <f t="shared" si="0"/>
        <v>6766</v>
      </c>
      <c r="J9" s="608">
        <f t="shared" si="0"/>
        <v>6766</v>
      </c>
      <c r="K9" s="608">
        <f t="shared" si="0"/>
        <v>6766</v>
      </c>
      <c r="L9" s="608">
        <f t="shared" si="0"/>
        <v>6766</v>
      </c>
      <c r="M9" s="608">
        <f t="shared" si="0"/>
        <v>6766</v>
      </c>
      <c r="N9" s="608">
        <f t="shared" ref="N9:N11" si="1">+M9</f>
        <v>6766</v>
      </c>
      <c r="O9" s="608">
        <f t="shared" ref="O9:P11" si="2">+N9</f>
        <v>6766</v>
      </c>
      <c r="P9" s="608">
        <f t="shared" si="2"/>
        <v>6766</v>
      </c>
    </row>
    <row r="10" spans="1:16" ht="11.25" x14ac:dyDescent="0.2">
      <c r="A10" s="653" t="s">
        <v>40</v>
      </c>
      <c r="B10" s="608"/>
      <c r="C10" s="608"/>
      <c r="D10" s="608">
        <v>2131</v>
      </c>
      <c r="E10" s="608">
        <v>2116</v>
      </c>
      <c r="F10" s="608">
        <f t="shared" si="0"/>
        <v>2116</v>
      </c>
      <c r="G10" s="608">
        <f t="shared" si="0"/>
        <v>2116</v>
      </c>
      <c r="H10" s="608">
        <f t="shared" si="0"/>
        <v>2116</v>
      </c>
      <c r="I10" s="608">
        <f t="shared" si="0"/>
        <v>2116</v>
      </c>
      <c r="J10" s="608">
        <f t="shared" si="0"/>
        <v>2116</v>
      </c>
      <c r="K10" s="608">
        <f t="shared" si="0"/>
        <v>2116</v>
      </c>
      <c r="L10" s="608">
        <f t="shared" si="0"/>
        <v>2116</v>
      </c>
      <c r="M10" s="608">
        <f t="shared" si="0"/>
        <v>2116</v>
      </c>
      <c r="N10" s="608">
        <f t="shared" si="1"/>
        <v>2116</v>
      </c>
      <c r="O10" s="608">
        <f t="shared" si="2"/>
        <v>2116</v>
      </c>
      <c r="P10" s="608">
        <f t="shared" si="2"/>
        <v>2116</v>
      </c>
    </row>
    <row r="11" spans="1:16" ht="11.25" x14ac:dyDescent="0.2">
      <c r="A11" s="655" t="s">
        <v>41</v>
      </c>
      <c r="B11" s="615"/>
      <c r="C11" s="608"/>
      <c r="D11" s="608">
        <v>28</v>
      </c>
      <c r="E11" s="608">
        <v>102</v>
      </c>
      <c r="F11" s="608">
        <f t="shared" si="0"/>
        <v>102</v>
      </c>
      <c r="G11" s="608">
        <f t="shared" si="0"/>
        <v>102</v>
      </c>
      <c r="H11" s="608">
        <f t="shared" si="0"/>
        <v>102</v>
      </c>
      <c r="I11" s="608">
        <f t="shared" si="0"/>
        <v>102</v>
      </c>
      <c r="J11" s="608">
        <f t="shared" si="0"/>
        <v>102</v>
      </c>
      <c r="K11" s="608">
        <f t="shared" si="0"/>
        <v>102</v>
      </c>
      <c r="L11" s="608">
        <f t="shared" si="0"/>
        <v>102</v>
      </c>
      <c r="M11" s="608">
        <f t="shared" si="0"/>
        <v>102</v>
      </c>
      <c r="N11" s="608">
        <f t="shared" si="1"/>
        <v>102</v>
      </c>
      <c r="O11" s="608">
        <f t="shared" si="2"/>
        <v>102</v>
      </c>
      <c r="P11" s="608">
        <f t="shared" si="2"/>
        <v>102</v>
      </c>
    </row>
    <row r="12" spans="1:16" s="657" customFormat="1" ht="11.25" x14ac:dyDescent="0.2">
      <c r="A12" s="654" t="s">
        <v>42</v>
      </c>
      <c r="B12" s="656">
        <f>SUM(B7:B11)</f>
        <v>0</v>
      </c>
      <c r="C12" s="656">
        <f t="shared" ref="C12:M12" si="3">SUM(C7:C11)</f>
        <v>0</v>
      </c>
      <c r="D12" s="656">
        <f t="shared" si="3"/>
        <v>24062</v>
      </c>
      <c r="E12" s="656">
        <f t="shared" si="3"/>
        <v>13015</v>
      </c>
      <c r="F12" s="656">
        <f t="shared" si="3"/>
        <v>12632.944000000007</v>
      </c>
      <c r="G12" s="656">
        <f t="shared" si="3"/>
        <v>12667.475960000007</v>
      </c>
      <c r="H12" s="656">
        <f t="shared" si="3"/>
        <v>10050.458644999995</v>
      </c>
      <c r="I12" s="656">
        <f t="shared" si="3"/>
        <v>10154.702540299995</v>
      </c>
      <c r="J12" s="656">
        <f t="shared" si="3"/>
        <v>10183.780853059003</v>
      </c>
      <c r="K12" s="656">
        <f t="shared" si="3"/>
        <v>10156.836666756215</v>
      </c>
      <c r="L12" s="656">
        <f t="shared" si="3"/>
        <v>10203.024712570688</v>
      </c>
      <c r="M12" s="656">
        <f t="shared" si="3"/>
        <v>10611.423891213944</v>
      </c>
      <c r="N12" s="656">
        <f t="shared" ref="N12:O12" si="4">SUM(N7:N11)</f>
        <v>10889.483682187465</v>
      </c>
      <c r="O12" s="656">
        <f t="shared" si="4"/>
        <v>11166.763540135265</v>
      </c>
      <c r="P12" s="656">
        <f t="shared" ref="P12" si="5">SUM(P7:P11)</f>
        <v>11702.096803887705</v>
      </c>
    </row>
    <row r="13" spans="1:16" ht="11.25" x14ac:dyDescent="0.2">
      <c r="B13" s="608"/>
      <c r="C13" s="608"/>
      <c r="D13" s="608"/>
      <c r="E13" s="608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</row>
    <row r="14" spans="1:16" ht="11.25" x14ac:dyDescent="0.2">
      <c r="A14" s="654" t="s">
        <v>43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</row>
    <row r="15" spans="1:16" ht="11.25" x14ac:dyDescent="0.2">
      <c r="A15" s="763" t="s">
        <v>38</v>
      </c>
      <c r="B15" s="608"/>
      <c r="C15" s="608"/>
      <c r="D15" s="608">
        <v>38964</v>
      </c>
      <c r="E15" s="608">
        <f>273+15098</f>
        <v>15371</v>
      </c>
      <c r="F15" s="608">
        <f>E15</f>
        <v>15371</v>
      </c>
      <c r="G15" s="608">
        <f t="shared" ref="G15:P15" si="6">F15</f>
        <v>15371</v>
      </c>
      <c r="H15" s="608">
        <f>G15-3000</f>
        <v>12371</v>
      </c>
      <c r="I15" s="608">
        <f t="shared" si="6"/>
        <v>12371</v>
      </c>
      <c r="J15" s="608">
        <f t="shared" si="6"/>
        <v>12371</v>
      </c>
      <c r="K15" s="608">
        <f t="shared" si="6"/>
        <v>12371</v>
      </c>
      <c r="L15" s="608">
        <f t="shared" si="6"/>
        <v>12371</v>
      </c>
      <c r="M15" s="608">
        <f t="shared" si="6"/>
        <v>12371</v>
      </c>
      <c r="N15" s="608">
        <f t="shared" si="6"/>
        <v>12371</v>
      </c>
      <c r="O15" s="608">
        <f t="shared" si="6"/>
        <v>12371</v>
      </c>
      <c r="P15" s="608">
        <f t="shared" si="6"/>
        <v>12371</v>
      </c>
    </row>
    <row r="16" spans="1:16" ht="11.25" x14ac:dyDescent="0.2">
      <c r="A16" s="760" t="s">
        <v>44</v>
      </c>
      <c r="B16" s="608"/>
      <c r="C16" s="608"/>
      <c r="D16" s="608">
        <v>550049</v>
      </c>
      <c r="E16" s="608">
        <f>461754</f>
        <v>461754</v>
      </c>
      <c r="F16" s="608">
        <f>+E16-'GF &amp; FF  Inc Exp Statement'!F27+SUM('GF &amp; FF  Inc Exp Statement'!F51:F53)-'GF &amp; FF  Inc Exp Statement'!F52-'GF &amp; FF  Inc Exp Statement'!F65</f>
        <v>464493.77600000001</v>
      </c>
      <c r="G16" s="608">
        <f>+F16-'GF &amp; FF  Inc Exp Statement'!G27+SUM('GF &amp; FF  Inc Exp Statement'!G51:G53)-'GF &amp; FF  Inc Exp Statement'!G52-'GF &amp; FF  Inc Exp Statement'!G65</f>
        <v>468257.30499999999</v>
      </c>
      <c r="H16" s="608">
        <f>+G16-'GF &amp; FF  Inc Exp Statement'!H27+SUM('GF &amp; FF  Inc Exp Statement'!H51:H53)-'GF &amp; FF  Inc Exp Statement'!H52-'GF &amp; FF  Inc Exp Statement'!H65</f>
        <v>477721.1188</v>
      </c>
      <c r="I16" s="608">
        <f>+H16-'GF &amp; FF  Inc Exp Statement'!I27+SUM('GF &amp; FF  Inc Exp Statement'!I51:I53)-'GF &amp; FF  Inc Exp Statement'!I52-'GF &amp; FF  Inc Exp Statement'!I65</f>
        <v>481855.59719499998</v>
      </c>
      <c r="J16" s="608">
        <f>+I16-'GF &amp; FF  Inc Exp Statement'!J27+SUM('GF &amp; FF  Inc Exp Statement'!J51:J53)-'GF &amp; FF  Inc Exp Statement'!J52-'GF &amp; FF  Inc Exp Statement'!J65</f>
        <v>485926.87859987497</v>
      </c>
      <c r="K16" s="608">
        <f>+J16-'GF &amp; FF  Inc Exp Statement'!K27+SUM('GF &amp; FF  Inc Exp Statement'!K51:K53)-'GF &amp; FF  Inc Exp Statement'!K52-'GF &amp; FF  Inc Exp Statement'!K65</f>
        <v>489812.38499987492</v>
      </c>
      <c r="L16" s="608">
        <f>+K16-'GF &amp; FF  Inc Exp Statement'!L27+SUM('GF &amp; FF  Inc Exp Statement'!L51:L53)-'GF &amp; FF  Inc Exp Statement'!L52-'GF &amp; FF  Inc Exp Statement'!L65</f>
        <v>493685.38330987492</v>
      </c>
      <c r="M16" s="608">
        <f>+L16-'GF &amp; FF  Inc Exp Statement'!M27+SUM('GF &amp; FF  Inc Exp Statement'!M51:M53)-'GF &amp; FF  Inc Exp Statement'!M52-'GF &amp; FF  Inc Exp Statement'!M65</f>
        <v>497544.76284262491</v>
      </c>
      <c r="N16" s="608">
        <f>+M16-'GF &amp; FF  Inc Exp Statement'!N27+SUM('GF &amp; FF  Inc Exp Statement'!N51:N53)-'GF &amp; FF  Inc Exp Statement'!N52-'GF &amp; FF  Inc Exp Statement'!N65</f>
        <v>501711.82257149363</v>
      </c>
      <c r="O16" s="608">
        <f>+N16-'GF &amp; FF  Inc Exp Statement'!O27+SUM('GF &amp; FF  Inc Exp Statement'!O51:O53)-'GF &amp; FF  Inc Exp Statement'!O52-'GF &amp; FF  Inc Exp Statement'!O65</f>
        <v>505957.74323304009</v>
      </c>
      <c r="P16" s="608">
        <f>+O16-'GF &amp; FF  Inc Exp Statement'!P27+SUM('GF &amp; FF  Inc Exp Statement'!P51:P53)-'GF &amp; FF  Inc Exp Statement'!P52-'GF &amp; FF  Inc Exp Statement'!P65</f>
        <v>510022.58435687033</v>
      </c>
    </row>
    <row r="17" spans="1:16" ht="11.25" x14ac:dyDescent="0.2">
      <c r="A17" s="760" t="s">
        <v>1050</v>
      </c>
      <c r="B17" s="608"/>
      <c r="C17" s="608"/>
      <c r="D17" s="608">
        <v>89</v>
      </c>
      <c r="E17" s="608">
        <v>91</v>
      </c>
      <c r="F17" s="608">
        <f>E17</f>
        <v>91</v>
      </c>
      <c r="G17" s="608">
        <f t="shared" ref="G17:P17" si="7">F17</f>
        <v>91</v>
      </c>
      <c r="H17" s="608">
        <f t="shared" si="7"/>
        <v>91</v>
      </c>
      <c r="I17" s="608">
        <f t="shared" si="7"/>
        <v>91</v>
      </c>
      <c r="J17" s="608">
        <f t="shared" si="7"/>
        <v>91</v>
      </c>
      <c r="K17" s="608">
        <f t="shared" si="7"/>
        <v>91</v>
      </c>
      <c r="L17" s="608">
        <f t="shared" si="7"/>
        <v>91</v>
      </c>
      <c r="M17" s="608">
        <f t="shared" si="7"/>
        <v>91</v>
      </c>
      <c r="N17" s="608">
        <f t="shared" si="7"/>
        <v>91</v>
      </c>
      <c r="O17" s="608">
        <f t="shared" si="7"/>
        <v>91</v>
      </c>
      <c r="P17" s="608">
        <f t="shared" si="7"/>
        <v>91</v>
      </c>
    </row>
    <row r="18" spans="1:16" s="760" customFormat="1" ht="11.25" x14ac:dyDescent="0.2">
      <c r="A18" s="760" t="s">
        <v>939</v>
      </c>
      <c r="B18" s="608"/>
      <c r="C18" s="608"/>
      <c r="D18" s="608">
        <v>8861</v>
      </c>
      <c r="E18" s="608">
        <v>20675</v>
      </c>
      <c r="F18" s="608">
        <f>E18+'GF &amp; FF  Inc Exp Statement'!F52</f>
        <v>30675</v>
      </c>
      <c r="G18" s="608">
        <f>F18+'GF &amp; FF  Inc Exp Statement'!G52</f>
        <v>30675</v>
      </c>
      <c r="H18" s="608">
        <f>G18+'GF &amp; FF  Inc Exp Statement'!H52</f>
        <v>30675</v>
      </c>
      <c r="I18" s="608">
        <f>H18+'GF &amp; FF  Inc Exp Statement'!I52</f>
        <v>30675</v>
      </c>
      <c r="J18" s="608">
        <f>I18+'GF &amp; FF  Inc Exp Statement'!J52</f>
        <v>30675</v>
      </c>
      <c r="K18" s="608">
        <f>J18+'GF &amp; FF  Inc Exp Statement'!K52</f>
        <v>30675</v>
      </c>
      <c r="L18" s="608">
        <f>K18+'GF &amp; FF  Inc Exp Statement'!L52</f>
        <v>30675</v>
      </c>
      <c r="M18" s="608">
        <f>L18+'GF &amp; FF  Inc Exp Statement'!M52</f>
        <v>30675</v>
      </c>
      <c r="N18" s="608">
        <f>M18+'GF &amp; FF  Inc Exp Statement'!N52</f>
        <v>30675</v>
      </c>
      <c r="O18" s="608">
        <f>N18+'GF &amp; FF  Inc Exp Statement'!O52</f>
        <v>30675</v>
      </c>
      <c r="P18" s="608">
        <f>O18+'GF &amp; FF  Inc Exp Statement'!P52</f>
        <v>30675</v>
      </c>
    </row>
    <row r="19" spans="1:16" s="657" customFormat="1" ht="11.25" x14ac:dyDescent="0.2">
      <c r="A19" s="761" t="s">
        <v>45</v>
      </c>
      <c r="B19" s="762">
        <f>SUM(B16)</f>
        <v>0</v>
      </c>
      <c r="C19" s="762">
        <f t="shared" ref="C19" si="8">SUM(C16)</f>
        <v>0</v>
      </c>
      <c r="D19" s="762">
        <f>SUM(D14:D18)</f>
        <v>597963</v>
      </c>
      <c r="E19" s="762">
        <f t="shared" ref="E19:P19" si="9">SUM(E14:E18)</f>
        <v>497891</v>
      </c>
      <c r="F19" s="762">
        <f t="shared" si="9"/>
        <v>510630.77600000001</v>
      </c>
      <c r="G19" s="762">
        <f t="shared" si="9"/>
        <v>514394.30499999999</v>
      </c>
      <c r="H19" s="762">
        <f t="shared" si="9"/>
        <v>520858.1188</v>
      </c>
      <c r="I19" s="762">
        <f t="shared" si="9"/>
        <v>524992.59719499992</v>
      </c>
      <c r="J19" s="762">
        <f t="shared" si="9"/>
        <v>529063.87859987491</v>
      </c>
      <c r="K19" s="762">
        <f t="shared" si="9"/>
        <v>532949.38499987498</v>
      </c>
      <c r="L19" s="762">
        <f t="shared" si="9"/>
        <v>536822.38330987492</v>
      </c>
      <c r="M19" s="762">
        <f t="shared" si="9"/>
        <v>540681.76284262491</v>
      </c>
      <c r="N19" s="762">
        <f t="shared" si="9"/>
        <v>544848.82257149369</v>
      </c>
      <c r="O19" s="762">
        <f t="shared" si="9"/>
        <v>549094.74323304009</v>
      </c>
      <c r="P19" s="762">
        <f t="shared" si="9"/>
        <v>553159.58435687027</v>
      </c>
    </row>
    <row r="20" spans="1:16" ht="9" customHeight="1" x14ac:dyDescent="0.2">
      <c r="B20" s="608"/>
      <c r="C20" s="608"/>
      <c r="D20" s="608"/>
      <c r="E20" s="608"/>
      <c r="F20" s="608"/>
      <c r="G20" s="608"/>
      <c r="H20" s="608"/>
      <c r="I20" s="608"/>
      <c r="J20" s="608"/>
      <c r="K20" s="608"/>
      <c r="L20" s="608"/>
      <c r="M20" s="608"/>
      <c r="N20" s="608"/>
      <c r="O20" s="608"/>
      <c r="P20" s="608"/>
    </row>
    <row r="21" spans="1:16" s="657" customFormat="1" ht="12" thickBot="1" x14ac:dyDescent="0.25">
      <c r="A21" s="654" t="s">
        <v>46</v>
      </c>
      <c r="B21" s="665">
        <f>+B12+B19</f>
        <v>0</v>
      </c>
      <c r="C21" s="665">
        <f t="shared" ref="C21:M21" si="10">+C12+C19</f>
        <v>0</v>
      </c>
      <c r="D21" s="665">
        <f t="shared" si="10"/>
        <v>622025</v>
      </c>
      <c r="E21" s="665">
        <f t="shared" si="10"/>
        <v>510906</v>
      </c>
      <c r="F21" s="665">
        <f t="shared" si="10"/>
        <v>523263.72000000003</v>
      </c>
      <c r="G21" s="665">
        <f t="shared" si="10"/>
        <v>527061.78096</v>
      </c>
      <c r="H21" s="665">
        <f t="shared" si="10"/>
        <v>530908.57744499994</v>
      </c>
      <c r="I21" s="665">
        <f t="shared" si="10"/>
        <v>535147.29973529989</v>
      </c>
      <c r="J21" s="665">
        <f t="shared" si="10"/>
        <v>539247.65945293393</v>
      </c>
      <c r="K21" s="665">
        <f t="shared" si="10"/>
        <v>543106.22166663117</v>
      </c>
      <c r="L21" s="665">
        <f t="shared" si="10"/>
        <v>547025.40802244563</v>
      </c>
      <c r="M21" s="665">
        <f t="shared" si="10"/>
        <v>551293.18673383887</v>
      </c>
      <c r="N21" s="665">
        <f t="shared" ref="N21:O21" si="11">+N12+N19</f>
        <v>555738.30625368119</v>
      </c>
      <c r="O21" s="665">
        <f t="shared" si="11"/>
        <v>560261.50677317532</v>
      </c>
      <c r="P21" s="665">
        <f t="shared" ref="P21" si="12">+P12+P19</f>
        <v>564861.68116075802</v>
      </c>
    </row>
    <row r="22" spans="1:16" ht="11.25" x14ac:dyDescent="0.2">
      <c r="B22" s="608"/>
      <c r="C22" s="608"/>
      <c r="D22" s="608"/>
      <c r="E22" s="608"/>
      <c r="F22" s="608"/>
      <c r="G22" s="608"/>
      <c r="H22" s="608"/>
      <c r="I22" s="608"/>
      <c r="J22" s="608"/>
      <c r="K22" s="608"/>
      <c r="L22" s="608"/>
      <c r="M22" s="608"/>
      <c r="N22" s="608"/>
      <c r="O22" s="608"/>
      <c r="P22" s="608"/>
    </row>
    <row r="23" spans="1:16" ht="11.25" x14ac:dyDescent="0.2">
      <c r="A23" s="654" t="s">
        <v>47</v>
      </c>
      <c r="B23" s="608"/>
      <c r="C23" s="608"/>
      <c r="D23" s="608"/>
      <c r="E23" s="608"/>
      <c r="F23" s="608"/>
      <c r="G23" s="608"/>
      <c r="H23" s="608"/>
      <c r="I23" s="608"/>
      <c r="J23" s="608"/>
      <c r="K23" s="608"/>
      <c r="L23" s="608"/>
      <c r="M23" s="608"/>
      <c r="N23" s="608"/>
      <c r="O23" s="608"/>
      <c r="P23" s="608"/>
    </row>
    <row r="24" spans="1:16" ht="11.25" x14ac:dyDescent="0.2">
      <c r="A24" s="654" t="s">
        <v>48</v>
      </c>
      <c r="B24" s="608"/>
      <c r="C24" s="608"/>
      <c r="D24" s="608"/>
      <c r="E24" s="608"/>
      <c r="F24" s="608"/>
      <c r="G24" s="608"/>
      <c r="H24" s="608"/>
      <c r="I24" s="608"/>
      <c r="J24" s="608"/>
      <c r="K24" s="608"/>
      <c r="L24" s="608"/>
      <c r="M24" s="608"/>
      <c r="N24" s="608"/>
      <c r="O24" s="608"/>
      <c r="P24" s="608"/>
    </row>
    <row r="25" spans="1:16" ht="11.25" x14ac:dyDescent="0.2">
      <c r="A25" s="666" t="s">
        <v>49</v>
      </c>
      <c r="B25" s="608"/>
      <c r="C25" s="608"/>
      <c r="D25" s="608">
        <v>5504</v>
      </c>
      <c r="E25" s="608">
        <f>68+4402</f>
        <v>4470</v>
      </c>
      <c r="F25" s="608">
        <f t="shared" ref="F25:M27" si="13">+E25</f>
        <v>4470</v>
      </c>
      <c r="G25" s="608">
        <f t="shared" si="13"/>
        <v>4470</v>
      </c>
      <c r="H25" s="608">
        <f t="shared" si="13"/>
        <v>4470</v>
      </c>
      <c r="I25" s="608">
        <f t="shared" si="13"/>
        <v>4470</v>
      </c>
      <c r="J25" s="608">
        <f t="shared" si="13"/>
        <v>4470</v>
      </c>
      <c r="K25" s="608">
        <f t="shared" si="13"/>
        <v>4470</v>
      </c>
      <c r="L25" s="608">
        <f t="shared" si="13"/>
        <v>4470</v>
      </c>
      <c r="M25" s="608">
        <f t="shared" si="13"/>
        <v>4470</v>
      </c>
      <c r="N25" s="608">
        <f t="shared" ref="N25:N27" si="14">+M25</f>
        <v>4470</v>
      </c>
      <c r="O25" s="608">
        <f t="shared" ref="O25:P27" si="15">+N25</f>
        <v>4470</v>
      </c>
      <c r="P25" s="608">
        <f t="shared" si="15"/>
        <v>4470</v>
      </c>
    </row>
    <row r="26" spans="1:16" ht="11.25" x14ac:dyDescent="0.2">
      <c r="A26" s="666" t="s">
        <v>1051</v>
      </c>
      <c r="B26" s="608"/>
      <c r="C26" s="608"/>
      <c r="D26" s="608">
        <v>2925</v>
      </c>
      <c r="E26" s="608">
        <f>667</f>
        <v>667</v>
      </c>
      <c r="F26" s="608">
        <f>'GF &amp; FF  Inc Exp Statement'!G54</f>
        <v>621.83900000000006</v>
      </c>
      <c r="G26" s="608">
        <f>'GF &amp; FF  Inc Exp Statement'!H54</f>
        <v>555.48599999999999</v>
      </c>
      <c r="H26" s="608">
        <f>'GF &amp; FF  Inc Exp Statement'!I54</f>
        <v>422.65899999999999</v>
      </c>
      <c r="I26" s="608">
        <f>'GF &amp; FF  Inc Exp Statement'!J54</f>
        <v>446.92500000000001</v>
      </c>
      <c r="J26" s="608">
        <f>'GF &amp; FF  Inc Exp Statement'!K54</f>
        <v>474</v>
      </c>
      <c r="K26" s="608">
        <f>'GF &amp; FF  Inc Exp Statement'!L54</f>
        <v>501</v>
      </c>
      <c r="L26" s="608">
        <f>'GF &amp; FF  Inc Exp Statement'!M54</f>
        <v>232</v>
      </c>
      <c r="M26" s="608">
        <f>'GF &amp; FF  Inc Exp Statement'!N54</f>
        <v>145</v>
      </c>
      <c r="N26" s="608">
        <f>'GF &amp; FF  Inc Exp Statement'!O54</f>
        <v>152</v>
      </c>
      <c r="O26" s="608">
        <f>'GF &amp; FF  Inc Exp Statement'!P54</f>
        <v>160</v>
      </c>
      <c r="P26" s="608">
        <f>'GF &amp; FF  Inc Exp Statement'!Q54</f>
        <v>0</v>
      </c>
    </row>
    <row r="27" spans="1:16" ht="11.25" x14ac:dyDescent="0.2">
      <c r="A27" s="667" t="s">
        <v>50</v>
      </c>
      <c r="B27" s="615"/>
      <c r="C27" s="608"/>
      <c r="D27" s="608">
        <v>2773</v>
      </c>
      <c r="E27" s="608">
        <v>2577</v>
      </c>
      <c r="F27" s="608">
        <f t="shared" si="13"/>
        <v>2577</v>
      </c>
      <c r="G27" s="608">
        <f t="shared" si="13"/>
        <v>2577</v>
      </c>
      <c r="H27" s="608">
        <f t="shared" si="13"/>
        <v>2577</v>
      </c>
      <c r="I27" s="608">
        <f t="shared" si="13"/>
        <v>2577</v>
      </c>
      <c r="J27" s="608">
        <f t="shared" si="13"/>
        <v>2577</v>
      </c>
      <c r="K27" s="608">
        <f t="shared" si="13"/>
        <v>2577</v>
      </c>
      <c r="L27" s="608">
        <f t="shared" si="13"/>
        <v>2577</v>
      </c>
      <c r="M27" s="608">
        <f t="shared" si="13"/>
        <v>2577</v>
      </c>
      <c r="N27" s="608">
        <f t="shared" si="14"/>
        <v>2577</v>
      </c>
      <c r="O27" s="608">
        <f t="shared" si="15"/>
        <v>2577</v>
      </c>
      <c r="P27" s="608">
        <f t="shared" si="15"/>
        <v>2577</v>
      </c>
    </row>
    <row r="28" spans="1:16" s="657" customFormat="1" ht="11.25" x14ac:dyDescent="0.2">
      <c r="A28" s="654" t="s">
        <v>51</v>
      </c>
      <c r="B28" s="656">
        <f>SUM(B25:B27)</f>
        <v>0</v>
      </c>
      <c r="C28" s="656">
        <f t="shared" ref="C28:M28" si="16">SUM(C25:C27)</f>
        <v>0</v>
      </c>
      <c r="D28" s="656">
        <f t="shared" si="16"/>
        <v>11202</v>
      </c>
      <c r="E28" s="656">
        <f t="shared" si="16"/>
        <v>7714</v>
      </c>
      <c r="F28" s="656">
        <f t="shared" si="16"/>
        <v>7668.8389999999999</v>
      </c>
      <c r="G28" s="656">
        <f t="shared" si="16"/>
        <v>7602.4859999999999</v>
      </c>
      <c r="H28" s="656">
        <f t="shared" si="16"/>
        <v>7469.6589999999997</v>
      </c>
      <c r="I28" s="656">
        <f t="shared" si="16"/>
        <v>7493.9250000000002</v>
      </c>
      <c r="J28" s="656">
        <f t="shared" si="16"/>
        <v>7521</v>
      </c>
      <c r="K28" s="656">
        <f t="shared" si="16"/>
        <v>7548</v>
      </c>
      <c r="L28" s="656">
        <f t="shared" si="16"/>
        <v>7279</v>
      </c>
      <c r="M28" s="656">
        <f t="shared" si="16"/>
        <v>7192</v>
      </c>
      <c r="N28" s="656">
        <f t="shared" ref="N28:O28" si="17">SUM(N25:N27)</f>
        <v>7199</v>
      </c>
      <c r="O28" s="656">
        <f t="shared" si="17"/>
        <v>7207</v>
      </c>
      <c r="P28" s="656">
        <f t="shared" ref="P28" si="18">SUM(P25:P27)</f>
        <v>7047</v>
      </c>
    </row>
    <row r="29" spans="1:16" ht="11.25" x14ac:dyDescent="0.2">
      <c r="B29" s="608"/>
      <c r="C29" s="608"/>
      <c r="D29" s="608"/>
      <c r="E29" s="608"/>
      <c r="F29" s="608"/>
      <c r="G29" s="608"/>
      <c r="H29" s="608"/>
      <c r="I29" s="608"/>
      <c r="J29" s="608"/>
      <c r="K29" s="608"/>
      <c r="L29" s="608"/>
      <c r="M29" s="608"/>
      <c r="N29" s="608"/>
      <c r="O29" s="608"/>
      <c r="P29" s="608"/>
    </row>
    <row r="30" spans="1:16" ht="11.25" x14ac:dyDescent="0.2">
      <c r="A30" s="654" t="s">
        <v>52</v>
      </c>
      <c r="B30" s="608"/>
      <c r="C30" s="608"/>
      <c r="D30" s="608"/>
      <c r="E30" s="608"/>
      <c r="F30" s="608"/>
      <c r="G30" s="608"/>
      <c r="H30" s="608"/>
      <c r="I30" s="608"/>
      <c r="J30" s="608"/>
      <c r="K30" s="608"/>
      <c r="L30" s="608"/>
      <c r="M30" s="608"/>
      <c r="N30" s="608"/>
      <c r="O30" s="608"/>
      <c r="P30" s="608"/>
    </row>
    <row r="31" spans="1:16" ht="11.25" x14ac:dyDescent="0.2">
      <c r="A31" s="653" t="s">
        <v>49</v>
      </c>
      <c r="B31" s="608"/>
      <c r="C31" s="608"/>
      <c r="D31" s="608">
        <v>0</v>
      </c>
      <c r="E31" s="608">
        <v>0</v>
      </c>
      <c r="F31" s="608">
        <f t="shared" ref="F31:M33" si="19">+E31</f>
        <v>0</v>
      </c>
      <c r="G31" s="608">
        <f t="shared" si="19"/>
        <v>0</v>
      </c>
      <c r="H31" s="608">
        <f t="shared" si="19"/>
        <v>0</v>
      </c>
      <c r="I31" s="608">
        <f t="shared" si="19"/>
        <v>0</v>
      </c>
      <c r="J31" s="608">
        <f t="shared" si="19"/>
        <v>0</v>
      </c>
      <c r="K31" s="608">
        <f t="shared" si="19"/>
        <v>0</v>
      </c>
      <c r="L31" s="608">
        <f t="shared" si="19"/>
        <v>0</v>
      </c>
      <c r="M31" s="608">
        <f t="shared" si="19"/>
        <v>0</v>
      </c>
      <c r="N31" s="608">
        <f t="shared" ref="N31:N33" si="20">+M31</f>
        <v>0</v>
      </c>
      <c r="O31" s="608">
        <f t="shared" ref="O31:P33" si="21">+N31</f>
        <v>0</v>
      </c>
      <c r="P31" s="608">
        <f t="shared" si="21"/>
        <v>0</v>
      </c>
    </row>
    <row r="32" spans="1:16" ht="11.25" x14ac:dyDescent="0.2">
      <c r="A32" s="653" t="s">
        <v>1051</v>
      </c>
      <c r="B32" s="608"/>
      <c r="C32" s="608"/>
      <c r="D32" s="608">
        <v>13675</v>
      </c>
      <c r="E32" s="608">
        <v>23392</v>
      </c>
      <c r="F32" s="608">
        <f>E26+E32+'GF &amp; FF   Cash Flow'!F38+'GF &amp; FF   Cash Flow'!F41-'GF &amp; FF  Bal Sheet'!F26</f>
        <v>32866.874000000003</v>
      </c>
      <c r="G32" s="608">
        <f>F26+F32+'GF &amp; FF   Cash Flow'!G38+'GF &amp; FF   Cash Flow'!G41-'GF &amp; FF  Bal Sheet'!G26</f>
        <v>32311.388000000003</v>
      </c>
      <c r="H32" s="608">
        <f>G26+G32+'GF &amp; FF   Cash Flow'!H38+'GF &amp; FF   Cash Flow'!H41-'GF &amp; FF  Bal Sheet'!H26</f>
        <v>31888.729000000003</v>
      </c>
      <c r="I32" s="608">
        <f>H26+H32+'GF &amp; FF   Cash Flow'!I38+'GF &amp; FF   Cash Flow'!I41-'GF &amp; FF  Bal Sheet'!I26</f>
        <v>31441.804000000004</v>
      </c>
      <c r="J32" s="608">
        <f>I26+I32+'GF &amp; FF   Cash Flow'!J38+'GF &amp; FF   Cash Flow'!J41-'GF &amp; FF  Bal Sheet'!J26</f>
        <v>30967.804000000004</v>
      </c>
      <c r="K32" s="608">
        <f>J26+J32+'GF &amp; FF   Cash Flow'!K38+'GF &amp; FF   Cash Flow'!K41-'GF &amp; FF  Bal Sheet'!K26</f>
        <v>30466.804000000004</v>
      </c>
      <c r="L32" s="608">
        <f>K26+K32+'GF &amp; FF   Cash Flow'!L38+'GF &amp; FF   Cash Flow'!L41-'GF &amp; FF  Bal Sheet'!L26</f>
        <v>30234.804000000004</v>
      </c>
      <c r="M32" s="608">
        <f>L26+L32+'GF &amp; FF   Cash Flow'!M38+'GF &amp; FF   Cash Flow'!M41-'GF &amp; FF  Bal Sheet'!M26</f>
        <v>30089.804000000004</v>
      </c>
      <c r="N32" s="608">
        <f>M26+M32+'GF &amp; FF   Cash Flow'!N38+'GF &amp; FF   Cash Flow'!N41-'GF &amp; FF  Bal Sheet'!N26</f>
        <v>29937.804000000004</v>
      </c>
      <c r="O32" s="608">
        <f>N26+N32+'GF &amp; FF   Cash Flow'!O38+'GF &amp; FF   Cash Flow'!O41-'GF &amp; FF  Bal Sheet'!O26</f>
        <v>29777.804000000004</v>
      </c>
      <c r="P32" s="608">
        <f>O26+O32+'GF &amp; FF   Cash Flow'!P38+'GF &amp; FF   Cash Flow'!P41-'GF &amp; FF  Bal Sheet'!P26</f>
        <v>29777.804000000004</v>
      </c>
    </row>
    <row r="33" spans="1:16" ht="11.25" x14ac:dyDescent="0.2">
      <c r="A33" s="655" t="s">
        <v>50</v>
      </c>
      <c r="B33" s="615"/>
      <c r="C33" s="608"/>
      <c r="D33" s="608">
        <v>5056</v>
      </c>
      <c r="E33" s="608">
        <v>5284</v>
      </c>
      <c r="F33" s="608">
        <f t="shared" si="19"/>
        <v>5284</v>
      </c>
      <c r="G33" s="608">
        <f t="shared" si="19"/>
        <v>5284</v>
      </c>
      <c r="H33" s="608">
        <f t="shared" si="19"/>
        <v>5284</v>
      </c>
      <c r="I33" s="608">
        <f t="shared" si="19"/>
        <v>5284</v>
      </c>
      <c r="J33" s="608">
        <f t="shared" si="19"/>
        <v>5284</v>
      </c>
      <c r="K33" s="608">
        <f t="shared" si="19"/>
        <v>5284</v>
      </c>
      <c r="L33" s="608">
        <f t="shared" si="19"/>
        <v>5284</v>
      </c>
      <c r="M33" s="608">
        <f t="shared" si="19"/>
        <v>5284</v>
      </c>
      <c r="N33" s="608">
        <f t="shared" si="20"/>
        <v>5284</v>
      </c>
      <c r="O33" s="608">
        <f t="shared" si="21"/>
        <v>5284</v>
      </c>
      <c r="P33" s="608">
        <f t="shared" si="21"/>
        <v>5284</v>
      </c>
    </row>
    <row r="34" spans="1:16" s="657" customFormat="1" ht="11.25" x14ac:dyDescent="0.2">
      <c r="A34" s="654" t="s">
        <v>53</v>
      </c>
      <c r="B34" s="656">
        <f>SUM(B31:B33)</f>
        <v>0</v>
      </c>
      <c r="C34" s="656">
        <f t="shared" ref="C34:M34" si="22">SUM(C31:C33)</f>
        <v>0</v>
      </c>
      <c r="D34" s="656">
        <f t="shared" si="22"/>
        <v>18731</v>
      </c>
      <c r="E34" s="656">
        <f t="shared" si="22"/>
        <v>28676</v>
      </c>
      <c r="F34" s="656">
        <f t="shared" si="22"/>
        <v>38150.874000000003</v>
      </c>
      <c r="G34" s="656">
        <f t="shared" si="22"/>
        <v>37595.388000000006</v>
      </c>
      <c r="H34" s="656">
        <f t="shared" si="22"/>
        <v>37172.729000000007</v>
      </c>
      <c r="I34" s="656">
        <f t="shared" si="22"/>
        <v>36725.804000000004</v>
      </c>
      <c r="J34" s="656">
        <f t="shared" si="22"/>
        <v>36251.804000000004</v>
      </c>
      <c r="K34" s="656">
        <f t="shared" si="22"/>
        <v>35750.804000000004</v>
      </c>
      <c r="L34" s="656">
        <f t="shared" si="22"/>
        <v>35518.804000000004</v>
      </c>
      <c r="M34" s="656">
        <f t="shared" si="22"/>
        <v>35373.804000000004</v>
      </c>
      <c r="N34" s="656">
        <f t="shared" ref="N34:O34" si="23">SUM(N31:N33)</f>
        <v>35221.804000000004</v>
      </c>
      <c r="O34" s="656">
        <f t="shared" si="23"/>
        <v>35061.804000000004</v>
      </c>
      <c r="P34" s="656">
        <f t="shared" ref="P34" si="24">SUM(P31:P33)</f>
        <v>35061.804000000004</v>
      </c>
    </row>
    <row r="35" spans="1:16" ht="9" customHeight="1" x14ac:dyDescent="0.2">
      <c r="B35" s="608"/>
      <c r="C35" s="608"/>
      <c r="D35" s="608"/>
      <c r="E35" s="608"/>
      <c r="F35" s="608"/>
      <c r="G35" s="608"/>
      <c r="H35" s="608"/>
      <c r="I35" s="608"/>
      <c r="J35" s="608"/>
      <c r="K35" s="608"/>
      <c r="L35" s="608"/>
      <c r="M35" s="608"/>
      <c r="N35" s="608"/>
      <c r="O35" s="608"/>
      <c r="P35" s="608"/>
    </row>
    <row r="36" spans="1:16" s="657" customFormat="1" ht="12" thickBot="1" x14ac:dyDescent="0.25">
      <c r="A36" s="654" t="s">
        <v>54</v>
      </c>
      <c r="B36" s="665">
        <f>+B28+B34</f>
        <v>0</v>
      </c>
      <c r="C36" s="665">
        <f t="shared" ref="C36:M36" si="25">+C28+C34</f>
        <v>0</v>
      </c>
      <c r="D36" s="665">
        <f t="shared" si="25"/>
        <v>29933</v>
      </c>
      <c r="E36" s="665">
        <f t="shared" si="25"/>
        <v>36390</v>
      </c>
      <c r="F36" s="665">
        <f t="shared" si="25"/>
        <v>45819.713000000003</v>
      </c>
      <c r="G36" s="665">
        <f t="shared" si="25"/>
        <v>45197.874000000003</v>
      </c>
      <c r="H36" s="665">
        <f t="shared" si="25"/>
        <v>44642.388000000006</v>
      </c>
      <c r="I36" s="665">
        <f t="shared" si="25"/>
        <v>44219.729000000007</v>
      </c>
      <c r="J36" s="665">
        <f t="shared" si="25"/>
        <v>43772.804000000004</v>
      </c>
      <c r="K36" s="665">
        <f t="shared" si="25"/>
        <v>43298.804000000004</v>
      </c>
      <c r="L36" s="665">
        <f t="shared" si="25"/>
        <v>42797.804000000004</v>
      </c>
      <c r="M36" s="665">
        <f t="shared" si="25"/>
        <v>42565.804000000004</v>
      </c>
      <c r="N36" s="665">
        <f t="shared" ref="N36:O36" si="26">+N28+N34</f>
        <v>42420.804000000004</v>
      </c>
      <c r="O36" s="665">
        <f t="shared" si="26"/>
        <v>42268.804000000004</v>
      </c>
      <c r="P36" s="665">
        <f t="shared" ref="P36" si="27">+P28+P34</f>
        <v>42108.804000000004</v>
      </c>
    </row>
    <row r="37" spans="1:16" s="657" customFormat="1" ht="12" thickBot="1" x14ac:dyDescent="0.25">
      <c r="A37" s="654" t="s">
        <v>55</v>
      </c>
      <c r="B37" s="668">
        <f>+B21-B36</f>
        <v>0</v>
      </c>
      <c r="C37" s="668">
        <f t="shared" ref="C37:M37" si="28">+C21-C36</f>
        <v>0</v>
      </c>
      <c r="D37" s="668">
        <f t="shared" si="28"/>
        <v>592092</v>
      </c>
      <c r="E37" s="668">
        <f t="shared" si="28"/>
        <v>474516</v>
      </c>
      <c r="F37" s="668">
        <f t="shared" si="28"/>
        <v>477444.00700000004</v>
      </c>
      <c r="G37" s="668">
        <f t="shared" si="28"/>
        <v>481863.90695999999</v>
      </c>
      <c r="H37" s="668">
        <f t="shared" si="28"/>
        <v>486266.18944499991</v>
      </c>
      <c r="I37" s="668">
        <f t="shared" si="28"/>
        <v>490927.5707352999</v>
      </c>
      <c r="J37" s="668">
        <f t="shared" si="28"/>
        <v>495474.85545293393</v>
      </c>
      <c r="K37" s="668">
        <f t="shared" si="28"/>
        <v>499807.41766663117</v>
      </c>
      <c r="L37" s="668">
        <f t="shared" si="28"/>
        <v>504227.60402244562</v>
      </c>
      <c r="M37" s="668">
        <f t="shared" si="28"/>
        <v>508727.38273383887</v>
      </c>
      <c r="N37" s="668">
        <f t="shared" ref="N37:O37" si="29">+N21-N36</f>
        <v>513317.50225368119</v>
      </c>
      <c r="O37" s="668">
        <f t="shared" si="29"/>
        <v>517992.70277317532</v>
      </c>
      <c r="P37" s="668">
        <f t="shared" ref="P37" si="30">+P21-P36</f>
        <v>522752.87716075801</v>
      </c>
    </row>
    <row r="38" spans="1:16" ht="12" thickTop="1" x14ac:dyDescent="0.2">
      <c r="B38" s="608"/>
      <c r="C38" s="608"/>
      <c r="D38" s="608"/>
      <c r="E38" s="608"/>
      <c r="F38" s="608"/>
      <c r="G38" s="608"/>
      <c r="H38" s="608"/>
      <c r="I38" s="608"/>
      <c r="J38" s="608"/>
      <c r="K38" s="608"/>
      <c r="L38" s="608"/>
      <c r="M38" s="608"/>
      <c r="N38" s="608"/>
      <c r="O38" s="608"/>
      <c r="P38" s="608"/>
    </row>
    <row r="39" spans="1:16" ht="11.25" x14ac:dyDescent="0.2">
      <c r="A39" s="654" t="s">
        <v>56</v>
      </c>
      <c r="B39" s="608"/>
      <c r="C39" s="608"/>
      <c r="D39" s="608"/>
      <c r="E39" s="608"/>
      <c r="F39" s="608"/>
      <c r="G39" s="608"/>
      <c r="H39" s="608"/>
      <c r="I39" s="608"/>
      <c r="J39" s="608"/>
      <c r="K39" s="608"/>
      <c r="L39" s="608"/>
      <c r="M39" s="608"/>
      <c r="N39" s="608"/>
      <c r="O39" s="608"/>
      <c r="P39" s="608"/>
    </row>
    <row r="40" spans="1:16" ht="11.25" x14ac:dyDescent="0.2">
      <c r="A40" s="653" t="s">
        <v>57</v>
      </c>
      <c r="B40" s="608"/>
      <c r="C40" s="608"/>
      <c r="D40" s="608">
        <v>291432</v>
      </c>
      <c r="E40" s="608">
        <f>456+223454</f>
        <v>223910</v>
      </c>
      <c r="F40" s="608">
        <f>+'GF &amp; FF  Equity Statement'!F13</f>
        <v>226838.00700000001</v>
      </c>
      <c r="G40" s="608">
        <f>+'GF &amp; FF  Equity Statement'!G13</f>
        <v>231257.90695999999</v>
      </c>
      <c r="H40" s="608">
        <f>+'GF &amp; FF  Equity Statement'!H13</f>
        <v>235660.189445</v>
      </c>
      <c r="I40" s="608">
        <f>+'GF &amp; FF  Equity Statement'!I13</f>
        <v>240321.57073529999</v>
      </c>
      <c r="J40" s="608">
        <f>+'GF &amp; FF  Equity Statement'!J13</f>
        <v>244868.85545293399</v>
      </c>
      <c r="K40" s="608">
        <f>+'GF &amp; FF  Equity Statement'!K13</f>
        <v>249201.4176666312</v>
      </c>
      <c r="L40" s="608">
        <f>+'GF &amp; FF  Equity Statement'!L13</f>
        <v>253621.60402244568</v>
      </c>
      <c r="M40" s="608">
        <f>+'GF &amp; FF  Equity Statement'!M13</f>
        <v>258121.38273383892</v>
      </c>
      <c r="N40" s="608">
        <f>+'GF &amp; FF  Equity Statement'!N13</f>
        <v>262711.50225368119</v>
      </c>
      <c r="O40" s="608">
        <f>+'GF &amp; FF  Equity Statement'!O13</f>
        <v>267386.70277317549</v>
      </c>
      <c r="P40" s="608">
        <f>+'GF &amp; FF  Equity Statement'!P13</f>
        <v>272146.87716075819</v>
      </c>
    </row>
    <row r="41" spans="1:16" ht="12" thickBot="1" x14ac:dyDescent="0.25">
      <c r="A41" s="653" t="s">
        <v>58</v>
      </c>
      <c r="B41" s="669"/>
      <c r="C41" s="669"/>
      <c r="D41" s="669">
        <v>300660</v>
      </c>
      <c r="E41" s="669">
        <v>250606</v>
      </c>
      <c r="F41" s="669">
        <f>+'GF &amp; FF  Equity Statement'!F22</f>
        <v>250606</v>
      </c>
      <c r="G41" s="669">
        <f>+'GF &amp; FF  Equity Statement'!G22</f>
        <v>250606</v>
      </c>
      <c r="H41" s="669">
        <f>+'GF &amp; FF  Equity Statement'!H22</f>
        <v>250606</v>
      </c>
      <c r="I41" s="669">
        <f>+'GF &amp; FF  Equity Statement'!I22</f>
        <v>250606</v>
      </c>
      <c r="J41" s="669">
        <f>+'GF &amp; FF  Equity Statement'!J22</f>
        <v>250606</v>
      </c>
      <c r="K41" s="669">
        <f>+'GF &amp; FF  Equity Statement'!K22</f>
        <v>250606</v>
      </c>
      <c r="L41" s="669">
        <f>+'GF &amp; FF  Equity Statement'!L22</f>
        <v>250606</v>
      </c>
      <c r="M41" s="669">
        <f>+'GF &amp; FF  Equity Statement'!M22</f>
        <v>250606</v>
      </c>
      <c r="N41" s="669">
        <f>+'GF &amp; FF  Equity Statement'!N22</f>
        <v>250606</v>
      </c>
      <c r="O41" s="669">
        <f>+'GF &amp; FF  Equity Statement'!O22</f>
        <v>250606</v>
      </c>
      <c r="P41" s="669">
        <f>+'GF &amp; FF  Equity Statement'!P22</f>
        <v>250606</v>
      </c>
    </row>
    <row r="42" spans="1:16" s="657" customFormat="1" ht="12" thickBot="1" x14ac:dyDescent="0.25">
      <c r="A42" s="654" t="s">
        <v>59</v>
      </c>
      <c r="B42" s="668">
        <f>SUM(B40:B41)</f>
        <v>0</v>
      </c>
      <c r="C42" s="668">
        <f t="shared" ref="C42:M42" si="31">SUM(C40:C41)</f>
        <v>0</v>
      </c>
      <c r="D42" s="668">
        <f t="shared" si="31"/>
        <v>592092</v>
      </c>
      <c r="E42" s="668">
        <f t="shared" si="31"/>
        <v>474516</v>
      </c>
      <c r="F42" s="668">
        <f t="shared" si="31"/>
        <v>477444.00699999998</v>
      </c>
      <c r="G42" s="668">
        <f t="shared" si="31"/>
        <v>481863.90695999999</v>
      </c>
      <c r="H42" s="668">
        <f t="shared" si="31"/>
        <v>486266.18944500003</v>
      </c>
      <c r="I42" s="668">
        <f t="shared" si="31"/>
        <v>490927.57073529996</v>
      </c>
      <c r="J42" s="668">
        <f t="shared" si="31"/>
        <v>495474.85545293399</v>
      </c>
      <c r="K42" s="668">
        <f t="shared" si="31"/>
        <v>499807.41766663117</v>
      </c>
      <c r="L42" s="668">
        <f t="shared" si="31"/>
        <v>504227.60402244568</v>
      </c>
      <c r="M42" s="668">
        <f t="shared" si="31"/>
        <v>508727.38273383892</v>
      </c>
      <c r="N42" s="668">
        <f t="shared" ref="N42:O42" si="32">SUM(N40:N41)</f>
        <v>513317.50225368119</v>
      </c>
      <c r="O42" s="668">
        <f t="shared" si="32"/>
        <v>517992.70277317549</v>
      </c>
      <c r="P42" s="668">
        <f t="shared" ref="P42" si="33">SUM(P40:P41)</f>
        <v>522752.87716075819</v>
      </c>
    </row>
    <row r="43" spans="1:16" ht="12" thickTop="1" x14ac:dyDescent="0.2">
      <c r="B43" s="608"/>
      <c r="C43" s="608"/>
      <c r="D43" s="608"/>
      <c r="E43" s="608"/>
      <c r="F43" s="608"/>
      <c r="G43" s="608"/>
      <c r="H43" s="608"/>
      <c r="I43" s="608"/>
      <c r="J43" s="608"/>
      <c r="K43" s="608"/>
      <c r="L43" s="608"/>
      <c r="M43" s="608"/>
      <c r="N43" s="608"/>
      <c r="O43" s="608"/>
      <c r="P43" s="608"/>
    </row>
    <row r="44" spans="1:16" ht="11.25" hidden="1" outlineLevel="1" x14ac:dyDescent="0.2">
      <c r="A44" s="653" t="s">
        <v>111</v>
      </c>
      <c r="B44" s="621">
        <f>+B37-B42</f>
        <v>0</v>
      </c>
      <c r="C44" s="621">
        <f t="shared" ref="C44:M44" si="34">+C37-C42</f>
        <v>0</v>
      </c>
      <c r="D44" s="621">
        <f t="shared" si="34"/>
        <v>0</v>
      </c>
      <c r="E44" s="621">
        <f t="shared" si="34"/>
        <v>0</v>
      </c>
      <c r="F44" s="621">
        <f t="shared" si="34"/>
        <v>0</v>
      </c>
      <c r="G44" s="621">
        <f t="shared" si="34"/>
        <v>0</v>
      </c>
      <c r="H44" s="621">
        <f t="shared" si="34"/>
        <v>0</v>
      </c>
      <c r="I44" s="621">
        <f t="shared" si="34"/>
        <v>0</v>
      </c>
      <c r="J44" s="621">
        <f t="shared" si="34"/>
        <v>0</v>
      </c>
      <c r="K44" s="621">
        <f t="shared" si="34"/>
        <v>0</v>
      </c>
      <c r="L44" s="621">
        <f t="shared" si="34"/>
        <v>0</v>
      </c>
      <c r="M44" s="621">
        <f t="shared" si="34"/>
        <v>0</v>
      </c>
      <c r="N44" s="621">
        <f t="shared" ref="N44:O44" si="35">+N37-N42</f>
        <v>0</v>
      </c>
      <c r="O44" s="621">
        <f t="shared" si="35"/>
        <v>0</v>
      </c>
      <c r="P44" s="621">
        <f t="shared" ref="P44" si="36">+P37-P42</f>
        <v>0</v>
      </c>
    </row>
    <row r="45" spans="1:16" ht="11.25" hidden="1" outlineLevel="1" x14ac:dyDescent="0.2">
      <c r="A45" s="653" t="s">
        <v>112</v>
      </c>
      <c r="B45" s="621">
        <f>+B42-'GF &amp; FF  Equity Statement'!B33</f>
        <v>0</v>
      </c>
      <c r="C45" s="621">
        <f>+C42-'GF &amp; FF  Equity Statement'!C33</f>
        <v>0</v>
      </c>
      <c r="D45" s="621">
        <f>+D42-'GF &amp; FF  Equity Statement'!D33</f>
        <v>19960</v>
      </c>
      <c r="E45" s="621">
        <f>+E42-'GF &amp; FF  Equity Statement'!E33</f>
        <v>0</v>
      </c>
      <c r="F45" s="621">
        <f>+F42-'GF &amp; FF  Equity Statement'!F33</f>
        <v>0</v>
      </c>
      <c r="G45" s="621">
        <f>+G42-'GF &amp; FF  Equity Statement'!G33</f>
        <v>0</v>
      </c>
      <c r="H45" s="621">
        <f>+H42-'GF &amp; FF  Equity Statement'!H33</f>
        <v>0</v>
      </c>
      <c r="I45" s="621">
        <f>+I42-'GF &amp; FF  Equity Statement'!I33</f>
        <v>0</v>
      </c>
      <c r="J45" s="621">
        <f>+J42-'GF &amp; FF  Equity Statement'!J33</f>
        <v>0</v>
      </c>
      <c r="K45" s="621">
        <f>+K42-'GF &amp; FF  Equity Statement'!K33</f>
        <v>0</v>
      </c>
      <c r="L45" s="621">
        <f>+L42-'GF &amp; FF  Equity Statement'!L33</f>
        <v>0</v>
      </c>
      <c r="M45" s="621">
        <f>+M42-'GF &amp; FF  Equity Statement'!M33</f>
        <v>0</v>
      </c>
      <c r="N45" s="621">
        <f>+N42-'GF &amp; FF  Equity Statement'!N33</f>
        <v>0</v>
      </c>
      <c r="O45" s="621">
        <f>+O42-'GF &amp; FF  Equity Statement'!O33</f>
        <v>0</v>
      </c>
      <c r="P45" s="621">
        <f>+P42-'GF &amp; FF  Equity Statement'!P33</f>
        <v>0</v>
      </c>
    </row>
    <row r="46" spans="1:16" ht="11.25" collapsed="1" x14ac:dyDescent="0.2">
      <c r="D46" s="670"/>
      <c r="E46" s="670"/>
      <c r="F46" s="670"/>
      <c r="G46" s="670"/>
      <c r="H46" s="670"/>
      <c r="I46" s="670"/>
      <c r="J46" s="670"/>
      <c r="K46" s="670"/>
      <c r="L46" s="670"/>
      <c r="M46" s="670"/>
      <c r="N46" s="670"/>
      <c r="O46" s="670"/>
      <c r="P46" s="670"/>
    </row>
    <row r="47" spans="1:16" ht="12.75" x14ac:dyDescent="0.2">
      <c r="A47" s="1091" t="s">
        <v>1365</v>
      </c>
    </row>
    <row r="48" spans="1:16" s="660" customFormat="1" ht="12" x14ac:dyDescent="0.2">
      <c r="A48" s="671" t="s">
        <v>1070</v>
      </c>
      <c r="B48" s="586" t="s">
        <v>69</v>
      </c>
      <c r="C48" s="586" t="s">
        <v>69</v>
      </c>
      <c r="D48" s="586" t="s">
        <v>69</v>
      </c>
      <c r="E48" s="586" t="s">
        <v>69</v>
      </c>
      <c r="F48" s="586" t="s">
        <v>70</v>
      </c>
      <c r="G48" s="586" t="s">
        <v>70</v>
      </c>
      <c r="H48" s="586" t="s">
        <v>71</v>
      </c>
      <c r="I48" s="586" t="s">
        <v>71</v>
      </c>
      <c r="J48" s="586" t="s">
        <v>71</v>
      </c>
      <c r="K48" s="586" t="s">
        <v>71</v>
      </c>
      <c r="L48" s="586" t="s">
        <v>71</v>
      </c>
      <c r="M48" s="586" t="s">
        <v>71</v>
      </c>
      <c r="N48" s="586" t="s">
        <v>71</v>
      </c>
      <c r="O48" s="586" t="s">
        <v>71</v>
      </c>
      <c r="P48" s="586" t="s">
        <v>71</v>
      </c>
    </row>
    <row r="49" spans="1:18" ht="11.25" x14ac:dyDescent="0.2">
      <c r="A49" s="652" t="s">
        <v>72</v>
      </c>
      <c r="B49" s="741" t="s">
        <v>68</v>
      </c>
      <c r="C49" s="694" t="s">
        <v>0</v>
      </c>
      <c r="D49" s="694" t="s">
        <v>1</v>
      </c>
      <c r="E49" s="694" t="s">
        <v>2</v>
      </c>
      <c r="F49" s="694" t="s">
        <v>3</v>
      </c>
      <c r="G49" s="694" t="s">
        <v>4</v>
      </c>
      <c r="H49" s="694" t="s">
        <v>5</v>
      </c>
      <c r="I49" s="694" t="s">
        <v>6</v>
      </c>
      <c r="J49" s="694" t="s">
        <v>7</v>
      </c>
      <c r="K49" s="694" t="s">
        <v>8</v>
      </c>
      <c r="L49" s="694" t="s">
        <v>9</v>
      </c>
      <c r="M49" s="694" t="s">
        <v>514</v>
      </c>
      <c r="N49" s="694" t="s">
        <v>515</v>
      </c>
      <c r="O49" s="694" t="s">
        <v>904</v>
      </c>
      <c r="P49" s="694" t="s">
        <v>1046</v>
      </c>
    </row>
    <row r="50" spans="1:18" s="664" customFormat="1" ht="11.25" x14ac:dyDescent="0.2">
      <c r="A50" s="661"/>
      <c r="B50" s="662"/>
      <c r="C50" s="662"/>
      <c r="D50" s="663"/>
      <c r="E50" s="663"/>
      <c r="F50" s="663"/>
      <c r="G50" s="663"/>
      <c r="H50" s="663"/>
      <c r="I50" s="663"/>
      <c r="J50" s="663"/>
      <c r="K50" s="663"/>
      <c r="L50" s="663"/>
      <c r="M50" s="663"/>
      <c r="N50" s="663"/>
      <c r="O50" s="663"/>
      <c r="P50" s="663"/>
    </row>
    <row r="51" spans="1:18" ht="11.25" x14ac:dyDescent="0.2">
      <c r="A51" s="654" t="s">
        <v>35</v>
      </c>
      <c r="B51" s="608"/>
      <c r="C51" s="608"/>
      <c r="D51" s="608"/>
      <c r="E51" s="608"/>
      <c r="F51" s="608"/>
      <c r="G51" s="608"/>
      <c r="H51" s="608"/>
      <c r="I51" s="608"/>
      <c r="J51" s="608"/>
      <c r="K51" s="608"/>
      <c r="L51" s="608"/>
      <c r="M51" s="608"/>
      <c r="N51" s="608"/>
      <c r="O51" s="608"/>
      <c r="P51" s="608"/>
    </row>
    <row r="52" spans="1:18" ht="11.25" x14ac:dyDescent="0.2">
      <c r="A52" s="654" t="s">
        <v>36</v>
      </c>
      <c r="B52" s="608"/>
      <c r="C52" s="608"/>
      <c r="D52" s="608"/>
      <c r="E52" s="608"/>
      <c r="F52" s="608"/>
      <c r="G52" s="608"/>
      <c r="H52" s="608"/>
      <c r="I52" s="608"/>
      <c r="J52" s="608"/>
      <c r="K52" s="608"/>
      <c r="L52" s="608"/>
      <c r="M52" s="608"/>
      <c r="N52" s="608"/>
      <c r="O52" s="608"/>
      <c r="P52" s="608"/>
    </row>
    <row r="53" spans="1:18" ht="11.25" x14ac:dyDescent="0.2">
      <c r="A53" s="653" t="s">
        <v>37</v>
      </c>
      <c r="B53" s="608"/>
      <c r="C53" s="608"/>
      <c r="D53" s="608">
        <f>D7</f>
        <v>9296</v>
      </c>
      <c r="E53" s="608">
        <f t="shared" ref="E53" si="37">E7</f>
        <v>2319</v>
      </c>
      <c r="F53" s="621">
        <f>+'GF &amp; FF   Cash Flow'!F101</f>
        <v>2349.0000000000036</v>
      </c>
      <c r="G53" s="621">
        <f>+'GF &amp; FF   Cash Flow'!G101</f>
        <v>2119.4660000000003</v>
      </c>
      <c r="H53" s="621">
        <f>+'GF &amp; FF   Cash Flow'!H101</f>
        <v>2099.0811999999896</v>
      </c>
      <c r="I53" s="621">
        <f>+'GF &amp; FF   Cash Flow'!I101</f>
        <v>1754.4484299999931</v>
      </c>
      <c r="J53" s="621">
        <f>+'GF &amp; FF   Cash Flow'!J101</f>
        <v>257.9026757499928</v>
      </c>
      <c r="K53" s="621">
        <f>+'GF &amp; FF   Cash Flow'!K101</f>
        <v>1616.3260431129825</v>
      </c>
      <c r="L53" s="621">
        <f>+'GF &amp; FF   Cash Flow'!L101</f>
        <v>2186.3236586322787</v>
      </c>
      <c r="M53" s="621">
        <f>+'GF &amp; FF   Cash Flow'!M101</f>
        <v>1919.007045991752</v>
      </c>
      <c r="N53" s="621">
        <f>+'GF &amp; FF   Cash Flow'!N101</f>
        <v>2192.6260849556206</v>
      </c>
      <c r="O53" s="621">
        <f>+'GF &amp; FF   Cash Flow'!O101</f>
        <v>2548.6556543800439</v>
      </c>
      <c r="P53" s="621">
        <f>+'GF &amp; FF   Cash Flow'!P101</f>
        <v>2994.3257380410273</v>
      </c>
    </row>
    <row r="54" spans="1:18" ht="11.25" x14ac:dyDescent="0.2">
      <c r="A54" s="653" t="s">
        <v>38</v>
      </c>
      <c r="B54" s="608"/>
      <c r="C54" s="608"/>
      <c r="D54" s="608">
        <f>D8</f>
        <v>7148</v>
      </c>
      <c r="E54" s="608">
        <f t="shared" ref="E54" si="38">E8</f>
        <v>1712</v>
      </c>
      <c r="F54" s="608">
        <f>+'GF &amp; FF   Cash Flow'!F103-F61</f>
        <v>1299.9440000000031</v>
      </c>
      <c r="G54" s="608">
        <f>+'GF &amp; FF   Cash Flow'!G103-G61</f>
        <v>2894.229000000003</v>
      </c>
      <c r="H54" s="608">
        <f>+'GF &amp; FF   Cash Flow'!H103-H61</f>
        <v>-1387.5979899999984</v>
      </c>
      <c r="I54" s="608">
        <f>+'GF &amp; FF   Cash Flow'!I103-I61</f>
        <v>907.22340030000123</v>
      </c>
      <c r="J54" s="608">
        <f>+'GF &amp; FF   Cash Flow'!J103-J61</f>
        <v>3281.5688423090014</v>
      </c>
      <c r="K54" s="608">
        <f>+'GF &amp; FF   Cash Flow'!K103-K61</f>
        <v>3503.4011931581808</v>
      </c>
      <c r="L54" s="608">
        <f>+'GF &amp; FF   Cash Flow'!L103-L61</f>
        <v>3729.6701910243428</v>
      </c>
      <c r="M54" s="608">
        <f>+'GF &amp; FF   Cash Flow'!M103-M61</f>
        <v>3960.4645688478304</v>
      </c>
      <c r="N54" s="608">
        <f>+'GF &amp; FF   Cash Flow'!N103-N61</f>
        <v>4195.8748342277868</v>
      </c>
      <c r="O54" s="608">
        <f>+'GF &amp; FF   Cash Flow'!O103-O61</f>
        <v>4435.9933049153406</v>
      </c>
      <c r="P54" s="608">
        <f>+'GF &amp; FF   Cash Flow'!P103-P61</f>
        <v>4680.9141450166462</v>
      </c>
    </row>
    <row r="55" spans="1:18" ht="11.25" x14ac:dyDescent="0.2">
      <c r="A55" s="653" t="s">
        <v>39</v>
      </c>
      <c r="B55" s="608"/>
      <c r="C55" s="608"/>
      <c r="D55" s="608">
        <f>D9</f>
        <v>5459</v>
      </c>
      <c r="E55" s="608">
        <f t="shared" ref="E55" si="39">E9</f>
        <v>6766</v>
      </c>
      <c r="F55" s="608">
        <f t="shared" ref="F55:M57" si="40">+E55</f>
        <v>6766</v>
      </c>
      <c r="G55" s="608">
        <f t="shared" si="40"/>
        <v>6766</v>
      </c>
      <c r="H55" s="608">
        <f t="shared" si="40"/>
        <v>6766</v>
      </c>
      <c r="I55" s="608">
        <f t="shared" si="40"/>
        <v>6766</v>
      </c>
      <c r="J55" s="608">
        <f t="shared" si="40"/>
        <v>6766</v>
      </c>
      <c r="K55" s="608">
        <f t="shared" si="40"/>
        <v>6766</v>
      </c>
      <c r="L55" s="608">
        <f t="shared" si="40"/>
        <v>6766</v>
      </c>
      <c r="M55" s="608">
        <f t="shared" si="40"/>
        <v>6766</v>
      </c>
      <c r="N55" s="608">
        <f t="shared" ref="N55:N57" si="41">+M55</f>
        <v>6766</v>
      </c>
      <c r="O55" s="608">
        <f t="shared" ref="O55:P57" si="42">+N55</f>
        <v>6766</v>
      </c>
      <c r="P55" s="608">
        <f t="shared" si="42"/>
        <v>6766</v>
      </c>
    </row>
    <row r="56" spans="1:18" ht="11.25" x14ac:dyDescent="0.2">
      <c r="A56" s="653" t="s">
        <v>40</v>
      </c>
      <c r="B56" s="608"/>
      <c r="C56" s="608"/>
      <c r="D56" s="608">
        <f>D10</f>
        <v>2131</v>
      </c>
      <c r="E56" s="608">
        <f t="shared" ref="E56" si="43">E10</f>
        <v>2116</v>
      </c>
      <c r="F56" s="608">
        <f t="shared" si="40"/>
        <v>2116</v>
      </c>
      <c r="G56" s="608">
        <f t="shared" si="40"/>
        <v>2116</v>
      </c>
      <c r="H56" s="608">
        <f t="shared" si="40"/>
        <v>2116</v>
      </c>
      <c r="I56" s="608">
        <f t="shared" si="40"/>
        <v>2116</v>
      </c>
      <c r="J56" s="608">
        <f t="shared" si="40"/>
        <v>2116</v>
      </c>
      <c r="K56" s="608">
        <f t="shared" si="40"/>
        <v>2116</v>
      </c>
      <c r="L56" s="608">
        <f t="shared" si="40"/>
        <v>2116</v>
      </c>
      <c r="M56" s="608">
        <f t="shared" si="40"/>
        <v>2116</v>
      </c>
      <c r="N56" s="608">
        <f t="shared" si="41"/>
        <v>2116</v>
      </c>
      <c r="O56" s="608">
        <f t="shared" si="42"/>
        <v>2116</v>
      </c>
      <c r="P56" s="608">
        <f t="shared" si="42"/>
        <v>2116</v>
      </c>
    </row>
    <row r="57" spans="1:18" ht="11.25" x14ac:dyDescent="0.2">
      <c r="A57" s="655" t="s">
        <v>41</v>
      </c>
      <c r="B57" s="615"/>
      <c r="C57" s="608"/>
      <c r="D57" s="608">
        <f>D11</f>
        <v>28</v>
      </c>
      <c r="E57" s="608">
        <f t="shared" ref="E57" si="44">E11</f>
        <v>102</v>
      </c>
      <c r="F57" s="608">
        <f t="shared" si="40"/>
        <v>102</v>
      </c>
      <c r="G57" s="608">
        <f t="shared" si="40"/>
        <v>102</v>
      </c>
      <c r="H57" s="608">
        <f t="shared" si="40"/>
        <v>102</v>
      </c>
      <c r="I57" s="608">
        <f t="shared" si="40"/>
        <v>102</v>
      </c>
      <c r="J57" s="608">
        <f t="shared" si="40"/>
        <v>102</v>
      </c>
      <c r="K57" s="608">
        <f t="shared" si="40"/>
        <v>102</v>
      </c>
      <c r="L57" s="608">
        <f t="shared" si="40"/>
        <v>102</v>
      </c>
      <c r="M57" s="608">
        <f t="shared" si="40"/>
        <v>102</v>
      </c>
      <c r="N57" s="608">
        <f t="shared" si="41"/>
        <v>102</v>
      </c>
      <c r="O57" s="608">
        <f t="shared" si="42"/>
        <v>102</v>
      </c>
      <c r="P57" s="608">
        <f t="shared" si="42"/>
        <v>102</v>
      </c>
    </row>
    <row r="58" spans="1:18" s="657" customFormat="1" ht="11.25" x14ac:dyDescent="0.2">
      <c r="A58" s="654" t="s">
        <v>42</v>
      </c>
      <c r="B58" s="656">
        <f>SUM(B53:B57)</f>
        <v>0</v>
      </c>
      <c r="C58" s="656">
        <f t="shared" ref="C58" si="45">SUM(C53:C57)</f>
        <v>0</v>
      </c>
      <c r="D58" s="656">
        <f t="shared" ref="D58:M58" si="46">SUM(D53:D57)</f>
        <v>24062</v>
      </c>
      <c r="E58" s="656">
        <f t="shared" si="46"/>
        <v>13015</v>
      </c>
      <c r="F58" s="656">
        <f t="shared" si="46"/>
        <v>12632.944000000007</v>
      </c>
      <c r="G58" s="656">
        <f t="shared" si="46"/>
        <v>13997.695000000003</v>
      </c>
      <c r="H58" s="656">
        <f t="shared" si="46"/>
        <v>9695.4832099999912</v>
      </c>
      <c r="I58" s="656">
        <f t="shared" si="46"/>
        <v>11645.671830299994</v>
      </c>
      <c r="J58" s="672">
        <f t="shared" si="46"/>
        <v>12523.471518058994</v>
      </c>
      <c r="K58" s="672">
        <f t="shared" si="46"/>
        <v>14103.727236271163</v>
      </c>
      <c r="L58" s="672">
        <f t="shared" si="46"/>
        <v>14899.993849656621</v>
      </c>
      <c r="M58" s="672">
        <f t="shared" si="46"/>
        <v>14863.471614839582</v>
      </c>
      <c r="N58" s="672">
        <f t="shared" ref="N58:O58" si="47">SUM(N53:N57)</f>
        <v>15372.500919183407</v>
      </c>
      <c r="O58" s="672">
        <f t="shared" si="47"/>
        <v>15968.648959295384</v>
      </c>
      <c r="P58" s="672">
        <f t="shared" ref="P58" si="48">SUM(P53:P57)</f>
        <v>16659.239883057671</v>
      </c>
    </row>
    <row r="59" spans="1:18" ht="11.25" x14ac:dyDescent="0.2">
      <c r="B59" s="608"/>
      <c r="C59" s="608"/>
      <c r="D59" s="608"/>
      <c r="E59" s="608"/>
      <c r="F59" s="608"/>
      <c r="G59" s="608"/>
      <c r="H59" s="608"/>
      <c r="I59" s="608"/>
      <c r="J59" s="608"/>
      <c r="K59" s="608"/>
      <c r="L59" s="608"/>
      <c r="M59" s="608"/>
      <c r="N59" s="608"/>
      <c r="O59" s="608"/>
      <c r="P59" s="608"/>
    </row>
    <row r="60" spans="1:18" ht="11.25" x14ac:dyDescent="0.2">
      <c r="A60" s="654" t="s">
        <v>43</v>
      </c>
      <c r="B60" s="608"/>
      <c r="C60" s="608"/>
      <c r="D60" s="608"/>
      <c r="E60" s="608"/>
      <c r="F60" s="608"/>
      <c r="G60" s="608"/>
      <c r="H60" s="608"/>
      <c r="I60" s="608"/>
      <c r="J60" s="608"/>
      <c r="K60" s="608"/>
      <c r="L60" s="608"/>
      <c r="M60" s="608"/>
      <c r="N60" s="608"/>
      <c r="O60" s="608"/>
      <c r="P60" s="608"/>
    </row>
    <row r="61" spans="1:18" ht="11.25" x14ac:dyDescent="0.2">
      <c r="A61" s="608" t="str">
        <f>A15</f>
        <v>Investments</v>
      </c>
      <c r="B61" s="608"/>
      <c r="C61" s="608"/>
      <c r="D61" s="608">
        <f>D15</f>
        <v>38964</v>
      </c>
      <c r="E61" s="608">
        <f t="shared" ref="E61:G62" si="49">E15</f>
        <v>15371</v>
      </c>
      <c r="F61" s="608">
        <f t="shared" si="49"/>
        <v>15371</v>
      </c>
      <c r="G61" s="608">
        <f t="shared" si="49"/>
        <v>15371</v>
      </c>
      <c r="H61" s="608">
        <f>G61-3000</f>
        <v>12371</v>
      </c>
      <c r="I61" s="608">
        <f t="shared" ref="I61:P61" si="50">H61</f>
        <v>12371</v>
      </c>
      <c r="J61" s="608">
        <f t="shared" si="50"/>
        <v>12371</v>
      </c>
      <c r="K61" s="608">
        <f t="shared" si="50"/>
        <v>12371</v>
      </c>
      <c r="L61" s="608">
        <f t="shared" si="50"/>
        <v>12371</v>
      </c>
      <c r="M61" s="608">
        <f t="shared" si="50"/>
        <v>12371</v>
      </c>
      <c r="N61" s="608">
        <f t="shared" si="50"/>
        <v>12371</v>
      </c>
      <c r="O61" s="608">
        <f t="shared" si="50"/>
        <v>12371</v>
      </c>
      <c r="P61" s="608">
        <f t="shared" si="50"/>
        <v>12371</v>
      </c>
      <c r="R61" s="653" t="s">
        <v>1036</v>
      </c>
    </row>
    <row r="62" spans="1:18" ht="11.25" x14ac:dyDescent="0.2">
      <c r="A62" s="760" t="s">
        <v>44</v>
      </c>
      <c r="B62" s="608"/>
      <c r="C62" s="608"/>
      <c r="D62" s="608">
        <f>D16</f>
        <v>550049</v>
      </c>
      <c r="E62" s="608">
        <f t="shared" si="49"/>
        <v>461754</v>
      </c>
      <c r="F62" s="608">
        <f>+E62-'GF &amp; FF  Inc Exp Statement'!F102+SUM('GF &amp; FF  Inc Exp Statement'!F126:F128)-'GF &amp; FF  Inc Exp Statement'!F127-'GF &amp; FF  Inc Exp Statement'!F140</f>
        <v>474493.77600000001</v>
      </c>
      <c r="G62" s="608">
        <f>+F62-'GF &amp; FF  Inc Exp Statement'!G102+SUM('GF &amp; FF  Inc Exp Statement'!G126:G128)-'GF &amp; FF  Inc Exp Statement'!G127-'GF &amp; FF  Inc Exp Statement'!G140</f>
        <v>477227.12299999996</v>
      </c>
      <c r="H62" s="608">
        <f>+G62-'GF &amp; FF  Inc Exp Statement'!H102+SUM('GF &amp; FF  Inc Exp Statement'!H126:H128)-'GF &amp; FF  Inc Exp Statement'!H127-'GF &amp; FF  Inc Exp Statement'!H140</f>
        <v>499471.43079999997</v>
      </c>
      <c r="I62" s="608">
        <f>+H62-'GF &amp; FF  Inc Exp Statement'!I102+SUM('GF &amp; FF  Inc Exp Statement'!I126:I128)-'GF &amp; FF  Inc Exp Statement'!I127-'GF &amp; FF  Inc Exp Statement'!I140</f>
        <v>516429.83119499998</v>
      </c>
      <c r="J62" s="608">
        <f>+I62-'GF &amp; FF  Inc Exp Statement'!J102+SUM('GF &amp; FF  Inc Exp Statement'!J126:J128)-'GF &amp; FF  Inc Exp Statement'!J127-'GF &amp; FF  Inc Exp Statement'!J140</f>
        <v>518711.28559987497</v>
      </c>
      <c r="K62" s="608">
        <f>+J62-'GF &amp; FF  Inc Exp Statement'!K102+SUM('GF &amp; FF  Inc Exp Statement'!K126:K128)-'GF &amp; FF  Inc Exp Statement'!K127-'GF &amp; FF  Inc Exp Statement'!K140</f>
        <v>520220.55176487181</v>
      </c>
      <c r="L62" s="608">
        <f>+K62-'GF &amp; FF  Inc Exp Statement'!L102+SUM('GF &amp; FF  Inc Exp Statement'!L126:L128)-'GF &amp; FF  Inc Exp Statement'!L127-'GF &amp; FF  Inc Exp Statement'!L140</f>
        <v>522638.53198399366</v>
      </c>
      <c r="M62" s="608">
        <f>+L62-'GF &amp; FF  Inc Exp Statement'!M102+SUM('GF &amp; FF  Inc Exp Statement'!M126:M128)-'GF &amp; FF  Inc Exp Statement'!M127-'GF &amp; FF  Inc Exp Statement'!M140</f>
        <v>526275.6442485936</v>
      </c>
      <c r="N62" s="608">
        <f>+M62-'GF &amp; FF  Inc Exp Statement'!N102+SUM('GF &amp; FF  Inc Exp Statement'!N126:N128)-'GF &amp; FF  Inc Exp Statement'!N127-'GF &amp; FF  Inc Exp Statement'!N140</f>
        <v>529540.19200260844</v>
      </c>
      <c r="O62" s="608">
        <f>+N62-'GF &amp; FF  Inc Exp Statement'!O102+SUM('GF &amp; FF  Inc Exp Statement'!O126:O128)-'GF &amp; FF  Inc Exp Statement'!O127-'GF &amp; FF  Inc Exp Statement'!O140</f>
        <v>532817.36127892963</v>
      </c>
      <c r="P62" s="608">
        <f>+O62-'GF &amp; FF  Inc Exp Statement'!P102+SUM('GF &amp; FF  Inc Exp Statement'!P126:P128)-'GF &amp; FF  Inc Exp Statement'!P127-'GF &amp; FF  Inc Exp Statement'!P140</f>
        <v>536102.217764184</v>
      </c>
    </row>
    <row r="63" spans="1:18" ht="22.5" x14ac:dyDescent="0.2">
      <c r="A63" s="608" t="str">
        <f t="shared" ref="A63:A64" si="51">A17</f>
        <v>Investments accounted for using the equity method</v>
      </c>
      <c r="B63" s="608"/>
      <c r="C63" s="608"/>
      <c r="D63" s="608">
        <f t="shared" ref="D63:P64" si="52">D17</f>
        <v>89</v>
      </c>
      <c r="E63" s="608">
        <f t="shared" si="52"/>
        <v>91</v>
      </c>
      <c r="F63" s="608">
        <f t="shared" si="52"/>
        <v>91</v>
      </c>
      <c r="G63" s="608">
        <f t="shared" si="52"/>
        <v>91</v>
      </c>
      <c r="H63" s="608">
        <f t="shared" si="52"/>
        <v>91</v>
      </c>
      <c r="I63" s="608">
        <f t="shared" si="52"/>
        <v>91</v>
      </c>
      <c r="J63" s="608">
        <f t="shared" si="52"/>
        <v>91</v>
      </c>
      <c r="K63" s="608">
        <f t="shared" si="52"/>
        <v>91</v>
      </c>
      <c r="L63" s="608">
        <f t="shared" si="52"/>
        <v>91</v>
      </c>
      <c r="M63" s="608">
        <f t="shared" si="52"/>
        <v>91</v>
      </c>
      <c r="N63" s="608">
        <f t="shared" si="52"/>
        <v>91</v>
      </c>
      <c r="O63" s="608">
        <f t="shared" si="52"/>
        <v>91</v>
      </c>
      <c r="P63" s="608">
        <f t="shared" si="52"/>
        <v>91</v>
      </c>
    </row>
    <row r="64" spans="1:18" ht="11.25" x14ac:dyDescent="0.2">
      <c r="A64" s="608" t="str">
        <f t="shared" si="51"/>
        <v>Investment Property</v>
      </c>
      <c r="B64" s="608"/>
      <c r="C64" s="608"/>
      <c r="D64" s="608">
        <f t="shared" si="52"/>
        <v>8861</v>
      </c>
      <c r="E64" s="608">
        <f t="shared" si="52"/>
        <v>20675</v>
      </c>
      <c r="F64" s="608">
        <f>E64+'GF &amp; FF  Inc Exp Statement'!F127</f>
        <v>20675</v>
      </c>
      <c r="G64" s="608">
        <f>F64+'GF &amp; FF  Inc Exp Statement'!G127</f>
        <v>20675</v>
      </c>
      <c r="H64" s="608">
        <f>G64+'GF &amp; FF  Inc Exp Statement'!H127</f>
        <v>20675</v>
      </c>
      <c r="I64" s="608">
        <f>H64+'GF &amp; FF  Inc Exp Statement'!I127</f>
        <v>20675</v>
      </c>
      <c r="J64" s="608">
        <f>I64+'GF &amp; FF  Inc Exp Statement'!J127</f>
        <v>20675</v>
      </c>
      <c r="K64" s="608">
        <f>J64+'GF &amp; FF  Inc Exp Statement'!K127</f>
        <v>20675</v>
      </c>
      <c r="L64" s="608">
        <f>K64+'GF &amp; FF  Inc Exp Statement'!L127</f>
        <v>20675</v>
      </c>
      <c r="M64" s="608">
        <f>L64+'GF &amp; FF  Inc Exp Statement'!M127</f>
        <v>20675</v>
      </c>
      <c r="N64" s="608">
        <f>M64+'GF &amp; FF  Inc Exp Statement'!N127</f>
        <v>20675</v>
      </c>
      <c r="O64" s="608">
        <f>N64+'GF &amp; FF  Inc Exp Statement'!O127</f>
        <v>20675</v>
      </c>
      <c r="P64" s="608">
        <f>O64+'GF &amp; FF  Inc Exp Statement'!P127</f>
        <v>20675</v>
      </c>
    </row>
    <row r="65" spans="1:16" s="657" customFormat="1" ht="11.25" x14ac:dyDescent="0.2">
      <c r="A65" s="761" t="s">
        <v>45</v>
      </c>
      <c r="B65" s="762">
        <f>SUM(B62)</f>
        <v>0</v>
      </c>
      <c r="C65" s="762">
        <f t="shared" ref="C65" si="53">SUM(C62)</f>
        <v>0</v>
      </c>
      <c r="D65" s="762">
        <f>SUM(D61:D64)</f>
        <v>597963</v>
      </c>
      <c r="E65" s="762">
        <f t="shared" ref="E65:P65" si="54">SUM(E61:E64)</f>
        <v>497891</v>
      </c>
      <c r="F65" s="762">
        <f t="shared" si="54"/>
        <v>510630.77600000001</v>
      </c>
      <c r="G65" s="762">
        <f t="shared" si="54"/>
        <v>513364.12299999996</v>
      </c>
      <c r="H65" s="762">
        <f t="shared" si="54"/>
        <v>532608.43079999997</v>
      </c>
      <c r="I65" s="762">
        <f t="shared" si="54"/>
        <v>549566.83119499998</v>
      </c>
      <c r="J65" s="762">
        <f t="shared" si="54"/>
        <v>551848.28559987503</v>
      </c>
      <c r="K65" s="762">
        <f t="shared" si="54"/>
        <v>553357.55176487181</v>
      </c>
      <c r="L65" s="762">
        <f t="shared" si="54"/>
        <v>555775.53198399371</v>
      </c>
      <c r="M65" s="762">
        <f t="shared" si="54"/>
        <v>559412.6442485936</v>
      </c>
      <c r="N65" s="762">
        <f t="shared" si="54"/>
        <v>562677.19200260844</v>
      </c>
      <c r="O65" s="762">
        <f t="shared" si="54"/>
        <v>565954.36127892963</v>
      </c>
      <c r="P65" s="762">
        <f t="shared" si="54"/>
        <v>569239.217764184</v>
      </c>
    </row>
    <row r="66" spans="1:16" ht="9" customHeight="1" x14ac:dyDescent="0.2">
      <c r="B66" s="608"/>
      <c r="C66" s="608"/>
      <c r="D66" s="608"/>
      <c r="E66" s="608"/>
      <c r="F66" s="608"/>
      <c r="G66" s="608"/>
      <c r="H66" s="608"/>
      <c r="I66" s="608"/>
      <c r="J66" s="608"/>
      <c r="K66" s="608"/>
      <c r="L66" s="608"/>
      <c r="M66" s="608"/>
      <c r="N66" s="608"/>
      <c r="O66" s="608"/>
      <c r="P66" s="608"/>
    </row>
    <row r="67" spans="1:16" s="657" customFormat="1" ht="12" thickBot="1" x14ac:dyDescent="0.25">
      <c r="A67" s="654" t="s">
        <v>46</v>
      </c>
      <c r="B67" s="665">
        <f>+B58+B65</f>
        <v>0</v>
      </c>
      <c r="C67" s="665">
        <f t="shared" ref="C67" si="55">+C58+C65</f>
        <v>0</v>
      </c>
      <c r="D67" s="665">
        <f t="shared" ref="D67:M67" si="56">+D58+D65</f>
        <v>622025</v>
      </c>
      <c r="E67" s="665">
        <f t="shared" si="56"/>
        <v>510906</v>
      </c>
      <c r="F67" s="665">
        <f t="shared" si="56"/>
        <v>523263.72000000003</v>
      </c>
      <c r="G67" s="665">
        <f t="shared" si="56"/>
        <v>527361.81799999997</v>
      </c>
      <c r="H67" s="665">
        <f t="shared" si="56"/>
        <v>542303.91400999995</v>
      </c>
      <c r="I67" s="665">
        <f t="shared" si="56"/>
        <v>561212.50302529999</v>
      </c>
      <c r="J67" s="665">
        <f t="shared" si="56"/>
        <v>564371.75711793406</v>
      </c>
      <c r="K67" s="665">
        <f t="shared" si="56"/>
        <v>567461.27900114295</v>
      </c>
      <c r="L67" s="665">
        <f t="shared" si="56"/>
        <v>570675.52583365038</v>
      </c>
      <c r="M67" s="665">
        <f t="shared" si="56"/>
        <v>574276.11586343322</v>
      </c>
      <c r="N67" s="665">
        <f t="shared" ref="N67:O67" si="57">+N58+N65</f>
        <v>578049.69292179181</v>
      </c>
      <c r="O67" s="665">
        <f t="shared" si="57"/>
        <v>581923.01023822499</v>
      </c>
      <c r="P67" s="665">
        <f t="shared" ref="P67" si="58">+P58+P65</f>
        <v>585898.45764724165</v>
      </c>
    </row>
    <row r="68" spans="1:16" ht="11.25" x14ac:dyDescent="0.2">
      <c r="B68" s="608"/>
      <c r="C68" s="608"/>
      <c r="D68" s="608"/>
      <c r="E68" s="608"/>
      <c r="F68" s="608"/>
      <c r="G68" s="608"/>
      <c r="H68" s="608"/>
      <c r="I68" s="608"/>
      <c r="J68" s="608"/>
      <c r="K68" s="608"/>
      <c r="L68" s="608"/>
      <c r="M68" s="608"/>
      <c r="N68" s="608"/>
      <c r="O68" s="608"/>
      <c r="P68" s="608"/>
    </row>
    <row r="69" spans="1:16" ht="11.25" x14ac:dyDescent="0.2">
      <c r="A69" s="654" t="s">
        <v>47</v>
      </c>
      <c r="B69" s="608"/>
      <c r="C69" s="608"/>
      <c r="D69" s="608"/>
      <c r="E69" s="608"/>
      <c r="F69" s="608"/>
      <c r="G69" s="608"/>
      <c r="H69" s="608"/>
      <c r="I69" s="608"/>
      <c r="J69" s="608"/>
      <c r="K69" s="608"/>
      <c r="L69" s="608"/>
      <c r="M69" s="608"/>
      <c r="N69" s="608"/>
      <c r="O69" s="608"/>
      <c r="P69" s="608"/>
    </row>
    <row r="70" spans="1:16" ht="11.25" x14ac:dyDescent="0.2">
      <c r="A70" s="654" t="s">
        <v>48</v>
      </c>
      <c r="B70" s="608"/>
      <c r="C70" s="608"/>
      <c r="D70" s="608"/>
      <c r="E70" s="608"/>
      <c r="F70" s="608"/>
      <c r="G70" s="608"/>
      <c r="H70" s="608"/>
      <c r="I70" s="608"/>
      <c r="J70" s="608"/>
      <c r="K70" s="608"/>
      <c r="L70" s="608"/>
      <c r="M70" s="608"/>
      <c r="N70" s="608"/>
      <c r="O70" s="608"/>
      <c r="P70" s="608"/>
    </row>
    <row r="71" spans="1:16" ht="11.25" x14ac:dyDescent="0.2">
      <c r="A71" s="666" t="s">
        <v>49</v>
      </c>
      <c r="B71" s="608"/>
      <c r="C71" s="608"/>
      <c r="D71" s="608">
        <f>D25</f>
        <v>5504</v>
      </c>
      <c r="E71" s="608">
        <f t="shared" ref="E71:E73" si="59">E25</f>
        <v>4470</v>
      </c>
      <c r="F71" s="608">
        <f t="shared" ref="F71:M73" si="60">+E71</f>
        <v>4470</v>
      </c>
      <c r="G71" s="608">
        <f t="shared" si="60"/>
        <v>4470</v>
      </c>
      <c r="H71" s="608">
        <f t="shared" si="60"/>
        <v>4470</v>
      </c>
      <c r="I71" s="608">
        <f t="shared" si="60"/>
        <v>4470</v>
      </c>
      <c r="J71" s="608">
        <f t="shared" si="60"/>
        <v>4470</v>
      </c>
      <c r="K71" s="608">
        <f t="shared" si="60"/>
        <v>4470</v>
      </c>
      <c r="L71" s="608">
        <f t="shared" si="60"/>
        <v>4470</v>
      </c>
      <c r="M71" s="608">
        <f t="shared" si="60"/>
        <v>4470</v>
      </c>
      <c r="N71" s="608">
        <f t="shared" ref="N71:N73" si="61">+M71</f>
        <v>4470</v>
      </c>
      <c r="O71" s="608">
        <f t="shared" ref="O71:P73" si="62">+N71</f>
        <v>4470</v>
      </c>
      <c r="P71" s="608">
        <f t="shared" si="62"/>
        <v>4470</v>
      </c>
    </row>
    <row r="72" spans="1:16" ht="11.25" x14ac:dyDescent="0.2">
      <c r="A72" s="666" t="s">
        <v>1051</v>
      </c>
      <c r="B72" s="608"/>
      <c r="C72" s="608"/>
      <c r="D72" s="608">
        <f>D26</f>
        <v>2925</v>
      </c>
      <c r="E72" s="608">
        <f t="shared" si="59"/>
        <v>667</v>
      </c>
      <c r="F72" s="608">
        <f>'GF &amp; FF  Inc Exp Statement'!G129</f>
        <v>621.83900000000006</v>
      </c>
      <c r="G72" s="608">
        <f>'GF &amp; FF  Inc Exp Statement'!H129</f>
        <v>555.48599999999999</v>
      </c>
      <c r="H72" s="608">
        <f>'GF &amp; FF  Inc Exp Statement'!I129</f>
        <v>672.75099999999998</v>
      </c>
      <c r="I72" s="608">
        <f>'GF &amp; FF  Inc Exp Statement'!J129</f>
        <v>972.69899999999996</v>
      </c>
      <c r="J72" s="608">
        <f>'GF &amp; FF  Inc Exp Statement'!K129</f>
        <v>1007</v>
      </c>
      <c r="K72" s="608">
        <f>'GF &amp; FF  Inc Exp Statement'!L129</f>
        <v>1054</v>
      </c>
      <c r="L72" s="608">
        <f>'GF &amp; FF  Inc Exp Statement'!M129</f>
        <v>809</v>
      </c>
      <c r="M72" s="608">
        <f>'GF &amp; FF  Inc Exp Statement'!N129</f>
        <v>745</v>
      </c>
      <c r="N72" s="608">
        <f>'GF &amp; FF  Inc Exp Statement'!O129</f>
        <v>777</v>
      </c>
      <c r="O72" s="608">
        <f>'GF &amp; FF  Inc Exp Statement'!P129</f>
        <v>811</v>
      </c>
      <c r="P72" s="608">
        <f>'GF &amp; FF  Inc Exp Statement'!Q129</f>
        <v>0</v>
      </c>
    </row>
    <row r="73" spans="1:16" ht="11.25" x14ac:dyDescent="0.2">
      <c r="A73" s="667" t="s">
        <v>50</v>
      </c>
      <c r="B73" s="615"/>
      <c r="C73" s="608"/>
      <c r="D73" s="608">
        <f t="shared" ref="D73" si="63">D27</f>
        <v>2773</v>
      </c>
      <c r="E73" s="608">
        <f t="shared" si="59"/>
        <v>2577</v>
      </c>
      <c r="F73" s="608">
        <f t="shared" si="60"/>
        <v>2577</v>
      </c>
      <c r="G73" s="608">
        <f t="shared" si="60"/>
        <v>2577</v>
      </c>
      <c r="H73" s="608">
        <f t="shared" si="60"/>
        <v>2577</v>
      </c>
      <c r="I73" s="608">
        <f t="shared" si="60"/>
        <v>2577</v>
      </c>
      <c r="J73" s="608">
        <f t="shared" si="60"/>
        <v>2577</v>
      </c>
      <c r="K73" s="608">
        <f t="shared" si="60"/>
        <v>2577</v>
      </c>
      <c r="L73" s="608">
        <f t="shared" si="60"/>
        <v>2577</v>
      </c>
      <c r="M73" s="608">
        <f t="shared" si="60"/>
        <v>2577</v>
      </c>
      <c r="N73" s="608">
        <f t="shared" si="61"/>
        <v>2577</v>
      </c>
      <c r="O73" s="608">
        <f t="shared" si="62"/>
        <v>2577</v>
      </c>
      <c r="P73" s="608">
        <f t="shared" si="62"/>
        <v>2577</v>
      </c>
    </row>
    <row r="74" spans="1:16" s="657" customFormat="1" ht="11.25" x14ac:dyDescent="0.2">
      <c r="A74" s="654" t="s">
        <v>51</v>
      </c>
      <c r="B74" s="656">
        <f>SUM(B71:B73)</f>
        <v>0</v>
      </c>
      <c r="C74" s="656">
        <f t="shared" ref="C74" si="64">SUM(C71:C73)</f>
        <v>0</v>
      </c>
      <c r="D74" s="656">
        <f t="shared" ref="D74:M74" si="65">SUM(D71:D73)</f>
        <v>11202</v>
      </c>
      <c r="E74" s="656">
        <f t="shared" si="65"/>
        <v>7714</v>
      </c>
      <c r="F74" s="656">
        <f t="shared" si="65"/>
        <v>7668.8389999999999</v>
      </c>
      <c r="G74" s="656">
        <f t="shared" si="65"/>
        <v>7602.4859999999999</v>
      </c>
      <c r="H74" s="656">
        <f t="shared" si="65"/>
        <v>7719.7510000000002</v>
      </c>
      <c r="I74" s="656">
        <f t="shared" si="65"/>
        <v>8019.6989999999996</v>
      </c>
      <c r="J74" s="656">
        <f t="shared" si="65"/>
        <v>8054</v>
      </c>
      <c r="K74" s="656">
        <f t="shared" si="65"/>
        <v>8101</v>
      </c>
      <c r="L74" s="656">
        <f t="shared" si="65"/>
        <v>7856</v>
      </c>
      <c r="M74" s="656">
        <f t="shared" si="65"/>
        <v>7792</v>
      </c>
      <c r="N74" s="656">
        <f t="shared" ref="N74:O74" si="66">SUM(N71:N73)</f>
        <v>7824</v>
      </c>
      <c r="O74" s="656">
        <f t="shared" si="66"/>
        <v>7858</v>
      </c>
      <c r="P74" s="656">
        <f t="shared" ref="P74" si="67">SUM(P71:P73)</f>
        <v>7047</v>
      </c>
    </row>
    <row r="75" spans="1:16" ht="11.25" x14ac:dyDescent="0.2">
      <c r="B75" s="608"/>
      <c r="C75" s="608"/>
      <c r="D75" s="608"/>
      <c r="E75" s="608"/>
      <c r="F75" s="608"/>
      <c r="G75" s="608"/>
      <c r="H75" s="608"/>
      <c r="I75" s="608"/>
      <c r="J75" s="608"/>
      <c r="K75" s="608"/>
      <c r="L75" s="608"/>
      <c r="M75" s="608"/>
      <c r="N75" s="608"/>
      <c r="O75" s="608"/>
      <c r="P75" s="608"/>
    </row>
    <row r="76" spans="1:16" ht="11.25" x14ac:dyDescent="0.2">
      <c r="A76" s="654" t="s">
        <v>52</v>
      </c>
      <c r="B76" s="608"/>
      <c r="C76" s="608"/>
      <c r="D76" s="608"/>
      <c r="E76" s="608"/>
      <c r="F76" s="608"/>
      <c r="G76" s="608"/>
      <c r="H76" s="608"/>
      <c r="I76" s="608"/>
      <c r="J76" s="608"/>
      <c r="K76" s="608"/>
      <c r="L76" s="608"/>
      <c r="M76" s="608"/>
      <c r="N76" s="608"/>
      <c r="O76" s="608"/>
      <c r="P76" s="608"/>
    </row>
    <row r="77" spans="1:16" ht="11.25" x14ac:dyDescent="0.2">
      <c r="A77" s="653" t="s">
        <v>49</v>
      </c>
      <c r="B77" s="608">
        <v>0</v>
      </c>
      <c r="C77" s="608">
        <v>0</v>
      </c>
      <c r="D77" s="608">
        <f>D31</f>
        <v>0</v>
      </c>
      <c r="E77" s="608">
        <f t="shared" ref="E77:E79" si="68">E31</f>
        <v>0</v>
      </c>
      <c r="F77" s="608">
        <f t="shared" ref="F77:M79" si="69">+E77</f>
        <v>0</v>
      </c>
      <c r="G77" s="608">
        <f t="shared" si="69"/>
        <v>0</v>
      </c>
      <c r="H77" s="608">
        <f t="shared" si="69"/>
        <v>0</v>
      </c>
      <c r="I77" s="608">
        <f t="shared" si="69"/>
        <v>0</v>
      </c>
      <c r="J77" s="608">
        <f t="shared" si="69"/>
        <v>0</v>
      </c>
      <c r="K77" s="608">
        <f t="shared" si="69"/>
        <v>0</v>
      </c>
      <c r="L77" s="608">
        <f t="shared" si="69"/>
        <v>0</v>
      </c>
      <c r="M77" s="608">
        <f t="shared" si="69"/>
        <v>0</v>
      </c>
      <c r="N77" s="608">
        <f t="shared" ref="N77:N79" si="70">+M77</f>
        <v>0</v>
      </c>
      <c r="O77" s="608">
        <f t="shared" ref="O77:P79" si="71">+N77</f>
        <v>0</v>
      </c>
      <c r="P77" s="608">
        <f t="shared" si="71"/>
        <v>0</v>
      </c>
    </row>
    <row r="78" spans="1:16" ht="11.25" x14ac:dyDescent="0.2">
      <c r="A78" s="653" t="s">
        <v>1051</v>
      </c>
      <c r="B78" s="608"/>
      <c r="C78" s="608"/>
      <c r="D78" s="608">
        <f>D32</f>
        <v>13675</v>
      </c>
      <c r="E78" s="608">
        <f t="shared" si="68"/>
        <v>23392</v>
      </c>
      <c r="F78" s="608">
        <f>E72+E78+'GF &amp; FF   Cash Flow'!F144+'GF &amp; FF   Cash Flow'!F147-F72</f>
        <v>32866.874000000003</v>
      </c>
      <c r="G78" s="608">
        <f>F72+F78+'GF &amp; FF   Cash Flow'!G91+'GF &amp; FF   Cash Flow'!G94-G72</f>
        <v>32311.388000000003</v>
      </c>
      <c r="H78" s="608">
        <f>G72+G78+'GF &amp; FF   Cash Flow'!H91+'GF &amp; FF   Cash Flow'!H94-H72</f>
        <v>42138.63700000001</v>
      </c>
      <c r="I78" s="608">
        <f>H72+H78+'GF &amp; FF   Cash Flow'!I91+'GF &amp; FF   Cash Flow'!I94-I72</f>
        <v>52165.938000000009</v>
      </c>
      <c r="J78" s="608">
        <f>I72+I78+'GF &amp; FF   Cash Flow'!J91+'GF &amp; FF   Cash Flow'!J94-J72</f>
        <v>51158.938000000009</v>
      </c>
      <c r="K78" s="608">
        <f>J72+J78+'GF &amp; FF   Cash Flow'!K91+'GF &amp; FF   Cash Flow'!K94-K72</f>
        <v>50104.938000000009</v>
      </c>
      <c r="L78" s="608">
        <f>K72+K78+'GF &amp; FF   Cash Flow'!L91+'GF &amp; FF   Cash Flow'!L94-L72</f>
        <v>49295.938000000009</v>
      </c>
      <c r="M78" s="608">
        <f>L72+L78+'GF &amp; FF   Cash Flow'!M91+'GF &amp; FF   Cash Flow'!M94-M72</f>
        <v>48550.938000000009</v>
      </c>
      <c r="N78" s="608">
        <f>M72+M78+'GF &amp; FF   Cash Flow'!N91+'GF &amp; FF   Cash Flow'!N94-N72</f>
        <v>47773.938000000009</v>
      </c>
      <c r="O78" s="608">
        <f>N72+N78+'GF &amp; FF   Cash Flow'!O91+'GF &amp; FF   Cash Flow'!O94-O72</f>
        <v>46962.938000000009</v>
      </c>
      <c r="P78" s="608">
        <f>O72+O78+'GF &amp; FF   Cash Flow'!P91+'GF &amp; FF   Cash Flow'!P94-P72</f>
        <v>46962.938000000009</v>
      </c>
    </row>
    <row r="79" spans="1:16" ht="11.25" x14ac:dyDescent="0.2">
      <c r="A79" s="655" t="s">
        <v>50</v>
      </c>
      <c r="B79" s="615"/>
      <c r="C79" s="608"/>
      <c r="D79" s="608">
        <f t="shared" ref="D79" si="72">D33</f>
        <v>5056</v>
      </c>
      <c r="E79" s="608">
        <f t="shared" si="68"/>
        <v>5284</v>
      </c>
      <c r="F79" s="608">
        <f t="shared" si="69"/>
        <v>5284</v>
      </c>
      <c r="G79" s="608">
        <f t="shared" si="69"/>
        <v>5284</v>
      </c>
      <c r="H79" s="608">
        <f t="shared" si="69"/>
        <v>5284</v>
      </c>
      <c r="I79" s="608">
        <f t="shared" si="69"/>
        <v>5284</v>
      </c>
      <c r="J79" s="608">
        <f t="shared" si="69"/>
        <v>5284</v>
      </c>
      <c r="K79" s="608">
        <f t="shared" si="69"/>
        <v>5284</v>
      </c>
      <c r="L79" s="608">
        <f t="shared" si="69"/>
        <v>5284</v>
      </c>
      <c r="M79" s="608">
        <f t="shared" si="69"/>
        <v>5284</v>
      </c>
      <c r="N79" s="608">
        <f t="shared" si="70"/>
        <v>5284</v>
      </c>
      <c r="O79" s="608">
        <f t="shared" si="71"/>
        <v>5284</v>
      </c>
      <c r="P79" s="608">
        <f t="shared" si="71"/>
        <v>5284</v>
      </c>
    </row>
    <row r="80" spans="1:16" s="657" customFormat="1" ht="11.25" x14ac:dyDescent="0.2">
      <c r="A80" s="654" t="s">
        <v>53</v>
      </c>
      <c r="B80" s="656">
        <f>SUM(B77:B79)</f>
        <v>0</v>
      </c>
      <c r="C80" s="656">
        <f t="shared" ref="C80" si="73">SUM(C77:C79)</f>
        <v>0</v>
      </c>
      <c r="D80" s="656">
        <f t="shared" ref="D80:M80" si="74">SUM(D77:D79)</f>
        <v>18731</v>
      </c>
      <c r="E80" s="656">
        <f t="shared" si="74"/>
        <v>28676</v>
      </c>
      <c r="F80" s="656">
        <f t="shared" si="74"/>
        <v>38150.874000000003</v>
      </c>
      <c r="G80" s="656">
        <f t="shared" si="74"/>
        <v>37595.388000000006</v>
      </c>
      <c r="H80" s="656">
        <f t="shared" si="74"/>
        <v>47422.63700000001</v>
      </c>
      <c r="I80" s="656">
        <f t="shared" si="74"/>
        <v>57449.938000000009</v>
      </c>
      <c r="J80" s="656">
        <f t="shared" si="74"/>
        <v>56442.938000000009</v>
      </c>
      <c r="K80" s="656">
        <f t="shared" si="74"/>
        <v>55388.938000000009</v>
      </c>
      <c r="L80" s="656">
        <f t="shared" si="74"/>
        <v>54579.938000000009</v>
      </c>
      <c r="M80" s="656">
        <f t="shared" si="74"/>
        <v>53834.938000000009</v>
      </c>
      <c r="N80" s="656">
        <f t="shared" ref="N80:O80" si="75">SUM(N77:N79)</f>
        <v>53057.938000000009</v>
      </c>
      <c r="O80" s="656">
        <f t="shared" si="75"/>
        <v>52246.938000000009</v>
      </c>
      <c r="P80" s="656">
        <f t="shared" ref="P80" si="76">SUM(P77:P79)</f>
        <v>52246.938000000009</v>
      </c>
    </row>
    <row r="81" spans="1:16" ht="9" customHeight="1" x14ac:dyDescent="0.2">
      <c r="B81" s="608"/>
      <c r="C81" s="608"/>
      <c r="D81" s="608"/>
      <c r="E81" s="608"/>
      <c r="F81" s="608"/>
      <c r="G81" s="608"/>
      <c r="H81" s="608"/>
      <c r="I81" s="608"/>
      <c r="J81" s="608"/>
      <c r="K81" s="608"/>
      <c r="L81" s="608"/>
      <c r="M81" s="608"/>
      <c r="N81" s="608"/>
      <c r="O81" s="608"/>
      <c r="P81" s="608"/>
    </row>
    <row r="82" spans="1:16" s="657" customFormat="1" ht="12" thickBot="1" x14ac:dyDescent="0.25">
      <c r="A82" s="654" t="s">
        <v>54</v>
      </c>
      <c r="B82" s="665">
        <f>+B74+B80</f>
        <v>0</v>
      </c>
      <c r="C82" s="665">
        <f t="shared" ref="C82" si="77">+C74+C80</f>
        <v>0</v>
      </c>
      <c r="D82" s="665">
        <f t="shared" ref="D82:M82" si="78">+D74+D80</f>
        <v>29933</v>
      </c>
      <c r="E82" s="665">
        <f t="shared" si="78"/>
        <v>36390</v>
      </c>
      <c r="F82" s="665">
        <f t="shared" si="78"/>
        <v>45819.713000000003</v>
      </c>
      <c r="G82" s="665">
        <f t="shared" si="78"/>
        <v>45197.874000000003</v>
      </c>
      <c r="H82" s="665">
        <f t="shared" si="78"/>
        <v>55142.388000000006</v>
      </c>
      <c r="I82" s="665">
        <f t="shared" si="78"/>
        <v>65469.63700000001</v>
      </c>
      <c r="J82" s="665">
        <f t="shared" si="78"/>
        <v>64496.938000000009</v>
      </c>
      <c r="K82" s="665">
        <f t="shared" si="78"/>
        <v>63489.938000000009</v>
      </c>
      <c r="L82" s="665">
        <f t="shared" si="78"/>
        <v>62435.938000000009</v>
      </c>
      <c r="M82" s="665">
        <f t="shared" si="78"/>
        <v>61626.938000000009</v>
      </c>
      <c r="N82" s="665">
        <f t="shared" ref="N82:O82" si="79">+N74+N80</f>
        <v>60881.938000000009</v>
      </c>
      <c r="O82" s="665">
        <f t="shared" si="79"/>
        <v>60104.938000000009</v>
      </c>
      <c r="P82" s="665">
        <f t="shared" ref="P82" si="80">+P74+P80</f>
        <v>59293.938000000009</v>
      </c>
    </row>
    <row r="83" spans="1:16" s="657" customFormat="1" ht="12" thickBot="1" x14ac:dyDescent="0.25">
      <c r="A83" s="654" t="s">
        <v>55</v>
      </c>
      <c r="B83" s="668">
        <f>+B67-B82</f>
        <v>0</v>
      </c>
      <c r="C83" s="668">
        <f t="shared" ref="C83" si="81">+C67-C82</f>
        <v>0</v>
      </c>
      <c r="D83" s="668">
        <f t="shared" ref="D83:M83" si="82">+D67-D82</f>
        <v>592092</v>
      </c>
      <c r="E83" s="668">
        <f t="shared" si="82"/>
        <v>474516</v>
      </c>
      <c r="F83" s="668">
        <f t="shared" si="82"/>
        <v>477444.00700000004</v>
      </c>
      <c r="G83" s="668">
        <f t="shared" si="82"/>
        <v>482163.94399999996</v>
      </c>
      <c r="H83" s="668">
        <f t="shared" si="82"/>
        <v>487161.52600999991</v>
      </c>
      <c r="I83" s="668">
        <f t="shared" si="82"/>
        <v>495742.8660253</v>
      </c>
      <c r="J83" s="668">
        <f t="shared" si="82"/>
        <v>499874.81911793404</v>
      </c>
      <c r="K83" s="668">
        <f t="shared" si="82"/>
        <v>503971.34100114292</v>
      </c>
      <c r="L83" s="668">
        <f t="shared" si="82"/>
        <v>508239.58783365035</v>
      </c>
      <c r="M83" s="668">
        <f t="shared" si="82"/>
        <v>512649.1778634332</v>
      </c>
      <c r="N83" s="668">
        <f t="shared" ref="N83:O83" si="83">+N67-N82</f>
        <v>517167.75492179178</v>
      </c>
      <c r="O83" s="668">
        <f t="shared" si="83"/>
        <v>521818.07223822497</v>
      </c>
      <c r="P83" s="668">
        <f t="shared" ref="P83" si="84">+P67-P82</f>
        <v>526604.51964724169</v>
      </c>
    </row>
    <row r="84" spans="1:16" ht="12" thickTop="1" x14ac:dyDescent="0.2">
      <c r="B84" s="608"/>
      <c r="C84" s="608"/>
      <c r="D84" s="608"/>
      <c r="E84" s="608"/>
      <c r="F84" s="608"/>
      <c r="G84" s="608"/>
      <c r="H84" s="608"/>
      <c r="I84" s="608"/>
      <c r="J84" s="608"/>
      <c r="K84" s="608"/>
      <c r="L84" s="608"/>
      <c r="M84" s="608"/>
      <c r="N84" s="608"/>
      <c r="O84" s="608"/>
      <c r="P84" s="608"/>
    </row>
    <row r="85" spans="1:16" ht="11.25" x14ac:dyDescent="0.2">
      <c r="A85" s="654" t="s">
        <v>56</v>
      </c>
      <c r="B85" s="608"/>
      <c r="C85" s="608"/>
      <c r="D85" s="608"/>
      <c r="E85" s="608"/>
      <c r="F85" s="608"/>
      <c r="G85" s="608"/>
      <c r="H85" s="608"/>
      <c r="I85" s="608"/>
      <c r="J85" s="608"/>
      <c r="K85" s="608"/>
      <c r="L85" s="608"/>
      <c r="M85" s="608"/>
      <c r="N85" s="608"/>
      <c r="O85" s="608"/>
      <c r="P85" s="608"/>
    </row>
    <row r="86" spans="1:16" ht="11.25" x14ac:dyDescent="0.2">
      <c r="A86" s="653" t="s">
        <v>57</v>
      </c>
      <c r="B86" s="608"/>
      <c r="C86" s="608"/>
      <c r="D86" s="608">
        <f>D40</f>
        <v>291432</v>
      </c>
      <c r="E86" s="608">
        <f>+'GF &amp; FF  Equity Statement'!E47</f>
        <v>223910</v>
      </c>
      <c r="F86" s="608">
        <f>+'GF &amp; FF  Equity Statement'!F47</f>
        <v>226838.00700000001</v>
      </c>
      <c r="G86" s="608">
        <f>+'GF &amp; FF  Equity Statement'!G47</f>
        <v>231557.94400000002</v>
      </c>
      <c r="H86" s="608">
        <f>+'GF &amp; FF  Equity Statement'!H47</f>
        <v>236555.52601000003</v>
      </c>
      <c r="I86" s="608">
        <f>+'GF &amp; FF  Equity Statement'!I47</f>
        <v>245136.86602530003</v>
      </c>
      <c r="J86" s="608">
        <f>+'GF &amp; FF  Equity Statement'!J47</f>
        <v>249268.81911793404</v>
      </c>
      <c r="K86" s="608">
        <f>+'GF &amp; FF  Equity Statement'!K47</f>
        <v>253365.34100114307</v>
      </c>
      <c r="L86" s="608">
        <f>+'GF &amp; FF  Equity Statement'!L47</f>
        <v>257633.58783365032</v>
      </c>
      <c r="M86" s="608">
        <f>+'GF &amp; FF  Equity Statement'!M47</f>
        <v>262043.17786343314</v>
      </c>
      <c r="N86" s="608">
        <f>+'GF &amp; FF  Equity Statement'!N47</f>
        <v>266561.75492179178</v>
      </c>
      <c r="O86" s="608">
        <f>+'GF &amp; FF  Equity Statement'!O47</f>
        <v>271212.07223822497</v>
      </c>
      <c r="P86" s="608">
        <f>+'GF &amp; FF  Equity Statement'!P47</f>
        <v>275998.51964724163</v>
      </c>
    </row>
    <row r="87" spans="1:16" ht="12" thickBot="1" x14ac:dyDescent="0.25">
      <c r="A87" s="653" t="s">
        <v>58</v>
      </c>
      <c r="B87" s="669"/>
      <c r="C87" s="669"/>
      <c r="D87" s="608">
        <f>D41</f>
        <v>300660</v>
      </c>
      <c r="E87" s="669">
        <f>+'GF &amp; FF  Equity Statement'!E56</f>
        <v>250606</v>
      </c>
      <c r="F87" s="669">
        <f>+'GF &amp; FF  Equity Statement'!F56</f>
        <v>250606</v>
      </c>
      <c r="G87" s="669">
        <f>+'GF &amp; FF  Equity Statement'!G56</f>
        <v>250606</v>
      </c>
      <c r="H87" s="669">
        <f>+'GF &amp; FF  Equity Statement'!H56</f>
        <v>250606</v>
      </c>
      <c r="I87" s="669">
        <f>+'GF &amp; FF  Equity Statement'!I56</f>
        <v>250606</v>
      </c>
      <c r="J87" s="669">
        <f>+'GF &amp; FF  Equity Statement'!J56</f>
        <v>250606</v>
      </c>
      <c r="K87" s="669">
        <f>+'GF &amp; FF  Equity Statement'!K56</f>
        <v>250606</v>
      </c>
      <c r="L87" s="669">
        <f>+'GF &amp; FF  Equity Statement'!L56</f>
        <v>250606</v>
      </c>
      <c r="M87" s="669">
        <f>+'GF &amp; FF  Equity Statement'!M56</f>
        <v>250606</v>
      </c>
      <c r="N87" s="669">
        <f>+'GF &amp; FF  Equity Statement'!N56</f>
        <v>250606</v>
      </c>
      <c r="O87" s="669">
        <f>+'GF &amp; FF  Equity Statement'!O56</f>
        <v>250606</v>
      </c>
      <c r="P87" s="669">
        <f>+'GF &amp; FF  Equity Statement'!P56</f>
        <v>250606</v>
      </c>
    </row>
    <row r="88" spans="1:16" s="657" customFormat="1" ht="12" thickBot="1" x14ac:dyDescent="0.25">
      <c r="A88" s="654" t="s">
        <v>59</v>
      </c>
      <c r="B88" s="668">
        <f>SUM(B86:B87)</f>
        <v>0</v>
      </c>
      <c r="C88" s="668">
        <f t="shared" ref="C88:M88" si="85">SUM(C86:C87)</f>
        <v>0</v>
      </c>
      <c r="D88" s="668">
        <f t="shared" si="85"/>
        <v>592092</v>
      </c>
      <c r="E88" s="668">
        <f t="shared" si="85"/>
        <v>474516</v>
      </c>
      <c r="F88" s="668">
        <f t="shared" si="85"/>
        <v>477444.00699999998</v>
      </c>
      <c r="G88" s="668">
        <f t="shared" si="85"/>
        <v>482163.94400000002</v>
      </c>
      <c r="H88" s="668">
        <f t="shared" si="85"/>
        <v>487161.52601000003</v>
      </c>
      <c r="I88" s="668">
        <f t="shared" si="85"/>
        <v>495742.8660253</v>
      </c>
      <c r="J88" s="668">
        <f t="shared" si="85"/>
        <v>499874.81911793404</v>
      </c>
      <c r="K88" s="668">
        <f t="shared" si="85"/>
        <v>503971.3410011431</v>
      </c>
      <c r="L88" s="668">
        <f t="shared" si="85"/>
        <v>508239.58783365029</v>
      </c>
      <c r="M88" s="668">
        <f t="shared" si="85"/>
        <v>512649.17786343314</v>
      </c>
      <c r="N88" s="668">
        <f t="shared" ref="N88:O88" si="86">SUM(N86:N87)</f>
        <v>517167.75492179178</v>
      </c>
      <c r="O88" s="668">
        <f t="shared" si="86"/>
        <v>521818.07223822497</v>
      </c>
      <c r="P88" s="668">
        <f t="shared" ref="P88" si="87">SUM(P86:P87)</f>
        <v>526604.51964724157</v>
      </c>
    </row>
    <row r="89" spans="1:16" ht="12" thickTop="1" x14ac:dyDescent="0.2">
      <c r="B89" s="608"/>
      <c r="C89" s="608"/>
      <c r="D89" s="608"/>
      <c r="E89" s="608"/>
      <c r="F89" s="608"/>
      <c r="G89" s="608"/>
      <c r="H89" s="608"/>
      <c r="I89" s="608"/>
      <c r="J89" s="608"/>
      <c r="K89" s="608"/>
      <c r="L89" s="608"/>
      <c r="M89" s="608"/>
      <c r="N89" s="608"/>
      <c r="O89" s="608"/>
      <c r="P89" s="608"/>
    </row>
    <row r="90" spans="1:16" ht="11.25" hidden="1" outlineLevel="1" x14ac:dyDescent="0.2">
      <c r="A90" s="653" t="s">
        <v>111</v>
      </c>
      <c r="B90" s="621">
        <f>+B83-B88</f>
        <v>0</v>
      </c>
      <c r="C90" s="621">
        <f t="shared" ref="C90:M90" si="88">+C83-C88</f>
        <v>0</v>
      </c>
      <c r="D90" s="621">
        <f t="shared" si="88"/>
        <v>0</v>
      </c>
      <c r="E90" s="621">
        <f t="shared" si="88"/>
        <v>0</v>
      </c>
      <c r="F90" s="621">
        <f t="shared" si="88"/>
        <v>0</v>
      </c>
      <c r="G90" s="621">
        <f t="shared" si="88"/>
        <v>0</v>
      </c>
      <c r="H90" s="621">
        <f t="shared" si="88"/>
        <v>0</v>
      </c>
      <c r="I90" s="621">
        <f t="shared" si="88"/>
        <v>0</v>
      </c>
      <c r="J90" s="621">
        <f t="shared" si="88"/>
        <v>0</v>
      </c>
      <c r="K90" s="621">
        <f t="shared" si="88"/>
        <v>0</v>
      </c>
      <c r="L90" s="621">
        <f t="shared" si="88"/>
        <v>0</v>
      </c>
      <c r="M90" s="621">
        <f t="shared" si="88"/>
        <v>0</v>
      </c>
      <c r="N90" s="621">
        <f t="shared" ref="N90:O90" si="89">+N83-N88</f>
        <v>0</v>
      </c>
      <c r="O90" s="621">
        <f t="shared" si="89"/>
        <v>0</v>
      </c>
      <c r="P90" s="621">
        <f t="shared" ref="P90" si="90">+P83-P88</f>
        <v>0</v>
      </c>
    </row>
    <row r="91" spans="1:16" ht="11.25" hidden="1" outlineLevel="1" x14ac:dyDescent="0.2">
      <c r="A91" s="653" t="s">
        <v>112</v>
      </c>
      <c r="B91" s="621">
        <f>+B88-'GF &amp; FF  Equity Statement'!B67</f>
        <v>0</v>
      </c>
      <c r="C91" s="621">
        <f>+C88-'GF &amp; FF  Equity Statement'!C67</f>
        <v>0</v>
      </c>
      <c r="D91" s="621">
        <f>+D88-'GF &amp; FF  Equity Statement'!D67</f>
        <v>19960</v>
      </c>
      <c r="E91" s="621">
        <f>+E88-'GF &amp; FF  Equity Statement'!E67</f>
        <v>0</v>
      </c>
      <c r="F91" s="621">
        <f>+F88-'GF &amp; FF  Equity Statement'!F67</f>
        <v>0</v>
      </c>
      <c r="G91" s="621">
        <f>+G88-'GF &amp; FF  Equity Statement'!G67</f>
        <v>0</v>
      </c>
      <c r="H91" s="621">
        <f>+H88-'GF &amp; FF  Equity Statement'!H67</f>
        <v>0</v>
      </c>
      <c r="I91" s="621">
        <f>+I88-'GF &amp; FF  Equity Statement'!I67</f>
        <v>0</v>
      </c>
      <c r="J91" s="621">
        <f>+J88-'GF &amp; FF  Equity Statement'!J67</f>
        <v>0</v>
      </c>
      <c r="K91" s="621">
        <f>+K88-'GF &amp; FF  Equity Statement'!K67</f>
        <v>0</v>
      </c>
      <c r="L91" s="621">
        <f>+L88-'GF &amp; FF  Equity Statement'!L67</f>
        <v>0</v>
      </c>
      <c r="M91" s="621">
        <f>+M88-'GF &amp; FF  Equity Statement'!M67</f>
        <v>0</v>
      </c>
      <c r="N91" s="621">
        <f>+N88-'GF &amp; FF  Equity Statement'!N67</f>
        <v>0</v>
      </c>
      <c r="O91" s="621">
        <f>+O88-'GF &amp; FF  Equity Statement'!O67</f>
        <v>0</v>
      </c>
      <c r="P91" s="621">
        <f>+P88-'GF &amp; FF  Equity Statement'!P67</f>
        <v>0</v>
      </c>
    </row>
    <row r="92" spans="1:16" ht="11.25" collapsed="1" x14ac:dyDescent="0.2"/>
    <row r="93" spans="1:16" ht="12.75" x14ac:dyDescent="0.2">
      <c r="A93" s="1091" t="s">
        <v>1365</v>
      </c>
    </row>
    <row r="94" spans="1:16" ht="12" x14ac:dyDescent="0.2">
      <c r="A94" s="673" t="s">
        <v>1069</v>
      </c>
      <c r="B94" s="586" t="s">
        <v>69</v>
      </c>
      <c r="C94" s="586" t="s">
        <v>69</v>
      </c>
      <c r="D94" s="586" t="s">
        <v>69</v>
      </c>
      <c r="E94" s="586" t="s">
        <v>69</v>
      </c>
      <c r="F94" s="586" t="s">
        <v>70</v>
      </c>
      <c r="G94" s="586" t="s">
        <v>70</v>
      </c>
      <c r="H94" s="586" t="s">
        <v>71</v>
      </c>
      <c r="I94" s="586" t="s">
        <v>71</v>
      </c>
      <c r="J94" s="586" t="s">
        <v>71</v>
      </c>
      <c r="K94" s="586" t="s">
        <v>71</v>
      </c>
      <c r="L94" s="586" t="s">
        <v>71</v>
      </c>
      <c r="M94" s="586" t="s">
        <v>71</v>
      </c>
      <c r="N94" s="586" t="s">
        <v>71</v>
      </c>
      <c r="O94" s="586" t="s">
        <v>71</v>
      </c>
      <c r="P94" s="586" t="s">
        <v>71</v>
      </c>
    </row>
    <row r="95" spans="1:16" ht="11.25" x14ac:dyDescent="0.2">
      <c r="A95" s="652" t="s">
        <v>72</v>
      </c>
      <c r="B95" s="741" t="s">
        <v>68</v>
      </c>
      <c r="C95" s="694" t="s">
        <v>0</v>
      </c>
      <c r="D95" s="694" t="s">
        <v>1</v>
      </c>
      <c r="E95" s="694" t="s">
        <v>2</v>
      </c>
      <c r="F95" s="694" t="s">
        <v>3</v>
      </c>
      <c r="G95" s="694" t="s">
        <v>4</v>
      </c>
      <c r="H95" s="694" t="s">
        <v>5</v>
      </c>
      <c r="I95" s="694" t="s">
        <v>6</v>
      </c>
      <c r="J95" s="694" t="s">
        <v>7</v>
      </c>
      <c r="K95" s="694" t="s">
        <v>8</v>
      </c>
      <c r="L95" s="694" t="s">
        <v>9</v>
      </c>
      <c r="M95" s="694" t="s">
        <v>514</v>
      </c>
      <c r="N95" s="694" t="s">
        <v>515</v>
      </c>
      <c r="O95" s="694" t="s">
        <v>904</v>
      </c>
      <c r="P95" s="694" t="s">
        <v>1046</v>
      </c>
    </row>
    <row r="96" spans="1:16" ht="11.25" x14ac:dyDescent="0.2">
      <c r="A96" s="661"/>
      <c r="B96" s="662"/>
      <c r="C96" s="662"/>
      <c r="D96" s="663"/>
      <c r="E96" s="663"/>
      <c r="F96" s="663"/>
      <c r="G96" s="663"/>
      <c r="H96" s="663"/>
      <c r="I96" s="663"/>
      <c r="J96" s="663"/>
      <c r="K96" s="663"/>
      <c r="L96" s="663"/>
      <c r="M96" s="663"/>
      <c r="N96" s="663"/>
      <c r="O96" s="663"/>
      <c r="P96" s="663"/>
    </row>
    <row r="97" spans="1:16" ht="11.25" x14ac:dyDescent="0.2">
      <c r="A97" s="654" t="s">
        <v>35</v>
      </c>
      <c r="B97" s="608"/>
      <c r="C97" s="608"/>
      <c r="D97" s="608"/>
      <c r="E97" s="608"/>
      <c r="F97" s="608"/>
      <c r="G97" s="608"/>
      <c r="H97" s="608"/>
      <c r="I97" s="608"/>
      <c r="J97" s="608"/>
      <c r="K97" s="608"/>
      <c r="L97" s="608"/>
      <c r="M97" s="608"/>
      <c r="N97" s="608"/>
      <c r="O97" s="608"/>
      <c r="P97" s="608"/>
    </row>
    <row r="98" spans="1:16" ht="11.25" x14ac:dyDescent="0.2">
      <c r="A98" s="654" t="s">
        <v>36</v>
      </c>
      <c r="B98" s="608"/>
      <c r="C98" s="608"/>
      <c r="D98" s="608"/>
      <c r="E98" s="608"/>
      <c r="F98" s="608"/>
      <c r="G98" s="608"/>
      <c r="H98" s="608"/>
      <c r="I98" s="608"/>
      <c r="J98" s="608"/>
      <c r="K98" s="608"/>
      <c r="L98" s="608"/>
      <c r="M98" s="608"/>
      <c r="N98" s="608"/>
      <c r="O98" s="608"/>
      <c r="P98" s="608"/>
    </row>
    <row r="99" spans="1:16" ht="11.25" x14ac:dyDescent="0.2">
      <c r="A99" s="653" t="s">
        <v>37</v>
      </c>
      <c r="B99" s="608"/>
      <c r="C99" s="608"/>
      <c r="D99" s="608">
        <f>D53</f>
        <v>9296</v>
      </c>
      <c r="E99" s="608">
        <f t="shared" ref="E99:E103" si="91">E53</f>
        <v>2319</v>
      </c>
      <c r="F99" s="608">
        <f>+'GF &amp; FF   Cash Flow'!F154</f>
        <v>2349.0000000000036</v>
      </c>
      <c r="G99" s="608">
        <f>+'GF &amp; FF   Cash Flow'!G154</f>
        <v>2677.8175000000047</v>
      </c>
      <c r="H99" s="608">
        <f>+'GF &amp; FF   Cash Flow'!H154</f>
        <v>2750.7709835000023</v>
      </c>
      <c r="I99" s="608">
        <f>+'GF &amp; FF   Cash Flow'!I154</f>
        <v>2768.4060478375068</v>
      </c>
      <c r="J99" s="608">
        <f>+'GF &amp; FF   Cash Flow'!J154</f>
        <v>1643.1848237834461</v>
      </c>
      <c r="K99" s="621">
        <f>+'GF &amp; FF   Cash Flow'!K154</f>
        <v>2108.9221655507895</v>
      </c>
      <c r="L99" s="608">
        <f>+'GF &amp; FF   Cash Flow'!L154</f>
        <v>2671.3668669275539</v>
      </c>
      <c r="M99" s="608">
        <f>+'GF &amp; FF   Cash Flow'!M154</f>
        <v>2935.957320515206</v>
      </c>
      <c r="N99" s="608">
        <f>+'GF &amp; FF   Cash Flow'!N154</f>
        <v>3281.6807275133579</v>
      </c>
      <c r="O99" s="608">
        <f>+'GF &amp; FF   Cash Flow'!O154</f>
        <v>2414.2566560223222</v>
      </c>
      <c r="P99" s="608">
        <f>+'GF &amp; FF   Cash Flow'!P154</f>
        <v>-455.62589373663332</v>
      </c>
    </row>
    <row r="100" spans="1:16" ht="11.25" x14ac:dyDescent="0.2">
      <c r="A100" s="653" t="s">
        <v>38</v>
      </c>
      <c r="B100" s="608"/>
      <c r="C100" s="608"/>
      <c r="D100" s="608">
        <f>D54</f>
        <v>7148</v>
      </c>
      <c r="E100" s="608">
        <f t="shared" si="91"/>
        <v>1712</v>
      </c>
      <c r="F100" s="608">
        <f>+'GF &amp; FF   Cash Flow'!F156-F107</f>
        <v>1299.9440000000031</v>
      </c>
      <c r="G100" s="608">
        <f>+'GF &amp; FF   Cash Flow'!G156-G107</f>
        <v>2894.229000000003</v>
      </c>
      <c r="H100" s="608">
        <f>+'GF &amp; FF   Cash Flow'!H156-H107</f>
        <v>-4387.5979899999984</v>
      </c>
      <c r="I100" s="608">
        <f>+'GF &amp; FF   Cash Flow'!I156-I107</f>
        <v>-2092.7765996999988</v>
      </c>
      <c r="J100" s="608">
        <f>+'GF &amp; FF   Cash Flow'!J156-J107</f>
        <v>281.56884230900141</v>
      </c>
      <c r="K100" s="608">
        <f>+'GF &amp; FF   Cash Flow'!K156-K107</f>
        <v>503.40119315818083</v>
      </c>
      <c r="L100" s="608">
        <f>+'GF &amp; FF   Cash Flow'!L156-L107</f>
        <v>729.67019102434278</v>
      </c>
      <c r="M100" s="608">
        <f>+'GF &amp; FF   Cash Flow'!M156-M107</f>
        <v>960.46456884783038</v>
      </c>
      <c r="N100" s="608">
        <f>+'GF &amp; FF   Cash Flow'!N156-N107</f>
        <v>1195.8748342277904</v>
      </c>
      <c r="O100" s="608">
        <f>+'GF &amp; FF   Cash Flow'!O156-O107</f>
        <v>1435.9933049153478</v>
      </c>
      <c r="P100" s="608">
        <f>+'GF &amp; FF   Cash Flow'!P156-P107</f>
        <v>1680.9141450166535</v>
      </c>
    </row>
    <row r="101" spans="1:16" ht="11.25" x14ac:dyDescent="0.2">
      <c r="A101" s="653" t="s">
        <v>39</v>
      </c>
      <c r="B101" s="608"/>
      <c r="C101" s="608"/>
      <c r="D101" s="608">
        <f>D55</f>
        <v>5459</v>
      </c>
      <c r="E101" s="608">
        <f t="shared" si="91"/>
        <v>6766</v>
      </c>
      <c r="F101" s="608">
        <f t="shared" ref="F101:M103" si="92">+E101</f>
        <v>6766</v>
      </c>
      <c r="G101" s="608">
        <f t="shared" si="92"/>
        <v>6766</v>
      </c>
      <c r="H101" s="608">
        <f t="shared" si="92"/>
        <v>6766</v>
      </c>
      <c r="I101" s="608">
        <f t="shared" si="92"/>
        <v>6766</v>
      </c>
      <c r="J101" s="608">
        <f t="shared" si="92"/>
        <v>6766</v>
      </c>
      <c r="K101" s="608">
        <f t="shared" si="92"/>
        <v>6766</v>
      </c>
      <c r="L101" s="608">
        <f t="shared" si="92"/>
        <v>6766</v>
      </c>
      <c r="M101" s="608">
        <f t="shared" si="92"/>
        <v>6766</v>
      </c>
      <c r="N101" s="608">
        <f t="shared" ref="N101:N103" si="93">+M101</f>
        <v>6766</v>
      </c>
      <c r="O101" s="608">
        <f t="shared" ref="O101:P103" si="94">+N101</f>
        <v>6766</v>
      </c>
      <c r="P101" s="608">
        <f t="shared" si="94"/>
        <v>6766</v>
      </c>
    </row>
    <row r="102" spans="1:16" ht="11.25" x14ac:dyDescent="0.2">
      <c r="A102" s="653" t="s">
        <v>40</v>
      </c>
      <c r="B102" s="608"/>
      <c r="C102" s="608"/>
      <c r="D102" s="608">
        <f>D56</f>
        <v>2131</v>
      </c>
      <c r="E102" s="608">
        <f t="shared" si="91"/>
        <v>2116</v>
      </c>
      <c r="F102" s="608">
        <f t="shared" si="92"/>
        <v>2116</v>
      </c>
      <c r="G102" s="608">
        <f t="shared" si="92"/>
        <v>2116</v>
      </c>
      <c r="H102" s="608">
        <f t="shared" si="92"/>
        <v>2116</v>
      </c>
      <c r="I102" s="608">
        <f t="shared" si="92"/>
        <v>2116</v>
      </c>
      <c r="J102" s="608">
        <f t="shared" si="92"/>
        <v>2116</v>
      </c>
      <c r="K102" s="608">
        <f t="shared" si="92"/>
        <v>2116</v>
      </c>
      <c r="L102" s="608">
        <f t="shared" si="92"/>
        <v>2116</v>
      </c>
      <c r="M102" s="608">
        <f t="shared" si="92"/>
        <v>2116</v>
      </c>
      <c r="N102" s="608">
        <f t="shared" si="93"/>
        <v>2116</v>
      </c>
      <c r="O102" s="608">
        <f t="shared" si="94"/>
        <v>2116</v>
      </c>
      <c r="P102" s="608">
        <f t="shared" si="94"/>
        <v>2116</v>
      </c>
    </row>
    <row r="103" spans="1:16" ht="11.25" x14ac:dyDescent="0.2">
      <c r="A103" s="655" t="s">
        <v>41</v>
      </c>
      <c r="B103" s="615"/>
      <c r="C103" s="608"/>
      <c r="D103" s="608">
        <f>D57</f>
        <v>28</v>
      </c>
      <c r="E103" s="608">
        <f t="shared" si="91"/>
        <v>102</v>
      </c>
      <c r="F103" s="608">
        <f t="shared" si="92"/>
        <v>102</v>
      </c>
      <c r="G103" s="608">
        <f t="shared" si="92"/>
        <v>102</v>
      </c>
      <c r="H103" s="608">
        <f t="shared" si="92"/>
        <v>102</v>
      </c>
      <c r="I103" s="608">
        <f t="shared" si="92"/>
        <v>102</v>
      </c>
      <c r="J103" s="608">
        <f t="shared" si="92"/>
        <v>102</v>
      </c>
      <c r="K103" s="608">
        <f t="shared" si="92"/>
        <v>102</v>
      </c>
      <c r="L103" s="608">
        <f t="shared" si="92"/>
        <v>102</v>
      </c>
      <c r="M103" s="608">
        <f t="shared" si="92"/>
        <v>102</v>
      </c>
      <c r="N103" s="608">
        <f t="shared" si="93"/>
        <v>102</v>
      </c>
      <c r="O103" s="608">
        <f t="shared" si="94"/>
        <v>102</v>
      </c>
      <c r="P103" s="608">
        <f t="shared" si="94"/>
        <v>102</v>
      </c>
    </row>
    <row r="104" spans="1:16" ht="11.25" x14ac:dyDescent="0.2">
      <c r="A104" s="654" t="s">
        <v>42</v>
      </c>
      <c r="B104" s="656">
        <f>SUM(B99:B103)</f>
        <v>0</v>
      </c>
      <c r="C104" s="656">
        <f t="shared" ref="C104" si="95">SUM(C99:C103)</f>
        <v>0</v>
      </c>
      <c r="D104" s="656">
        <f t="shared" ref="D104:M104" si="96">SUM(D99:D103)</f>
        <v>24062</v>
      </c>
      <c r="E104" s="656">
        <f t="shared" si="96"/>
        <v>13015</v>
      </c>
      <c r="F104" s="656">
        <f t="shared" si="96"/>
        <v>12632.944000000007</v>
      </c>
      <c r="G104" s="656">
        <f t="shared" si="96"/>
        <v>14556.046500000008</v>
      </c>
      <c r="H104" s="656">
        <f t="shared" si="96"/>
        <v>7347.1729935000039</v>
      </c>
      <c r="I104" s="656">
        <f t="shared" si="96"/>
        <v>9659.629448137508</v>
      </c>
      <c r="J104" s="656">
        <f t="shared" si="96"/>
        <v>10908.753666092447</v>
      </c>
      <c r="K104" s="656">
        <f t="shared" si="96"/>
        <v>11596.323358708971</v>
      </c>
      <c r="L104" s="656">
        <f t="shared" si="96"/>
        <v>12385.037057951897</v>
      </c>
      <c r="M104" s="656">
        <f t="shared" si="96"/>
        <v>12880.421889363037</v>
      </c>
      <c r="N104" s="656">
        <f t="shared" ref="N104:O104" si="97">SUM(N99:N103)</f>
        <v>13461.555561741148</v>
      </c>
      <c r="O104" s="656">
        <f t="shared" si="97"/>
        <v>12834.24996093767</v>
      </c>
      <c r="P104" s="656">
        <f t="shared" ref="P104" si="98">SUM(P99:P103)</f>
        <v>10209.288251280021</v>
      </c>
    </row>
    <row r="105" spans="1:16" ht="11.25" x14ac:dyDescent="0.2">
      <c r="B105" s="608"/>
      <c r="C105" s="608"/>
      <c r="D105" s="608"/>
      <c r="E105" s="608"/>
      <c r="F105" s="608"/>
      <c r="G105" s="608"/>
      <c r="H105" s="608"/>
      <c r="I105" s="608"/>
      <c r="J105" s="608"/>
      <c r="K105" s="608"/>
      <c r="L105" s="608"/>
      <c r="M105" s="608"/>
      <c r="N105" s="608"/>
      <c r="O105" s="608"/>
      <c r="P105" s="608"/>
    </row>
    <row r="106" spans="1:16" ht="11.25" x14ac:dyDescent="0.2">
      <c r="A106" s="654" t="s">
        <v>43</v>
      </c>
      <c r="B106" s="608"/>
      <c r="C106" s="608"/>
      <c r="D106" s="608"/>
      <c r="E106" s="608"/>
      <c r="F106" s="608"/>
      <c r="G106" s="608"/>
      <c r="H106" s="608"/>
      <c r="I106" s="608"/>
      <c r="J106" s="608"/>
      <c r="K106" s="608"/>
      <c r="L106" s="608"/>
      <c r="M106" s="608"/>
      <c r="N106" s="608"/>
      <c r="O106" s="608"/>
      <c r="P106" s="608"/>
    </row>
    <row r="107" spans="1:16" ht="11.25" x14ac:dyDescent="0.2">
      <c r="A107" s="608" t="str">
        <f>A61</f>
        <v>Investments</v>
      </c>
      <c r="B107" s="608"/>
      <c r="C107" s="608"/>
      <c r="D107" s="608">
        <f>D61</f>
        <v>38964</v>
      </c>
      <c r="E107" s="608">
        <f t="shared" ref="E107:E110" si="99">E61</f>
        <v>15371</v>
      </c>
      <c r="F107" s="608">
        <f>E107</f>
        <v>15371</v>
      </c>
      <c r="G107" s="608">
        <f t="shared" ref="G107:P107" si="100">F107</f>
        <v>15371</v>
      </c>
      <c r="H107" s="608">
        <f t="shared" si="100"/>
        <v>15371</v>
      </c>
      <c r="I107" s="608">
        <f t="shared" si="100"/>
        <v>15371</v>
      </c>
      <c r="J107" s="608">
        <f t="shared" si="100"/>
        <v>15371</v>
      </c>
      <c r="K107" s="608">
        <f t="shared" si="100"/>
        <v>15371</v>
      </c>
      <c r="L107" s="608">
        <f t="shared" si="100"/>
        <v>15371</v>
      </c>
      <c r="M107" s="608">
        <f t="shared" si="100"/>
        <v>15371</v>
      </c>
      <c r="N107" s="608">
        <f t="shared" si="100"/>
        <v>15371</v>
      </c>
      <c r="O107" s="608">
        <f t="shared" si="100"/>
        <v>15371</v>
      </c>
      <c r="P107" s="608">
        <f t="shared" si="100"/>
        <v>15371</v>
      </c>
    </row>
    <row r="108" spans="1:16" ht="11.25" x14ac:dyDescent="0.2">
      <c r="A108" s="760" t="s">
        <v>44</v>
      </c>
      <c r="B108" s="608"/>
      <c r="C108" s="608"/>
      <c r="D108" s="608">
        <f>D62</f>
        <v>550049</v>
      </c>
      <c r="E108" s="608">
        <f t="shared" si="99"/>
        <v>461754</v>
      </c>
      <c r="F108" s="608">
        <f>+E108-'GF &amp; FF  Inc Exp Statement'!F171+SUM('GF &amp; FF  Inc Exp Statement'!F195:F197)-'GF &amp; FF  Inc Exp Statement'!F196-'GF &amp; FF  Inc Exp Statement'!F209</f>
        <v>474493.77600000001</v>
      </c>
      <c r="G108" s="608">
        <f>+F108-'GF &amp; FF  Inc Exp Statement'!G171+SUM('GF &amp; FF  Inc Exp Statement'!G195:G197)-'GF &amp; FF  Inc Exp Statement'!G196-'GF &amp; FF  Inc Exp Statement'!G209</f>
        <v>477227.12299999996</v>
      </c>
      <c r="H108" s="608">
        <f>+G108-'GF &amp; FF  Inc Exp Statement'!H171+SUM('GF &amp; FF  Inc Exp Statement'!H195:H197)-'GF &amp; FF  Inc Exp Statement'!H196-'GF &amp; FF  Inc Exp Statement'!H209</f>
        <v>499471.43079999997</v>
      </c>
      <c r="I108" s="608">
        <f>+H108-'GF &amp; FF  Inc Exp Statement'!I171+SUM('GF &amp; FF  Inc Exp Statement'!I195:I197)-'GF &amp; FF  Inc Exp Statement'!I196-'GF &amp; FF  Inc Exp Statement'!I209</f>
        <v>516429.83119499998</v>
      </c>
      <c r="J108" s="608">
        <f>+I108-'GF &amp; FF  Inc Exp Statement'!J171+SUM('GF &amp; FF  Inc Exp Statement'!J195:J197)-'GF &amp; FF  Inc Exp Statement'!J196-'GF &amp; FF  Inc Exp Statement'!J209</f>
        <v>518711.28559987497</v>
      </c>
      <c r="K108" s="608">
        <f>+J108-'GF &amp; FF  Inc Exp Statement'!K171+SUM('GF &amp; FF  Inc Exp Statement'!K195:K197)-'GF &amp; FF  Inc Exp Statement'!K196-'GF &amp; FF  Inc Exp Statement'!K209</f>
        <v>520995.21369784744</v>
      </c>
      <c r="L108" s="608">
        <f>+K108-'GF &amp; FF  Inc Exp Statement'!L171+SUM('GF &amp; FF  Inc Exp Statement'!L195:L197)-'GF &amp; FF  Inc Exp Statement'!L196-'GF &amp; FF  Inc Exp Statement'!L209</f>
        <v>523280.58607790445</v>
      </c>
      <c r="M108" s="608">
        <f>+L108-'GF &amp; FF  Inc Exp Statement'!M171+SUM('GF &amp; FF  Inc Exp Statement'!M195:M197)-'GF &amp; FF  Inc Exp Statement'!M196-'GF &amp; FF  Inc Exp Statement'!M209</f>
        <v>525566.32576869067</v>
      </c>
      <c r="N108" s="608">
        <f>+M108-'GF &amp; FF  Inc Exp Statement'!N171+SUM('GF &amp; FF  Inc Exp Statement'!N195:N197)-'GF &amp; FF  Inc Exp Statement'!N196-'GF &amp; FF  Inc Exp Statement'!N209</f>
        <v>527851.30661299895</v>
      </c>
      <c r="O108" s="608">
        <f>+N108-'GF &amp; FF  Inc Exp Statement'!O171+SUM('GF &amp; FF  Inc Exp Statement'!O195:O197)-'GF &amp; FF  Inc Exp Statement'!O196-'GF &amp; FF  Inc Exp Statement'!O209</f>
        <v>530134.35159289232</v>
      </c>
      <c r="P108" s="608">
        <f>+O108-'GF &amp; FF  Inc Exp Statement'!P171+SUM('GF &amp; FF  Inc Exp Statement'!P195:P197)-'GF &amp; FF  Inc Exp Statement'!P196-'GF &amp; FF  Inc Exp Statement'!P209</f>
        <v>532414.23110405006</v>
      </c>
    </row>
    <row r="109" spans="1:16" ht="22.5" x14ac:dyDescent="0.2">
      <c r="A109" s="608" t="str">
        <f t="shared" ref="A109:A110" si="101">A63</f>
        <v>Investments accounted for using the equity method</v>
      </c>
      <c r="B109" s="608"/>
      <c r="C109" s="608"/>
      <c r="D109" s="608">
        <f t="shared" ref="D109:P110" si="102">D63</f>
        <v>89</v>
      </c>
      <c r="E109" s="608">
        <f t="shared" si="99"/>
        <v>91</v>
      </c>
      <c r="F109" s="608">
        <f t="shared" si="102"/>
        <v>91</v>
      </c>
      <c r="G109" s="608">
        <f t="shared" si="102"/>
        <v>91</v>
      </c>
      <c r="H109" s="608">
        <f t="shared" si="102"/>
        <v>91</v>
      </c>
      <c r="I109" s="608">
        <f t="shared" si="102"/>
        <v>91</v>
      </c>
      <c r="J109" s="608">
        <f t="shared" si="102"/>
        <v>91</v>
      </c>
      <c r="K109" s="608">
        <f t="shared" si="102"/>
        <v>91</v>
      </c>
      <c r="L109" s="608">
        <f t="shared" si="102"/>
        <v>91</v>
      </c>
      <c r="M109" s="608">
        <f t="shared" si="102"/>
        <v>91</v>
      </c>
      <c r="N109" s="608">
        <f t="shared" si="102"/>
        <v>91</v>
      </c>
      <c r="O109" s="608">
        <f t="shared" si="102"/>
        <v>91</v>
      </c>
      <c r="P109" s="608">
        <f t="shared" si="102"/>
        <v>91</v>
      </c>
    </row>
    <row r="110" spans="1:16" ht="11.25" x14ac:dyDescent="0.2">
      <c r="A110" s="608" t="str">
        <f t="shared" si="101"/>
        <v>Investment Property</v>
      </c>
      <c r="B110" s="608"/>
      <c r="C110" s="608"/>
      <c r="D110" s="608">
        <f t="shared" si="102"/>
        <v>8861</v>
      </c>
      <c r="E110" s="608">
        <f t="shared" si="99"/>
        <v>20675</v>
      </c>
      <c r="F110" s="608">
        <f>E110+'GF &amp; FF  Inc Exp Statement'!F196</f>
        <v>20675</v>
      </c>
      <c r="G110" s="608">
        <f>F110+'GF &amp; FF  Inc Exp Statement'!G196</f>
        <v>20675</v>
      </c>
      <c r="H110" s="608">
        <f>G110+'GF &amp; FF  Inc Exp Statement'!H196</f>
        <v>20675</v>
      </c>
      <c r="I110" s="608">
        <f>H110+'GF &amp; FF  Inc Exp Statement'!I196</f>
        <v>20675</v>
      </c>
      <c r="J110" s="608">
        <f>I110+'GF &amp; FF  Inc Exp Statement'!J196</f>
        <v>20675</v>
      </c>
      <c r="K110" s="608">
        <f>J110+'GF &amp; FF  Inc Exp Statement'!K196</f>
        <v>20675</v>
      </c>
      <c r="L110" s="608">
        <f>K110+'GF &amp; FF  Inc Exp Statement'!L196</f>
        <v>20675</v>
      </c>
      <c r="M110" s="608">
        <f>L110+'GF &amp; FF  Inc Exp Statement'!M196</f>
        <v>20675</v>
      </c>
      <c r="N110" s="608">
        <f>M110+'GF &amp; FF  Inc Exp Statement'!N196</f>
        <v>20675</v>
      </c>
      <c r="O110" s="608">
        <f>N110+'GF &amp; FF  Inc Exp Statement'!O196</f>
        <v>20675</v>
      </c>
      <c r="P110" s="608">
        <f>O110+'GF &amp; FF  Inc Exp Statement'!P196</f>
        <v>20675</v>
      </c>
    </row>
    <row r="111" spans="1:16" ht="11.25" x14ac:dyDescent="0.2">
      <c r="A111" s="761" t="s">
        <v>45</v>
      </c>
      <c r="B111" s="762">
        <f>SUM(B108)</f>
        <v>0</v>
      </c>
      <c r="C111" s="762">
        <f t="shared" ref="C111" si="103">SUM(C108)</f>
        <v>0</v>
      </c>
      <c r="D111" s="762">
        <f>SUM(D107:D110)</f>
        <v>597963</v>
      </c>
      <c r="E111" s="762">
        <f t="shared" ref="E111:P111" si="104">SUM(E107:E110)</f>
        <v>497891</v>
      </c>
      <c r="F111" s="762">
        <f t="shared" si="104"/>
        <v>510630.77600000001</v>
      </c>
      <c r="G111" s="762">
        <f t="shared" si="104"/>
        <v>513364.12299999996</v>
      </c>
      <c r="H111" s="762">
        <f t="shared" si="104"/>
        <v>535608.43079999997</v>
      </c>
      <c r="I111" s="762">
        <f t="shared" si="104"/>
        <v>552566.83119499998</v>
      </c>
      <c r="J111" s="762">
        <f t="shared" si="104"/>
        <v>554848.28559987503</v>
      </c>
      <c r="K111" s="762">
        <f t="shared" si="104"/>
        <v>557132.21369784744</v>
      </c>
      <c r="L111" s="762">
        <f t="shared" si="104"/>
        <v>559417.58607790445</v>
      </c>
      <c r="M111" s="762">
        <f t="shared" si="104"/>
        <v>561703.32576869067</v>
      </c>
      <c r="N111" s="762">
        <f t="shared" si="104"/>
        <v>563988.30661299895</v>
      </c>
      <c r="O111" s="762">
        <f t="shared" si="104"/>
        <v>566271.35159289232</v>
      </c>
      <c r="P111" s="762">
        <f t="shared" si="104"/>
        <v>568551.23110405006</v>
      </c>
    </row>
    <row r="112" spans="1:16" ht="11.25" x14ac:dyDescent="0.2">
      <c r="B112" s="608"/>
      <c r="C112" s="608"/>
      <c r="D112" s="608"/>
      <c r="E112" s="608"/>
      <c r="F112" s="608"/>
      <c r="G112" s="608"/>
      <c r="H112" s="608"/>
      <c r="I112" s="608"/>
      <c r="J112" s="608"/>
      <c r="K112" s="608"/>
      <c r="L112" s="608"/>
      <c r="M112" s="608"/>
      <c r="N112" s="608"/>
      <c r="O112" s="608"/>
      <c r="P112" s="608"/>
    </row>
    <row r="113" spans="1:16" ht="12" thickBot="1" x14ac:dyDescent="0.25">
      <c r="A113" s="654" t="s">
        <v>46</v>
      </c>
      <c r="B113" s="665">
        <f>+B104+B111</f>
        <v>0</v>
      </c>
      <c r="C113" s="665">
        <f t="shared" ref="C113" si="105">+C104+C111</f>
        <v>0</v>
      </c>
      <c r="D113" s="665">
        <f t="shared" ref="D113:M113" si="106">+D104+D111</f>
        <v>622025</v>
      </c>
      <c r="E113" s="665">
        <f t="shared" si="106"/>
        <v>510906</v>
      </c>
      <c r="F113" s="665">
        <f t="shared" si="106"/>
        <v>523263.72000000003</v>
      </c>
      <c r="G113" s="665">
        <f t="shared" si="106"/>
        <v>527920.16949999996</v>
      </c>
      <c r="H113" s="665">
        <f t="shared" si="106"/>
        <v>542955.60379349999</v>
      </c>
      <c r="I113" s="665">
        <f t="shared" si="106"/>
        <v>562226.46064313746</v>
      </c>
      <c r="J113" s="665">
        <f t="shared" si="106"/>
        <v>565757.03926596744</v>
      </c>
      <c r="K113" s="665">
        <f t="shared" si="106"/>
        <v>568728.53705655644</v>
      </c>
      <c r="L113" s="665">
        <f t="shared" si="106"/>
        <v>571802.62313585635</v>
      </c>
      <c r="M113" s="665">
        <f t="shared" si="106"/>
        <v>574583.74765805376</v>
      </c>
      <c r="N113" s="665">
        <f t="shared" ref="N113:O113" si="107">+N104+N111</f>
        <v>577449.86217474006</v>
      </c>
      <c r="O113" s="665">
        <f t="shared" si="107"/>
        <v>579105.60155382997</v>
      </c>
      <c r="P113" s="665">
        <f t="shared" ref="P113" si="108">+P104+P111</f>
        <v>578760.51935533003</v>
      </c>
    </row>
    <row r="114" spans="1:16" ht="11.25" x14ac:dyDescent="0.2">
      <c r="B114" s="608"/>
      <c r="C114" s="608"/>
      <c r="D114" s="608"/>
      <c r="E114" s="608"/>
      <c r="F114" s="608"/>
      <c r="G114" s="608"/>
      <c r="H114" s="608"/>
      <c r="I114" s="608"/>
      <c r="J114" s="608"/>
      <c r="K114" s="608"/>
      <c r="L114" s="608"/>
      <c r="M114" s="608"/>
      <c r="N114" s="608"/>
      <c r="O114" s="608"/>
      <c r="P114" s="608"/>
    </row>
    <row r="115" spans="1:16" ht="11.25" x14ac:dyDescent="0.2">
      <c r="A115" s="654" t="s">
        <v>47</v>
      </c>
      <c r="B115" s="608"/>
      <c r="C115" s="608"/>
      <c r="D115" s="608"/>
      <c r="E115" s="608"/>
      <c r="F115" s="608"/>
      <c r="G115" s="608"/>
      <c r="H115" s="608"/>
      <c r="I115" s="608"/>
      <c r="J115" s="608"/>
      <c r="K115" s="608"/>
      <c r="L115" s="608"/>
      <c r="M115" s="608"/>
      <c r="N115" s="608"/>
      <c r="O115" s="608"/>
      <c r="P115" s="608"/>
    </row>
    <row r="116" spans="1:16" ht="11.25" x14ac:dyDescent="0.2">
      <c r="A116" s="654" t="s">
        <v>48</v>
      </c>
      <c r="B116" s="608"/>
      <c r="C116" s="608"/>
      <c r="D116" s="608"/>
      <c r="E116" s="608"/>
      <c r="F116" s="608"/>
      <c r="G116" s="608"/>
      <c r="H116" s="608"/>
      <c r="I116" s="608"/>
      <c r="J116" s="608"/>
      <c r="K116" s="608"/>
      <c r="L116" s="608"/>
      <c r="M116" s="608"/>
      <c r="N116" s="608"/>
      <c r="O116" s="608"/>
      <c r="P116" s="608"/>
    </row>
    <row r="117" spans="1:16" ht="11.25" x14ac:dyDescent="0.2">
      <c r="A117" s="666" t="s">
        <v>49</v>
      </c>
      <c r="B117" s="608"/>
      <c r="C117" s="608"/>
      <c r="D117" s="608">
        <f>D71</f>
        <v>5504</v>
      </c>
      <c r="E117" s="608">
        <f t="shared" ref="E117:E119" si="109">E71</f>
        <v>4470</v>
      </c>
      <c r="F117" s="608">
        <f t="shared" ref="F117:M119" si="110">+E117</f>
        <v>4470</v>
      </c>
      <c r="G117" s="608">
        <f t="shared" si="110"/>
        <v>4470</v>
      </c>
      <c r="H117" s="608">
        <f t="shared" si="110"/>
        <v>4470</v>
      </c>
      <c r="I117" s="608">
        <f t="shared" si="110"/>
        <v>4470</v>
      </c>
      <c r="J117" s="608">
        <f t="shared" si="110"/>
        <v>4470</v>
      </c>
      <c r="K117" s="608">
        <f t="shared" si="110"/>
        <v>4470</v>
      </c>
      <c r="L117" s="608">
        <f t="shared" si="110"/>
        <v>4470</v>
      </c>
      <c r="M117" s="608">
        <f t="shared" si="110"/>
        <v>4470</v>
      </c>
      <c r="N117" s="608">
        <f t="shared" ref="N117:N119" si="111">+M117</f>
        <v>4470</v>
      </c>
      <c r="O117" s="608">
        <f t="shared" ref="O117:P119" si="112">+N117</f>
        <v>4470</v>
      </c>
      <c r="P117" s="608">
        <f t="shared" si="112"/>
        <v>4470</v>
      </c>
    </row>
    <row r="118" spans="1:16" ht="11.25" x14ac:dyDescent="0.2">
      <c r="A118" s="666" t="s">
        <v>1051</v>
      </c>
      <c r="B118" s="608"/>
      <c r="C118" s="608"/>
      <c r="D118" s="608">
        <f>D72</f>
        <v>2925</v>
      </c>
      <c r="E118" s="608">
        <f t="shared" si="109"/>
        <v>667</v>
      </c>
      <c r="F118" s="608">
        <f>-'GF &amp; FF   Cash Flow'!G147</f>
        <v>621.83900000000006</v>
      </c>
      <c r="G118" s="608">
        <f>-'GF &amp; FF   Cash Flow'!H147</f>
        <v>555.48599999999999</v>
      </c>
      <c r="H118" s="608">
        <f>-'GF &amp; FF   Cash Flow'!I147</f>
        <v>672.75099999999998</v>
      </c>
      <c r="I118" s="608">
        <f>-'GF &amp; FF   Cash Flow'!J147</f>
        <v>972.69899999999996</v>
      </c>
      <c r="J118" s="608">
        <f>-'GF &amp; FF   Cash Flow'!K147</f>
        <v>992.15297999999996</v>
      </c>
      <c r="K118" s="608">
        <f>-'GF &amp; FF   Cash Flow'!L147</f>
        <v>1011.9960396</v>
      </c>
      <c r="L118" s="608">
        <f>-'GF &amp; FF   Cash Flow'!M147</f>
        <v>1032.2359603919999</v>
      </c>
      <c r="M118" s="608">
        <f>-'GF &amp; FF   Cash Flow'!N147</f>
        <v>1052.8806795998401</v>
      </c>
      <c r="N118" s="608">
        <f>-'GF &amp; FF   Cash Flow'!O147</f>
        <v>1073.9382931918369</v>
      </c>
      <c r="O118" s="608">
        <f>-'GF &amp; FF   Cash Flow'!P147</f>
        <v>1095.4170590556737</v>
      </c>
      <c r="P118" s="608">
        <f>-'GF &amp; FF   Cash Flow'!Q147</f>
        <v>0</v>
      </c>
    </row>
    <row r="119" spans="1:16" ht="11.25" x14ac:dyDescent="0.2">
      <c r="A119" s="667" t="s">
        <v>50</v>
      </c>
      <c r="B119" s="615"/>
      <c r="C119" s="608"/>
      <c r="D119" s="608">
        <f t="shared" ref="D119" si="113">D73</f>
        <v>2773</v>
      </c>
      <c r="E119" s="608">
        <f t="shared" si="109"/>
        <v>2577</v>
      </c>
      <c r="F119" s="608">
        <f t="shared" si="110"/>
        <v>2577</v>
      </c>
      <c r="G119" s="608">
        <f t="shared" si="110"/>
        <v>2577</v>
      </c>
      <c r="H119" s="608">
        <f t="shared" si="110"/>
        <v>2577</v>
      </c>
      <c r="I119" s="608">
        <f t="shared" si="110"/>
        <v>2577</v>
      </c>
      <c r="J119" s="608">
        <f t="shared" si="110"/>
        <v>2577</v>
      </c>
      <c r="K119" s="608">
        <f t="shared" si="110"/>
        <v>2577</v>
      </c>
      <c r="L119" s="608">
        <f t="shared" si="110"/>
        <v>2577</v>
      </c>
      <c r="M119" s="608">
        <f t="shared" si="110"/>
        <v>2577</v>
      </c>
      <c r="N119" s="608">
        <f t="shared" si="111"/>
        <v>2577</v>
      </c>
      <c r="O119" s="608">
        <f t="shared" si="112"/>
        <v>2577</v>
      </c>
      <c r="P119" s="608">
        <f t="shared" si="112"/>
        <v>2577</v>
      </c>
    </row>
    <row r="120" spans="1:16" ht="11.25" x14ac:dyDescent="0.2">
      <c r="A120" s="654" t="s">
        <v>51</v>
      </c>
      <c r="B120" s="656">
        <f>SUM(B117:B119)</f>
        <v>0</v>
      </c>
      <c r="C120" s="656">
        <f t="shared" ref="C120" si="114">SUM(C117:C119)</f>
        <v>0</v>
      </c>
      <c r="D120" s="656">
        <f t="shared" ref="D120:M120" si="115">SUM(D117:D119)</f>
        <v>11202</v>
      </c>
      <c r="E120" s="656">
        <f t="shared" si="115"/>
        <v>7714</v>
      </c>
      <c r="F120" s="656">
        <f t="shared" si="115"/>
        <v>7668.8389999999999</v>
      </c>
      <c r="G120" s="656">
        <f t="shared" si="115"/>
        <v>7602.4859999999999</v>
      </c>
      <c r="H120" s="656">
        <f t="shared" si="115"/>
        <v>7719.7510000000002</v>
      </c>
      <c r="I120" s="656">
        <f t="shared" si="115"/>
        <v>8019.6989999999996</v>
      </c>
      <c r="J120" s="656">
        <f t="shared" si="115"/>
        <v>8039.1529799999998</v>
      </c>
      <c r="K120" s="656">
        <f t="shared" si="115"/>
        <v>8058.9960395999997</v>
      </c>
      <c r="L120" s="656">
        <f t="shared" si="115"/>
        <v>8079.2359603919995</v>
      </c>
      <c r="M120" s="656">
        <f t="shared" si="115"/>
        <v>8099.8806795998398</v>
      </c>
      <c r="N120" s="656">
        <f t="shared" ref="N120:O120" si="116">SUM(N117:N119)</f>
        <v>8120.9382931918371</v>
      </c>
      <c r="O120" s="656">
        <f t="shared" si="116"/>
        <v>8142.4170590556732</v>
      </c>
      <c r="P120" s="656">
        <f t="shared" ref="P120" si="117">SUM(P117:P119)</f>
        <v>7047</v>
      </c>
    </row>
    <row r="121" spans="1:16" ht="11.25" x14ac:dyDescent="0.2">
      <c r="B121" s="608"/>
      <c r="C121" s="608"/>
      <c r="D121" s="608"/>
      <c r="E121" s="608"/>
      <c r="F121" s="608"/>
      <c r="G121" s="608"/>
      <c r="H121" s="608"/>
      <c r="I121" s="608"/>
      <c r="J121" s="608"/>
      <c r="K121" s="608"/>
      <c r="L121" s="608"/>
      <c r="M121" s="608"/>
      <c r="N121" s="608"/>
      <c r="O121" s="608"/>
      <c r="P121" s="608"/>
    </row>
    <row r="122" spans="1:16" ht="11.25" x14ac:dyDescent="0.2">
      <c r="A122" s="654" t="s">
        <v>52</v>
      </c>
      <c r="B122" s="608"/>
      <c r="C122" s="608"/>
      <c r="D122" s="608"/>
      <c r="E122" s="608"/>
      <c r="F122" s="608"/>
      <c r="G122" s="608"/>
      <c r="H122" s="608"/>
      <c r="I122" s="608"/>
      <c r="J122" s="608"/>
      <c r="K122" s="608"/>
      <c r="L122" s="608"/>
      <c r="M122" s="608"/>
      <c r="N122" s="608"/>
      <c r="O122" s="608"/>
      <c r="P122" s="608"/>
    </row>
    <row r="123" spans="1:16" ht="11.25" x14ac:dyDescent="0.2">
      <c r="A123" s="653" t="s">
        <v>49</v>
      </c>
      <c r="B123" s="608"/>
      <c r="C123" s="608"/>
      <c r="D123" s="608">
        <f>D77</f>
        <v>0</v>
      </c>
      <c r="E123" s="608">
        <f t="shared" ref="E123:E125" si="118">E77</f>
        <v>0</v>
      </c>
      <c r="F123" s="608">
        <f t="shared" ref="F123:M125" si="119">+E123</f>
        <v>0</v>
      </c>
      <c r="G123" s="608">
        <f t="shared" si="119"/>
        <v>0</v>
      </c>
      <c r="H123" s="608">
        <f t="shared" si="119"/>
        <v>0</v>
      </c>
      <c r="I123" s="608">
        <f t="shared" si="119"/>
        <v>0</v>
      </c>
      <c r="J123" s="608">
        <f t="shared" si="119"/>
        <v>0</v>
      </c>
      <c r="K123" s="608">
        <f t="shared" si="119"/>
        <v>0</v>
      </c>
      <c r="L123" s="608">
        <f t="shared" si="119"/>
        <v>0</v>
      </c>
      <c r="M123" s="608">
        <f t="shared" si="119"/>
        <v>0</v>
      </c>
      <c r="N123" s="608">
        <f t="shared" ref="N123:N125" si="120">+M123</f>
        <v>0</v>
      </c>
      <c r="O123" s="608">
        <f t="shared" ref="O123:P125" si="121">+N123</f>
        <v>0</v>
      </c>
      <c r="P123" s="608">
        <f t="shared" si="121"/>
        <v>0</v>
      </c>
    </row>
    <row r="124" spans="1:16" ht="11.25" x14ac:dyDescent="0.2">
      <c r="A124" s="653" t="s">
        <v>1051</v>
      </c>
      <c r="B124" s="608"/>
      <c r="C124" s="608"/>
      <c r="D124" s="608">
        <f>D78</f>
        <v>13675</v>
      </c>
      <c r="E124" s="608">
        <f t="shared" si="118"/>
        <v>23392</v>
      </c>
      <c r="F124" s="608">
        <f>E118+E124+'GF &amp; FF   Cash Flow'!F144+'GF &amp; FF   Cash Flow'!F147-F118</f>
        <v>32866.874000000003</v>
      </c>
      <c r="G124" s="608">
        <f>F118+F124+'GF &amp; FF   Cash Flow'!G144+'GF &amp; FF   Cash Flow'!G147-G118</f>
        <v>32311.388000000003</v>
      </c>
      <c r="H124" s="608">
        <f>G118+G124+'GF &amp; FF   Cash Flow'!H144+'GF &amp; FF   Cash Flow'!H147-H118</f>
        <v>42138.63700000001</v>
      </c>
      <c r="I124" s="608">
        <f>H118+H124+'GF &amp; FF   Cash Flow'!I144+'GF &amp; FF   Cash Flow'!I147-I118</f>
        <v>52165.938000000009</v>
      </c>
      <c r="J124" s="608">
        <f>I118+I124+'GF &amp; FF   Cash Flow'!J144+'GF &amp; FF   Cash Flow'!J147-J118</f>
        <v>51173.78502000001</v>
      </c>
      <c r="K124" s="608">
        <f>J118+J124+'GF &amp; FF   Cash Flow'!K144+'GF &amp; FF   Cash Flow'!K147-K118</f>
        <v>50161.788980400008</v>
      </c>
      <c r="L124" s="608">
        <f>K118+K124+'GF &amp; FF   Cash Flow'!L144+'GF &amp; FF   Cash Flow'!L147-L118</f>
        <v>49129.55302000801</v>
      </c>
      <c r="M124" s="608">
        <f>L118+L124+'GF &amp; FF   Cash Flow'!M144+'GF &amp; FF   Cash Flow'!M147-M118</f>
        <v>48076.672340408171</v>
      </c>
      <c r="N124" s="608">
        <f>M118+M124+'GF &amp; FF   Cash Flow'!N144+'GF &amp; FF   Cash Flow'!N147-N118</f>
        <v>47002.734047216334</v>
      </c>
      <c r="O124" s="608">
        <f>N118+N124+'GF &amp; FF   Cash Flow'!O144+'GF &amp; FF   Cash Flow'!O147-O118</f>
        <v>45907.316988160659</v>
      </c>
      <c r="P124" s="608">
        <f>O118+O124+'GF &amp; FF   Cash Flow'!P144+'GF &amp; FF   Cash Flow'!P147-P118</f>
        <v>45907.316988160659</v>
      </c>
    </row>
    <row r="125" spans="1:16" ht="11.25" x14ac:dyDescent="0.2">
      <c r="A125" s="655" t="s">
        <v>50</v>
      </c>
      <c r="B125" s="615"/>
      <c r="C125" s="608"/>
      <c r="D125" s="608">
        <f t="shared" ref="D125" si="122">D79</f>
        <v>5056</v>
      </c>
      <c r="E125" s="608">
        <f t="shared" si="118"/>
        <v>5284</v>
      </c>
      <c r="F125" s="608">
        <f t="shared" si="119"/>
        <v>5284</v>
      </c>
      <c r="G125" s="608">
        <f t="shared" si="119"/>
        <v>5284</v>
      </c>
      <c r="H125" s="608">
        <f t="shared" si="119"/>
        <v>5284</v>
      </c>
      <c r="I125" s="608">
        <f t="shared" si="119"/>
        <v>5284</v>
      </c>
      <c r="J125" s="608">
        <f t="shared" si="119"/>
        <v>5284</v>
      </c>
      <c r="K125" s="608">
        <f t="shared" si="119"/>
        <v>5284</v>
      </c>
      <c r="L125" s="608">
        <f t="shared" si="119"/>
        <v>5284</v>
      </c>
      <c r="M125" s="608">
        <f t="shared" si="119"/>
        <v>5284</v>
      </c>
      <c r="N125" s="608">
        <f t="shared" si="120"/>
        <v>5284</v>
      </c>
      <c r="O125" s="608">
        <f t="shared" si="121"/>
        <v>5284</v>
      </c>
      <c r="P125" s="608">
        <f t="shared" si="121"/>
        <v>5284</v>
      </c>
    </row>
    <row r="126" spans="1:16" ht="11.25" x14ac:dyDescent="0.2">
      <c r="A126" s="654" t="s">
        <v>53</v>
      </c>
      <c r="B126" s="656">
        <f>SUM(B123:B125)</f>
        <v>0</v>
      </c>
      <c r="C126" s="656">
        <f t="shared" ref="C126" si="123">SUM(C123:C125)</f>
        <v>0</v>
      </c>
      <c r="D126" s="656">
        <f t="shared" ref="D126:M126" si="124">SUM(D123:D125)</f>
        <v>18731</v>
      </c>
      <c r="E126" s="656">
        <f t="shared" si="124"/>
        <v>28676</v>
      </c>
      <c r="F126" s="656">
        <f t="shared" si="124"/>
        <v>38150.874000000003</v>
      </c>
      <c r="G126" s="656">
        <f t="shared" si="124"/>
        <v>37595.388000000006</v>
      </c>
      <c r="H126" s="656">
        <f t="shared" si="124"/>
        <v>47422.63700000001</v>
      </c>
      <c r="I126" s="656">
        <f t="shared" si="124"/>
        <v>57449.938000000009</v>
      </c>
      <c r="J126" s="656">
        <f t="shared" si="124"/>
        <v>56457.78502000001</v>
      </c>
      <c r="K126" s="656">
        <f t="shared" si="124"/>
        <v>55445.788980400008</v>
      </c>
      <c r="L126" s="656">
        <f t="shared" si="124"/>
        <v>54413.55302000801</v>
      </c>
      <c r="M126" s="656">
        <f t="shared" si="124"/>
        <v>53360.672340408171</v>
      </c>
      <c r="N126" s="656">
        <f t="shared" ref="N126:O126" si="125">SUM(N123:N125)</f>
        <v>52286.734047216334</v>
      </c>
      <c r="O126" s="656">
        <f t="shared" si="125"/>
        <v>51191.316988160659</v>
      </c>
      <c r="P126" s="656">
        <f t="shared" ref="P126" si="126">SUM(P123:P125)</f>
        <v>51191.316988160659</v>
      </c>
    </row>
    <row r="127" spans="1:16" ht="11.25" x14ac:dyDescent="0.2">
      <c r="B127" s="608"/>
      <c r="C127" s="608"/>
      <c r="D127" s="608"/>
      <c r="E127" s="608"/>
      <c r="F127" s="608"/>
      <c r="G127" s="608"/>
      <c r="H127" s="608"/>
      <c r="I127" s="608"/>
      <c r="J127" s="608"/>
      <c r="K127" s="608"/>
      <c r="L127" s="608"/>
      <c r="M127" s="608"/>
      <c r="N127" s="608"/>
      <c r="O127" s="608"/>
      <c r="P127" s="608"/>
    </row>
    <row r="128" spans="1:16" ht="12" thickBot="1" x14ac:dyDescent="0.25">
      <c r="A128" s="654" t="s">
        <v>54</v>
      </c>
      <c r="B128" s="665">
        <f>+B120+B126</f>
        <v>0</v>
      </c>
      <c r="C128" s="665">
        <f t="shared" ref="C128" si="127">+C120+C126</f>
        <v>0</v>
      </c>
      <c r="D128" s="608">
        <f t="shared" ref="D128" si="128">D82</f>
        <v>29933</v>
      </c>
      <c r="E128" s="665">
        <f t="shared" ref="E128:M128" si="129">+E120+E126</f>
        <v>36390</v>
      </c>
      <c r="F128" s="665">
        <f t="shared" si="129"/>
        <v>45819.713000000003</v>
      </c>
      <c r="G128" s="665">
        <f t="shared" si="129"/>
        <v>45197.874000000003</v>
      </c>
      <c r="H128" s="665">
        <f t="shared" si="129"/>
        <v>55142.388000000006</v>
      </c>
      <c r="I128" s="665">
        <f t="shared" si="129"/>
        <v>65469.63700000001</v>
      </c>
      <c r="J128" s="665">
        <f t="shared" si="129"/>
        <v>64496.938000000009</v>
      </c>
      <c r="K128" s="665">
        <f t="shared" si="129"/>
        <v>63504.78502000001</v>
      </c>
      <c r="L128" s="665">
        <f t="shared" si="129"/>
        <v>62492.788980400008</v>
      </c>
      <c r="M128" s="665">
        <f t="shared" si="129"/>
        <v>61460.55302000801</v>
      </c>
      <c r="N128" s="665">
        <f t="shared" ref="N128:O128" si="130">+N120+N126</f>
        <v>60407.672340408171</v>
      </c>
      <c r="O128" s="665">
        <f t="shared" si="130"/>
        <v>59333.734047216334</v>
      </c>
      <c r="P128" s="665">
        <f t="shared" ref="P128" si="131">+P120+P126</f>
        <v>58238.316988160659</v>
      </c>
    </row>
    <row r="129" spans="1:16" ht="12" thickBot="1" x14ac:dyDescent="0.25">
      <c r="A129" s="654" t="s">
        <v>55</v>
      </c>
      <c r="B129" s="668">
        <f>+B113-B128</f>
        <v>0</v>
      </c>
      <c r="C129" s="668">
        <f t="shared" ref="C129" si="132">+C113-C128</f>
        <v>0</v>
      </c>
      <c r="D129" s="668">
        <f t="shared" ref="D129:M129" si="133">+D113-D128</f>
        <v>592092</v>
      </c>
      <c r="E129" s="668">
        <f t="shared" si="133"/>
        <v>474516</v>
      </c>
      <c r="F129" s="668">
        <f t="shared" si="133"/>
        <v>477444.00700000004</v>
      </c>
      <c r="G129" s="668">
        <f t="shared" si="133"/>
        <v>482722.29549999995</v>
      </c>
      <c r="H129" s="668">
        <f t="shared" si="133"/>
        <v>487813.21579349996</v>
      </c>
      <c r="I129" s="668">
        <f t="shared" si="133"/>
        <v>496756.82364313747</v>
      </c>
      <c r="J129" s="668">
        <f t="shared" si="133"/>
        <v>501260.10126596742</v>
      </c>
      <c r="K129" s="668">
        <f t="shared" si="133"/>
        <v>505223.75203655643</v>
      </c>
      <c r="L129" s="668">
        <f t="shared" si="133"/>
        <v>509309.83415545634</v>
      </c>
      <c r="M129" s="668">
        <f t="shared" si="133"/>
        <v>513123.19463804574</v>
      </c>
      <c r="N129" s="668">
        <f t="shared" ref="N129:O129" si="134">+N113-N128</f>
        <v>517042.18983433186</v>
      </c>
      <c r="O129" s="668">
        <f t="shared" si="134"/>
        <v>519771.86750661361</v>
      </c>
      <c r="P129" s="668">
        <f t="shared" ref="P129" si="135">+P113-P128</f>
        <v>520522.20236716938</v>
      </c>
    </row>
    <row r="130" spans="1:16" ht="12" thickTop="1" x14ac:dyDescent="0.2">
      <c r="B130" s="608"/>
      <c r="C130" s="608"/>
      <c r="D130" s="608"/>
      <c r="E130" s="608"/>
      <c r="F130" s="608"/>
      <c r="G130" s="608"/>
      <c r="H130" s="608"/>
      <c r="I130" s="608"/>
      <c r="J130" s="608"/>
      <c r="K130" s="608"/>
      <c r="L130" s="608"/>
      <c r="M130" s="608"/>
      <c r="N130" s="608"/>
      <c r="O130" s="608"/>
      <c r="P130" s="608"/>
    </row>
    <row r="131" spans="1:16" ht="11.25" x14ac:dyDescent="0.2">
      <c r="A131" s="654" t="s">
        <v>56</v>
      </c>
      <c r="B131" s="608"/>
      <c r="C131" s="608"/>
      <c r="D131" s="608"/>
      <c r="E131" s="608"/>
      <c r="F131" s="608"/>
      <c r="G131" s="608"/>
      <c r="H131" s="608"/>
      <c r="I131" s="608"/>
      <c r="J131" s="608"/>
      <c r="K131" s="608"/>
      <c r="L131" s="608"/>
      <c r="M131" s="608"/>
      <c r="N131" s="608"/>
      <c r="O131" s="608"/>
      <c r="P131" s="608"/>
    </row>
    <row r="132" spans="1:16" ht="11.25" x14ac:dyDescent="0.2">
      <c r="A132" s="653" t="s">
        <v>57</v>
      </c>
      <c r="B132" s="608"/>
      <c r="C132" s="608"/>
      <c r="D132" s="608">
        <f>D86</f>
        <v>291432</v>
      </c>
      <c r="E132" s="608">
        <f>+'GF &amp; FF  Equity Statement'!E81</f>
        <v>223910</v>
      </c>
      <c r="F132" s="608">
        <f>+'GF &amp; FF  Equity Statement'!F81</f>
        <v>226838.00700000001</v>
      </c>
      <c r="G132" s="608">
        <f>+'GF &amp; FF  Equity Statement'!G81</f>
        <v>232116.29550000001</v>
      </c>
      <c r="H132" s="608">
        <f>+'GF &amp; FF  Equity Statement'!H81</f>
        <v>237207.21579350001</v>
      </c>
      <c r="I132" s="608">
        <f>+'GF &amp; FF  Equity Statement'!I81</f>
        <v>246150.82364313753</v>
      </c>
      <c r="J132" s="608">
        <f>+'GF &amp; FF  Equity Statement'!J81</f>
        <v>250654.10126596747</v>
      </c>
      <c r="K132" s="608">
        <f>+'GF &amp; FF  Equity Statement'!K81</f>
        <v>254617.75203655649</v>
      </c>
      <c r="L132" s="608">
        <f>+'GF &amp; FF  Equity Statement'!L81</f>
        <v>258703.83415545637</v>
      </c>
      <c r="M132" s="608">
        <f>+'GF &amp; FF  Equity Statement'!M81</f>
        <v>262517.19463804574</v>
      </c>
      <c r="N132" s="608">
        <f>+'GF &amp; FF  Equity Statement'!N81</f>
        <v>266436.18983433198</v>
      </c>
      <c r="O132" s="608">
        <f>+'GF &amp; FF  Equity Statement'!O81</f>
        <v>269165.86750661378</v>
      </c>
      <c r="P132" s="608">
        <f>+'GF &amp; FF  Equity Statement'!P81</f>
        <v>269916.20236716955</v>
      </c>
    </row>
    <row r="133" spans="1:16" ht="12" thickBot="1" x14ac:dyDescent="0.25">
      <c r="A133" s="653" t="s">
        <v>58</v>
      </c>
      <c r="B133" s="669"/>
      <c r="C133" s="669"/>
      <c r="D133" s="608">
        <f>D87</f>
        <v>300660</v>
      </c>
      <c r="E133" s="669">
        <f>+'GF &amp; FF  Equity Statement'!E90</f>
        <v>250606</v>
      </c>
      <c r="F133" s="669">
        <f>+'GF &amp; FF  Equity Statement'!F90</f>
        <v>250606</v>
      </c>
      <c r="G133" s="669">
        <f>+'GF &amp; FF  Equity Statement'!G90</f>
        <v>250606</v>
      </c>
      <c r="H133" s="669">
        <f>+'GF &amp; FF  Equity Statement'!H90</f>
        <v>250606</v>
      </c>
      <c r="I133" s="669">
        <f>+'GF &amp; FF  Equity Statement'!I90</f>
        <v>250606</v>
      </c>
      <c r="J133" s="669">
        <f>+'GF &amp; FF  Equity Statement'!J90</f>
        <v>250606</v>
      </c>
      <c r="K133" s="669">
        <f>+'GF &amp; FF  Equity Statement'!K90</f>
        <v>250606</v>
      </c>
      <c r="L133" s="669">
        <f>+'GF &amp; FF  Equity Statement'!L90</f>
        <v>250606</v>
      </c>
      <c r="M133" s="669">
        <f>+'GF &amp; FF  Equity Statement'!M90</f>
        <v>250606</v>
      </c>
      <c r="N133" s="669">
        <f>+'GF &amp; FF  Equity Statement'!N90</f>
        <v>250606</v>
      </c>
      <c r="O133" s="669">
        <f>+'GF &amp; FF  Equity Statement'!O90</f>
        <v>250606</v>
      </c>
      <c r="P133" s="669">
        <f>+'GF &amp; FF  Equity Statement'!P90</f>
        <v>250606</v>
      </c>
    </row>
    <row r="134" spans="1:16" ht="12" thickBot="1" x14ac:dyDescent="0.25">
      <c r="A134" s="654" t="s">
        <v>59</v>
      </c>
      <c r="B134" s="668">
        <f>SUM(B132:B133)</f>
        <v>0</v>
      </c>
      <c r="C134" s="668">
        <f t="shared" ref="C134:M134" si="136">SUM(C132:C133)</f>
        <v>0</v>
      </c>
      <c r="D134" s="668">
        <f t="shared" si="136"/>
        <v>592092</v>
      </c>
      <c r="E134" s="668">
        <f t="shared" si="136"/>
        <v>474516</v>
      </c>
      <c r="F134" s="668">
        <f t="shared" si="136"/>
        <v>477444.00699999998</v>
      </c>
      <c r="G134" s="668">
        <f t="shared" si="136"/>
        <v>482722.29550000001</v>
      </c>
      <c r="H134" s="668">
        <f t="shared" si="136"/>
        <v>487813.21579350001</v>
      </c>
      <c r="I134" s="668">
        <f t="shared" si="136"/>
        <v>496756.82364313753</v>
      </c>
      <c r="J134" s="668">
        <f t="shared" si="136"/>
        <v>501260.10126596747</v>
      </c>
      <c r="K134" s="668">
        <f t="shared" si="136"/>
        <v>505223.75203655649</v>
      </c>
      <c r="L134" s="668">
        <f t="shared" si="136"/>
        <v>509309.8341554564</v>
      </c>
      <c r="M134" s="668">
        <f t="shared" si="136"/>
        <v>513123.19463804574</v>
      </c>
      <c r="N134" s="668">
        <f t="shared" ref="N134:O134" si="137">SUM(N132:N133)</f>
        <v>517042.18983433198</v>
      </c>
      <c r="O134" s="668">
        <f t="shared" si="137"/>
        <v>519771.86750661378</v>
      </c>
      <c r="P134" s="668">
        <f t="shared" ref="P134" si="138">SUM(P132:P133)</f>
        <v>520522.20236716955</v>
      </c>
    </row>
    <row r="135" spans="1:16" ht="12" thickTop="1" x14ac:dyDescent="0.2">
      <c r="B135" s="608"/>
      <c r="C135" s="608"/>
      <c r="D135" s="608"/>
      <c r="E135" s="608"/>
      <c r="F135" s="608"/>
      <c r="G135" s="608"/>
      <c r="H135" s="608"/>
      <c r="I135" s="608"/>
      <c r="J135" s="608"/>
      <c r="K135" s="608"/>
      <c r="L135" s="608"/>
      <c r="M135" s="608"/>
      <c r="N135" s="608"/>
      <c r="O135" s="608"/>
      <c r="P135" s="608"/>
    </row>
    <row r="136" spans="1:16" ht="11.25" x14ac:dyDescent="0.2">
      <c r="A136" s="653" t="s">
        <v>111</v>
      </c>
      <c r="B136" s="621">
        <f>+B129-B134</f>
        <v>0</v>
      </c>
      <c r="C136" s="621">
        <f t="shared" ref="C136:M136" si="139">+C129-C134</f>
        <v>0</v>
      </c>
      <c r="D136" s="621">
        <f t="shared" si="139"/>
        <v>0</v>
      </c>
      <c r="E136" s="621">
        <f t="shared" si="139"/>
        <v>0</v>
      </c>
      <c r="F136" s="621">
        <f t="shared" si="139"/>
        <v>0</v>
      </c>
      <c r="G136" s="621">
        <f t="shared" si="139"/>
        <v>0</v>
      </c>
      <c r="H136" s="621">
        <f t="shared" si="139"/>
        <v>0</v>
      </c>
      <c r="I136" s="621">
        <f t="shared" si="139"/>
        <v>0</v>
      </c>
      <c r="J136" s="621">
        <f t="shared" si="139"/>
        <v>0</v>
      </c>
      <c r="K136" s="621">
        <f t="shared" si="139"/>
        <v>0</v>
      </c>
      <c r="L136" s="621">
        <f t="shared" si="139"/>
        <v>0</v>
      </c>
      <c r="M136" s="621">
        <f t="shared" si="139"/>
        <v>0</v>
      </c>
      <c r="N136" s="621">
        <f t="shared" ref="N136:O136" si="140">+N129-N134</f>
        <v>0</v>
      </c>
      <c r="O136" s="621">
        <f t="shared" si="140"/>
        <v>0</v>
      </c>
      <c r="P136" s="621">
        <f t="shared" ref="P136" si="141">+P129-P134</f>
        <v>0</v>
      </c>
    </row>
    <row r="137" spans="1:16" ht="11.25" x14ac:dyDescent="0.2">
      <c r="A137" s="653" t="s">
        <v>112</v>
      </c>
      <c r="B137" s="621">
        <f>+B134-'GF &amp; FF  Equity Statement'!B101</f>
        <v>0</v>
      </c>
      <c r="C137" s="621">
        <f>+C134-'GF &amp; FF  Equity Statement'!C101</f>
        <v>0</v>
      </c>
      <c r="D137" s="621">
        <f>+D134-'GF &amp; FF  Equity Statement'!D101</f>
        <v>19960</v>
      </c>
      <c r="E137" s="621">
        <f>+E134-'GF &amp; FF  Equity Statement'!E101</f>
        <v>0</v>
      </c>
      <c r="F137" s="621">
        <f>+F134-'GF &amp; FF  Equity Statement'!F101</f>
        <v>0</v>
      </c>
      <c r="G137" s="621">
        <f>+G134-'GF &amp; FF  Equity Statement'!G101</f>
        <v>0</v>
      </c>
      <c r="H137" s="621">
        <f>+H134-'GF &amp; FF  Equity Statement'!H101</f>
        <v>0</v>
      </c>
      <c r="I137" s="621">
        <f>+I134-'GF &amp; FF  Equity Statement'!I101</f>
        <v>0</v>
      </c>
      <c r="J137" s="621">
        <f>+J134-'GF &amp; FF  Equity Statement'!J101</f>
        <v>0</v>
      </c>
      <c r="K137" s="621">
        <f>+K134-'GF &amp; FF  Equity Statement'!K101</f>
        <v>0</v>
      </c>
      <c r="L137" s="621">
        <f>+L134-'GF &amp; FF  Equity Statement'!L101</f>
        <v>0</v>
      </c>
      <c r="M137" s="621">
        <f>+M134-'GF &amp; FF  Equity Statement'!M101</f>
        <v>0</v>
      </c>
      <c r="N137" s="621">
        <f>+N134-'GF &amp; FF  Equity Statement'!N101</f>
        <v>0</v>
      </c>
      <c r="O137" s="621">
        <f>+O134-'GF &amp; FF  Equity Statement'!O101</f>
        <v>0</v>
      </c>
      <c r="P137" s="621">
        <f>+P134-'GF &amp; FF  Equity Statement'!P101</f>
        <v>0</v>
      </c>
    </row>
  </sheetData>
  <pageMargins left="0.70866141732283472" right="0.70866141732283472" top="0.74803149606299213" bottom="0.74803149606299213" header="0.31496062992125984" footer="0.31496062992125984"/>
  <pageSetup paperSize="9" scale="87" fitToHeight="0" orientation="landscape" r:id="rId1"/>
  <rowBreaks count="2" manualBreakCount="2">
    <brk id="45" max="16383" man="1"/>
    <brk id="8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O122"/>
  <sheetViews>
    <sheetView topLeftCell="D1" workbookViewId="0">
      <selection activeCell="D68" sqref="D68"/>
    </sheetView>
  </sheetViews>
  <sheetFormatPr defaultRowHeight="14.4" outlineLevelCol="1" x14ac:dyDescent="0.3"/>
  <cols>
    <col min="1" max="1" width="42.44140625" bestFit="1" customWidth="1"/>
    <col min="2" max="2" width="13.109375" hidden="1" customWidth="1" outlineLevel="1"/>
    <col min="3" max="3" width="13.109375" style="211" hidden="1" customWidth="1" outlineLevel="1"/>
    <col min="4" max="4" width="13.109375" bestFit="1" customWidth="1" collapsed="1"/>
    <col min="5" max="15" width="13.109375" bestFit="1" customWidth="1"/>
  </cols>
  <sheetData>
    <row r="1" spans="1:15" s="17" customFormat="1" ht="15" x14ac:dyDescent="0.25">
      <c r="A1" s="18" t="s">
        <v>436</v>
      </c>
      <c r="B1" s="19" t="s">
        <v>69</v>
      </c>
      <c r="C1" s="213" t="s">
        <v>69</v>
      </c>
      <c r="D1" s="19" t="s">
        <v>69</v>
      </c>
      <c r="E1" s="19" t="s">
        <v>70</v>
      </c>
      <c r="F1" s="19" t="s">
        <v>71</v>
      </c>
      <c r="G1" s="19" t="s">
        <v>71</v>
      </c>
      <c r="H1" s="19" t="s">
        <v>71</v>
      </c>
      <c r="I1" s="19" t="s">
        <v>71</v>
      </c>
      <c r="J1" s="19" t="s">
        <v>71</v>
      </c>
      <c r="K1" s="19" t="s">
        <v>71</v>
      </c>
      <c r="L1" s="19" t="s">
        <v>71</v>
      </c>
      <c r="M1" s="19" t="s">
        <v>71</v>
      </c>
      <c r="N1" s="213" t="s">
        <v>71</v>
      </c>
      <c r="O1" s="213" t="s">
        <v>71</v>
      </c>
    </row>
    <row r="2" spans="1:15" ht="15" x14ac:dyDescent="0.25">
      <c r="A2" s="18" t="s">
        <v>72</v>
      </c>
      <c r="B2" s="20" t="s">
        <v>60</v>
      </c>
      <c r="C2" s="159" t="s">
        <v>68</v>
      </c>
      <c r="D2" s="19" t="s">
        <v>0</v>
      </c>
      <c r="E2" s="19" t="s">
        <v>1</v>
      </c>
      <c r="F2" s="19" t="s">
        <v>2</v>
      </c>
      <c r="G2" s="19" t="s">
        <v>3</v>
      </c>
      <c r="H2" s="19" t="s">
        <v>4</v>
      </c>
      <c r="I2" s="19" t="s">
        <v>5</v>
      </c>
      <c r="J2" s="19" t="s">
        <v>6</v>
      </c>
      <c r="K2" s="19" t="s">
        <v>7</v>
      </c>
      <c r="L2" s="19" t="s">
        <v>8</v>
      </c>
      <c r="M2" s="19" t="s">
        <v>9</v>
      </c>
      <c r="N2" s="213" t="s">
        <v>514</v>
      </c>
      <c r="O2" s="213" t="s">
        <v>515</v>
      </c>
    </row>
    <row r="3" spans="1:15" s="25" customFormat="1" ht="15" x14ac:dyDescent="0.25">
      <c r="A3" s="22"/>
      <c r="B3" s="23"/>
      <c r="C3" s="161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5" x14ac:dyDescent="0.25">
      <c r="A4" s="40" t="s">
        <v>35</v>
      </c>
      <c r="B4" s="4"/>
      <c r="C4" s="214"/>
      <c r="D4" s="4"/>
      <c r="E4" s="4"/>
      <c r="F4" s="4"/>
      <c r="G4" s="4"/>
      <c r="H4" s="4"/>
      <c r="I4" s="4"/>
      <c r="J4" s="4"/>
      <c r="K4" s="4"/>
      <c r="L4" s="4"/>
      <c r="M4" s="4"/>
      <c r="N4" s="214"/>
      <c r="O4" s="214"/>
    </row>
    <row r="5" spans="1:15" ht="15" x14ac:dyDescent="0.25">
      <c r="A5" s="40" t="s">
        <v>36</v>
      </c>
      <c r="B5" s="4"/>
      <c r="C5" s="214"/>
      <c r="D5" s="4"/>
      <c r="E5" s="4"/>
      <c r="F5" s="4"/>
      <c r="G5" s="4"/>
      <c r="H5" s="4"/>
      <c r="I5" s="4"/>
      <c r="J5" s="4"/>
      <c r="K5" s="4"/>
      <c r="L5" s="4"/>
      <c r="M5" s="4"/>
      <c r="N5" s="214"/>
      <c r="O5" s="214"/>
    </row>
    <row r="6" spans="1:15" ht="15" x14ac:dyDescent="0.25">
      <c r="A6" t="s">
        <v>37</v>
      </c>
      <c r="B6" s="4">
        <v>6705000</v>
      </c>
      <c r="C6" s="214">
        <v>8206000</v>
      </c>
      <c r="D6" s="4">
        <f ca="1">+'Scenario 2 Cash Flow'!D36</f>
        <v>-2262773.6795166293</v>
      </c>
      <c r="E6" s="4">
        <f ca="1">+'Scenario 2 Cash Flow'!E36</f>
        <v>-4417723.4137847451</v>
      </c>
      <c r="F6" s="4">
        <f ca="1">+'Scenario 2 Cash Flow'!F36</f>
        <v>-6353500.4204536295</v>
      </c>
      <c r="G6" s="4">
        <f ca="1">+'Scenario 2 Cash Flow'!G36</f>
        <v>-8705384.882980952</v>
      </c>
      <c r="H6" s="4">
        <f ca="1">+'Scenario 2 Cash Flow'!H36</f>
        <v>-14873659.228676479</v>
      </c>
      <c r="I6" s="4">
        <f ca="1">+'Scenario 2 Cash Flow'!I36</f>
        <v>-14884198.974809714</v>
      </c>
      <c r="J6" s="4">
        <f ca="1">+'Scenario 2 Cash Flow'!J36</f>
        <v>-18776797.88339388</v>
      </c>
      <c r="K6" s="4">
        <f ca="1">+'Scenario 2 Cash Flow'!K36</f>
        <v>-16473826.956900157</v>
      </c>
      <c r="L6" s="4" t="e">
        <f ca="1">+'Scenario 2 Cash Flow'!L36</f>
        <v>#REF!</v>
      </c>
      <c r="M6" s="4" t="e">
        <f ca="1">+'Scenario 2 Cash Flow'!M36</f>
        <v>#REF!</v>
      </c>
      <c r="N6" s="214" t="e">
        <f ca="1">+'Scenario 2 Cash Flow'!N36</f>
        <v>#REF!</v>
      </c>
      <c r="O6" s="214" t="e">
        <f ca="1">+'Scenario 2 Cash Flow'!O36</f>
        <v>#REF!</v>
      </c>
    </row>
    <row r="7" spans="1:15" ht="15" x14ac:dyDescent="0.25">
      <c r="A7" t="s">
        <v>38</v>
      </c>
      <c r="B7" s="4">
        <v>23500000</v>
      </c>
      <c r="C7" s="214">
        <v>22000000</v>
      </c>
      <c r="D7" s="4">
        <f>+'Scenario 2 Cash Flow'!D38</f>
        <v>22000000</v>
      </c>
      <c r="E7" s="4">
        <f>+'Scenario 2 Cash Flow'!E38</f>
        <v>22000000</v>
      </c>
      <c r="F7" s="4">
        <f>+'Scenario 2 Cash Flow'!F38</f>
        <v>23000000</v>
      </c>
      <c r="G7" s="4">
        <f>+'Scenario 2 Cash Flow'!G38</f>
        <v>24000000</v>
      </c>
      <c r="H7" s="4">
        <f>+'Scenario 2 Cash Flow'!H38</f>
        <v>24400000</v>
      </c>
      <c r="I7" s="4">
        <f>+'Scenario 2 Cash Flow'!I38</f>
        <v>23300000</v>
      </c>
      <c r="J7" s="4">
        <f>+'Scenario 2 Cash Flow'!J38</f>
        <v>23300000</v>
      </c>
      <c r="K7" s="4">
        <f>+'Scenario 2 Cash Flow'!K38</f>
        <v>21500000</v>
      </c>
      <c r="L7" s="4">
        <f>+'Scenario 2 Cash Flow'!L38</f>
        <v>21300000</v>
      </c>
      <c r="M7" s="4">
        <f>+'Scenario 2 Cash Flow'!M38</f>
        <v>21050000</v>
      </c>
      <c r="N7" s="214">
        <f>+'Scenario 2 Cash Flow'!N38</f>
        <v>20799999</v>
      </c>
      <c r="O7" s="214">
        <f>+'Scenario 2 Cash Flow'!O38</f>
        <v>20549997</v>
      </c>
    </row>
    <row r="8" spans="1:15" ht="15" x14ac:dyDescent="0.25">
      <c r="A8" t="s">
        <v>39</v>
      </c>
      <c r="B8" s="4">
        <v>3211000</v>
      </c>
      <c r="C8" s="214">
        <v>2098000</v>
      </c>
      <c r="D8" s="4">
        <f t="shared" ref="D8:M9" si="0">+C8</f>
        <v>2098000</v>
      </c>
      <c r="E8" s="4">
        <f t="shared" si="0"/>
        <v>2098000</v>
      </c>
      <c r="F8" s="4">
        <f t="shared" si="0"/>
        <v>2098000</v>
      </c>
      <c r="G8" s="4">
        <f t="shared" si="0"/>
        <v>2098000</v>
      </c>
      <c r="H8" s="4">
        <f t="shared" si="0"/>
        <v>2098000</v>
      </c>
      <c r="I8" s="4">
        <f t="shared" si="0"/>
        <v>2098000</v>
      </c>
      <c r="J8" s="4">
        <f t="shared" si="0"/>
        <v>2098000</v>
      </c>
      <c r="K8" s="4">
        <f t="shared" si="0"/>
        <v>2098000</v>
      </c>
      <c r="L8" s="4">
        <f t="shared" si="0"/>
        <v>2098000</v>
      </c>
      <c r="M8" s="4">
        <f t="shared" si="0"/>
        <v>2098000</v>
      </c>
      <c r="N8" s="214">
        <f t="shared" ref="N8:N10" si="1">+M8</f>
        <v>2098000</v>
      </c>
      <c r="O8" s="214">
        <f t="shared" ref="O8:O10" si="2">+N8</f>
        <v>2098000</v>
      </c>
    </row>
    <row r="9" spans="1:15" ht="15" x14ac:dyDescent="0.25">
      <c r="A9" t="s">
        <v>40</v>
      </c>
      <c r="B9" s="4">
        <v>39000</v>
      </c>
      <c r="C9" s="214">
        <v>51000</v>
      </c>
      <c r="D9" s="4">
        <f t="shared" ref="D9:F9" si="3">+C9</f>
        <v>51000</v>
      </c>
      <c r="E9" s="4">
        <f t="shared" si="3"/>
        <v>51000</v>
      </c>
      <c r="F9" s="4">
        <f t="shared" si="3"/>
        <v>51000</v>
      </c>
      <c r="G9" s="4">
        <f t="shared" si="0"/>
        <v>51000</v>
      </c>
      <c r="H9" s="4">
        <f t="shared" si="0"/>
        <v>51000</v>
      </c>
      <c r="I9" s="4">
        <f t="shared" si="0"/>
        <v>51000</v>
      </c>
      <c r="J9" s="4">
        <f t="shared" si="0"/>
        <v>51000</v>
      </c>
      <c r="K9" s="4">
        <f t="shared" si="0"/>
        <v>51000</v>
      </c>
      <c r="L9" s="4">
        <f t="shared" si="0"/>
        <v>51000</v>
      </c>
      <c r="M9" s="4">
        <f t="shared" si="0"/>
        <v>51000</v>
      </c>
      <c r="N9" s="214">
        <f t="shared" si="1"/>
        <v>51000</v>
      </c>
      <c r="O9" s="214">
        <f t="shared" si="2"/>
        <v>51000</v>
      </c>
    </row>
    <row r="10" spans="1:15" ht="15" x14ac:dyDescent="0.25">
      <c r="A10" s="5" t="s">
        <v>41</v>
      </c>
      <c r="B10" s="6">
        <v>479000</v>
      </c>
      <c r="C10" s="214">
        <v>343000</v>
      </c>
      <c r="D10" s="4">
        <f t="shared" ref="D10:M10" si="4">+C10</f>
        <v>343000</v>
      </c>
      <c r="E10" s="4">
        <f t="shared" si="4"/>
        <v>343000</v>
      </c>
      <c r="F10" s="4">
        <f t="shared" si="4"/>
        <v>343000</v>
      </c>
      <c r="G10" s="4">
        <f t="shared" si="4"/>
        <v>343000</v>
      </c>
      <c r="H10" s="4">
        <f t="shared" si="4"/>
        <v>343000</v>
      </c>
      <c r="I10" s="4">
        <f t="shared" si="4"/>
        <v>343000</v>
      </c>
      <c r="J10" s="4">
        <f t="shared" si="4"/>
        <v>343000</v>
      </c>
      <c r="K10" s="4">
        <f t="shared" si="4"/>
        <v>343000</v>
      </c>
      <c r="L10" s="4">
        <f t="shared" si="4"/>
        <v>343000</v>
      </c>
      <c r="M10" s="4">
        <f t="shared" si="4"/>
        <v>343000</v>
      </c>
      <c r="N10" s="214">
        <f t="shared" si="1"/>
        <v>343000</v>
      </c>
      <c r="O10" s="214">
        <f t="shared" si="2"/>
        <v>343000</v>
      </c>
    </row>
    <row r="11" spans="1:15" s="44" customFormat="1" ht="15" x14ac:dyDescent="0.25">
      <c r="A11" s="40" t="s">
        <v>42</v>
      </c>
      <c r="B11" s="43">
        <f>SUM(B6:B10)</f>
        <v>33934000</v>
      </c>
      <c r="C11" s="167">
        <f t="shared" ref="C11" si="5">SUM(C6:C10)</f>
        <v>32698000</v>
      </c>
      <c r="D11" s="43">
        <f t="shared" ref="D11:M11" ca="1" si="6">SUM(D6:D10)</f>
        <v>22229226.320483372</v>
      </c>
      <c r="E11" s="43">
        <f t="shared" ca="1" si="6"/>
        <v>20074276.586215254</v>
      </c>
      <c r="F11" s="43">
        <f t="shared" ca="1" si="6"/>
        <v>19138499.57954637</v>
      </c>
      <c r="G11" s="43">
        <f t="shared" ca="1" si="6"/>
        <v>17786615.11701905</v>
      </c>
      <c r="H11" s="43">
        <f t="shared" ca="1" si="6"/>
        <v>12018340.771323521</v>
      </c>
      <c r="I11" s="43">
        <f t="shared" ca="1" si="6"/>
        <v>10907801.025190286</v>
      </c>
      <c r="J11" s="43">
        <f t="shared" ca="1" si="6"/>
        <v>7015202.11660612</v>
      </c>
      <c r="K11" s="43">
        <f t="shared" ca="1" si="6"/>
        <v>7518173.043099843</v>
      </c>
      <c r="L11" s="43" t="e">
        <f t="shared" ca="1" si="6"/>
        <v>#REF!</v>
      </c>
      <c r="M11" s="43" t="e">
        <f t="shared" ca="1" si="6"/>
        <v>#REF!</v>
      </c>
      <c r="N11" s="167" t="e">
        <f t="shared" ref="N11:O11" ca="1" si="7">SUM(N6:N10)</f>
        <v>#REF!</v>
      </c>
      <c r="O11" s="167" t="e">
        <f t="shared" ca="1" si="7"/>
        <v>#REF!</v>
      </c>
    </row>
    <row r="12" spans="1:15" ht="15" x14ac:dyDescent="0.25">
      <c r="B12" s="4"/>
      <c r="C12" s="214"/>
      <c r="D12" s="4"/>
      <c r="E12" s="4"/>
      <c r="F12" s="4"/>
      <c r="G12" s="4"/>
      <c r="H12" s="4"/>
      <c r="I12" s="4"/>
      <c r="J12" s="4"/>
      <c r="K12" s="4"/>
      <c r="L12" s="4"/>
      <c r="M12" s="4"/>
      <c r="N12" s="214"/>
      <c r="O12" s="214"/>
    </row>
    <row r="13" spans="1:15" ht="15" x14ac:dyDescent="0.25">
      <c r="A13" s="40" t="s">
        <v>43</v>
      </c>
      <c r="B13" s="4"/>
      <c r="C13" s="214"/>
      <c r="D13" s="4"/>
      <c r="E13" s="4"/>
      <c r="F13" s="4"/>
      <c r="G13" s="4"/>
      <c r="H13" s="4"/>
      <c r="I13" s="4"/>
      <c r="J13" s="4"/>
      <c r="K13" s="4"/>
      <c r="L13" s="4"/>
      <c r="M13" s="4"/>
      <c r="N13" s="214"/>
      <c r="O13" s="214"/>
    </row>
    <row r="14" spans="1:15" ht="15" x14ac:dyDescent="0.25">
      <c r="A14" s="5" t="s">
        <v>44</v>
      </c>
      <c r="B14" s="6">
        <v>258343000</v>
      </c>
      <c r="C14" s="215">
        <v>260775000</v>
      </c>
      <c r="D14" s="6">
        <f ca="1">+C14-'Scenario 2 Inc Exp Statement'!D19-'Scenario 2 Inc Exp Statement'!D35</f>
        <v>266161773.67951664</v>
      </c>
      <c r="E14" s="6">
        <f ca="1">+D14-'Scenario 2 Inc Exp Statement'!E19-'Scenario 2 Inc Exp Statement'!E35</f>
        <v>268420463.17773151</v>
      </c>
      <c r="F14" s="6">
        <f ca="1">+E14-'Scenario 2 Inc Exp Statement'!F19-'Scenario 2 Inc Exp Statement'!F35</f>
        <v>269665150.13746446</v>
      </c>
      <c r="G14" s="6">
        <f ca="1">+F14-'Scenario 2 Inc Exp Statement'!G19-'Scenario 2 Inc Exp Statement'!G35</f>
        <v>271451824.69292867</v>
      </c>
      <c r="H14" s="6">
        <f ca="1">+G14-'Scenario 2 Inc Exp Statement'!H19-'Scenario 2 Inc Exp Statement'!H35</f>
        <v>278045251.98321038</v>
      </c>
      <c r="I14" s="6">
        <f ca="1">+H14-'Scenario 2 Inc Exp Statement'!I19-'Scenario 2 Inc Exp Statement'!I35</f>
        <v>279945051.17393857</v>
      </c>
      <c r="J14" s="6">
        <f ca="1">+I14-'Scenario 2 Inc Exp Statement'!J19-'Scenario 2 Inc Exp Statement'!J35</f>
        <v>284373312.42033553</v>
      </c>
      <c r="K14" s="6">
        <f ca="1">+J14-'Scenario 2 Inc Exp Statement'!K19-'Scenario 2 Inc Exp Statement'!K35</f>
        <v>284502502.33786517</v>
      </c>
      <c r="L14" s="6" t="e">
        <f ca="1">+K14-'Scenario 2 Inc Exp Statement'!L19-'Scenario 2 Inc Exp Statement'!L35</f>
        <v>#REF!</v>
      </c>
      <c r="M14" s="6" t="e">
        <f ca="1">+L14-'Scenario 2 Inc Exp Statement'!M19-'Scenario 2 Inc Exp Statement'!M35</f>
        <v>#REF!</v>
      </c>
      <c r="N14" s="215" t="e">
        <f ca="1">+M14-'Scenario 2 Inc Exp Statement'!N19-'Scenario 2 Inc Exp Statement'!N35</f>
        <v>#REF!</v>
      </c>
      <c r="O14" s="215" t="e">
        <f ca="1">+N14-'Scenario 2 Inc Exp Statement'!O19-'Scenario 2 Inc Exp Statement'!O35</f>
        <v>#REF!</v>
      </c>
    </row>
    <row r="15" spans="1:15" s="44" customFormat="1" ht="15" x14ac:dyDescent="0.25">
      <c r="A15" s="40" t="s">
        <v>45</v>
      </c>
      <c r="B15" s="43">
        <f>SUM(B14)</f>
        <v>258343000</v>
      </c>
      <c r="C15" s="167">
        <f t="shared" ref="C15" si="8">SUM(C14)</f>
        <v>260775000</v>
      </c>
      <c r="D15" s="43">
        <f t="shared" ref="D15:M15" ca="1" si="9">SUM(D14)</f>
        <v>266161773.67951664</v>
      </c>
      <c r="E15" s="43">
        <f t="shared" ca="1" si="9"/>
        <v>268420463.17773151</v>
      </c>
      <c r="F15" s="43">
        <f t="shared" ca="1" si="9"/>
        <v>269665150.13746446</v>
      </c>
      <c r="G15" s="43">
        <f t="shared" ca="1" si="9"/>
        <v>271451824.69292867</v>
      </c>
      <c r="H15" s="43">
        <f t="shared" ca="1" si="9"/>
        <v>278045251.98321038</v>
      </c>
      <c r="I15" s="43">
        <f t="shared" ca="1" si="9"/>
        <v>279945051.17393857</v>
      </c>
      <c r="J15" s="43">
        <f t="shared" ca="1" si="9"/>
        <v>284373312.42033553</v>
      </c>
      <c r="K15" s="43">
        <f t="shared" ca="1" si="9"/>
        <v>284502502.33786517</v>
      </c>
      <c r="L15" s="43" t="e">
        <f t="shared" ca="1" si="9"/>
        <v>#REF!</v>
      </c>
      <c r="M15" s="43" t="e">
        <f t="shared" ca="1" si="9"/>
        <v>#REF!</v>
      </c>
      <c r="N15" s="167" t="e">
        <f t="shared" ref="N15:O15" ca="1" si="10">SUM(N14)</f>
        <v>#REF!</v>
      </c>
      <c r="O15" s="167" t="e">
        <f t="shared" ca="1" si="10"/>
        <v>#REF!</v>
      </c>
    </row>
    <row r="16" spans="1:15" ht="9" customHeight="1" x14ac:dyDescent="0.25">
      <c r="B16" s="4"/>
      <c r="C16" s="214"/>
      <c r="D16" s="4"/>
      <c r="E16" s="4"/>
      <c r="F16" s="4"/>
      <c r="G16" s="4"/>
      <c r="H16" s="4"/>
      <c r="I16" s="4"/>
      <c r="J16" s="4"/>
      <c r="K16" s="4"/>
      <c r="L16" s="4"/>
      <c r="M16" s="4"/>
      <c r="N16" s="214"/>
      <c r="O16" s="214"/>
    </row>
    <row r="17" spans="1:15" s="44" customFormat="1" ht="15.75" thickBot="1" x14ac:dyDescent="0.3">
      <c r="A17" s="40" t="s">
        <v>46</v>
      </c>
      <c r="B17" s="48">
        <f>+B11+B15</f>
        <v>292277000</v>
      </c>
      <c r="C17" s="171">
        <f t="shared" ref="C17" si="11">+C11+C15</f>
        <v>293473000</v>
      </c>
      <c r="D17" s="48">
        <f t="shared" ref="D17:M17" ca="1" si="12">+D11+D15</f>
        <v>288391000</v>
      </c>
      <c r="E17" s="48">
        <f t="shared" ca="1" si="12"/>
        <v>288494739.76394677</v>
      </c>
      <c r="F17" s="48">
        <f t="shared" ca="1" si="12"/>
        <v>288803649.71701086</v>
      </c>
      <c r="G17" s="48">
        <f t="shared" ca="1" si="12"/>
        <v>289238439.80994773</v>
      </c>
      <c r="H17" s="48">
        <f t="shared" ca="1" si="12"/>
        <v>290063592.75453389</v>
      </c>
      <c r="I17" s="48">
        <f t="shared" ca="1" si="12"/>
        <v>290852852.19912887</v>
      </c>
      <c r="J17" s="48">
        <f t="shared" ca="1" si="12"/>
        <v>291388514.53694165</v>
      </c>
      <c r="K17" s="48">
        <f t="shared" ca="1" si="12"/>
        <v>292020675.38096499</v>
      </c>
      <c r="L17" s="48" t="e">
        <f t="shared" ca="1" si="12"/>
        <v>#REF!</v>
      </c>
      <c r="M17" s="48" t="e">
        <f t="shared" ca="1" si="12"/>
        <v>#REF!</v>
      </c>
      <c r="N17" s="171" t="e">
        <f t="shared" ref="N17:O17" ca="1" si="13">+N11+N15</f>
        <v>#REF!</v>
      </c>
      <c r="O17" s="171" t="e">
        <f t="shared" ca="1" si="13"/>
        <v>#REF!</v>
      </c>
    </row>
    <row r="18" spans="1:15" ht="15" x14ac:dyDescent="0.25">
      <c r="B18" s="4"/>
      <c r="C18" s="214"/>
      <c r="D18" s="4"/>
      <c r="E18" s="4"/>
      <c r="F18" s="4"/>
      <c r="G18" s="4"/>
      <c r="H18" s="4"/>
      <c r="I18" s="4"/>
      <c r="J18" s="4"/>
      <c r="K18" s="4"/>
      <c r="L18" s="4"/>
      <c r="M18" s="4"/>
      <c r="N18" s="214"/>
      <c r="O18" s="214"/>
    </row>
    <row r="19" spans="1:15" ht="15" x14ac:dyDescent="0.25">
      <c r="A19" s="40" t="s">
        <v>47</v>
      </c>
      <c r="B19" s="4"/>
      <c r="C19" s="214"/>
      <c r="D19" s="4"/>
      <c r="E19" s="4"/>
      <c r="F19" s="4"/>
      <c r="G19" s="4"/>
      <c r="H19" s="4"/>
      <c r="I19" s="4"/>
      <c r="J19" s="4"/>
      <c r="K19" s="4"/>
      <c r="L19" s="4"/>
      <c r="M19" s="4"/>
      <c r="N19" s="214"/>
      <c r="O19" s="214"/>
    </row>
    <row r="20" spans="1:15" ht="15" x14ac:dyDescent="0.25">
      <c r="A20" s="40" t="s">
        <v>48</v>
      </c>
      <c r="B20" s="4"/>
      <c r="C20" s="214"/>
      <c r="D20" s="4"/>
      <c r="E20" s="4"/>
      <c r="F20" s="4"/>
      <c r="G20" s="4"/>
      <c r="H20" s="4"/>
      <c r="I20" s="4"/>
      <c r="J20" s="4"/>
      <c r="K20" s="4"/>
      <c r="L20" s="4"/>
      <c r="M20" s="4"/>
      <c r="N20" s="214"/>
      <c r="O20" s="214"/>
    </row>
    <row r="21" spans="1:15" ht="15" x14ac:dyDescent="0.25">
      <c r="A21" s="3" t="s">
        <v>49</v>
      </c>
      <c r="B21" s="4">
        <v>4070000</v>
      </c>
      <c r="C21" s="214">
        <v>7515000</v>
      </c>
      <c r="D21" s="4">
        <f t="shared" ref="D21:M21" si="14">+C21</f>
        <v>7515000</v>
      </c>
      <c r="E21" s="4">
        <f t="shared" si="14"/>
        <v>7515000</v>
      </c>
      <c r="F21" s="4">
        <f t="shared" si="14"/>
        <v>7515000</v>
      </c>
      <c r="G21" s="4">
        <f t="shared" si="14"/>
        <v>7515000</v>
      </c>
      <c r="H21" s="4">
        <f t="shared" si="14"/>
        <v>7515000</v>
      </c>
      <c r="I21" s="4">
        <f t="shared" si="14"/>
        <v>7515000</v>
      </c>
      <c r="J21" s="4">
        <f t="shared" si="14"/>
        <v>7515000</v>
      </c>
      <c r="K21" s="4">
        <f t="shared" si="14"/>
        <v>7515000</v>
      </c>
      <c r="L21" s="4">
        <f t="shared" si="14"/>
        <v>7515000</v>
      </c>
      <c r="M21" s="4">
        <f t="shared" si="14"/>
        <v>7515000</v>
      </c>
      <c r="N21" s="214">
        <f t="shared" ref="N21:N22" si="15">+M21</f>
        <v>7515000</v>
      </c>
      <c r="O21" s="214">
        <f t="shared" ref="O21:O22" si="16">+N21</f>
        <v>7515000</v>
      </c>
    </row>
    <row r="22" spans="1:15" ht="15" x14ac:dyDescent="0.25">
      <c r="A22" s="7" t="s">
        <v>50</v>
      </c>
      <c r="B22" s="6">
        <v>3104000</v>
      </c>
      <c r="C22" s="214">
        <v>2954000</v>
      </c>
      <c r="D22" s="4">
        <f t="shared" ref="D22:M22" si="17">+C22</f>
        <v>2954000</v>
      </c>
      <c r="E22" s="4">
        <f t="shared" si="17"/>
        <v>2954000</v>
      </c>
      <c r="F22" s="4">
        <f t="shared" si="17"/>
        <v>2954000</v>
      </c>
      <c r="G22" s="4">
        <f t="shared" si="17"/>
        <v>2954000</v>
      </c>
      <c r="H22" s="4">
        <f t="shared" si="17"/>
        <v>2954000</v>
      </c>
      <c r="I22" s="4">
        <f t="shared" si="17"/>
        <v>2954000</v>
      </c>
      <c r="J22" s="4">
        <f t="shared" si="17"/>
        <v>2954000</v>
      </c>
      <c r="K22" s="4">
        <f t="shared" si="17"/>
        <v>2954000</v>
      </c>
      <c r="L22" s="4">
        <f t="shared" si="17"/>
        <v>2954000</v>
      </c>
      <c r="M22" s="4">
        <f t="shared" si="17"/>
        <v>2954000</v>
      </c>
      <c r="N22" s="214">
        <f t="shared" si="15"/>
        <v>2954000</v>
      </c>
      <c r="O22" s="214">
        <f t="shared" si="16"/>
        <v>2954000</v>
      </c>
    </row>
    <row r="23" spans="1:15" s="44" customFormat="1" ht="15" x14ac:dyDescent="0.25">
      <c r="A23" s="40" t="s">
        <v>51</v>
      </c>
      <c r="B23" s="43">
        <f>SUM(B21:B22)</f>
        <v>7174000</v>
      </c>
      <c r="C23" s="167">
        <f t="shared" ref="C23" si="18">SUM(C21:C22)</f>
        <v>10469000</v>
      </c>
      <c r="D23" s="43">
        <f t="shared" ref="D23:M23" si="19">SUM(D21:D22)</f>
        <v>10469000</v>
      </c>
      <c r="E23" s="43">
        <f t="shared" si="19"/>
        <v>10469000</v>
      </c>
      <c r="F23" s="43">
        <f t="shared" si="19"/>
        <v>10469000</v>
      </c>
      <c r="G23" s="43">
        <f t="shared" si="19"/>
        <v>10469000</v>
      </c>
      <c r="H23" s="43">
        <f t="shared" si="19"/>
        <v>10469000</v>
      </c>
      <c r="I23" s="43">
        <f t="shared" si="19"/>
        <v>10469000</v>
      </c>
      <c r="J23" s="43">
        <f t="shared" si="19"/>
        <v>10469000</v>
      </c>
      <c r="K23" s="43">
        <f t="shared" si="19"/>
        <v>10469000</v>
      </c>
      <c r="L23" s="43">
        <f t="shared" si="19"/>
        <v>10469000</v>
      </c>
      <c r="M23" s="43">
        <f t="shared" si="19"/>
        <v>10469000</v>
      </c>
      <c r="N23" s="167">
        <f t="shared" ref="N23:O23" si="20">SUM(N21:N22)</f>
        <v>10469000</v>
      </c>
      <c r="O23" s="167">
        <f t="shared" si="20"/>
        <v>10469000</v>
      </c>
    </row>
    <row r="24" spans="1:15" ht="15" x14ac:dyDescent="0.25">
      <c r="B24" s="4"/>
      <c r="C24" s="214"/>
      <c r="D24" s="4"/>
      <c r="E24" s="4"/>
      <c r="F24" s="4"/>
      <c r="G24" s="4"/>
      <c r="H24" s="4"/>
      <c r="I24" s="4"/>
      <c r="J24" s="4"/>
      <c r="K24" s="4"/>
      <c r="L24" s="4"/>
      <c r="M24" s="4"/>
      <c r="N24" s="214"/>
      <c r="O24" s="214"/>
    </row>
    <row r="25" spans="1:15" ht="15" x14ac:dyDescent="0.25">
      <c r="A25" s="40" t="s">
        <v>52</v>
      </c>
      <c r="B25" s="4"/>
      <c r="C25" s="214"/>
      <c r="D25" s="4"/>
      <c r="E25" s="4"/>
      <c r="F25" s="4"/>
      <c r="G25" s="4"/>
      <c r="H25" s="4"/>
      <c r="I25" s="4"/>
      <c r="J25" s="4"/>
      <c r="K25" s="4"/>
      <c r="L25" s="4"/>
      <c r="M25" s="4"/>
      <c r="N25" s="214"/>
      <c r="O25" s="214"/>
    </row>
    <row r="26" spans="1:15" ht="15" x14ac:dyDescent="0.25">
      <c r="A26" t="s">
        <v>49</v>
      </c>
      <c r="B26" s="4">
        <v>3717000</v>
      </c>
      <c r="C26" s="214">
        <v>0</v>
      </c>
      <c r="D26" s="4">
        <f t="shared" ref="D26:M26" si="21">+C26</f>
        <v>0</v>
      </c>
      <c r="E26" s="4">
        <f t="shared" si="21"/>
        <v>0</v>
      </c>
      <c r="F26" s="4">
        <f t="shared" si="21"/>
        <v>0</v>
      </c>
      <c r="G26" s="4">
        <f t="shared" si="21"/>
        <v>0</v>
      </c>
      <c r="H26" s="4">
        <f t="shared" si="21"/>
        <v>0</v>
      </c>
      <c r="I26" s="4">
        <f t="shared" si="21"/>
        <v>0</v>
      </c>
      <c r="J26" s="4">
        <f t="shared" si="21"/>
        <v>0</v>
      </c>
      <c r="K26" s="4">
        <f t="shared" si="21"/>
        <v>0</v>
      </c>
      <c r="L26" s="4">
        <f t="shared" si="21"/>
        <v>0</v>
      </c>
      <c r="M26" s="4">
        <f t="shared" si="21"/>
        <v>0</v>
      </c>
      <c r="N26" s="214">
        <f t="shared" ref="N26:N27" si="22">+M26</f>
        <v>0</v>
      </c>
      <c r="O26" s="214">
        <f t="shared" ref="O26:O27" si="23">+N26</f>
        <v>0</v>
      </c>
    </row>
    <row r="27" spans="1:15" ht="15" x14ac:dyDescent="0.25">
      <c r="A27" s="5" t="s">
        <v>50</v>
      </c>
      <c r="B27" s="6">
        <v>203000</v>
      </c>
      <c r="C27" s="214">
        <v>148000</v>
      </c>
      <c r="D27" s="4">
        <f t="shared" ref="D27:M27" si="24">+C27</f>
        <v>148000</v>
      </c>
      <c r="E27" s="4">
        <f t="shared" si="24"/>
        <v>148000</v>
      </c>
      <c r="F27" s="4">
        <f t="shared" si="24"/>
        <v>148000</v>
      </c>
      <c r="G27" s="4">
        <f t="shared" si="24"/>
        <v>148000</v>
      </c>
      <c r="H27" s="4">
        <f t="shared" si="24"/>
        <v>148000</v>
      </c>
      <c r="I27" s="4">
        <f t="shared" si="24"/>
        <v>148000</v>
      </c>
      <c r="J27" s="4">
        <f t="shared" si="24"/>
        <v>148000</v>
      </c>
      <c r="K27" s="4">
        <f t="shared" si="24"/>
        <v>148000</v>
      </c>
      <c r="L27" s="4">
        <f t="shared" si="24"/>
        <v>148000</v>
      </c>
      <c r="M27" s="4">
        <f t="shared" si="24"/>
        <v>148000</v>
      </c>
      <c r="N27" s="214">
        <f t="shared" si="22"/>
        <v>148000</v>
      </c>
      <c r="O27" s="214">
        <f t="shared" si="23"/>
        <v>148000</v>
      </c>
    </row>
    <row r="28" spans="1:15" s="44" customFormat="1" ht="15" x14ac:dyDescent="0.25">
      <c r="A28" s="40" t="s">
        <v>53</v>
      </c>
      <c r="B28" s="43">
        <f>SUM(B26:B27)</f>
        <v>3920000</v>
      </c>
      <c r="C28" s="167">
        <f t="shared" ref="C28" si="25">SUM(C26:C27)</f>
        <v>148000</v>
      </c>
      <c r="D28" s="43">
        <f t="shared" ref="D28:M28" si="26">SUM(D26:D27)</f>
        <v>148000</v>
      </c>
      <c r="E28" s="43">
        <f t="shared" si="26"/>
        <v>148000</v>
      </c>
      <c r="F28" s="43">
        <f t="shared" si="26"/>
        <v>148000</v>
      </c>
      <c r="G28" s="43">
        <f t="shared" si="26"/>
        <v>148000</v>
      </c>
      <c r="H28" s="43">
        <f t="shared" si="26"/>
        <v>148000</v>
      </c>
      <c r="I28" s="43">
        <f t="shared" si="26"/>
        <v>148000</v>
      </c>
      <c r="J28" s="43">
        <f t="shared" si="26"/>
        <v>148000</v>
      </c>
      <c r="K28" s="43">
        <f t="shared" si="26"/>
        <v>148000</v>
      </c>
      <c r="L28" s="43">
        <f t="shared" si="26"/>
        <v>148000</v>
      </c>
      <c r="M28" s="43">
        <f t="shared" si="26"/>
        <v>148000</v>
      </c>
      <c r="N28" s="167">
        <f t="shared" ref="N28:O28" si="27">SUM(N26:N27)</f>
        <v>148000</v>
      </c>
      <c r="O28" s="167">
        <f t="shared" si="27"/>
        <v>148000</v>
      </c>
    </row>
    <row r="29" spans="1:15" ht="9" customHeight="1" x14ac:dyDescent="0.25">
      <c r="B29" s="4"/>
      <c r="C29" s="214"/>
      <c r="D29" s="4"/>
      <c r="E29" s="4"/>
      <c r="F29" s="4"/>
      <c r="G29" s="4"/>
      <c r="H29" s="4"/>
      <c r="I29" s="4"/>
      <c r="J29" s="4"/>
      <c r="K29" s="4"/>
      <c r="L29" s="4"/>
      <c r="M29" s="4"/>
      <c r="N29" s="214"/>
      <c r="O29" s="214"/>
    </row>
    <row r="30" spans="1:15" s="44" customFormat="1" ht="15.75" thickBot="1" x14ac:dyDescent="0.3">
      <c r="A30" s="40" t="s">
        <v>54</v>
      </c>
      <c r="B30" s="48">
        <f>+B23+B28</f>
        <v>11094000</v>
      </c>
      <c r="C30" s="171">
        <f t="shared" ref="C30" si="28">+C23+C28</f>
        <v>10617000</v>
      </c>
      <c r="D30" s="48">
        <f t="shared" ref="D30:M30" si="29">+D23+D28</f>
        <v>10617000</v>
      </c>
      <c r="E30" s="48">
        <f t="shared" si="29"/>
        <v>10617000</v>
      </c>
      <c r="F30" s="48">
        <f t="shared" si="29"/>
        <v>10617000</v>
      </c>
      <c r="G30" s="48">
        <f t="shared" si="29"/>
        <v>10617000</v>
      </c>
      <c r="H30" s="48">
        <f t="shared" si="29"/>
        <v>10617000</v>
      </c>
      <c r="I30" s="48">
        <f t="shared" si="29"/>
        <v>10617000</v>
      </c>
      <c r="J30" s="48">
        <f t="shared" si="29"/>
        <v>10617000</v>
      </c>
      <c r="K30" s="48">
        <f t="shared" si="29"/>
        <v>10617000</v>
      </c>
      <c r="L30" s="48">
        <f t="shared" si="29"/>
        <v>10617000</v>
      </c>
      <c r="M30" s="48">
        <f t="shared" si="29"/>
        <v>10617000</v>
      </c>
      <c r="N30" s="171">
        <f t="shared" ref="N30:O30" si="30">+N23+N28</f>
        <v>10617000</v>
      </c>
      <c r="O30" s="171">
        <f t="shared" si="30"/>
        <v>10617000</v>
      </c>
    </row>
    <row r="31" spans="1:15" s="50" customFormat="1" ht="16.2" thickBot="1" x14ac:dyDescent="0.35">
      <c r="A31" s="36" t="s">
        <v>55</v>
      </c>
      <c r="B31" s="49">
        <f>+B17-B30</f>
        <v>281183000</v>
      </c>
      <c r="C31" s="172">
        <f t="shared" ref="C31" si="31">+C17-C30</f>
        <v>282856000</v>
      </c>
      <c r="D31" s="49">
        <f t="shared" ref="D31:M31" ca="1" si="32">+D17-D30</f>
        <v>277774000</v>
      </c>
      <c r="E31" s="49">
        <f t="shared" ca="1" si="32"/>
        <v>277877739.76394677</v>
      </c>
      <c r="F31" s="49">
        <f t="shared" ca="1" si="32"/>
        <v>278186649.71701086</v>
      </c>
      <c r="G31" s="49">
        <f t="shared" ca="1" si="32"/>
        <v>278621439.80994773</v>
      </c>
      <c r="H31" s="49">
        <f t="shared" ca="1" si="32"/>
        <v>279446592.75453389</v>
      </c>
      <c r="I31" s="49">
        <f t="shared" ca="1" si="32"/>
        <v>280235852.19912887</v>
      </c>
      <c r="J31" s="49">
        <f t="shared" ca="1" si="32"/>
        <v>280771514.53694165</v>
      </c>
      <c r="K31" s="49">
        <f t="shared" ca="1" si="32"/>
        <v>281403675.38096499</v>
      </c>
      <c r="L31" s="49" t="e">
        <f t="shared" ca="1" si="32"/>
        <v>#REF!</v>
      </c>
      <c r="M31" s="49" t="e">
        <f t="shared" ca="1" si="32"/>
        <v>#REF!</v>
      </c>
      <c r="N31" s="172" t="e">
        <f t="shared" ref="N31:O31" ca="1" si="33">+N17-N30</f>
        <v>#REF!</v>
      </c>
      <c r="O31" s="172" t="e">
        <f t="shared" ca="1" si="33"/>
        <v>#REF!</v>
      </c>
    </row>
    <row r="32" spans="1:15" ht="15" thickTop="1" x14ac:dyDescent="0.3">
      <c r="B32" s="4"/>
      <c r="C32" s="214"/>
      <c r="D32" s="4"/>
      <c r="E32" s="4"/>
      <c r="F32" s="4"/>
      <c r="G32" s="4"/>
      <c r="H32" s="4"/>
      <c r="I32" s="4"/>
      <c r="J32" s="4"/>
      <c r="K32" s="4"/>
      <c r="L32" s="4"/>
      <c r="M32" s="4"/>
      <c r="N32" s="214"/>
      <c r="O32" s="214"/>
    </row>
    <row r="33" spans="1:15" x14ac:dyDescent="0.3">
      <c r="A33" s="40" t="s">
        <v>56</v>
      </c>
      <c r="B33" s="4"/>
      <c r="C33" s="214"/>
      <c r="D33" s="4"/>
      <c r="E33" s="4"/>
      <c r="F33" s="4"/>
      <c r="G33" s="4"/>
      <c r="H33" s="4"/>
      <c r="I33" s="4"/>
      <c r="J33" s="4"/>
      <c r="K33" s="4"/>
      <c r="L33" s="4"/>
      <c r="M33" s="4"/>
      <c r="N33" s="214"/>
      <c r="O33" s="214"/>
    </row>
    <row r="34" spans="1:15" x14ac:dyDescent="0.3">
      <c r="A34" t="s">
        <v>57</v>
      </c>
      <c r="B34" s="4">
        <v>158027000</v>
      </c>
      <c r="C34" s="214">
        <f>+'GF &amp; FF  Equity Statement'!C13</f>
        <v>0</v>
      </c>
      <c r="D34" s="4">
        <f>+'Scenario 2 Equity Statement'!D12</f>
        <v>158027000</v>
      </c>
      <c r="E34" s="4">
        <f>+'Scenario 2 Equity Statement'!E12</f>
        <v>158130739.76394677</v>
      </c>
      <c r="F34" s="4">
        <f>+'Scenario 2 Equity Statement'!F12</f>
        <v>158439649.71701083</v>
      </c>
      <c r="G34" s="4">
        <f>+'Scenario 2 Equity Statement'!G12</f>
        <v>158874439.8099477</v>
      </c>
      <c r="H34" s="4">
        <f>+'Scenario 2 Equity Statement'!H12</f>
        <v>159699592.75453389</v>
      </c>
      <c r="I34" s="4">
        <f>+'Scenario 2 Equity Statement'!I12</f>
        <v>160488852.19912884</v>
      </c>
      <c r="J34" s="4">
        <f>+'Scenario 2 Equity Statement'!J12</f>
        <v>161024514.53694165</v>
      </c>
      <c r="K34" s="4">
        <f>+'Scenario 2 Equity Statement'!K12</f>
        <v>161656675.38096499</v>
      </c>
      <c r="L34" s="4">
        <f>+'Scenario 2 Equity Statement'!L12</f>
        <v>162237510.76619875</v>
      </c>
      <c r="M34" s="4">
        <f>+'Scenario 2 Equity Statement'!M12</f>
        <v>162758404.28743348</v>
      </c>
      <c r="N34" s="214">
        <f>+'Scenario 2 Equity Statement'!N12</f>
        <v>163279298.8086682</v>
      </c>
      <c r="O34" s="214">
        <f>+'Scenario 2 Equity Statement'!O12</f>
        <v>163800194.32990292</v>
      </c>
    </row>
    <row r="35" spans="1:15" ht="15" thickBot="1" x14ac:dyDescent="0.35">
      <c r="A35" t="s">
        <v>58</v>
      </c>
      <c r="B35" s="8">
        <v>123156000</v>
      </c>
      <c r="C35" s="149">
        <f>+'GF &amp; FF  Equity Statement'!C22</f>
        <v>0</v>
      </c>
      <c r="D35" s="8">
        <f>+'Scenario 2 Equity Statement'!D21</f>
        <v>125016000</v>
      </c>
      <c r="E35" s="8">
        <f>+'Scenario 2 Equity Statement'!E21</f>
        <v>125016000</v>
      </c>
      <c r="F35" s="8">
        <f>+'Scenario 2 Equity Statement'!F21</f>
        <v>125016000</v>
      </c>
      <c r="G35" s="8">
        <f>+'Scenario 2 Equity Statement'!G21</f>
        <v>125016000</v>
      </c>
      <c r="H35" s="8">
        <f>+'Scenario 2 Equity Statement'!H21</f>
        <v>125016000</v>
      </c>
      <c r="I35" s="8">
        <f>+'Scenario 2 Equity Statement'!I21</f>
        <v>125016000</v>
      </c>
      <c r="J35" s="8">
        <f>+'Scenario 2 Equity Statement'!J21</f>
        <v>125016000</v>
      </c>
      <c r="K35" s="8">
        <f>+'Scenario 2 Equity Statement'!K21</f>
        <v>125016000</v>
      </c>
      <c r="L35" s="8">
        <f>+'Scenario 2 Equity Statement'!L21</f>
        <v>125016000</v>
      </c>
      <c r="M35" s="8">
        <f>+'Scenario 2 Equity Statement'!M21</f>
        <v>125016000</v>
      </c>
      <c r="N35" s="149">
        <f>+'Scenario 2 Equity Statement'!N21</f>
        <v>125016000</v>
      </c>
      <c r="O35" s="149">
        <f>+'Scenario 2 Equity Statement'!O21</f>
        <v>125016000</v>
      </c>
    </row>
    <row r="36" spans="1:15" s="50" customFormat="1" ht="16.2" thickBot="1" x14ac:dyDescent="0.35">
      <c r="A36" s="36" t="s">
        <v>59</v>
      </c>
      <c r="B36" s="49">
        <f>SUM(B34:B35)</f>
        <v>281183000</v>
      </c>
      <c r="C36" s="172">
        <f t="shared" ref="C36" si="34">SUM(C34:C35)</f>
        <v>0</v>
      </c>
      <c r="D36" s="49">
        <f t="shared" ref="D36:M36" si="35">SUM(D34:D35)</f>
        <v>283043000</v>
      </c>
      <c r="E36" s="49">
        <f t="shared" si="35"/>
        <v>283146739.76394677</v>
      </c>
      <c r="F36" s="49">
        <f t="shared" si="35"/>
        <v>283455649.71701086</v>
      </c>
      <c r="G36" s="49">
        <f t="shared" si="35"/>
        <v>283890439.80994773</v>
      </c>
      <c r="H36" s="49">
        <f t="shared" si="35"/>
        <v>284715592.75453389</v>
      </c>
      <c r="I36" s="49">
        <f t="shared" si="35"/>
        <v>285504852.19912887</v>
      </c>
      <c r="J36" s="49">
        <f t="shared" si="35"/>
        <v>286040514.53694165</v>
      </c>
      <c r="K36" s="49">
        <f t="shared" si="35"/>
        <v>286672675.38096499</v>
      </c>
      <c r="L36" s="49">
        <f t="shared" si="35"/>
        <v>287253510.76619875</v>
      </c>
      <c r="M36" s="49">
        <f t="shared" si="35"/>
        <v>287774404.28743351</v>
      </c>
      <c r="N36" s="172">
        <f t="shared" ref="N36:O36" si="36">SUM(N34:N35)</f>
        <v>288295298.8086682</v>
      </c>
      <c r="O36" s="172">
        <f t="shared" si="36"/>
        <v>288816194.32990289</v>
      </c>
    </row>
    <row r="37" spans="1:15" ht="15" thickTop="1" x14ac:dyDescent="0.3">
      <c r="B37" s="4"/>
      <c r="C37" s="214"/>
      <c r="D37" s="4"/>
      <c r="E37" s="4"/>
      <c r="F37" s="4"/>
      <c r="G37" s="4"/>
      <c r="H37" s="4"/>
      <c r="I37" s="4"/>
      <c r="J37" s="4"/>
      <c r="K37" s="4"/>
      <c r="L37" s="4"/>
      <c r="M37" s="4"/>
      <c r="N37" s="214"/>
      <c r="O37" s="214"/>
    </row>
    <row r="38" spans="1:15" x14ac:dyDescent="0.3">
      <c r="A38" t="s">
        <v>111</v>
      </c>
      <c r="B38" s="116">
        <f>+B31-B36</f>
        <v>0</v>
      </c>
      <c r="C38" s="217">
        <f t="shared" ref="C38" si="37">+C31-C36</f>
        <v>282856000</v>
      </c>
      <c r="D38" s="116">
        <f t="shared" ref="D38:M38" ca="1" si="38">+D31-D36</f>
        <v>-5269000</v>
      </c>
      <c r="E38" s="116">
        <f t="shared" ca="1" si="38"/>
        <v>-5269000</v>
      </c>
      <c r="F38" s="116">
        <f t="shared" ca="1" si="38"/>
        <v>-5269000</v>
      </c>
      <c r="G38" s="116">
        <f t="shared" ca="1" si="38"/>
        <v>-5269000</v>
      </c>
      <c r="H38" s="116">
        <f t="shared" ca="1" si="38"/>
        <v>-5269000</v>
      </c>
      <c r="I38" s="116">
        <f t="shared" ca="1" si="38"/>
        <v>-5269000</v>
      </c>
      <c r="J38" s="116">
        <f t="shared" ca="1" si="38"/>
        <v>-5269000</v>
      </c>
      <c r="K38" s="116">
        <f t="shared" ca="1" si="38"/>
        <v>-5269000</v>
      </c>
      <c r="L38" s="116" t="e">
        <f t="shared" ca="1" si="38"/>
        <v>#REF!</v>
      </c>
      <c r="M38" s="116" t="e">
        <f t="shared" ca="1" si="38"/>
        <v>#REF!</v>
      </c>
      <c r="N38" s="217" t="e">
        <f t="shared" ref="N38:O38" ca="1" si="39">+N31-N36</f>
        <v>#REF!</v>
      </c>
      <c r="O38" s="217" t="e">
        <f t="shared" ca="1" si="39"/>
        <v>#REF!</v>
      </c>
    </row>
    <row r="39" spans="1:15" x14ac:dyDescent="0.3">
      <c r="A39" t="s">
        <v>112</v>
      </c>
      <c r="B39" s="116">
        <f>+B36-'Scenario 2 Equity Statement'!B32</f>
        <v>0</v>
      </c>
      <c r="C39" s="217">
        <f>+C36-'GF &amp; FF  Equity Statement'!C33</f>
        <v>0</v>
      </c>
      <c r="D39" s="116">
        <f>+D36-'Scenario 2 Equity Statement'!D32</f>
        <v>0</v>
      </c>
      <c r="E39" s="116">
        <f>+E36-'Scenario 2 Equity Statement'!E32</f>
        <v>0</v>
      </c>
      <c r="F39" s="116">
        <f>+F36-'Scenario 2 Equity Statement'!F32</f>
        <v>0</v>
      </c>
      <c r="G39" s="116">
        <f>+G36-'Scenario 2 Equity Statement'!G32</f>
        <v>0</v>
      </c>
      <c r="H39" s="116">
        <f>+H36-'Scenario 2 Equity Statement'!H32</f>
        <v>0</v>
      </c>
      <c r="I39" s="116">
        <f>+I36-'Scenario 2 Equity Statement'!I32</f>
        <v>0</v>
      </c>
      <c r="J39" s="116">
        <f>+J36-'Scenario 2 Equity Statement'!J32</f>
        <v>0</v>
      </c>
      <c r="K39" s="116">
        <f>+K36-'Scenario 2 Equity Statement'!K32</f>
        <v>0</v>
      </c>
      <c r="L39" s="116">
        <f>+L36-'Scenario 2 Equity Statement'!L32</f>
        <v>0</v>
      </c>
      <c r="M39" s="116">
        <f>+M36-'Scenario 2 Equity Statement'!M32</f>
        <v>0</v>
      </c>
      <c r="N39" s="217">
        <f>+N36-'Scenario 2 Equity Statement'!N32</f>
        <v>-2.0000000596046448</v>
      </c>
      <c r="O39" s="217">
        <f>+O36-'Scenario 2 Equity Statement'!O32</f>
        <v>-4.0000000596046448</v>
      </c>
    </row>
    <row r="40" spans="1:15" x14ac:dyDescent="0.3"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64"/>
      <c r="O40" s="264"/>
    </row>
    <row r="41" spans="1:15" x14ac:dyDescent="0.3">
      <c r="N41" s="221"/>
      <c r="O41" s="221"/>
    </row>
    <row r="42" spans="1:15" s="17" customFormat="1" x14ac:dyDescent="0.3">
      <c r="A42" s="112" t="s">
        <v>425</v>
      </c>
      <c r="B42" s="19" t="s">
        <v>69</v>
      </c>
      <c r="C42" s="213" t="s">
        <v>69</v>
      </c>
      <c r="D42" s="19" t="s">
        <v>70</v>
      </c>
      <c r="E42" s="19" t="s">
        <v>71</v>
      </c>
      <c r="F42" s="19" t="s">
        <v>71</v>
      </c>
      <c r="G42" s="19" t="s">
        <v>71</v>
      </c>
      <c r="H42" s="19" t="s">
        <v>71</v>
      </c>
      <c r="I42" s="19" t="s">
        <v>71</v>
      </c>
      <c r="J42" s="19" t="s">
        <v>71</v>
      </c>
      <c r="K42" s="19" t="s">
        <v>71</v>
      </c>
      <c r="L42" s="19" t="s">
        <v>71</v>
      </c>
      <c r="M42" s="19" t="s">
        <v>71</v>
      </c>
      <c r="N42" s="213" t="s">
        <v>71</v>
      </c>
      <c r="O42" s="213" t="s">
        <v>71</v>
      </c>
    </row>
    <row r="43" spans="1:15" x14ac:dyDescent="0.3">
      <c r="A43" s="18" t="s">
        <v>72</v>
      </c>
      <c r="B43" s="20" t="s">
        <v>60</v>
      </c>
      <c r="C43" s="159" t="s">
        <v>68</v>
      </c>
      <c r="D43" s="19" t="s">
        <v>0</v>
      </c>
      <c r="E43" s="19" t="s">
        <v>1</v>
      </c>
      <c r="F43" s="19" t="s">
        <v>2</v>
      </c>
      <c r="G43" s="19" t="s">
        <v>3</v>
      </c>
      <c r="H43" s="19" t="s">
        <v>4</v>
      </c>
      <c r="I43" s="19" t="s">
        <v>5</v>
      </c>
      <c r="J43" s="19" t="s">
        <v>6</v>
      </c>
      <c r="K43" s="19" t="s">
        <v>7</v>
      </c>
      <c r="L43" s="19" t="s">
        <v>8</v>
      </c>
      <c r="M43" s="19" t="s">
        <v>9</v>
      </c>
      <c r="N43" s="213" t="s">
        <v>514</v>
      </c>
      <c r="O43" s="213" t="s">
        <v>515</v>
      </c>
    </row>
    <row r="44" spans="1:15" s="25" customFormat="1" x14ac:dyDescent="0.3">
      <c r="A44" s="22"/>
      <c r="B44" s="23"/>
      <c r="C44" s="161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</row>
    <row r="45" spans="1:15" x14ac:dyDescent="0.3">
      <c r="A45" s="40" t="s">
        <v>35</v>
      </c>
      <c r="B45" s="4"/>
      <c r="C45" s="214"/>
      <c r="D45" s="4"/>
      <c r="E45" s="4"/>
      <c r="F45" s="4"/>
      <c r="G45" s="4"/>
      <c r="H45" s="4"/>
      <c r="I45" s="4"/>
      <c r="J45" s="4"/>
      <c r="K45" s="4"/>
      <c r="L45" s="4"/>
      <c r="M45" s="4"/>
      <c r="N45" s="214"/>
      <c r="O45" s="214"/>
    </row>
    <row r="46" spans="1:15" x14ac:dyDescent="0.3">
      <c r="A46" s="40" t="s">
        <v>36</v>
      </c>
      <c r="B46" s="4"/>
      <c r="C46" s="214"/>
      <c r="D46" s="4"/>
      <c r="E46" s="4"/>
      <c r="F46" s="4"/>
      <c r="G46" s="4"/>
      <c r="H46" s="4"/>
      <c r="I46" s="4"/>
      <c r="J46" s="4"/>
      <c r="K46" s="4"/>
      <c r="L46" s="4"/>
      <c r="M46" s="4"/>
      <c r="N46" s="214"/>
      <c r="O46" s="214"/>
    </row>
    <row r="47" spans="1:15" x14ac:dyDescent="0.3">
      <c r="A47" t="s">
        <v>37</v>
      </c>
      <c r="B47" s="4">
        <v>6705000</v>
      </c>
      <c r="C47" s="214">
        <v>8206000</v>
      </c>
      <c r="D47" s="4">
        <f ca="1">+'Scenario 2 Cash Flow'!D78</f>
        <v>-2262773.6795166293</v>
      </c>
      <c r="E47" s="4">
        <f ca="1">+'Scenario 2 Cash Flow'!E78</f>
        <v>-4428658.4825705281</v>
      </c>
      <c r="F47" s="116">
        <f ca="1">+'Scenario 2 Cash Flow'!F78</f>
        <v>-5375577.9096059045</v>
      </c>
      <c r="G47" s="116">
        <f ca="1">+'Scenario 2 Cash Flow'!G78</f>
        <v>-6738813.0360516477</v>
      </c>
      <c r="H47" s="116">
        <f ca="1">+'Scenario 2 Cash Flow'!H78</f>
        <v>-11318418.879629515</v>
      </c>
      <c r="I47" s="116">
        <f ca="1">+'Scenario 2 Cash Flow'!I78</f>
        <v>-12440579.704570513</v>
      </c>
      <c r="J47" s="116">
        <f ca="1">+'Scenario 2 Cash Flow'!J78</f>
        <v>-16344915.163003504</v>
      </c>
      <c r="K47" s="116">
        <f ca="1">+'Scenario 2 Cash Flow'!K78</f>
        <v>-15853236.18362673</v>
      </c>
      <c r="L47" s="116" t="e">
        <f ca="1">+'Scenario 2 Cash Flow'!L78</f>
        <v>#REF!</v>
      </c>
      <c r="M47" s="116" t="e">
        <f ca="1">+'Scenario 2 Cash Flow'!M78</f>
        <v>#REF!</v>
      </c>
      <c r="N47" s="217" t="e">
        <f ca="1">+'Scenario 2 Cash Flow'!N78</f>
        <v>#REF!</v>
      </c>
      <c r="O47" s="217" t="e">
        <f ca="1">+'Scenario 2 Cash Flow'!O78</f>
        <v>#REF!</v>
      </c>
    </row>
    <row r="48" spans="1:15" x14ac:dyDescent="0.3">
      <c r="A48" t="s">
        <v>38</v>
      </c>
      <c r="B48" s="4">
        <v>23500000</v>
      </c>
      <c r="C48" s="214">
        <v>22000000</v>
      </c>
      <c r="D48" s="4">
        <f>+'Scenario 2 Cash Flow'!D80</f>
        <v>22000000</v>
      </c>
      <c r="E48" s="4">
        <f>+'Scenario 2 Cash Flow'!E80</f>
        <v>22000000</v>
      </c>
      <c r="F48" s="4">
        <f>+'Scenario 2 Cash Flow'!F80</f>
        <v>22000000</v>
      </c>
      <c r="G48" s="4">
        <f>+'Scenario 2 Cash Flow'!G80</f>
        <v>22000000</v>
      </c>
      <c r="H48" s="4">
        <f>+'Scenario 2 Cash Flow'!H80</f>
        <v>20800000</v>
      </c>
      <c r="I48" s="4">
        <f>+'Scenario 2 Cash Flow'!I80</f>
        <v>20800000</v>
      </c>
      <c r="J48" s="4">
        <f>+'Scenario 2 Cash Flow'!J80</f>
        <v>20800000</v>
      </c>
      <c r="K48" s="4">
        <f>+'Scenario 2 Cash Flow'!K80</f>
        <v>20800000</v>
      </c>
      <c r="L48" s="4">
        <f>+'Scenario 2 Cash Flow'!L80</f>
        <v>20800000</v>
      </c>
      <c r="M48" s="4">
        <f>+'Scenario 2 Cash Flow'!M80</f>
        <v>20800000</v>
      </c>
      <c r="N48" s="214">
        <f>+'Scenario 2 Cash Flow'!N80</f>
        <v>20799999</v>
      </c>
      <c r="O48" s="214">
        <f>+'Scenario 2 Cash Flow'!O80</f>
        <v>20799997</v>
      </c>
    </row>
    <row r="49" spans="1:15" x14ac:dyDescent="0.3">
      <c r="A49" t="s">
        <v>39</v>
      </c>
      <c r="B49" s="4">
        <v>3211000</v>
      </c>
      <c r="C49" s="214">
        <v>2098000</v>
      </c>
      <c r="D49" s="4">
        <f t="shared" ref="D49:D51" si="40">+C49</f>
        <v>2098000</v>
      </c>
      <c r="E49" s="4">
        <f t="shared" ref="E49:E51" si="41">+D49</f>
        <v>2098000</v>
      </c>
      <c r="F49" s="4">
        <f t="shared" ref="F49:F51" si="42">+E49</f>
        <v>2098000</v>
      </c>
      <c r="G49" s="4">
        <f t="shared" ref="G49:G51" si="43">+F49</f>
        <v>2098000</v>
      </c>
      <c r="H49" s="4">
        <f t="shared" ref="H49:H51" si="44">+G49</f>
        <v>2098000</v>
      </c>
      <c r="I49" s="4">
        <f t="shared" ref="I49:I51" si="45">+H49</f>
        <v>2098000</v>
      </c>
      <c r="J49" s="4">
        <f t="shared" ref="J49:J51" si="46">+I49</f>
        <v>2098000</v>
      </c>
      <c r="K49" s="4">
        <f t="shared" ref="K49:K51" si="47">+J49</f>
        <v>2098000</v>
      </c>
      <c r="L49" s="4">
        <f t="shared" ref="L49:L51" si="48">+K49</f>
        <v>2098000</v>
      </c>
      <c r="M49" s="4">
        <f t="shared" ref="M49:M51" si="49">+L49</f>
        <v>2098000</v>
      </c>
      <c r="N49" s="214">
        <f t="shared" ref="N49:N51" si="50">+M49</f>
        <v>2098000</v>
      </c>
      <c r="O49" s="214">
        <f t="shared" ref="O49:O51" si="51">+N49</f>
        <v>2098000</v>
      </c>
    </row>
    <row r="50" spans="1:15" x14ac:dyDescent="0.3">
      <c r="A50" t="s">
        <v>40</v>
      </c>
      <c r="B50" s="4">
        <v>39000</v>
      </c>
      <c r="C50" s="214">
        <v>51000</v>
      </c>
      <c r="D50" s="4">
        <f t="shared" si="40"/>
        <v>51000</v>
      </c>
      <c r="E50" s="4">
        <f t="shared" si="41"/>
        <v>51000</v>
      </c>
      <c r="F50" s="4">
        <f t="shared" si="42"/>
        <v>51000</v>
      </c>
      <c r="G50" s="4">
        <f t="shared" si="43"/>
        <v>51000</v>
      </c>
      <c r="H50" s="4">
        <f t="shared" si="44"/>
        <v>51000</v>
      </c>
      <c r="I50" s="4">
        <f t="shared" si="45"/>
        <v>51000</v>
      </c>
      <c r="J50" s="4">
        <f t="shared" si="46"/>
        <v>51000</v>
      </c>
      <c r="K50" s="4">
        <f t="shared" si="47"/>
        <v>51000</v>
      </c>
      <c r="L50" s="4">
        <f t="shared" si="48"/>
        <v>51000</v>
      </c>
      <c r="M50" s="4">
        <f t="shared" si="49"/>
        <v>51000</v>
      </c>
      <c r="N50" s="214">
        <f t="shared" si="50"/>
        <v>51000</v>
      </c>
      <c r="O50" s="214">
        <f t="shared" si="51"/>
        <v>51000</v>
      </c>
    </row>
    <row r="51" spans="1:15" x14ac:dyDescent="0.3">
      <c r="A51" s="5" t="s">
        <v>41</v>
      </c>
      <c r="B51" s="6">
        <v>479000</v>
      </c>
      <c r="C51" s="214">
        <v>343000</v>
      </c>
      <c r="D51" s="4">
        <f t="shared" si="40"/>
        <v>343000</v>
      </c>
      <c r="E51" s="4">
        <f t="shared" si="41"/>
        <v>343000</v>
      </c>
      <c r="F51" s="4">
        <f t="shared" si="42"/>
        <v>343000</v>
      </c>
      <c r="G51" s="4">
        <f t="shared" si="43"/>
        <v>343000</v>
      </c>
      <c r="H51" s="4">
        <f t="shared" si="44"/>
        <v>343000</v>
      </c>
      <c r="I51" s="4">
        <f t="shared" si="45"/>
        <v>343000</v>
      </c>
      <c r="J51" s="4">
        <f t="shared" si="46"/>
        <v>343000</v>
      </c>
      <c r="K51" s="4">
        <f t="shared" si="47"/>
        <v>343000</v>
      </c>
      <c r="L51" s="4">
        <f t="shared" si="48"/>
        <v>343000</v>
      </c>
      <c r="M51" s="4">
        <f t="shared" si="49"/>
        <v>343000</v>
      </c>
      <c r="N51" s="214">
        <f t="shared" si="50"/>
        <v>343000</v>
      </c>
      <c r="O51" s="214">
        <f t="shared" si="51"/>
        <v>343000</v>
      </c>
    </row>
    <row r="52" spans="1:15" s="44" customFormat="1" x14ac:dyDescent="0.3">
      <c r="A52" s="40" t="s">
        <v>42</v>
      </c>
      <c r="B52" s="43">
        <f>SUM(B47:B51)</f>
        <v>33934000</v>
      </c>
      <c r="C52" s="167">
        <f t="shared" ref="C52" si="52">SUM(C47:C51)</f>
        <v>32698000</v>
      </c>
      <c r="D52" s="43">
        <f t="shared" ref="D52:M52" ca="1" si="53">SUM(D47:D51)</f>
        <v>22229226.320483372</v>
      </c>
      <c r="E52" s="43">
        <f t="shared" ca="1" si="53"/>
        <v>20063341.517429471</v>
      </c>
      <c r="F52" s="43">
        <f t="shared" ca="1" si="53"/>
        <v>19116422.090394095</v>
      </c>
      <c r="G52" s="43">
        <f t="shared" ca="1" si="53"/>
        <v>17753186.963948354</v>
      </c>
      <c r="H52" s="43">
        <f t="shared" ca="1" si="53"/>
        <v>11973581.120370485</v>
      </c>
      <c r="I52" s="43">
        <f t="shared" ca="1" si="53"/>
        <v>10851420.295429487</v>
      </c>
      <c r="J52" s="43">
        <f t="shared" ca="1" si="53"/>
        <v>6947084.8369964957</v>
      </c>
      <c r="K52" s="43">
        <f t="shared" ca="1" si="53"/>
        <v>7438763.81637327</v>
      </c>
      <c r="L52" s="123" t="e">
        <f t="shared" ca="1" si="53"/>
        <v>#REF!</v>
      </c>
      <c r="M52" s="123" t="e">
        <f t="shared" ca="1" si="53"/>
        <v>#REF!</v>
      </c>
      <c r="N52" s="123" t="e">
        <f t="shared" ref="N52:O52" ca="1" si="54">SUM(N47:N51)</f>
        <v>#REF!</v>
      </c>
      <c r="O52" s="123" t="e">
        <f t="shared" ca="1" si="54"/>
        <v>#REF!</v>
      </c>
    </row>
    <row r="53" spans="1:15" x14ac:dyDescent="0.3">
      <c r="B53" s="4"/>
      <c r="C53" s="214"/>
      <c r="D53" s="4"/>
      <c r="E53" s="4"/>
      <c r="F53" s="4"/>
      <c r="G53" s="4"/>
      <c r="H53" s="4"/>
      <c r="I53" s="4"/>
      <c r="J53" s="4"/>
      <c r="K53" s="4"/>
      <c r="L53" s="4"/>
      <c r="M53" s="4"/>
      <c r="N53" s="214"/>
      <c r="O53" s="214"/>
    </row>
    <row r="54" spans="1:15" x14ac:dyDescent="0.3">
      <c r="A54" s="40" t="s">
        <v>43</v>
      </c>
      <c r="B54" s="4"/>
      <c r="C54" s="214"/>
      <c r="D54" s="4"/>
      <c r="E54" s="4"/>
      <c r="F54" s="4"/>
      <c r="G54" s="4"/>
      <c r="H54" s="4"/>
      <c r="I54" s="4"/>
      <c r="J54" s="4"/>
      <c r="K54" s="4"/>
      <c r="L54" s="4"/>
      <c r="M54" s="4"/>
      <c r="N54" s="214"/>
      <c r="O54" s="214"/>
    </row>
    <row r="55" spans="1:15" x14ac:dyDescent="0.3">
      <c r="A55" s="5" t="s">
        <v>44</v>
      </c>
      <c r="B55" s="6">
        <v>258343000</v>
      </c>
      <c r="C55" s="215">
        <v>260775000</v>
      </c>
      <c r="D55" s="6">
        <f ca="1">+C55-'Scenario 2 Inc Exp Statement'!D82-'Scenario 2 Inc Exp Statement'!D66</f>
        <v>266161773.67951664</v>
      </c>
      <c r="E55" s="6">
        <f ca="1">+D55-'Scenario 2 Inc Exp Statement'!E82-'Scenario 2 Inc Exp Statement'!E66</f>
        <v>268420463.17773151</v>
      </c>
      <c r="F55" s="6">
        <f ca="1">+E55-'Scenario 2 Inc Exp Statement'!F82-'Scenario 2 Inc Exp Statement'!F66</f>
        <v>269665150.13746446</v>
      </c>
      <c r="G55" s="6">
        <f ca="1">+F55-'Scenario 2 Inc Exp Statement'!G82-'Scenario 2 Inc Exp Statement'!G66</f>
        <v>271451824.69292867</v>
      </c>
      <c r="H55" s="6">
        <f ca="1">+G55-'Scenario 2 Inc Exp Statement'!H82-'Scenario 2 Inc Exp Statement'!H66</f>
        <v>278045251.98321038</v>
      </c>
      <c r="I55" s="6">
        <f ca="1">+H55-'Scenario 2 Inc Exp Statement'!I82-'Scenario 2 Inc Exp Statement'!I66</f>
        <v>279945051.17393857</v>
      </c>
      <c r="J55" s="6">
        <f ca="1">+I55-'Scenario 2 Inc Exp Statement'!J82-'Scenario 2 Inc Exp Statement'!J66</f>
        <v>284373312.42033553</v>
      </c>
      <c r="K55" s="6">
        <f ca="1">+J55-'Scenario 2 Inc Exp Statement'!K82-'Scenario 2 Inc Exp Statement'!K66</f>
        <v>284502502.33786517</v>
      </c>
      <c r="L55" s="6" t="e">
        <f ca="1">+K55-'Scenario 2 Inc Exp Statement'!L82-'Scenario 2 Inc Exp Statement'!L66</f>
        <v>#REF!</v>
      </c>
      <c r="M55" s="6" t="e">
        <f ca="1">+L55-'Scenario 2 Inc Exp Statement'!M82-'Scenario 2 Inc Exp Statement'!M66</f>
        <v>#REF!</v>
      </c>
      <c r="N55" s="215" t="e">
        <f ca="1">+M55-'Scenario 2 Inc Exp Statement'!N82-'Scenario 2 Inc Exp Statement'!N66</f>
        <v>#REF!</v>
      </c>
      <c r="O55" s="215" t="e">
        <f ca="1">+N55-'Scenario 2 Inc Exp Statement'!O82-'Scenario 2 Inc Exp Statement'!O66</f>
        <v>#REF!</v>
      </c>
    </row>
    <row r="56" spans="1:15" s="44" customFormat="1" x14ac:dyDescent="0.3">
      <c r="A56" s="40" t="s">
        <v>45</v>
      </c>
      <c r="B56" s="43">
        <f>SUM(B55)</f>
        <v>258343000</v>
      </c>
      <c r="C56" s="167">
        <f t="shared" ref="C56" si="55">SUM(C55)</f>
        <v>260775000</v>
      </c>
      <c r="D56" s="43">
        <f t="shared" ref="D56:M56" ca="1" si="56">SUM(D55)</f>
        <v>266161773.67951664</v>
      </c>
      <c r="E56" s="43">
        <f t="shared" ca="1" si="56"/>
        <v>268420463.17773151</v>
      </c>
      <c r="F56" s="43">
        <f t="shared" ca="1" si="56"/>
        <v>269665150.13746446</v>
      </c>
      <c r="G56" s="43">
        <f t="shared" ca="1" si="56"/>
        <v>271451824.69292867</v>
      </c>
      <c r="H56" s="43">
        <f t="shared" ca="1" si="56"/>
        <v>278045251.98321038</v>
      </c>
      <c r="I56" s="43">
        <f t="shared" ca="1" si="56"/>
        <v>279945051.17393857</v>
      </c>
      <c r="J56" s="43">
        <f t="shared" ca="1" si="56"/>
        <v>284373312.42033553</v>
      </c>
      <c r="K56" s="43">
        <f t="shared" ca="1" si="56"/>
        <v>284502502.33786517</v>
      </c>
      <c r="L56" s="43" t="e">
        <f t="shared" ca="1" si="56"/>
        <v>#REF!</v>
      </c>
      <c r="M56" s="43" t="e">
        <f t="shared" ca="1" si="56"/>
        <v>#REF!</v>
      </c>
      <c r="N56" s="167" t="e">
        <f t="shared" ref="N56:O56" ca="1" si="57">SUM(N55)</f>
        <v>#REF!</v>
      </c>
      <c r="O56" s="167" t="e">
        <f t="shared" ca="1" si="57"/>
        <v>#REF!</v>
      </c>
    </row>
    <row r="57" spans="1:15" ht="9" customHeight="1" x14ac:dyDescent="0.3">
      <c r="B57" s="4"/>
      <c r="C57" s="214"/>
      <c r="D57" s="4"/>
      <c r="E57" s="4"/>
      <c r="F57" s="4"/>
      <c r="G57" s="4"/>
      <c r="H57" s="4"/>
      <c r="I57" s="4"/>
      <c r="J57" s="4"/>
      <c r="K57" s="4"/>
      <c r="L57" s="4"/>
      <c r="M57" s="4"/>
      <c r="N57" s="214"/>
      <c r="O57" s="214"/>
    </row>
    <row r="58" spans="1:15" s="44" customFormat="1" ht="15" thickBot="1" x14ac:dyDescent="0.35">
      <c r="A58" s="40" t="s">
        <v>46</v>
      </c>
      <c r="B58" s="48">
        <f>+B52+B56</f>
        <v>292277000</v>
      </c>
      <c r="C58" s="171">
        <f t="shared" ref="C58" si="58">+C52+C56</f>
        <v>293473000</v>
      </c>
      <c r="D58" s="48">
        <f t="shared" ref="D58:M58" ca="1" si="59">+D52+D56</f>
        <v>288391000</v>
      </c>
      <c r="E58" s="48">
        <f t="shared" ca="1" si="59"/>
        <v>288483804.69516098</v>
      </c>
      <c r="F58" s="48">
        <f t="shared" ca="1" si="59"/>
        <v>288781572.22785854</v>
      </c>
      <c r="G58" s="48">
        <f t="shared" ca="1" si="59"/>
        <v>289205011.65687704</v>
      </c>
      <c r="H58" s="48">
        <f t="shared" ca="1" si="59"/>
        <v>290018833.10358089</v>
      </c>
      <c r="I58" s="48">
        <f t="shared" ca="1" si="59"/>
        <v>290796471.46936804</v>
      </c>
      <c r="J58" s="48">
        <f t="shared" ca="1" si="59"/>
        <v>291320397.25733203</v>
      </c>
      <c r="K58" s="48">
        <f t="shared" ca="1" si="59"/>
        <v>291941266.15423846</v>
      </c>
      <c r="L58" s="48" t="e">
        <f t="shared" ca="1" si="59"/>
        <v>#REF!</v>
      </c>
      <c r="M58" s="48" t="e">
        <f t="shared" ca="1" si="59"/>
        <v>#REF!</v>
      </c>
      <c r="N58" s="171" t="e">
        <f t="shared" ref="N58:O58" ca="1" si="60">+N52+N56</f>
        <v>#REF!</v>
      </c>
      <c r="O58" s="171" t="e">
        <f t="shared" ca="1" si="60"/>
        <v>#REF!</v>
      </c>
    </row>
    <row r="59" spans="1:15" x14ac:dyDescent="0.3">
      <c r="B59" s="4"/>
      <c r="C59" s="214"/>
      <c r="D59" s="4"/>
      <c r="E59" s="4"/>
      <c r="F59" s="4"/>
      <c r="G59" s="4"/>
      <c r="H59" s="4"/>
      <c r="I59" s="4"/>
      <c r="J59" s="4"/>
      <c r="K59" s="4"/>
      <c r="L59" s="4"/>
      <c r="M59" s="4"/>
      <c r="N59" s="214"/>
      <c r="O59" s="214"/>
    </row>
    <row r="60" spans="1:15" x14ac:dyDescent="0.3">
      <c r="A60" s="40" t="s">
        <v>47</v>
      </c>
      <c r="B60" s="4"/>
      <c r="C60" s="214"/>
      <c r="D60" s="4"/>
      <c r="E60" s="4"/>
      <c r="F60" s="4"/>
      <c r="G60" s="4"/>
      <c r="H60" s="4"/>
      <c r="I60" s="4"/>
      <c r="J60" s="4"/>
      <c r="K60" s="4"/>
      <c r="L60" s="4"/>
      <c r="M60" s="4"/>
      <c r="N60" s="214"/>
      <c r="O60" s="214"/>
    </row>
    <row r="61" spans="1:15" x14ac:dyDescent="0.3">
      <c r="A61" s="40" t="s">
        <v>48</v>
      </c>
      <c r="B61" s="4"/>
      <c r="C61" s="214"/>
      <c r="D61" s="4"/>
      <c r="E61" s="4"/>
      <c r="F61" s="4"/>
      <c r="G61" s="4"/>
      <c r="H61" s="4"/>
      <c r="I61" s="4"/>
      <c r="J61" s="4"/>
      <c r="K61" s="4"/>
      <c r="L61" s="4"/>
      <c r="M61" s="4"/>
      <c r="N61" s="214"/>
      <c r="O61" s="214"/>
    </row>
    <row r="62" spans="1:15" x14ac:dyDescent="0.3">
      <c r="A62" s="3" t="s">
        <v>49</v>
      </c>
      <c r="B62" s="4">
        <v>4070000</v>
      </c>
      <c r="C62" s="214">
        <v>7515000</v>
      </c>
      <c r="D62" s="4">
        <f t="shared" ref="D62:D63" si="61">+C62</f>
        <v>7515000</v>
      </c>
      <c r="E62" s="4">
        <f t="shared" ref="E62:E63" si="62">+D62</f>
        <v>7515000</v>
      </c>
      <c r="F62" s="4">
        <f t="shared" ref="F62:F63" si="63">+E62</f>
        <v>7515000</v>
      </c>
      <c r="G62" s="4">
        <f t="shared" ref="G62:G63" si="64">+F62</f>
        <v>7515000</v>
      </c>
      <c r="H62" s="4">
        <f t="shared" ref="H62:H63" si="65">+G62</f>
        <v>7515000</v>
      </c>
      <c r="I62" s="4">
        <f t="shared" ref="I62:I63" si="66">+H62</f>
        <v>7515000</v>
      </c>
      <c r="J62" s="4">
        <f t="shared" ref="J62:J63" si="67">+I62</f>
        <v>7515000</v>
      </c>
      <c r="K62" s="4">
        <f t="shared" ref="K62:K63" si="68">+J62</f>
        <v>7515000</v>
      </c>
      <c r="L62" s="4">
        <f t="shared" ref="L62:L63" si="69">+K62</f>
        <v>7515000</v>
      </c>
      <c r="M62" s="4">
        <f t="shared" ref="M62:M63" si="70">+L62</f>
        <v>7515000</v>
      </c>
      <c r="N62" s="214">
        <f t="shared" ref="N62:N63" si="71">+M62</f>
        <v>7515000</v>
      </c>
      <c r="O62" s="214">
        <f t="shared" ref="O62:O63" si="72">+N62</f>
        <v>7515000</v>
      </c>
    </row>
    <row r="63" spans="1:15" x14ac:dyDescent="0.3">
      <c r="A63" s="7" t="s">
        <v>50</v>
      </c>
      <c r="B63" s="6">
        <v>3104000</v>
      </c>
      <c r="C63" s="214">
        <v>2954000</v>
      </c>
      <c r="D63" s="4">
        <f t="shared" si="61"/>
        <v>2954000</v>
      </c>
      <c r="E63" s="4">
        <f t="shared" si="62"/>
        <v>2954000</v>
      </c>
      <c r="F63" s="4">
        <f t="shared" si="63"/>
        <v>2954000</v>
      </c>
      <c r="G63" s="4">
        <f t="shared" si="64"/>
        <v>2954000</v>
      </c>
      <c r="H63" s="4">
        <f t="shared" si="65"/>
        <v>2954000</v>
      </c>
      <c r="I63" s="4">
        <f t="shared" si="66"/>
        <v>2954000</v>
      </c>
      <c r="J63" s="4">
        <f t="shared" si="67"/>
        <v>2954000</v>
      </c>
      <c r="K63" s="4">
        <f t="shared" si="68"/>
        <v>2954000</v>
      </c>
      <c r="L63" s="4">
        <f t="shared" si="69"/>
        <v>2954000</v>
      </c>
      <c r="M63" s="4">
        <f t="shared" si="70"/>
        <v>2954000</v>
      </c>
      <c r="N63" s="214">
        <f t="shared" si="71"/>
        <v>2954000</v>
      </c>
      <c r="O63" s="214">
        <f t="shared" si="72"/>
        <v>2954000</v>
      </c>
    </row>
    <row r="64" spans="1:15" s="44" customFormat="1" x14ac:dyDescent="0.3">
      <c r="A64" s="40" t="s">
        <v>51</v>
      </c>
      <c r="B64" s="43">
        <f>SUM(B62:B63)</f>
        <v>7174000</v>
      </c>
      <c r="C64" s="167">
        <f t="shared" ref="C64" si="73">SUM(C62:C63)</f>
        <v>10469000</v>
      </c>
      <c r="D64" s="43">
        <f t="shared" ref="D64:M64" si="74">SUM(D62:D63)</f>
        <v>10469000</v>
      </c>
      <c r="E64" s="43">
        <f t="shared" si="74"/>
        <v>10469000</v>
      </c>
      <c r="F64" s="43">
        <f t="shared" si="74"/>
        <v>10469000</v>
      </c>
      <c r="G64" s="43">
        <f t="shared" si="74"/>
        <v>10469000</v>
      </c>
      <c r="H64" s="43">
        <f t="shared" si="74"/>
        <v>10469000</v>
      </c>
      <c r="I64" s="43">
        <f t="shared" si="74"/>
        <v>10469000</v>
      </c>
      <c r="J64" s="43">
        <f t="shared" si="74"/>
        <v>10469000</v>
      </c>
      <c r="K64" s="43">
        <f t="shared" si="74"/>
        <v>10469000</v>
      </c>
      <c r="L64" s="43">
        <f t="shared" si="74"/>
        <v>10469000</v>
      </c>
      <c r="M64" s="43">
        <f t="shared" si="74"/>
        <v>10469000</v>
      </c>
      <c r="N64" s="167">
        <f t="shared" ref="N64:O64" si="75">SUM(N62:N63)</f>
        <v>10469000</v>
      </c>
      <c r="O64" s="167">
        <f t="shared" si="75"/>
        <v>10469000</v>
      </c>
    </row>
    <row r="65" spans="1:15" x14ac:dyDescent="0.3">
      <c r="B65" s="4"/>
      <c r="C65" s="214"/>
      <c r="D65" s="4"/>
      <c r="E65" s="4"/>
      <c r="F65" s="4"/>
      <c r="G65" s="4"/>
      <c r="H65" s="4"/>
      <c r="I65" s="4"/>
      <c r="J65" s="4"/>
      <c r="K65" s="4"/>
      <c r="L65" s="4"/>
      <c r="M65" s="4"/>
      <c r="N65" s="214"/>
      <c r="O65" s="214"/>
    </row>
    <row r="66" spans="1:15" x14ac:dyDescent="0.3">
      <c r="A66" s="40" t="s">
        <v>52</v>
      </c>
      <c r="B66" s="4"/>
      <c r="C66" s="214"/>
      <c r="D66" s="4"/>
      <c r="E66" s="4"/>
      <c r="F66" s="4"/>
      <c r="G66" s="4"/>
      <c r="H66" s="4"/>
      <c r="I66" s="4"/>
      <c r="J66" s="4"/>
      <c r="K66" s="4"/>
      <c r="L66" s="4"/>
      <c r="M66" s="4"/>
      <c r="N66" s="214"/>
      <c r="O66" s="214"/>
    </row>
    <row r="67" spans="1:15" x14ac:dyDescent="0.3">
      <c r="A67" t="s">
        <v>49</v>
      </c>
      <c r="B67" s="4">
        <v>3717000</v>
      </c>
      <c r="C67" s="214">
        <v>0</v>
      </c>
      <c r="D67" s="4">
        <f t="shared" ref="D67:D68" si="76">+C67</f>
        <v>0</v>
      </c>
      <c r="E67" s="4">
        <f t="shared" ref="E67:E68" si="77">+D67</f>
        <v>0</v>
      </c>
      <c r="F67" s="4">
        <f t="shared" ref="F67:F68" si="78">+E67</f>
        <v>0</v>
      </c>
      <c r="G67" s="4">
        <f t="shared" ref="G67:G68" si="79">+F67</f>
        <v>0</v>
      </c>
      <c r="H67" s="4">
        <f t="shared" ref="H67:H68" si="80">+G67</f>
        <v>0</v>
      </c>
      <c r="I67" s="4">
        <f t="shared" ref="I67:I68" si="81">+H67</f>
        <v>0</v>
      </c>
      <c r="J67" s="4">
        <f t="shared" ref="J67:J68" si="82">+I67</f>
        <v>0</v>
      </c>
      <c r="K67" s="4">
        <f t="shared" ref="K67:K68" si="83">+J67</f>
        <v>0</v>
      </c>
      <c r="L67" s="4">
        <f t="shared" ref="L67:L68" si="84">+K67</f>
        <v>0</v>
      </c>
      <c r="M67" s="4">
        <f t="shared" ref="M67:M68" si="85">+L67</f>
        <v>0</v>
      </c>
      <c r="N67" s="214">
        <f t="shared" ref="N67:N68" si="86">+M67</f>
        <v>0</v>
      </c>
      <c r="O67" s="214">
        <f t="shared" ref="O67:O68" si="87">+N67</f>
        <v>0</v>
      </c>
    </row>
    <row r="68" spans="1:15" x14ac:dyDescent="0.3">
      <c r="A68" s="5" t="s">
        <v>50</v>
      </c>
      <c r="B68" s="6">
        <v>203000</v>
      </c>
      <c r="C68" s="214">
        <v>148000</v>
      </c>
      <c r="D68" s="4">
        <f t="shared" si="76"/>
        <v>148000</v>
      </c>
      <c r="E68" s="4">
        <f t="shared" si="77"/>
        <v>148000</v>
      </c>
      <c r="F68" s="4">
        <f t="shared" si="78"/>
        <v>148000</v>
      </c>
      <c r="G68" s="4">
        <f t="shared" si="79"/>
        <v>148000</v>
      </c>
      <c r="H68" s="4">
        <f t="shared" si="80"/>
        <v>148000</v>
      </c>
      <c r="I68" s="4">
        <f t="shared" si="81"/>
        <v>148000</v>
      </c>
      <c r="J68" s="4">
        <f t="shared" si="82"/>
        <v>148000</v>
      </c>
      <c r="K68" s="4">
        <f t="shared" si="83"/>
        <v>148000</v>
      </c>
      <c r="L68" s="4">
        <f t="shared" si="84"/>
        <v>148000</v>
      </c>
      <c r="M68" s="4">
        <f t="shared" si="85"/>
        <v>148000</v>
      </c>
      <c r="N68" s="214">
        <f t="shared" si="86"/>
        <v>148000</v>
      </c>
      <c r="O68" s="214">
        <f t="shared" si="87"/>
        <v>148000</v>
      </c>
    </row>
    <row r="69" spans="1:15" s="44" customFormat="1" x14ac:dyDescent="0.3">
      <c r="A69" s="40" t="s">
        <v>53</v>
      </c>
      <c r="B69" s="43">
        <f>SUM(B67:B68)</f>
        <v>3920000</v>
      </c>
      <c r="C69" s="167">
        <f t="shared" ref="C69" si="88">SUM(C67:C68)</f>
        <v>148000</v>
      </c>
      <c r="D69" s="43">
        <f t="shared" ref="D69:M69" si="89">SUM(D67:D68)</f>
        <v>148000</v>
      </c>
      <c r="E69" s="43">
        <f t="shared" si="89"/>
        <v>148000</v>
      </c>
      <c r="F69" s="43">
        <f t="shared" si="89"/>
        <v>148000</v>
      </c>
      <c r="G69" s="43">
        <f t="shared" si="89"/>
        <v>148000</v>
      </c>
      <c r="H69" s="43">
        <f t="shared" si="89"/>
        <v>148000</v>
      </c>
      <c r="I69" s="43">
        <f t="shared" si="89"/>
        <v>148000</v>
      </c>
      <c r="J69" s="43">
        <f t="shared" si="89"/>
        <v>148000</v>
      </c>
      <c r="K69" s="43">
        <f t="shared" si="89"/>
        <v>148000</v>
      </c>
      <c r="L69" s="43">
        <f t="shared" si="89"/>
        <v>148000</v>
      </c>
      <c r="M69" s="43">
        <f t="shared" si="89"/>
        <v>148000</v>
      </c>
      <c r="N69" s="167">
        <f t="shared" ref="N69:O69" si="90">SUM(N67:N68)</f>
        <v>148000</v>
      </c>
      <c r="O69" s="167">
        <f t="shared" si="90"/>
        <v>148000</v>
      </c>
    </row>
    <row r="70" spans="1:15" ht="9" customHeight="1" x14ac:dyDescent="0.3">
      <c r="B70" s="4"/>
      <c r="C70" s="214"/>
      <c r="D70" s="4"/>
      <c r="E70" s="4"/>
      <c r="F70" s="4"/>
      <c r="G70" s="4"/>
      <c r="H70" s="4"/>
      <c r="I70" s="4"/>
      <c r="J70" s="4"/>
      <c r="K70" s="4"/>
      <c r="L70" s="4"/>
      <c r="M70" s="4"/>
      <c r="N70" s="214"/>
      <c r="O70" s="214"/>
    </row>
    <row r="71" spans="1:15" s="44" customFormat="1" ht="15" thickBot="1" x14ac:dyDescent="0.35">
      <c r="A71" s="40" t="s">
        <v>54</v>
      </c>
      <c r="B71" s="48">
        <f>+B64+B69</f>
        <v>11094000</v>
      </c>
      <c r="C71" s="171">
        <f t="shared" ref="C71" si="91">+C64+C69</f>
        <v>10617000</v>
      </c>
      <c r="D71" s="48">
        <f t="shared" ref="D71:M71" si="92">+D64+D69</f>
        <v>10617000</v>
      </c>
      <c r="E71" s="48">
        <f t="shared" si="92"/>
        <v>10617000</v>
      </c>
      <c r="F71" s="48">
        <f t="shared" si="92"/>
        <v>10617000</v>
      </c>
      <c r="G71" s="48">
        <f t="shared" si="92"/>
        <v>10617000</v>
      </c>
      <c r="H71" s="48">
        <f t="shared" si="92"/>
        <v>10617000</v>
      </c>
      <c r="I71" s="48">
        <f t="shared" si="92"/>
        <v>10617000</v>
      </c>
      <c r="J71" s="48">
        <f t="shared" si="92"/>
        <v>10617000</v>
      </c>
      <c r="K71" s="48">
        <f t="shared" si="92"/>
        <v>10617000</v>
      </c>
      <c r="L71" s="48">
        <f t="shared" si="92"/>
        <v>10617000</v>
      </c>
      <c r="M71" s="48">
        <f t="shared" si="92"/>
        <v>10617000</v>
      </c>
      <c r="N71" s="171">
        <f t="shared" ref="N71:O71" si="93">+N64+N69</f>
        <v>10617000</v>
      </c>
      <c r="O71" s="171">
        <f t="shared" si="93"/>
        <v>10617000</v>
      </c>
    </row>
    <row r="72" spans="1:15" s="50" customFormat="1" ht="16.2" thickBot="1" x14ac:dyDescent="0.35">
      <c r="A72" s="36" t="s">
        <v>55</v>
      </c>
      <c r="B72" s="49">
        <f>+B58-B71</f>
        <v>281183000</v>
      </c>
      <c r="C72" s="172">
        <f t="shared" ref="C72" si="94">+C58-C71</f>
        <v>282856000</v>
      </c>
      <c r="D72" s="49">
        <f t="shared" ref="D72:M72" ca="1" si="95">+D58-D71</f>
        <v>277774000</v>
      </c>
      <c r="E72" s="49">
        <f t="shared" ca="1" si="95"/>
        <v>277866804.69516098</v>
      </c>
      <c r="F72" s="49">
        <f t="shared" ca="1" si="95"/>
        <v>278164572.22785854</v>
      </c>
      <c r="G72" s="49">
        <f t="shared" ca="1" si="95"/>
        <v>278588011.65687704</v>
      </c>
      <c r="H72" s="49">
        <f t="shared" ca="1" si="95"/>
        <v>279401833.10358089</v>
      </c>
      <c r="I72" s="49">
        <f t="shared" ca="1" si="95"/>
        <v>280179471.46936804</v>
      </c>
      <c r="J72" s="49">
        <f t="shared" ca="1" si="95"/>
        <v>280703397.25733203</v>
      </c>
      <c r="K72" s="49">
        <f t="shared" ca="1" si="95"/>
        <v>281324266.15423846</v>
      </c>
      <c r="L72" s="49" t="e">
        <f t="shared" ca="1" si="95"/>
        <v>#REF!</v>
      </c>
      <c r="M72" s="49" t="e">
        <f t="shared" ca="1" si="95"/>
        <v>#REF!</v>
      </c>
      <c r="N72" s="172" t="e">
        <f t="shared" ref="N72:O72" ca="1" si="96">+N58-N71</f>
        <v>#REF!</v>
      </c>
      <c r="O72" s="172" t="e">
        <f t="shared" ca="1" si="96"/>
        <v>#REF!</v>
      </c>
    </row>
    <row r="73" spans="1:15" ht="15" thickTop="1" x14ac:dyDescent="0.3">
      <c r="B73" s="4"/>
      <c r="C73" s="214"/>
      <c r="D73" s="4"/>
      <c r="E73" s="4"/>
      <c r="F73" s="4"/>
      <c r="G73" s="4"/>
      <c r="H73" s="4"/>
      <c r="I73" s="4"/>
      <c r="J73" s="4"/>
      <c r="K73" s="4"/>
      <c r="L73" s="4"/>
      <c r="M73" s="4"/>
      <c r="N73" s="214"/>
      <c r="O73" s="214"/>
    </row>
    <row r="74" spans="1:15" x14ac:dyDescent="0.3">
      <c r="A74" s="40" t="s">
        <v>56</v>
      </c>
      <c r="B74" s="4"/>
      <c r="C74" s="214"/>
      <c r="D74" s="4"/>
      <c r="E74" s="4"/>
      <c r="F74" s="4"/>
      <c r="G74" s="4"/>
      <c r="H74" s="4"/>
      <c r="I74" s="4"/>
      <c r="J74" s="4"/>
      <c r="K74" s="4"/>
      <c r="L74" s="4"/>
      <c r="M74" s="4"/>
      <c r="N74" s="214"/>
      <c r="O74" s="214"/>
    </row>
    <row r="75" spans="1:15" x14ac:dyDescent="0.3">
      <c r="A75" t="s">
        <v>57</v>
      </c>
      <c r="B75" s="4">
        <v>158027000</v>
      </c>
      <c r="C75" s="214">
        <f>+'GF &amp; FF  Equity Statement'!C47</f>
        <v>0</v>
      </c>
      <c r="D75" s="4">
        <f>+'Scenario 2 Equity Statement'!D46</f>
        <v>158027000</v>
      </c>
      <c r="E75" s="4">
        <f>+'Scenario 2 Equity Statement'!E46</f>
        <v>158119804.69516098</v>
      </c>
      <c r="F75" s="4">
        <f>+'Scenario 2 Equity Statement'!F46</f>
        <v>158417572.22785854</v>
      </c>
      <c r="G75" s="4">
        <f>+'Scenario 2 Equity Statement'!G46</f>
        <v>158841011.65687701</v>
      </c>
      <c r="H75" s="4">
        <f>+'Scenario 2 Equity Statement'!H46</f>
        <v>159654833.10358083</v>
      </c>
      <c r="I75" s="4">
        <f>+'Scenario 2 Equity Statement'!I46</f>
        <v>160432471.46936804</v>
      </c>
      <c r="J75" s="4">
        <f>+'Scenario 2 Equity Statement'!J46</f>
        <v>160956397.25733203</v>
      </c>
      <c r="K75" s="4">
        <f>+'Scenario 2 Equity Statement'!K46</f>
        <v>161577266.15423843</v>
      </c>
      <c r="L75" s="4">
        <f>+'Scenario 2 Equity Statement'!L46</f>
        <v>162146582.41690987</v>
      </c>
      <c r="M75" s="4">
        <f>+'Scenario 2 Equity Statement'!M46</f>
        <v>162655788.14264765</v>
      </c>
      <c r="N75" s="214">
        <f>+'Scenario 2 Equity Statement'!N46</f>
        <v>163164995.86838543</v>
      </c>
      <c r="O75" s="214">
        <f>+'Scenario 2 Equity Statement'!O46</f>
        <v>163674205.59412321</v>
      </c>
    </row>
    <row r="76" spans="1:15" ht="15" thickBot="1" x14ac:dyDescent="0.35">
      <c r="A76" t="s">
        <v>58</v>
      </c>
      <c r="B76" s="8">
        <v>123156000</v>
      </c>
      <c r="C76" s="149">
        <f>+'GF &amp; FF  Equity Statement'!C56</f>
        <v>0</v>
      </c>
      <c r="D76" s="8">
        <f>+'Scenario 2 Equity Statement'!D55</f>
        <v>125016000</v>
      </c>
      <c r="E76" s="8">
        <f>+'Scenario 2 Equity Statement'!E55</f>
        <v>125016000</v>
      </c>
      <c r="F76" s="8">
        <f>+'Scenario 2 Equity Statement'!F55</f>
        <v>125016000</v>
      </c>
      <c r="G76" s="8">
        <f>+'Scenario 2 Equity Statement'!G55</f>
        <v>125016000</v>
      </c>
      <c r="H76" s="8">
        <f>+'Scenario 2 Equity Statement'!H55</f>
        <v>125016000</v>
      </c>
      <c r="I76" s="8">
        <f>+'Scenario 2 Equity Statement'!I55</f>
        <v>125016000</v>
      </c>
      <c r="J76" s="8">
        <f>+'Scenario 2 Equity Statement'!J55</f>
        <v>125016000</v>
      </c>
      <c r="K76" s="8">
        <f>+'Scenario 2 Equity Statement'!K55</f>
        <v>125016000</v>
      </c>
      <c r="L76" s="8">
        <f>+'Scenario 2 Equity Statement'!L55</f>
        <v>125016000</v>
      </c>
      <c r="M76" s="8">
        <f>+'Scenario 2 Equity Statement'!M55</f>
        <v>125016000</v>
      </c>
      <c r="N76" s="149">
        <f>+'Scenario 2 Equity Statement'!N55</f>
        <v>125016000</v>
      </c>
      <c r="O76" s="149">
        <f>+'Scenario 2 Equity Statement'!O55</f>
        <v>125016000</v>
      </c>
    </row>
    <row r="77" spans="1:15" s="50" customFormat="1" ht="16.2" thickBot="1" x14ac:dyDescent="0.35">
      <c r="A77" s="36" t="s">
        <v>59</v>
      </c>
      <c r="B77" s="49">
        <f>SUM(B75:B76)</f>
        <v>281183000</v>
      </c>
      <c r="C77" s="172">
        <f t="shared" ref="C77" si="97">SUM(C75:C76)</f>
        <v>0</v>
      </c>
      <c r="D77" s="49">
        <f t="shared" ref="D77:M77" si="98">SUM(D75:D76)</f>
        <v>283043000</v>
      </c>
      <c r="E77" s="49">
        <f t="shared" si="98"/>
        <v>283135804.69516098</v>
      </c>
      <c r="F77" s="49">
        <f t="shared" si="98"/>
        <v>283433572.22785854</v>
      </c>
      <c r="G77" s="49">
        <f t="shared" si="98"/>
        <v>283857011.65687704</v>
      </c>
      <c r="H77" s="49">
        <f t="shared" si="98"/>
        <v>284670833.10358083</v>
      </c>
      <c r="I77" s="49">
        <f t="shared" si="98"/>
        <v>285448471.46936804</v>
      </c>
      <c r="J77" s="49">
        <f t="shared" si="98"/>
        <v>285972397.25733203</v>
      </c>
      <c r="K77" s="49">
        <f t="shared" si="98"/>
        <v>286593266.15423846</v>
      </c>
      <c r="L77" s="49">
        <f t="shared" si="98"/>
        <v>287162582.41690987</v>
      </c>
      <c r="M77" s="49">
        <f t="shared" si="98"/>
        <v>287671788.14264762</v>
      </c>
      <c r="N77" s="172">
        <f t="shared" ref="N77:O77" si="99">SUM(N75:N76)</f>
        <v>288180995.86838543</v>
      </c>
      <c r="O77" s="172">
        <f t="shared" si="99"/>
        <v>288690205.59412324</v>
      </c>
    </row>
    <row r="78" spans="1:15" ht="15" thickTop="1" x14ac:dyDescent="0.3">
      <c r="B78" s="4"/>
      <c r="C78" s="214"/>
      <c r="D78" s="4"/>
      <c r="E78" s="4"/>
      <c r="F78" s="4"/>
      <c r="G78" s="4"/>
      <c r="H78" s="4"/>
      <c r="I78" s="4"/>
      <c r="J78" s="4"/>
      <c r="K78" s="4"/>
      <c r="L78" s="4"/>
      <c r="M78" s="4"/>
      <c r="N78" s="214"/>
      <c r="O78" s="214"/>
    </row>
    <row r="79" spans="1:15" x14ac:dyDescent="0.3">
      <c r="A79" t="s">
        <v>111</v>
      </c>
      <c r="B79" s="116">
        <f>+B72-B77</f>
        <v>0</v>
      </c>
      <c r="C79" s="217">
        <f t="shared" ref="C79" si="100">+C72-C77</f>
        <v>282856000</v>
      </c>
      <c r="D79" s="116">
        <f t="shared" ref="D79:M79" ca="1" si="101">+D72-D77</f>
        <v>-5269000</v>
      </c>
      <c r="E79" s="116">
        <f t="shared" ca="1" si="101"/>
        <v>-5269000</v>
      </c>
      <c r="F79" s="116">
        <f t="shared" ca="1" si="101"/>
        <v>-5269000</v>
      </c>
      <c r="G79" s="116">
        <f t="shared" ca="1" si="101"/>
        <v>-5269000</v>
      </c>
      <c r="H79" s="116">
        <f t="shared" ca="1" si="101"/>
        <v>-5268999.9999999404</v>
      </c>
      <c r="I79" s="116">
        <f t="shared" ca="1" si="101"/>
        <v>-5269000</v>
      </c>
      <c r="J79" s="116">
        <f t="shared" ca="1" si="101"/>
        <v>-5269000</v>
      </c>
      <c r="K79" s="116">
        <f t="shared" ca="1" si="101"/>
        <v>-5269000</v>
      </c>
      <c r="L79" s="116" t="e">
        <f t="shared" ca="1" si="101"/>
        <v>#REF!</v>
      </c>
      <c r="M79" s="116" t="e">
        <f t="shared" ca="1" si="101"/>
        <v>#REF!</v>
      </c>
      <c r="N79" s="217" t="e">
        <f t="shared" ref="N79:O79" ca="1" si="102">+N72-N77</f>
        <v>#REF!</v>
      </c>
      <c r="O79" s="217" t="e">
        <f t="shared" ca="1" si="102"/>
        <v>#REF!</v>
      </c>
    </row>
    <row r="80" spans="1:15" x14ac:dyDescent="0.3">
      <c r="A80" t="s">
        <v>112</v>
      </c>
      <c r="B80" s="116">
        <f>+B77-'Scenario 2 Equity Statement'!B66</f>
        <v>0</v>
      </c>
      <c r="C80" s="217">
        <f>+C77-'GF &amp; FF  Equity Statement'!C67</f>
        <v>0</v>
      </c>
      <c r="D80" s="116">
        <f>+D77-'Scenario 2 Equity Statement'!D66</f>
        <v>0</v>
      </c>
      <c r="E80" s="116">
        <f>+E77-'Scenario 2 Equity Statement'!E66</f>
        <v>0</v>
      </c>
      <c r="F80" s="116">
        <f>+F77-'Scenario 2 Equity Statement'!F66</f>
        <v>0</v>
      </c>
      <c r="G80" s="116">
        <f>+G77-'Scenario 2 Equity Statement'!G66</f>
        <v>0</v>
      </c>
      <c r="H80" s="116">
        <f>+H77-'Scenario 2 Equity Statement'!H66</f>
        <v>0</v>
      </c>
      <c r="I80" s="116">
        <f>+I77-'Scenario 2 Equity Statement'!I66</f>
        <v>0</v>
      </c>
      <c r="J80" s="116">
        <f>+J77-'Scenario 2 Equity Statement'!J66</f>
        <v>0</v>
      </c>
      <c r="K80" s="116">
        <f>+K77-'Scenario 2 Equity Statement'!K66</f>
        <v>0</v>
      </c>
      <c r="L80" s="116">
        <f>+L77-'Scenario 2 Equity Statement'!L66</f>
        <v>0</v>
      </c>
      <c r="M80" s="116">
        <f>+M77-'Scenario 2 Equity Statement'!M66</f>
        <v>0</v>
      </c>
      <c r="N80" s="217">
        <f>+N77-'Scenario 2 Equity Statement'!N66</f>
        <v>-1.9999999403953552</v>
      </c>
      <c r="O80" s="217">
        <f>+O77-'Scenario 2 Equity Statement'!O66</f>
        <v>-3.9999999403953552</v>
      </c>
    </row>
    <row r="81" spans="1:15" x14ac:dyDescent="0.3">
      <c r="N81" s="221"/>
      <c r="O81" s="221"/>
    </row>
    <row r="82" spans="1:15" x14ac:dyDescent="0.3">
      <c r="N82" s="221"/>
      <c r="O82" s="221"/>
    </row>
    <row r="83" spans="1:15" x14ac:dyDescent="0.3">
      <c r="A83" s="113" t="s">
        <v>428</v>
      </c>
      <c r="B83" s="19" t="s">
        <v>69</v>
      </c>
      <c r="C83" s="213" t="s">
        <v>69</v>
      </c>
      <c r="D83" s="19" t="s">
        <v>70</v>
      </c>
      <c r="E83" s="19" t="s">
        <v>71</v>
      </c>
      <c r="F83" s="19" t="s">
        <v>71</v>
      </c>
      <c r="G83" s="19" t="s">
        <v>71</v>
      </c>
      <c r="H83" s="19" t="s">
        <v>71</v>
      </c>
      <c r="I83" s="19" t="s">
        <v>71</v>
      </c>
      <c r="J83" s="19" t="s">
        <v>71</v>
      </c>
      <c r="K83" s="19" t="s">
        <v>71</v>
      </c>
      <c r="L83" s="19" t="s">
        <v>71</v>
      </c>
      <c r="M83" s="19" t="s">
        <v>71</v>
      </c>
      <c r="N83" s="213" t="s">
        <v>71</v>
      </c>
      <c r="O83" s="213" t="s">
        <v>71</v>
      </c>
    </row>
    <row r="84" spans="1:15" x14ac:dyDescent="0.3">
      <c r="A84" s="18" t="s">
        <v>72</v>
      </c>
      <c r="B84" s="20" t="s">
        <v>60</v>
      </c>
      <c r="C84" s="159" t="s">
        <v>68</v>
      </c>
      <c r="D84" s="19" t="s">
        <v>0</v>
      </c>
      <c r="E84" s="19" t="s">
        <v>1</v>
      </c>
      <c r="F84" s="19" t="s">
        <v>2</v>
      </c>
      <c r="G84" s="19" t="s">
        <v>3</v>
      </c>
      <c r="H84" s="19" t="s">
        <v>4</v>
      </c>
      <c r="I84" s="19" t="s">
        <v>5</v>
      </c>
      <c r="J84" s="19" t="s">
        <v>6</v>
      </c>
      <c r="K84" s="19" t="s">
        <v>7</v>
      </c>
      <c r="L84" s="19" t="s">
        <v>8</v>
      </c>
      <c r="M84" s="19" t="s">
        <v>9</v>
      </c>
      <c r="N84" s="213" t="s">
        <v>514</v>
      </c>
      <c r="O84" s="213" t="s">
        <v>515</v>
      </c>
    </row>
    <row r="85" spans="1:15" x14ac:dyDescent="0.3">
      <c r="A85" s="22"/>
      <c r="B85" s="23"/>
      <c r="C85" s="161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</row>
    <row r="86" spans="1:15" x14ac:dyDescent="0.3">
      <c r="A86" s="40" t="s">
        <v>35</v>
      </c>
      <c r="B86" s="4"/>
      <c r="C86" s="214"/>
      <c r="D86" s="4"/>
      <c r="E86" s="4"/>
      <c r="F86" s="4"/>
      <c r="G86" s="4"/>
      <c r="H86" s="4"/>
      <c r="I86" s="4"/>
      <c r="J86" s="4"/>
      <c r="K86" s="4"/>
      <c r="L86" s="4"/>
      <c r="M86" s="4"/>
      <c r="N86" s="214"/>
      <c r="O86" s="214"/>
    </row>
    <row r="87" spans="1:15" x14ac:dyDescent="0.3">
      <c r="A87" s="40" t="s">
        <v>36</v>
      </c>
      <c r="B87" s="4"/>
      <c r="C87" s="214"/>
      <c r="D87" s="4"/>
      <c r="E87" s="4"/>
      <c r="F87" s="4"/>
      <c r="G87" s="4"/>
      <c r="H87" s="4"/>
      <c r="I87" s="4"/>
      <c r="J87" s="4"/>
      <c r="K87" s="4"/>
      <c r="L87" s="4"/>
      <c r="M87" s="4"/>
      <c r="N87" s="214"/>
      <c r="O87" s="214"/>
    </row>
    <row r="88" spans="1:15" x14ac:dyDescent="0.3">
      <c r="A88" t="s">
        <v>37</v>
      </c>
      <c r="B88" s="4">
        <v>6705000</v>
      </c>
      <c r="C88" s="214">
        <v>8206000</v>
      </c>
      <c r="D88" s="4">
        <f ca="1">+'Scenario 2 Cash Flow'!D120</f>
        <v>-2262773.6795166293</v>
      </c>
      <c r="E88" s="4">
        <f ca="1">+'Scenario 2 Cash Flow'!E120</f>
        <v>-4428658.4825705281</v>
      </c>
      <c r="F88" s="4">
        <f ca="1">+'Scenario 2 Cash Flow'!F120</f>
        <v>-5375577.9096059045</v>
      </c>
      <c r="G88" s="4">
        <f ca="1">+'Scenario 2 Cash Flow'!G120</f>
        <v>-6738813.0360516477</v>
      </c>
      <c r="H88" s="4">
        <f ca="1">+'Scenario 2 Cash Flow'!H120</f>
        <v>-12518418.879629515</v>
      </c>
      <c r="I88" s="4">
        <f ca="1">+'Scenario 2 Cash Flow'!I120</f>
        <v>-13640579.704570513</v>
      </c>
      <c r="J88" s="4">
        <f ca="1">+'Scenario 2 Cash Flow'!J120</f>
        <v>-17544915.163003504</v>
      </c>
      <c r="K88" s="4">
        <f ca="1">+'Scenario 2 Cash Flow'!K120</f>
        <v>-17053236.18362673</v>
      </c>
      <c r="L88" s="4" t="e">
        <f ca="1">+'Scenario 2 Cash Flow'!L120</f>
        <v>#REF!</v>
      </c>
      <c r="M88" s="4" t="e">
        <f ca="1">+'Scenario 2 Cash Flow'!M120</f>
        <v>#REF!</v>
      </c>
      <c r="N88" s="214" t="e">
        <f ca="1">+'Scenario 2 Cash Flow'!N120</f>
        <v>#REF!</v>
      </c>
      <c r="O88" s="214" t="e">
        <f ca="1">+'Scenario 2 Cash Flow'!O120</f>
        <v>#REF!</v>
      </c>
    </row>
    <row r="89" spans="1:15" x14ac:dyDescent="0.3">
      <c r="A89" t="s">
        <v>38</v>
      </c>
      <c r="B89" s="4">
        <v>23500000</v>
      </c>
      <c r="C89" s="214">
        <v>22000000</v>
      </c>
      <c r="D89" s="4">
        <f>+'Scenario 2 Cash Flow'!D122</f>
        <v>22000000</v>
      </c>
      <c r="E89" s="4">
        <f>+'Scenario 2 Cash Flow'!E122</f>
        <v>22000000</v>
      </c>
      <c r="F89" s="4">
        <f>+'Scenario 2 Cash Flow'!F122</f>
        <v>22000000</v>
      </c>
      <c r="G89" s="4">
        <f>+'Scenario 2 Cash Flow'!G122</f>
        <v>22000000</v>
      </c>
      <c r="H89" s="4">
        <f>+'Scenario 2 Cash Flow'!H122</f>
        <v>22000000</v>
      </c>
      <c r="I89" s="4">
        <f>+'Scenario 2 Cash Flow'!I122</f>
        <v>22000000</v>
      </c>
      <c r="J89" s="4">
        <f>+'Scenario 2 Cash Flow'!J122</f>
        <v>22000000</v>
      </c>
      <c r="K89" s="4">
        <f>+'Scenario 2 Cash Flow'!K122</f>
        <v>22000000</v>
      </c>
      <c r="L89" s="4">
        <f>+'Scenario 2 Cash Flow'!L122</f>
        <v>22000000</v>
      </c>
      <c r="M89" s="4">
        <f>+'Scenario 2 Cash Flow'!M122</f>
        <v>22000000</v>
      </c>
      <c r="N89" s="214">
        <f>+'Scenario 2 Cash Flow'!N122</f>
        <v>21999999</v>
      </c>
      <c r="O89" s="214">
        <f>+'Scenario 2 Cash Flow'!O122</f>
        <v>21999997</v>
      </c>
    </row>
    <row r="90" spans="1:15" x14ac:dyDescent="0.3">
      <c r="A90" t="s">
        <v>39</v>
      </c>
      <c r="B90" s="4">
        <v>3211000</v>
      </c>
      <c r="C90" s="214">
        <v>2098000</v>
      </c>
      <c r="D90" s="4">
        <f t="shared" ref="D90:D92" si="103">+C90</f>
        <v>2098000</v>
      </c>
      <c r="E90" s="4">
        <f t="shared" ref="E90:E92" si="104">+D90</f>
        <v>2098000</v>
      </c>
      <c r="F90" s="4">
        <f t="shared" ref="F90:F92" si="105">+E90</f>
        <v>2098000</v>
      </c>
      <c r="G90" s="4">
        <f t="shared" ref="G90:G92" si="106">+F90</f>
        <v>2098000</v>
      </c>
      <c r="H90" s="4">
        <f t="shared" ref="H90:H92" si="107">+G90</f>
        <v>2098000</v>
      </c>
      <c r="I90" s="4">
        <f t="shared" ref="I90:I92" si="108">+H90</f>
        <v>2098000</v>
      </c>
      <c r="J90" s="4">
        <f t="shared" ref="J90:J92" si="109">+I90</f>
        <v>2098000</v>
      </c>
      <c r="K90" s="4">
        <f t="shared" ref="K90:K92" si="110">+J90</f>
        <v>2098000</v>
      </c>
      <c r="L90" s="4">
        <f t="shared" ref="L90:L92" si="111">+K90</f>
        <v>2098000</v>
      </c>
      <c r="M90" s="4">
        <f t="shared" ref="M90:M92" si="112">+L90</f>
        <v>2098000</v>
      </c>
      <c r="N90" s="214">
        <f t="shared" ref="N90:N92" si="113">+M90</f>
        <v>2098000</v>
      </c>
      <c r="O90" s="214">
        <f t="shared" ref="O90:O92" si="114">+N90</f>
        <v>2098000</v>
      </c>
    </row>
    <row r="91" spans="1:15" x14ac:dyDescent="0.3">
      <c r="A91" t="s">
        <v>40</v>
      </c>
      <c r="B91" s="4">
        <v>39000</v>
      </c>
      <c r="C91" s="214">
        <v>51000</v>
      </c>
      <c r="D91" s="4">
        <f t="shared" si="103"/>
        <v>51000</v>
      </c>
      <c r="E91" s="4">
        <f t="shared" si="104"/>
        <v>51000</v>
      </c>
      <c r="F91" s="4">
        <f t="shared" si="105"/>
        <v>51000</v>
      </c>
      <c r="G91" s="4">
        <f t="shared" si="106"/>
        <v>51000</v>
      </c>
      <c r="H91" s="4">
        <f t="shared" si="107"/>
        <v>51000</v>
      </c>
      <c r="I91" s="4">
        <f t="shared" si="108"/>
        <v>51000</v>
      </c>
      <c r="J91" s="4">
        <f t="shared" si="109"/>
        <v>51000</v>
      </c>
      <c r="K91" s="4">
        <f t="shared" si="110"/>
        <v>51000</v>
      </c>
      <c r="L91" s="4">
        <f t="shared" si="111"/>
        <v>51000</v>
      </c>
      <c r="M91" s="4">
        <f t="shared" si="112"/>
        <v>51000</v>
      </c>
      <c r="N91" s="214">
        <f t="shared" si="113"/>
        <v>51000</v>
      </c>
      <c r="O91" s="214">
        <f t="shared" si="114"/>
        <v>51000</v>
      </c>
    </row>
    <row r="92" spans="1:15" x14ac:dyDescent="0.3">
      <c r="A92" s="5" t="s">
        <v>41</v>
      </c>
      <c r="B92" s="6">
        <v>479000</v>
      </c>
      <c r="C92" s="214">
        <v>343000</v>
      </c>
      <c r="D92" s="4">
        <f t="shared" si="103"/>
        <v>343000</v>
      </c>
      <c r="E92" s="4">
        <f t="shared" si="104"/>
        <v>343000</v>
      </c>
      <c r="F92" s="4">
        <f t="shared" si="105"/>
        <v>343000</v>
      </c>
      <c r="G92" s="4">
        <f t="shared" si="106"/>
        <v>343000</v>
      </c>
      <c r="H92" s="4">
        <f t="shared" si="107"/>
        <v>343000</v>
      </c>
      <c r="I92" s="4">
        <f t="shared" si="108"/>
        <v>343000</v>
      </c>
      <c r="J92" s="4">
        <f t="shared" si="109"/>
        <v>343000</v>
      </c>
      <c r="K92" s="4">
        <f t="shared" si="110"/>
        <v>343000</v>
      </c>
      <c r="L92" s="4">
        <f t="shared" si="111"/>
        <v>343000</v>
      </c>
      <c r="M92" s="4">
        <f t="shared" si="112"/>
        <v>343000</v>
      </c>
      <c r="N92" s="214">
        <f t="shared" si="113"/>
        <v>343000</v>
      </c>
      <c r="O92" s="214">
        <f t="shared" si="114"/>
        <v>343000</v>
      </c>
    </row>
    <row r="93" spans="1:15" x14ac:dyDescent="0.3">
      <c r="A93" s="40" t="s">
        <v>42</v>
      </c>
      <c r="B93" s="43">
        <f>SUM(B88:B92)</f>
        <v>33934000</v>
      </c>
      <c r="C93" s="167">
        <f t="shared" ref="C93" si="115">SUM(C88:C92)</f>
        <v>32698000</v>
      </c>
      <c r="D93" s="43">
        <f t="shared" ref="D93:M93" ca="1" si="116">SUM(D88:D92)</f>
        <v>22229226.320483372</v>
      </c>
      <c r="E93" s="43">
        <f t="shared" ca="1" si="116"/>
        <v>20063341.517429471</v>
      </c>
      <c r="F93" s="43">
        <f t="shared" ca="1" si="116"/>
        <v>19116422.090394095</v>
      </c>
      <c r="G93" s="43">
        <f t="shared" ca="1" si="116"/>
        <v>17753186.963948354</v>
      </c>
      <c r="H93" s="43">
        <f t="shared" ca="1" si="116"/>
        <v>11973581.120370485</v>
      </c>
      <c r="I93" s="43">
        <f t="shared" ca="1" si="116"/>
        <v>10851420.295429487</v>
      </c>
      <c r="J93" s="43">
        <f t="shared" ca="1" si="116"/>
        <v>6947084.8369964957</v>
      </c>
      <c r="K93" s="43">
        <f t="shared" ca="1" si="116"/>
        <v>7438763.81637327</v>
      </c>
      <c r="L93" s="43" t="e">
        <f t="shared" ca="1" si="116"/>
        <v>#REF!</v>
      </c>
      <c r="M93" s="43" t="e">
        <f t="shared" ca="1" si="116"/>
        <v>#REF!</v>
      </c>
      <c r="N93" s="167" t="e">
        <f t="shared" ref="N93:O93" ca="1" si="117">SUM(N88:N92)</f>
        <v>#REF!</v>
      </c>
      <c r="O93" s="167" t="e">
        <f t="shared" ca="1" si="117"/>
        <v>#REF!</v>
      </c>
    </row>
    <row r="94" spans="1:15" x14ac:dyDescent="0.3">
      <c r="B94" s="4"/>
      <c r="C94" s="214"/>
      <c r="D94" s="4"/>
      <c r="E94" s="4"/>
      <c r="F94" s="4"/>
      <c r="G94" s="4"/>
      <c r="H94" s="4"/>
      <c r="I94" s="4"/>
      <c r="J94" s="4"/>
      <c r="K94" s="4"/>
      <c r="L94" s="4"/>
      <c r="M94" s="4"/>
      <c r="N94" s="214"/>
      <c r="O94" s="214"/>
    </row>
    <row r="95" spans="1:15" x14ac:dyDescent="0.3">
      <c r="A95" s="40" t="s">
        <v>43</v>
      </c>
      <c r="B95" s="4"/>
      <c r="C95" s="214"/>
      <c r="D95" s="4"/>
      <c r="E95" s="4"/>
      <c r="F95" s="4"/>
      <c r="G95" s="4"/>
      <c r="H95" s="4"/>
      <c r="I95" s="4"/>
      <c r="J95" s="4"/>
      <c r="K95" s="4"/>
      <c r="L95" s="4"/>
      <c r="M95" s="4"/>
      <c r="N95" s="214"/>
      <c r="O95" s="214"/>
    </row>
    <row r="96" spans="1:15" x14ac:dyDescent="0.3">
      <c r="A96" s="5" t="s">
        <v>44</v>
      </c>
      <c r="B96" s="6">
        <v>258343000</v>
      </c>
      <c r="C96" s="215">
        <v>260775000</v>
      </c>
      <c r="D96" s="6">
        <f ca="1">+C96-'Scenario 2 Inc Exp Statement'!D129-'Scenario 2 Inc Exp Statement'!D113</f>
        <v>266161773.67951664</v>
      </c>
      <c r="E96" s="6">
        <f ca="1">+D96-'Scenario 2 Inc Exp Statement'!E129-'Scenario 2 Inc Exp Statement'!E113</f>
        <v>268420463.17773151</v>
      </c>
      <c r="F96" s="6">
        <f ca="1">+E96-'Scenario 2 Inc Exp Statement'!F129-'Scenario 2 Inc Exp Statement'!F113</f>
        <v>269665150.13746446</v>
      </c>
      <c r="G96" s="6">
        <f ca="1">+F96-'Scenario 2 Inc Exp Statement'!G129-'Scenario 2 Inc Exp Statement'!G113</f>
        <v>271451824.69292867</v>
      </c>
      <c r="H96" s="6">
        <f ca="1">+G96-'Scenario 2 Inc Exp Statement'!H129-'Scenario 2 Inc Exp Statement'!H113</f>
        <v>278045251.98321038</v>
      </c>
      <c r="I96" s="6">
        <f ca="1">+H96-'Scenario 2 Inc Exp Statement'!I129-'Scenario 2 Inc Exp Statement'!I113</f>
        <v>279945051.17393857</v>
      </c>
      <c r="J96" s="6">
        <f ca="1">+I96-'Scenario 2 Inc Exp Statement'!J129-'Scenario 2 Inc Exp Statement'!J113</f>
        <v>284373312.42033553</v>
      </c>
      <c r="K96" s="6">
        <f ca="1">+J96-'Scenario 2 Inc Exp Statement'!K129-'Scenario 2 Inc Exp Statement'!K113</f>
        <v>284502502.33786517</v>
      </c>
      <c r="L96" s="6" t="e">
        <f ca="1">+K96-'Scenario 2 Inc Exp Statement'!L129-'Scenario 2 Inc Exp Statement'!L113</f>
        <v>#REF!</v>
      </c>
      <c r="M96" s="6" t="e">
        <f ca="1">+L96-'Scenario 2 Inc Exp Statement'!M129-'Scenario 2 Inc Exp Statement'!M113</f>
        <v>#REF!</v>
      </c>
      <c r="N96" s="215" t="e">
        <f ca="1">+M96-'Scenario 2 Inc Exp Statement'!N129-'Scenario 2 Inc Exp Statement'!N113</f>
        <v>#REF!</v>
      </c>
      <c r="O96" s="215" t="e">
        <f ca="1">+N96-'Scenario 2 Inc Exp Statement'!O129-'Scenario 2 Inc Exp Statement'!O113</f>
        <v>#REF!</v>
      </c>
    </row>
    <row r="97" spans="1:15" x14ac:dyDescent="0.3">
      <c r="A97" s="40" t="s">
        <v>45</v>
      </c>
      <c r="B97" s="43">
        <f>SUM(B96)</f>
        <v>258343000</v>
      </c>
      <c r="C97" s="167">
        <f t="shared" ref="C97" si="118">SUM(C96)</f>
        <v>260775000</v>
      </c>
      <c r="D97" s="43">
        <f t="shared" ref="D97:M97" ca="1" si="119">SUM(D96)</f>
        <v>266161773.67951664</v>
      </c>
      <c r="E97" s="43">
        <f t="shared" ca="1" si="119"/>
        <v>268420463.17773151</v>
      </c>
      <c r="F97" s="43">
        <f t="shared" ca="1" si="119"/>
        <v>269665150.13746446</v>
      </c>
      <c r="G97" s="43">
        <f t="shared" ca="1" si="119"/>
        <v>271451824.69292867</v>
      </c>
      <c r="H97" s="43">
        <f t="shared" ca="1" si="119"/>
        <v>278045251.98321038</v>
      </c>
      <c r="I97" s="43">
        <f t="shared" ca="1" si="119"/>
        <v>279945051.17393857</v>
      </c>
      <c r="J97" s="43">
        <f t="shared" ca="1" si="119"/>
        <v>284373312.42033553</v>
      </c>
      <c r="K97" s="43">
        <f t="shared" ca="1" si="119"/>
        <v>284502502.33786517</v>
      </c>
      <c r="L97" s="43" t="e">
        <f t="shared" ca="1" si="119"/>
        <v>#REF!</v>
      </c>
      <c r="M97" s="43" t="e">
        <f t="shared" ca="1" si="119"/>
        <v>#REF!</v>
      </c>
      <c r="N97" s="167" t="e">
        <f t="shared" ref="N97:O97" ca="1" si="120">SUM(N96)</f>
        <v>#REF!</v>
      </c>
      <c r="O97" s="167" t="e">
        <f t="shared" ca="1" si="120"/>
        <v>#REF!</v>
      </c>
    </row>
    <row r="98" spans="1:15" x14ac:dyDescent="0.3">
      <c r="B98" s="4"/>
      <c r="C98" s="214"/>
      <c r="D98" s="4"/>
      <c r="E98" s="4"/>
      <c r="F98" s="4"/>
      <c r="G98" s="4"/>
      <c r="H98" s="4"/>
      <c r="I98" s="4"/>
      <c r="J98" s="4"/>
      <c r="K98" s="4"/>
      <c r="L98" s="4"/>
      <c r="M98" s="4"/>
      <c r="N98" s="214"/>
      <c r="O98" s="214"/>
    </row>
    <row r="99" spans="1:15" ht="15" thickBot="1" x14ac:dyDescent="0.35">
      <c r="A99" s="40" t="s">
        <v>46</v>
      </c>
      <c r="B99" s="48">
        <f>+B93+B97</f>
        <v>292277000</v>
      </c>
      <c r="C99" s="171">
        <f t="shared" ref="C99" si="121">+C93+C97</f>
        <v>293473000</v>
      </c>
      <c r="D99" s="48">
        <f t="shared" ref="D99:M99" ca="1" si="122">+D93+D97</f>
        <v>288391000</v>
      </c>
      <c r="E99" s="48">
        <f t="shared" ca="1" si="122"/>
        <v>288483804.69516098</v>
      </c>
      <c r="F99" s="48">
        <f t="shared" ca="1" si="122"/>
        <v>288781572.22785854</v>
      </c>
      <c r="G99" s="48">
        <f t="shared" ca="1" si="122"/>
        <v>289205011.65687704</v>
      </c>
      <c r="H99" s="48">
        <f t="shared" ca="1" si="122"/>
        <v>290018833.10358089</v>
      </c>
      <c r="I99" s="48">
        <f t="shared" ca="1" si="122"/>
        <v>290796471.46936804</v>
      </c>
      <c r="J99" s="48">
        <f t="shared" ca="1" si="122"/>
        <v>291320397.25733203</v>
      </c>
      <c r="K99" s="48">
        <f t="shared" ca="1" si="122"/>
        <v>291941266.15423846</v>
      </c>
      <c r="L99" s="48" t="e">
        <f t="shared" ca="1" si="122"/>
        <v>#REF!</v>
      </c>
      <c r="M99" s="48" t="e">
        <f t="shared" ca="1" si="122"/>
        <v>#REF!</v>
      </c>
      <c r="N99" s="171" t="e">
        <f t="shared" ref="N99:O99" ca="1" si="123">+N93+N97</f>
        <v>#REF!</v>
      </c>
      <c r="O99" s="171" t="e">
        <f t="shared" ca="1" si="123"/>
        <v>#REF!</v>
      </c>
    </row>
    <row r="100" spans="1:15" x14ac:dyDescent="0.3">
      <c r="B100" s="4"/>
      <c r="C100" s="21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214"/>
      <c r="O100" s="214"/>
    </row>
    <row r="101" spans="1:15" x14ac:dyDescent="0.3">
      <c r="A101" s="40" t="s">
        <v>47</v>
      </c>
      <c r="B101" s="4"/>
      <c r="C101" s="21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214"/>
      <c r="O101" s="214"/>
    </row>
    <row r="102" spans="1:15" x14ac:dyDescent="0.3">
      <c r="A102" s="40" t="s">
        <v>48</v>
      </c>
      <c r="B102" s="4"/>
      <c r="C102" s="21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214"/>
      <c r="O102" s="214"/>
    </row>
    <row r="103" spans="1:15" x14ac:dyDescent="0.3">
      <c r="A103" s="3" t="s">
        <v>49</v>
      </c>
      <c r="B103" s="4">
        <v>4070000</v>
      </c>
      <c r="C103" s="214">
        <v>7515000</v>
      </c>
      <c r="D103" s="4">
        <f t="shared" ref="D103:D104" si="124">+C103</f>
        <v>7515000</v>
      </c>
      <c r="E103" s="4">
        <f t="shared" ref="E103:E104" si="125">+D103</f>
        <v>7515000</v>
      </c>
      <c r="F103" s="4">
        <f t="shared" ref="F103:F104" si="126">+E103</f>
        <v>7515000</v>
      </c>
      <c r="G103" s="4">
        <f t="shared" ref="G103:G104" si="127">+F103</f>
        <v>7515000</v>
      </c>
      <c r="H103" s="4">
        <f t="shared" ref="H103:H104" si="128">+G103</f>
        <v>7515000</v>
      </c>
      <c r="I103" s="4">
        <f t="shared" ref="I103:I104" si="129">+H103</f>
        <v>7515000</v>
      </c>
      <c r="J103" s="4">
        <f t="shared" ref="J103:J104" si="130">+I103</f>
        <v>7515000</v>
      </c>
      <c r="K103" s="4">
        <f t="shared" ref="K103:K104" si="131">+J103</f>
        <v>7515000</v>
      </c>
      <c r="L103" s="4">
        <f t="shared" ref="L103:L104" si="132">+K103</f>
        <v>7515000</v>
      </c>
      <c r="M103" s="4">
        <f t="shared" ref="M103:M104" si="133">+L103</f>
        <v>7515000</v>
      </c>
      <c r="N103" s="214">
        <f t="shared" ref="N103:N104" si="134">+M103</f>
        <v>7515000</v>
      </c>
      <c r="O103" s="214">
        <f t="shared" ref="O103:O104" si="135">+N103</f>
        <v>7515000</v>
      </c>
    </row>
    <row r="104" spans="1:15" x14ac:dyDescent="0.3">
      <c r="A104" s="7" t="s">
        <v>50</v>
      </c>
      <c r="B104" s="6">
        <v>3104000</v>
      </c>
      <c r="C104" s="214">
        <v>2954000</v>
      </c>
      <c r="D104" s="4">
        <f t="shared" si="124"/>
        <v>2954000</v>
      </c>
      <c r="E104" s="4">
        <f t="shared" si="125"/>
        <v>2954000</v>
      </c>
      <c r="F104" s="4">
        <f t="shared" si="126"/>
        <v>2954000</v>
      </c>
      <c r="G104" s="4">
        <f t="shared" si="127"/>
        <v>2954000</v>
      </c>
      <c r="H104" s="4">
        <f t="shared" si="128"/>
        <v>2954000</v>
      </c>
      <c r="I104" s="4">
        <f t="shared" si="129"/>
        <v>2954000</v>
      </c>
      <c r="J104" s="4">
        <f t="shared" si="130"/>
        <v>2954000</v>
      </c>
      <c r="K104" s="4">
        <f t="shared" si="131"/>
        <v>2954000</v>
      </c>
      <c r="L104" s="4">
        <f t="shared" si="132"/>
        <v>2954000</v>
      </c>
      <c r="M104" s="4">
        <f t="shared" si="133"/>
        <v>2954000</v>
      </c>
      <c r="N104" s="214">
        <f t="shared" si="134"/>
        <v>2954000</v>
      </c>
      <c r="O104" s="214">
        <f t="shared" si="135"/>
        <v>2954000</v>
      </c>
    </row>
    <row r="105" spans="1:15" x14ac:dyDescent="0.3">
      <c r="A105" s="40" t="s">
        <v>51</v>
      </c>
      <c r="B105" s="43">
        <f>SUM(B103:B104)</f>
        <v>7174000</v>
      </c>
      <c r="C105" s="167">
        <f t="shared" ref="C105" si="136">SUM(C103:C104)</f>
        <v>10469000</v>
      </c>
      <c r="D105" s="43">
        <f t="shared" ref="D105:M105" si="137">SUM(D103:D104)</f>
        <v>10469000</v>
      </c>
      <c r="E105" s="43">
        <f t="shared" si="137"/>
        <v>10469000</v>
      </c>
      <c r="F105" s="43">
        <f t="shared" si="137"/>
        <v>10469000</v>
      </c>
      <c r="G105" s="43">
        <f t="shared" si="137"/>
        <v>10469000</v>
      </c>
      <c r="H105" s="43">
        <f t="shared" si="137"/>
        <v>10469000</v>
      </c>
      <c r="I105" s="43">
        <f t="shared" si="137"/>
        <v>10469000</v>
      </c>
      <c r="J105" s="43">
        <f t="shared" si="137"/>
        <v>10469000</v>
      </c>
      <c r="K105" s="43">
        <f t="shared" si="137"/>
        <v>10469000</v>
      </c>
      <c r="L105" s="43">
        <f t="shared" si="137"/>
        <v>10469000</v>
      </c>
      <c r="M105" s="43">
        <f t="shared" si="137"/>
        <v>10469000</v>
      </c>
      <c r="N105" s="167">
        <f t="shared" ref="N105:O105" si="138">SUM(N103:N104)</f>
        <v>10469000</v>
      </c>
      <c r="O105" s="167">
        <f t="shared" si="138"/>
        <v>10469000</v>
      </c>
    </row>
    <row r="106" spans="1:15" x14ac:dyDescent="0.3">
      <c r="B106" s="4"/>
      <c r="C106" s="21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214"/>
      <c r="O106" s="214"/>
    </row>
    <row r="107" spans="1:15" x14ac:dyDescent="0.3">
      <c r="A107" s="40" t="s">
        <v>52</v>
      </c>
      <c r="B107" s="4"/>
      <c r="C107" s="21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214"/>
      <c r="O107" s="214"/>
    </row>
    <row r="108" spans="1:15" x14ac:dyDescent="0.3">
      <c r="A108" t="s">
        <v>49</v>
      </c>
      <c r="B108" s="4">
        <v>3717000</v>
      </c>
      <c r="C108" s="214">
        <v>0</v>
      </c>
      <c r="D108" s="4">
        <f t="shared" ref="D108:D109" si="139">+C108</f>
        <v>0</v>
      </c>
      <c r="E108" s="4">
        <f t="shared" ref="E108:E109" si="140">+D108</f>
        <v>0</v>
      </c>
      <c r="F108" s="4">
        <f t="shared" ref="F108:F109" si="141">+E108</f>
        <v>0</v>
      </c>
      <c r="G108" s="4">
        <f t="shared" ref="G108:G109" si="142">+F108</f>
        <v>0</v>
      </c>
      <c r="H108" s="4">
        <f t="shared" ref="H108:H109" si="143">+G108</f>
        <v>0</v>
      </c>
      <c r="I108" s="4">
        <f t="shared" ref="I108:I109" si="144">+H108</f>
        <v>0</v>
      </c>
      <c r="J108" s="4">
        <f t="shared" ref="J108:J109" si="145">+I108</f>
        <v>0</v>
      </c>
      <c r="K108" s="4">
        <f t="shared" ref="K108:K109" si="146">+J108</f>
        <v>0</v>
      </c>
      <c r="L108" s="4">
        <f t="shared" ref="L108:L109" si="147">+K108</f>
        <v>0</v>
      </c>
      <c r="M108" s="4">
        <f t="shared" ref="M108:M109" si="148">+L108</f>
        <v>0</v>
      </c>
      <c r="N108" s="214">
        <f t="shared" ref="N108:N109" si="149">+M108</f>
        <v>0</v>
      </c>
      <c r="O108" s="214">
        <f t="shared" ref="O108:O109" si="150">+N108</f>
        <v>0</v>
      </c>
    </row>
    <row r="109" spans="1:15" x14ac:dyDescent="0.3">
      <c r="A109" s="5" t="s">
        <v>50</v>
      </c>
      <c r="B109" s="6">
        <v>203000</v>
      </c>
      <c r="C109" s="214">
        <v>148000</v>
      </c>
      <c r="D109" s="4">
        <f t="shared" si="139"/>
        <v>148000</v>
      </c>
      <c r="E109" s="4">
        <f t="shared" si="140"/>
        <v>148000</v>
      </c>
      <c r="F109" s="4">
        <f t="shared" si="141"/>
        <v>148000</v>
      </c>
      <c r="G109" s="4">
        <f t="shared" si="142"/>
        <v>148000</v>
      </c>
      <c r="H109" s="4">
        <f t="shared" si="143"/>
        <v>148000</v>
      </c>
      <c r="I109" s="4">
        <f t="shared" si="144"/>
        <v>148000</v>
      </c>
      <c r="J109" s="4">
        <f t="shared" si="145"/>
        <v>148000</v>
      </c>
      <c r="K109" s="4">
        <f t="shared" si="146"/>
        <v>148000</v>
      </c>
      <c r="L109" s="4">
        <f t="shared" si="147"/>
        <v>148000</v>
      </c>
      <c r="M109" s="4">
        <f t="shared" si="148"/>
        <v>148000</v>
      </c>
      <c r="N109" s="214">
        <f t="shared" si="149"/>
        <v>148000</v>
      </c>
      <c r="O109" s="214">
        <f t="shared" si="150"/>
        <v>148000</v>
      </c>
    </row>
    <row r="110" spans="1:15" x14ac:dyDescent="0.3">
      <c r="A110" s="40" t="s">
        <v>53</v>
      </c>
      <c r="B110" s="43">
        <f>SUM(B108:B109)</f>
        <v>3920000</v>
      </c>
      <c r="C110" s="167">
        <f t="shared" ref="C110" si="151">SUM(C108:C109)</f>
        <v>148000</v>
      </c>
      <c r="D110" s="43">
        <f t="shared" ref="D110:M110" si="152">SUM(D108:D109)</f>
        <v>148000</v>
      </c>
      <c r="E110" s="43">
        <f t="shared" si="152"/>
        <v>148000</v>
      </c>
      <c r="F110" s="43">
        <f t="shared" si="152"/>
        <v>148000</v>
      </c>
      <c r="G110" s="43">
        <f t="shared" si="152"/>
        <v>148000</v>
      </c>
      <c r="H110" s="43">
        <f t="shared" si="152"/>
        <v>148000</v>
      </c>
      <c r="I110" s="43">
        <f t="shared" si="152"/>
        <v>148000</v>
      </c>
      <c r="J110" s="43">
        <f t="shared" si="152"/>
        <v>148000</v>
      </c>
      <c r="K110" s="43">
        <f t="shared" si="152"/>
        <v>148000</v>
      </c>
      <c r="L110" s="43">
        <f t="shared" si="152"/>
        <v>148000</v>
      </c>
      <c r="M110" s="43">
        <f t="shared" si="152"/>
        <v>148000</v>
      </c>
      <c r="N110" s="167">
        <f t="shared" ref="N110:O110" si="153">SUM(N108:N109)</f>
        <v>148000</v>
      </c>
      <c r="O110" s="167">
        <f t="shared" si="153"/>
        <v>148000</v>
      </c>
    </row>
    <row r="111" spans="1:15" x14ac:dyDescent="0.3">
      <c r="B111" s="4"/>
      <c r="C111" s="21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214"/>
      <c r="O111" s="214"/>
    </row>
    <row r="112" spans="1:15" ht="15" thickBot="1" x14ac:dyDescent="0.35">
      <c r="A112" s="40" t="s">
        <v>54</v>
      </c>
      <c r="B112" s="48">
        <f>+B105+B110</f>
        <v>11094000</v>
      </c>
      <c r="C112" s="171">
        <f t="shared" ref="C112" si="154">+C105+C110</f>
        <v>10617000</v>
      </c>
      <c r="D112" s="48">
        <f t="shared" ref="D112:M112" si="155">+D105+D110</f>
        <v>10617000</v>
      </c>
      <c r="E112" s="48">
        <f t="shared" si="155"/>
        <v>10617000</v>
      </c>
      <c r="F112" s="48">
        <f t="shared" si="155"/>
        <v>10617000</v>
      </c>
      <c r="G112" s="48">
        <f t="shared" si="155"/>
        <v>10617000</v>
      </c>
      <c r="H112" s="48">
        <f t="shared" si="155"/>
        <v>10617000</v>
      </c>
      <c r="I112" s="48">
        <f t="shared" si="155"/>
        <v>10617000</v>
      </c>
      <c r="J112" s="48">
        <f t="shared" si="155"/>
        <v>10617000</v>
      </c>
      <c r="K112" s="48">
        <f t="shared" si="155"/>
        <v>10617000</v>
      </c>
      <c r="L112" s="48">
        <f t="shared" si="155"/>
        <v>10617000</v>
      </c>
      <c r="M112" s="48">
        <f t="shared" si="155"/>
        <v>10617000</v>
      </c>
      <c r="N112" s="171">
        <f t="shared" ref="N112:O112" si="156">+N105+N110</f>
        <v>10617000</v>
      </c>
      <c r="O112" s="171">
        <f t="shared" si="156"/>
        <v>10617000</v>
      </c>
    </row>
    <row r="113" spans="1:15" ht="16.2" thickBot="1" x14ac:dyDescent="0.35">
      <c r="A113" s="36" t="s">
        <v>55</v>
      </c>
      <c r="B113" s="49">
        <f>+B99-B112</f>
        <v>281183000</v>
      </c>
      <c r="C113" s="172">
        <f t="shared" ref="C113" si="157">+C99-C112</f>
        <v>282856000</v>
      </c>
      <c r="D113" s="49">
        <f t="shared" ref="D113:M113" ca="1" si="158">+D99-D112</f>
        <v>277774000</v>
      </c>
      <c r="E113" s="49">
        <f t="shared" ca="1" si="158"/>
        <v>277866804.69516098</v>
      </c>
      <c r="F113" s="49">
        <f t="shared" ca="1" si="158"/>
        <v>278164572.22785854</v>
      </c>
      <c r="G113" s="49">
        <f t="shared" ca="1" si="158"/>
        <v>278588011.65687704</v>
      </c>
      <c r="H113" s="49">
        <f t="shared" ca="1" si="158"/>
        <v>279401833.10358089</v>
      </c>
      <c r="I113" s="49">
        <f t="shared" ca="1" si="158"/>
        <v>280179471.46936804</v>
      </c>
      <c r="J113" s="49">
        <f t="shared" ca="1" si="158"/>
        <v>280703397.25733203</v>
      </c>
      <c r="K113" s="49">
        <f t="shared" ca="1" si="158"/>
        <v>281324266.15423846</v>
      </c>
      <c r="L113" s="49" t="e">
        <f t="shared" ca="1" si="158"/>
        <v>#REF!</v>
      </c>
      <c r="M113" s="49" t="e">
        <f t="shared" ca="1" si="158"/>
        <v>#REF!</v>
      </c>
      <c r="N113" s="172" t="e">
        <f t="shared" ref="N113:O113" ca="1" si="159">+N99-N112</f>
        <v>#REF!</v>
      </c>
      <c r="O113" s="172" t="e">
        <f t="shared" ca="1" si="159"/>
        <v>#REF!</v>
      </c>
    </row>
    <row r="114" spans="1:15" ht="15" thickTop="1" x14ac:dyDescent="0.3">
      <c r="B114" s="4"/>
      <c r="C114" s="21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214"/>
      <c r="O114" s="214"/>
    </row>
    <row r="115" spans="1:15" x14ac:dyDescent="0.3">
      <c r="A115" s="40" t="s">
        <v>56</v>
      </c>
      <c r="B115" s="4"/>
      <c r="C115" s="21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214"/>
      <c r="O115" s="214"/>
    </row>
    <row r="116" spans="1:15" x14ac:dyDescent="0.3">
      <c r="A116" t="s">
        <v>57</v>
      </c>
      <c r="B116" s="4">
        <v>158027000</v>
      </c>
      <c r="C116" s="214">
        <f>+'GF &amp; FF  Equity Statement'!C81</f>
        <v>0</v>
      </c>
      <c r="D116" s="4">
        <f>+'Scenario 2 Equity Statement'!D80</f>
        <v>158027000</v>
      </c>
      <c r="E116" s="4">
        <f>+'Scenario 2 Equity Statement'!E80</f>
        <v>158119804.69516098</v>
      </c>
      <c r="F116" s="4">
        <f>+'Scenario 2 Equity Statement'!F80</f>
        <v>158417572.22785854</v>
      </c>
      <c r="G116" s="4">
        <f>+'Scenario 2 Equity Statement'!G80</f>
        <v>158841011.65687701</v>
      </c>
      <c r="H116" s="4">
        <f>+'Scenario 2 Equity Statement'!H80</f>
        <v>159654833.10358083</v>
      </c>
      <c r="I116" s="4">
        <f>+'Scenario 2 Equity Statement'!I80</f>
        <v>160432471.46936804</v>
      </c>
      <c r="J116" s="4">
        <f>+'Scenario 2 Equity Statement'!J80</f>
        <v>160956397.25733203</v>
      </c>
      <c r="K116" s="4">
        <f>+'Scenario 2 Equity Statement'!K80</f>
        <v>161577266.15423843</v>
      </c>
      <c r="L116" s="4">
        <f>+'Scenario 2 Equity Statement'!L80</f>
        <v>162146582.41690987</v>
      </c>
      <c r="M116" s="4">
        <f>+'Scenario 2 Equity Statement'!M80</f>
        <v>162655788.14264765</v>
      </c>
      <c r="N116" s="214">
        <f>+'Scenario 2 Equity Statement'!N80</f>
        <v>163164995.86838543</v>
      </c>
      <c r="O116" s="214">
        <f>+'Scenario 2 Equity Statement'!O80</f>
        <v>163674205.59412321</v>
      </c>
    </row>
    <row r="117" spans="1:15" ht="15" thickBot="1" x14ac:dyDescent="0.35">
      <c r="A117" t="s">
        <v>58</v>
      </c>
      <c r="B117" s="8">
        <v>123156000</v>
      </c>
      <c r="C117" s="149">
        <f>+'GF &amp; FF  Equity Statement'!C90</f>
        <v>0</v>
      </c>
      <c r="D117" s="8">
        <f>+'Scenario 2 Equity Statement'!D89</f>
        <v>125016000</v>
      </c>
      <c r="E117" s="8">
        <f>+'Scenario 2 Equity Statement'!E89</f>
        <v>125016000</v>
      </c>
      <c r="F117" s="8">
        <f>+'Scenario 2 Equity Statement'!F89</f>
        <v>125016000</v>
      </c>
      <c r="G117" s="8">
        <f>+'Scenario 2 Equity Statement'!G89</f>
        <v>125016000</v>
      </c>
      <c r="H117" s="8">
        <f>+'Scenario 2 Equity Statement'!H89</f>
        <v>125016000</v>
      </c>
      <c r="I117" s="8">
        <f>+'Scenario 2 Equity Statement'!I89</f>
        <v>125016000</v>
      </c>
      <c r="J117" s="8">
        <f>+'Scenario 2 Equity Statement'!J89</f>
        <v>125016000</v>
      </c>
      <c r="K117" s="8">
        <f>+'Scenario 2 Equity Statement'!K89</f>
        <v>125016000</v>
      </c>
      <c r="L117" s="8">
        <f>+'Scenario 2 Equity Statement'!L89</f>
        <v>125016000</v>
      </c>
      <c r="M117" s="8">
        <f>+'Scenario 2 Equity Statement'!M89</f>
        <v>125016000</v>
      </c>
      <c r="N117" s="149">
        <f>+'Scenario 2 Equity Statement'!N89</f>
        <v>125016000</v>
      </c>
      <c r="O117" s="149">
        <f>+'Scenario 2 Equity Statement'!O89</f>
        <v>125016000</v>
      </c>
    </row>
    <row r="118" spans="1:15" ht="16.2" thickBot="1" x14ac:dyDescent="0.35">
      <c r="A118" s="36" t="s">
        <v>59</v>
      </c>
      <c r="B118" s="49">
        <f>SUM(B116:B117)</f>
        <v>281183000</v>
      </c>
      <c r="C118" s="172">
        <f t="shared" ref="C118" si="160">SUM(C116:C117)</f>
        <v>0</v>
      </c>
      <c r="D118" s="49">
        <f t="shared" ref="D118:M118" si="161">SUM(D116:D117)</f>
        <v>283043000</v>
      </c>
      <c r="E118" s="49">
        <f t="shared" si="161"/>
        <v>283135804.69516098</v>
      </c>
      <c r="F118" s="49">
        <f t="shared" si="161"/>
        <v>283433572.22785854</v>
      </c>
      <c r="G118" s="49">
        <f t="shared" si="161"/>
        <v>283857011.65687704</v>
      </c>
      <c r="H118" s="49">
        <f t="shared" si="161"/>
        <v>284670833.10358083</v>
      </c>
      <c r="I118" s="49">
        <f t="shared" si="161"/>
        <v>285448471.46936804</v>
      </c>
      <c r="J118" s="49">
        <f t="shared" si="161"/>
        <v>285972397.25733203</v>
      </c>
      <c r="K118" s="49">
        <f t="shared" si="161"/>
        <v>286593266.15423846</v>
      </c>
      <c r="L118" s="49">
        <f t="shared" si="161"/>
        <v>287162582.41690987</v>
      </c>
      <c r="M118" s="49">
        <f t="shared" si="161"/>
        <v>287671788.14264762</v>
      </c>
      <c r="N118" s="172">
        <f t="shared" ref="N118:O118" si="162">SUM(N116:N117)</f>
        <v>288180995.86838543</v>
      </c>
      <c r="O118" s="172">
        <f t="shared" si="162"/>
        <v>288690205.59412324</v>
      </c>
    </row>
    <row r="119" spans="1:15" ht="15" thickTop="1" x14ac:dyDescent="0.3">
      <c r="B119" s="4"/>
      <c r="C119" s="21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214"/>
      <c r="O119" s="214"/>
    </row>
    <row r="120" spans="1:15" x14ac:dyDescent="0.3">
      <c r="A120" t="s">
        <v>111</v>
      </c>
      <c r="B120" s="116">
        <f>+B113-B118</f>
        <v>0</v>
      </c>
      <c r="C120" s="217">
        <f t="shared" ref="C120" si="163">+C113-C118</f>
        <v>282856000</v>
      </c>
      <c r="D120" s="116">
        <f t="shared" ref="D120:M120" ca="1" si="164">+D113-D118</f>
        <v>-5269000</v>
      </c>
      <c r="E120" s="116">
        <f t="shared" ca="1" si="164"/>
        <v>-5269000</v>
      </c>
      <c r="F120" s="116">
        <f t="shared" ca="1" si="164"/>
        <v>-5269000</v>
      </c>
      <c r="G120" s="116">
        <f t="shared" ca="1" si="164"/>
        <v>-5269000</v>
      </c>
      <c r="H120" s="116">
        <f t="shared" ca="1" si="164"/>
        <v>-5268999.9999999404</v>
      </c>
      <c r="I120" s="116">
        <f t="shared" ca="1" si="164"/>
        <v>-5269000</v>
      </c>
      <c r="J120" s="116">
        <f t="shared" ca="1" si="164"/>
        <v>-5269000</v>
      </c>
      <c r="K120" s="116">
        <f t="shared" ca="1" si="164"/>
        <v>-5269000</v>
      </c>
      <c r="L120" s="116" t="e">
        <f t="shared" ca="1" si="164"/>
        <v>#REF!</v>
      </c>
      <c r="M120" s="116" t="e">
        <f t="shared" ca="1" si="164"/>
        <v>#REF!</v>
      </c>
      <c r="N120" s="217" t="e">
        <f t="shared" ref="N120:O120" ca="1" si="165">+N113-N118</f>
        <v>#REF!</v>
      </c>
      <c r="O120" s="217" t="e">
        <f t="shared" ca="1" si="165"/>
        <v>#REF!</v>
      </c>
    </row>
    <row r="121" spans="1:15" x14ac:dyDescent="0.3">
      <c r="A121" t="s">
        <v>112</v>
      </c>
      <c r="B121" s="116">
        <f>+B118-'Scenario 2 Equity Statement'!B100</f>
        <v>0</v>
      </c>
      <c r="C121" s="217">
        <f>+C118-'GF &amp; FF  Equity Statement'!C101</f>
        <v>0</v>
      </c>
      <c r="D121" s="116">
        <f>+D118-'Scenario 2 Equity Statement'!D100</f>
        <v>0</v>
      </c>
      <c r="E121" s="116">
        <f>+E118-'Scenario 2 Equity Statement'!E100</f>
        <v>0</v>
      </c>
      <c r="F121" s="116">
        <f>+F118-'Scenario 2 Equity Statement'!F100</f>
        <v>0</v>
      </c>
      <c r="G121" s="116">
        <f>+G118-'Scenario 2 Equity Statement'!G100</f>
        <v>0</v>
      </c>
      <c r="H121" s="116">
        <f>+H118-'Scenario 2 Equity Statement'!H100</f>
        <v>0</v>
      </c>
      <c r="I121" s="116">
        <f>+I118-'Scenario 2 Equity Statement'!I100</f>
        <v>0</v>
      </c>
      <c r="J121" s="116">
        <f>+J118-'Scenario 2 Equity Statement'!J100</f>
        <v>0</v>
      </c>
      <c r="K121" s="116">
        <f>+K118-'Scenario 2 Equity Statement'!K100</f>
        <v>0</v>
      </c>
      <c r="L121" s="116">
        <f>+L118-'Scenario 2 Equity Statement'!L100</f>
        <v>0</v>
      </c>
      <c r="M121" s="116">
        <f>+M118-'Scenario 2 Equity Statement'!M100</f>
        <v>0</v>
      </c>
      <c r="N121" s="217">
        <f>+N118-'Scenario 2 Equity Statement'!N100</f>
        <v>-1.9999999403953552</v>
      </c>
      <c r="O121" s="217">
        <f>+O118-'Scenario 2 Equity Statement'!O100</f>
        <v>-3.9999999403953552</v>
      </c>
    </row>
    <row r="122" spans="1:15" x14ac:dyDescent="0.3">
      <c r="N122" s="221"/>
      <c r="O122" s="221"/>
    </row>
  </sheetData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102"/>
  <sheetViews>
    <sheetView workbookViewId="0">
      <pane xSplit="3" ySplit="3" topLeftCell="E67" activePane="bottomRight" state="frozen"/>
      <selection pane="topRight" activeCell="D1" sqref="D1"/>
      <selection pane="bottomLeft" activeCell="A3" sqref="A3"/>
      <selection pane="bottomRight" activeCell="F2" sqref="F2"/>
    </sheetView>
  </sheetViews>
  <sheetFormatPr defaultColWidth="9.109375" defaultRowHeight="10.199999999999999" outlineLevelCol="2" x14ac:dyDescent="0.2"/>
  <cols>
    <col min="1" max="1" width="32.33203125" style="653" customWidth="1"/>
    <col min="2" max="3" width="13.109375" style="653" hidden="1" customWidth="1" outlineLevel="1"/>
    <col min="4" max="4" width="13.109375" style="653" hidden="1" customWidth="1" outlineLevel="2" collapsed="1"/>
    <col min="5" max="5" width="13.109375" style="653" customWidth="1" collapsed="1"/>
    <col min="6" max="6" width="13.109375" style="653" bestFit="1" customWidth="1"/>
    <col min="7" max="16" width="9.88671875" style="653" bestFit="1" customWidth="1"/>
    <col min="17" max="16384" width="9.109375" style="653"/>
  </cols>
  <sheetData>
    <row r="1" spans="1:16" ht="12.75" x14ac:dyDescent="0.2">
      <c r="A1" s="1091" t="s">
        <v>1365</v>
      </c>
    </row>
    <row r="2" spans="1:16" s="660" customFormat="1" ht="12" x14ac:dyDescent="0.2">
      <c r="A2" s="652" t="s">
        <v>1072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16" ht="11.25" x14ac:dyDescent="0.2">
      <c r="A3" s="652" t="s">
        <v>73</v>
      </c>
      <c r="B3" s="741" t="s">
        <v>68</v>
      </c>
      <c r="C3" s="694" t="s">
        <v>0</v>
      </c>
      <c r="D3" s="694" t="s">
        <v>1</v>
      </c>
      <c r="E3" s="694" t="s">
        <v>2</v>
      </c>
      <c r="F3" s="694" t="s">
        <v>3</v>
      </c>
      <c r="G3" s="694" t="s">
        <v>4</v>
      </c>
      <c r="H3" s="694" t="s">
        <v>5</v>
      </c>
      <c r="I3" s="694" t="s">
        <v>6</v>
      </c>
      <c r="J3" s="694" t="s">
        <v>7</v>
      </c>
      <c r="K3" s="694" t="s">
        <v>8</v>
      </c>
      <c r="L3" s="694" t="s">
        <v>9</v>
      </c>
      <c r="M3" s="694" t="s">
        <v>514</v>
      </c>
      <c r="N3" s="694" t="s">
        <v>515</v>
      </c>
      <c r="O3" s="694" t="s">
        <v>904</v>
      </c>
      <c r="P3" s="694" t="s">
        <v>1046</v>
      </c>
    </row>
    <row r="4" spans="1:16" s="664" customFormat="1" ht="11.25" x14ac:dyDescent="0.2">
      <c r="A4" s="661"/>
      <c r="B4" s="662"/>
      <c r="C4" s="662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</row>
    <row r="5" spans="1:16" ht="11.25" x14ac:dyDescent="0.2">
      <c r="A5" s="654" t="s">
        <v>103</v>
      </c>
    </row>
    <row r="6" spans="1:16" ht="11.25" x14ac:dyDescent="0.2">
      <c r="A6" s="654" t="s">
        <v>100</v>
      </c>
      <c r="B6" s="621"/>
      <c r="C6" s="621"/>
      <c r="D6" s="621">
        <v>271472</v>
      </c>
      <c r="E6" s="621">
        <f>223454+456-E10</f>
        <v>212100</v>
      </c>
      <c r="F6" s="621">
        <f t="shared" ref="F6" si="0">+E13</f>
        <v>223910</v>
      </c>
      <c r="G6" s="621">
        <f t="shared" ref="G6" si="1">+F13</f>
        <v>226838.00700000001</v>
      </c>
      <c r="H6" s="621">
        <f t="shared" ref="H6" si="2">+G13</f>
        <v>231257.90695999999</v>
      </c>
      <c r="I6" s="621">
        <f t="shared" ref="I6" si="3">+H13</f>
        <v>235660.189445</v>
      </c>
      <c r="J6" s="621">
        <f t="shared" ref="J6" si="4">+I13</f>
        <v>240321.57073529999</v>
      </c>
      <c r="K6" s="621">
        <f t="shared" ref="K6" si="5">+J13</f>
        <v>244868.85545293399</v>
      </c>
      <c r="L6" s="621">
        <f t="shared" ref="L6" si="6">+K13</f>
        <v>249201.4176666312</v>
      </c>
      <c r="M6" s="621">
        <f t="shared" ref="M6" si="7">+L13</f>
        <v>253621.60402244568</v>
      </c>
      <c r="N6" s="621">
        <f t="shared" ref="N6" si="8">+M13</f>
        <v>258121.38273383892</v>
      </c>
      <c r="O6" s="621">
        <f t="shared" ref="O6:P6" si="9">+N13</f>
        <v>262711.50225368119</v>
      </c>
      <c r="P6" s="621">
        <f t="shared" si="9"/>
        <v>267386.70277317549</v>
      </c>
    </row>
    <row r="7" spans="1:16" ht="11.25" x14ac:dyDescent="0.2">
      <c r="A7" s="655" t="s">
        <v>101</v>
      </c>
      <c r="B7" s="617"/>
      <c r="C7" s="617"/>
      <c r="D7" s="617"/>
      <c r="E7" s="617"/>
      <c r="F7" s="617">
        <v>0</v>
      </c>
      <c r="G7" s="617">
        <v>0</v>
      </c>
      <c r="H7" s="617">
        <v>0</v>
      </c>
      <c r="I7" s="617">
        <v>0</v>
      </c>
      <c r="J7" s="617">
        <v>0</v>
      </c>
      <c r="K7" s="617">
        <v>0</v>
      </c>
      <c r="L7" s="617">
        <v>0</v>
      </c>
      <c r="M7" s="617">
        <v>0</v>
      </c>
      <c r="N7" s="617">
        <v>0</v>
      </c>
      <c r="O7" s="617">
        <v>0</v>
      </c>
      <c r="P7" s="617">
        <v>0</v>
      </c>
    </row>
    <row r="8" spans="1:16" ht="11.25" x14ac:dyDescent="0.2">
      <c r="A8" s="654" t="s">
        <v>102</v>
      </c>
      <c r="B8" s="621">
        <f>SUM(B6:B7)</f>
        <v>0</v>
      </c>
      <c r="C8" s="621">
        <f t="shared" ref="C8:M8" si="10">SUM(C6:C7)</f>
        <v>0</v>
      </c>
      <c r="D8" s="621">
        <f t="shared" si="10"/>
        <v>271472</v>
      </c>
      <c r="E8" s="621">
        <f t="shared" si="10"/>
        <v>212100</v>
      </c>
      <c r="F8" s="621">
        <f t="shared" si="10"/>
        <v>223910</v>
      </c>
      <c r="G8" s="621">
        <f t="shared" si="10"/>
        <v>226838.00700000001</v>
      </c>
      <c r="H8" s="621">
        <f t="shared" si="10"/>
        <v>231257.90695999999</v>
      </c>
      <c r="I8" s="621">
        <f t="shared" si="10"/>
        <v>235660.189445</v>
      </c>
      <c r="J8" s="621">
        <f t="shared" si="10"/>
        <v>240321.57073529999</v>
      </c>
      <c r="K8" s="621">
        <f t="shared" si="10"/>
        <v>244868.85545293399</v>
      </c>
      <c r="L8" s="621">
        <f t="shared" si="10"/>
        <v>249201.4176666312</v>
      </c>
      <c r="M8" s="621">
        <f t="shared" si="10"/>
        <v>253621.60402244568</v>
      </c>
      <c r="N8" s="621">
        <f t="shared" ref="N8:O8" si="11">SUM(N6:N7)</f>
        <v>258121.38273383892</v>
      </c>
      <c r="O8" s="621">
        <f t="shared" si="11"/>
        <v>262711.50225368119</v>
      </c>
      <c r="P8" s="621">
        <f t="shared" ref="P8" si="12">SUM(P6:P7)</f>
        <v>267386.70277317549</v>
      </c>
    </row>
    <row r="9" spans="1:16" ht="11.25" x14ac:dyDescent="0.2">
      <c r="B9" s="621"/>
      <c r="C9" s="621"/>
      <c r="D9" s="621"/>
      <c r="E9" s="621"/>
      <c r="F9" s="621"/>
      <c r="G9" s="621"/>
      <c r="H9" s="621"/>
      <c r="I9" s="621"/>
      <c r="J9" s="621"/>
      <c r="K9" s="621"/>
      <c r="L9" s="621"/>
      <c r="M9" s="621"/>
      <c r="N9" s="621"/>
      <c r="O9" s="621"/>
      <c r="P9" s="621"/>
    </row>
    <row r="10" spans="1:16" ht="11.25" x14ac:dyDescent="0.2">
      <c r="A10" s="654" t="s">
        <v>76</v>
      </c>
      <c r="B10" s="621">
        <f>+'GF &amp; FF  Inc Exp Statement'!B38</f>
        <v>0</v>
      </c>
      <c r="C10" s="621">
        <f>+'GF &amp; FF  Inc Exp Statement'!C38</f>
        <v>0</v>
      </c>
      <c r="D10" s="621">
        <f>+'GF &amp; FF  Inc Exp Statement'!D38</f>
        <v>0</v>
      </c>
      <c r="E10" s="621">
        <f>+'GF &amp; FF  Inc Exp Statement'!E38</f>
        <v>11810</v>
      </c>
      <c r="F10" s="621">
        <f>+'GF &amp; FF  Inc Exp Statement'!F38</f>
        <v>2928.0070000000123</v>
      </c>
      <c r="G10" s="621">
        <f>+'GF &amp; FF  Inc Exp Statement'!G38</f>
        <v>4419.8999599999952</v>
      </c>
      <c r="H10" s="621">
        <f>+'GF &amp; FF  Inc Exp Statement'!H38</f>
        <v>4402.2824850000034</v>
      </c>
      <c r="I10" s="621">
        <f>+'GF &amp; FF  Inc Exp Statement'!I38</f>
        <v>4661.3812902999998</v>
      </c>
      <c r="J10" s="621">
        <f>+'GF &amp; FF  Inc Exp Statement'!J38</f>
        <v>4547.2847176340074</v>
      </c>
      <c r="K10" s="621">
        <f>+'GF &amp; FF  Inc Exp Statement'!K38</f>
        <v>4332.5622136972088</v>
      </c>
      <c r="L10" s="621">
        <f>+'GF &amp; FF  Inc Exp Statement'!L38</f>
        <v>4420.1863558144687</v>
      </c>
      <c r="M10" s="621">
        <f>+'GF &amp; FF  Inc Exp Statement'!M38</f>
        <v>4499.7787113932573</v>
      </c>
      <c r="N10" s="621">
        <f>+'GF &amp; FF  Inc Exp Statement'!N38</f>
        <v>4590.119519842272</v>
      </c>
      <c r="O10" s="621">
        <f>+'GF &amp; FF  Inc Exp Statement'!O38</f>
        <v>4675.2005194942831</v>
      </c>
      <c r="P10" s="621">
        <f>+'GF &amp; FF  Inc Exp Statement'!P38</f>
        <v>4760.1743875826869</v>
      </c>
    </row>
    <row r="11" spans="1:16" ht="11.25" x14ac:dyDescent="0.2">
      <c r="B11" s="608"/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</row>
    <row r="12" spans="1:16" s="654" customFormat="1" ht="11.25" x14ac:dyDescent="0.2">
      <c r="A12" s="654" t="s">
        <v>105</v>
      </c>
      <c r="B12" s="674">
        <f>+B10</f>
        <v>0</v>
      </c>
      <c r="C12" s="619">
        <f t="shared" ref="C12:M12" si="13">+C10</f>
        <v>0</v>
      </c>
      <c r="D12" s="674">
        <f t="shared" si="13"/>
        <v>0</v>
      </c>
      <c r="E12" s="619">
        <f t="shared" si="13"/>
        <v>11810</v>
      </c>
      <c r="F12" s="619">
        <f t="shared" si="13"/>
        <v>2928.0070000000123</v>
      </c>
      <c r="G12" s="619">
        <f t="shared" si="13"/>
        <v>4419.8999599999952</v>
      </c>
      <c r="H12" s="619">
        <f t="shared" si="13"/>
        <v>4402.2824850000034</v>
      </c>
      <c r="I12" s="619">
        <f t="shared" si="13"/>
        <v>4661.3812902999998</v>
      </c>
      <c r="J12" s="619">
        <f t="shared" si="13"/>
        <v>4547.2847176340074</v>
      </c>
      <c r="K12" s="619">
        <f t="shared" si="13"/>
        <v>4332.5622136972088</v>
      </c>
      <c r="L12" s="619">
        <f t="shared" si="13"/>
        <v>4420.1863558144687</v>
      </c>
      <c r="M12" s="619">
        <f t="shared" si="13"/>
        <v>4499.7787113932573</v>
      </c>
      <c r="N12" s="619">
        <f t="shared" ref="N12:O12" si="14">+N10</f>
        <v>4590.119519842272</v>
      </c>
      <c r="O12" s="619">
        <f t="shared" si="14"/>
        <v>4675.2005194942831</v>
      </c>
      <c r="P12" s="619">
        <f t="shared" ref="P12" si="15">+P10</f>
        <v>4760.1743875826869</v>
      </c>
    </row>
    <row r="13" spans="1:16" s="654" customFormat="1" ht="12" thickBot="1" x14ac:dyDescent="0.25">
      <c r="A13" s="654" t="s">
        <v>106</v>
      </c>
      <c r="B13" s="658">
        <f t="shared" ref="B13:M13" si="16">+B8+B12</f>
        <v>0</v>
      </c>
      <c r="C13" s="658">
        <f t="shared" si="16"/>
        <v>0</v>
      </c>
      <c r="D13" s="658">
        <f t="shared" si="16"/>
        <v>271472</v>
      </c>
      <c r="E13" s="658">
        <f t="shared" si="16"/>
        <v>223910</v>
      </c>
      <c r="F13" s="658">
        <f t="shared" si="16"/>
        <v>226838.00700000001</v>
      </c>
      <c r="G13" s="658">
        <f t="shared" si="16"/>
        <v>231257.90695999999</v>
      </c>
      <c r="H13" s="658">
        <f t="shared" si="16"/>
        <v>235660.189445</v>
      </c>
      <c r="I13" s="658">
        <f t="shared" si="16"/>
        <v>240321.57073529999</v>
      </c>
      <c r="J13" s="658">
        <f t="shared" si="16"/>
        <v>244868.85545293399</v>
      </c>
      <c r="K13" s="658">
        <f t="shared" si="16"/>
        <v>249201.4176666312</v>
      </c>
      <c r="L13" s="658">
        <f t="shared" si="16"/>
        <v>253621.60402244568</v>
      </c>
      <c r="M13" s="658">
        <f t="shared" si="16"/>
        <v>258121.38273383892</v>
      </c>
      <c r="N13" s="658">
        <f t="shared" ref="N13:O13" si="17">+N8+N12</f>
        <v>262711.50225368119</v>
      </c>
      <c r="O13" s="658">
        <f t="shared" si="17"/>
        <v>267386.70277317549</v>
      </c>
      <c r="P13" s="658">
        <f t="shared" ref="P13" si="18">+P8+P12</f>
        <v>272146.87716075819</v>
      </c>
    </row>
    <row r="14" spans="1:16" ht="11.25" x14ac:dyDescent="0.2"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</row>
    <row r="15" spans="1:16" ht="11.25" x14ac:dyDescent="0.2">
      <c r="A15" s="654" t="s">
        <v>107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</row>
    <row r="16" spans="1:16" ht="11.25" x14ac:dyDescent="0.2">
      <c r="A16" s="654" t="s">
        <v>100</v>
      </c>
      <c r="B16" s="608"/>
      <c r="C16" s="608"/>
      <c r="D16" s="608">
        <v>309010</v>
      </c>
      <c r="E16" s="608">
        <f>250606</f>
        <v>250606</v>
      </c>
      <c r="F16" s="608">
        <f t="shared" ref="F16" si="19">+E22</f>
        <v>250606</v>
      </c>
      <c r="G16" s="608">
        <f t="shared" ref="G16" si="20">+F22</f>
        <v>250606</v>
      </c>
      <c r="H16" s="608">
        <f t="shared" ref="H16" si="21">+G22</f>
        <v>250606</v>
      </c>
      <c r="I16" s="608">
        <f t="shared" ref="I16" si="22">+H22</f>
        <v>250606</v>
      </c>
      <c r="J16" s="608">
        <f t="shared" ref="J16" si="23">+I22</f>
        <v>250606</v>
      </c>
      <c r="K16" s="608">
        <f t="shared" ref="K16" si="24">+J22</f>
        <v>250606</v>
      </c>
      <c r="L16" s="608">
        <f t="shared" ref="L16" si="25">+K22</f>
        <v>250606</v>
      </c>
      <c r="M16" s="608">
        <f t="shared" ref="M16" si="26">+L22</f>
        <v>250606</v>
      </c>
      <c r="N16" s="608">
        <f t="shared" ref="N16" si="27">+M22</f>
        <v>250606</v>
      </c>
      <c r="O16" s="608">
        <f t="shared" ref="O16:P16" si="28">+N22</f>
        <v>250606</v>
      </c>
      <c r="P16" s="608">
        <f t="shared" si="28"/>
        <v>250606</v>
      </c>
    </row>
    <row r="17" spans="1:16" ht="11.25" x14ac:dyDescent="0.2">
      <c r="A17" s="655" t="s">
        <v>101</v>
      </c>
      <c r="B17" s="617"/>
      <c r="C17" s="617"/>
      <c r="D17" s="617"/>
      <c r="E17" s="617"/>
      <c r="F17" s="617">
        <v>0</v>
      </c>
      <c r="G17" s="617">
        <v>0</v>
      </c>
      <c r="H17" s="617">
        <v>0</v>
      </c>
      <c r="I17" s="617">
        <v>0</v>
      </c>
      <c r="J17" s="617">
        <v>0</v>
      </c>
      <c r="K17" s="617">
        <v>0</v>
      </c>
      <c r="L17" s="617">
        <v>0</v>
      </c>
      <c r="M17" s="617">
        <v>0</v>
      </c>
      <c r="N17" s="617">
        <v>0</v>
      </c>
      <c r="O17" s="617">
        <v>0</v>
      </c>
      <c r="P17" s="617">
        <v>0</v>
      </c>
    </row>
    <row r="18" spans="1:16" ht="11.25" x14ac:dyDescent="0.2">
      <c r="A18" s="654" t="s">
        <v>102</v>
      </c>
      <c r="B18" s="675">
        <f>SUM(B16:B17)</f>
        <v>0</v>
      </c>
      <c r="C18" s="675">
        <f t="shared" ref="C18:M18" si="29">SUM(C16:C17)</f>
        <v>0</v>
      </c>
      <c r="D18" s="675">
        <f t="shared" si="29"/>
        <v>309010</v>
      </c>
      <c r="E18" s="675">
        <f t="shared" si="29"/>
        <v>250606</v>
      </c>
      <c r="F18" s="675">
        <f t="shared" si="29"/>
        <v>250606</v>
      </c>
      <c r="G18" s="675">
        <f t="shared" si="29"/>
        <v>250606</v>
      </c>
      <c r="H18" s="675">
        <f t="shared" si="29"/>
        <v>250606</v>
      </c>
      <c r="I18" s="675">
        <f t="shared" si="29"/>
        <v>250606</v>
      </c>
      <c r="J18" s="675">
        <f t="shared" si="29"/>
        <v>250606</v>
      </c>
      <c r="K18" s="675">
        <f t="shared" si="29"/>
        <v>250606</v>
      </c>
      <c r="L18" s="675">
        <f t="shared" si="29"/>
        <v>250606</v>
      </c>
      <c r="M18" s="675">
        <f t="shared" si="29"/>
        <v>250606</v>
      </c>
      <c r="N18" s="675">
        <f t="shared" ref="N18:O18" si="30">SUM(N16:N17)</f>
        <v>250606</v>
      </c>
      <c r="O18" s="675">
        <f t="shared" si="30"/>
        <v>250606</v>
      </c>
      <c r="P18" s="675">
        <f t="shared" ref="P18" si="31">SUM(P16:P17)</f>
        <v>250606</v>
      </c>
    </row>
    <row r="19" spans="1:16" ht="11.25" x14ac:dyDescent="0.2">
      <c r="B19" s="608"/>
      <c r="C19" s="608"/>
      <c r="D19" s="608"/>
      <c r="E19" s="608"/>
      <c r="F19" s="608"/>
      <c r="G19" s="608"/>
      <c r="H19" s="608"/>
      <c r="I19" s="608"/>
      <c r="J19" s="608"/>
      <c r="K19" s="608"/>
      <c r="L19" s="608"/>
      <c r="M19" s="608"/>
      <c r="N19" s="608"/>
      <c r="O19" s="608"/>
      <c r="P19" s="608"/>
    </row>
    <row r="20" spans="1:16" ht="11.25" x14ac:dyDescent="0.2">
      <c r="A20" s="653" t="s">
        <v>104</v>
      </c>
      <c r="B20" s="621"/>
      <c r="C20" s="621"/>
      <c r="D20" s="621">
        <v>-8350</v>
      </c>
      <c r="E20" s="621"/>
      <c r="F20" s="621">
        <v>0</v>
      </c>
      <c r="G20" s="621">
        <v>0</v>
      </c>
      <c r="H20" s="621">
        <v>0</v>
      </c>
      <c r="I20" s="621">
        <v>0</v>
      </c>
      <c r="J20" s="621">
        <v>0</v>
      </c>
      <c r="K20" s="621">
        <v>0</v>
      </c>
      <c r="L20" s="621">
        <v>0</v>
      </c>
      <c r="M20" s="621">
        <v>0</v>
      </c>
      <c r="N20" s="621">
        <v>0</v>
      </c>
      <c r="O20" s="621">
        <v>0</v>
      </c>
      <c r="P20" s="621">
        <v>0</v>
      </c>
    </row>
    <row r="21" spans="1:16" s="657" customFormat="1" ht="11.25" x14ac:dyDescent="0.2">
      <c r="A21" s="654" t="s">
        <v>105</v>
      </c>
      <c r="B21" s="674">
        <f>+B18+B20</f>
        <v>0</v>
      </c>
      <c r="C21" s="674">
        <f>C18+C20</f>
        <v>0</v>
      </c>
      <c r="D21" s="674">
        <f t="shared" ref="D21:L21" si="32">D18+D20</f>
        <v>300660</v>
      </c>
      <c r="E21" s="674">
        <f t="shared" si="32"/>
        <v>250606</v>
      </c>
      <c r="F21" s="674">
        <f t="shared" si="32"/>
        <v>250606</v>
      </c>
      <c r="G21" s="674">
        <f t="shared" si="32"/>
        <v>250606</v>
      </c>
      <c r="H21" s="674">
        <f t="shared" si="32"/>
        <v>250606</v>
      </c>
      <c r="I21" s="674">
        <f t="shared" si="32"/>
        <v>250606</v>
      </c>
      <c r="J21" s="674">
        <f t="shared" si="32"/>
        <v>250606</v>
      </c>
      <c r="K21" s="674">
        <f t="shared" si="32"/>
        <v>250606</v>
      </c>
      <c r="L21" s="674">
        <f t="shared" si="32"/>
        <v>250606</v>
      </c>
      <c r="M21" s="674">
        <f t="shared" ref="M21" si="33">+L21</f>
        <v>250606</v>
      </c>
      <c r="N21" s="674">
        <f t="shared" ref="N21" si="34">N18+N20</f>
        <v>250606</v>
      </c>
      <c r="O21" s="674">
        <f t="shared" ref="O21:P21" si="35">+N21</f>
        <v>250606</v>
      </c>
      <c r="P21" s="674">
        <f t="shared" si="35"/>
        <v>250606</v>
      </c>
    </row>
    <row r="22" spans="1:16" s="657" customFormat="1" ht="12" thickBot="1" x14ac:dyDescent="0.25">
      <c r="A22" s="654" t="s">
        <v>106</v>
      </c>
      <c r="B22" s="658">
        <f>+B21</f>
        <v>0</v>
      </c>
      <c r="C22" s="658">
        <f t="shared" ref="C22:M22" si="36">+C21</f>
        <v>0</v>
      </c>
      <c r="D22" s="658">
        <f t="shared" si="36"/>
        <v>300660</v>
      </c>
      <c r="E22" s="658">
        <f t="shared" si="36"/>
        <v>250606</v>
      </c>
      <c r="F22" s="658">
        <f t="shared" si="36"/>
        <v>250606</v>
      </c>
      <c r="G22" s="658">
        <f t="shared" si="36"/>
        <v>250606</v>
      </c>
      <c r="H22" s="658">
        <f t="shared" si="36"/>
        <v>250606</v>
      </c>
      <c r="I22" s="658">
        <f t="shared" si="36"/>
        <v>250606</v>
      </c>
      <c r="J22" s="658">
        <f t="shared" si="36"/>
        <v>250606</v>
      </c>
      <c r="K22" s="658">
        <f t="shared" si="36"/>
        <v>250606</v>
      </c>
      <c r="L22" s="658">
        <f t="shared" si="36"/>
        <v>250606</v>
      </c>
      <c r="M22" s="658">
        <f t="shared" si="36"/>
        <v>250606</v>
      </c>
      <c r="N22" s="658">
        <f t="shared" ref="N22:O22" si="37">+N21</f>
        <v>250606</v>
      </c>
      <c r="O22" s="658">
        <f t="shared" si="37"/>
        <v>250606</v>
      </c>
      <c r="P22" s="658">
        <f t="shared" ref="P22" si="38">+P21</f>
        <v>250606</v>
      </c>
    </row>
    <row r="23" spans="1:16" ht="11.25" x14ac:dyDescent="0.2">
      <c r="B23" s="608"/>
      <c r="C23" s="608"/>
      <c r="D23" s="608"/>
      <c r="E23" s="608"/>
      <c r="F23" s="608"/>
      <c r="G23" s="608"/>
      <c r="H23" s="608"/>
      <c r="I23" s="608"/>
      <c r="J23" s="608"/>
      <c r="K23" s="608"/>
      <c r="L23" s="608"/>
      <c r="M23" s="608"/>
      <c r="N23" s="608"/>
      <c r="O23" s="608"/>
      <c r="P23" s="608"/>
    </row>
    <row r="24" spans="1:16" ht="11.25" x14ac:dyDescent="0.2">
      <c r="A24" s="654" t="s">
        <v>108</v>
      </c>
    </row>
    <row r="25" spans="1:16" ht="11.25" x14ac:dyDescent="0.2">
      <c r="A25" s="654" t="s">
        <v>100</v>
      </c>
      <c r="B25" s="608">
        <f>+B6+B16</f>
        <v>0</v>
      </c>
      <c r="C25" s="608">
        <f t="shared" ref="C25:M25" si="39">+C6+C16</f>
        <v>0</v>
      </c>
      <c r="D25" s="608">
        <f t="shared" si="39"/>
        <v>580482</v>
      </c>
      <c r="E25" s="608">
        <f t="shared" si="39"/>
        <v>462706</v>
      </c>
      <c r="F25" s="608">
        <f t="shared" si="39"/>
        <v>474516</v>
      </c>
      <c r="G25" s="608">
        <f t="shared" si="39"/>
        <v>477444.00699999998</v>
      </c>
      <c r="H25" s="608">
        <f t="shared" si="39"/>
        <v>481863.90695999999</v>
      </c>
      <c r="I25" s="608">
        <f t="shared" si="39"/>
        <v>486266.18944500003</v>
      </c>
      <c r="J25" s="608">
        <f t="shared" si="39"/>
        <v>490927.57073529996</v>
      </c>
      <c r="K25" s="608">
        <f t="shared" si="39"/>
        <v>495474.85545293399</v>
      </c>
      <c r="L25" s="608">
        <f t="shared" si="39"/>
        <v>499807.41766663117</v>
      </c>
      <c r="M25" s="608">
        <f t="shared" si="39"/>
        <v>504227.60402244568</v>
      </c>
      <c r="N25" s="608">
        <f t="shared" ref="N25:O25" si="40">+N6+N16</f>
        <v>508727.38273383892</v>
      </c>
      <c r="O25" s="608">
        <f t="shared" si="40"/>
        <v>513317.50225368119</v>
      </c>
      <c r="P25" s="608">
        <f t="shared" ref="P25" si="41">+P6+P16</f>
        <v>517992.70277317549</v>
      </c>
    </row>
    <row r="26" spans="1:16" ht="11.25" x14ac:dyDescent="0.2">
      <c r="A26" s="655" t="s">
        <v>101</v>
      </c>
      <c r="B26" s="617">
        <f>+B7+B17</f>
        <v>0</v>
      </c>
      <c r="C26" s="617">
        <f t="shared" ref="C26:M26" si="42">+C7+C17</f>
        <v>0</v>
      </c>
      <c r="D26" s="617">
        <f t="shared" si="42"/>
        <v>0</v>
      </c>
      <c r="E26" s="617">
        <f t="shared" si="42"/>
        <v>0</v>
      </c>
      <c r="F26" s="617">
        <f t="shared" si="42"/>
        <v>0</v>
      </c>
      <c r="G26" s="617">
        <f t="shared" si="42"/>
        <v>0</v>
      </c>
      <c r="H26" s="617">
        <f t="shared" si="42"/>
        <v>0</v>
      </c>
      <c r="I26" s="617">
        <f t="shared" si="42"/>
        <v>0</v>
      </c>
      <c r="J26" s="617">
        <f t="shared" si="42"/>
        <v>0</v>
      </c>
      <c r="K26" s="617">
        <f t="shared" si="42"/>
        <v>0</v>
      </c>
      <c r="L26" s="617">
        <f t="shared" si="42"/>
        <v>0</v>
      </c>
      <c r="M26" s="617">
        <f t="shared" si="42"/>
        <v>0</v>
      </c>
      <c r="N26" s="617">
        <f t="shared" ref="N26:O26" si="43">+N7+N17</f>
        <v>0</v>
      </c>
      <c r="O26" s="617">
        <f t="shared" si="43"/>
        <v>0</v>
      </c>
      <c r="P26" s="617">
        <f t="shared" ref="P26" si="44">+P7+P17</f>
        <v>0</v>
      </c>
    </row>
    <row r="27" spans="1:16" ht="11.25" x14ac:dyDescent="0.2">
      <c r="A27" s="654" t="s">
        <v>102</v>
      </c>
      <c r="B27" s="608">
        <f>SUM(B25:B26)</f>
        <v>0</v>
      </c>
      <c r="C27" s="608">
        <f t="shared" ref="C27" si="45">SUM(C25:C26)</f>
        <v>0</v>
      </c>
      <c r="D27" s="608">
        <f t="shared" ref="D27" si="46">SUM(D25:D26)</f>
        <v>580482</v>
      </c>
      <c r="E27" s="608">
        <f t="shared" ref="E27" si="47">SUM(E25:E26)</f>
        <v>462706</v>
      </c>
      <c r="F27" s="608">
        <f t="shared" ref="F27" si="48">SUM(F25:F26)</f>
        <v>474516</v>
      </c>
      <c r="G27" s="608">
        <f t="shared" ref="G27" si="49">SUM(G25:G26)</f>
        <v>477444.00699999998</v>
      </c>
      <c r="H27" s="608">
        <f t="shared" ref="H27" si="50">SUM(H25:H26)</f>
        <v>481863.90695999999</v>
      </c>
      <c r="I27" s="608">
        <f t="shared" ref="I27" si="51">SUM(I25:I26)</f>
        <v>486266.18944500003</v>
      </c>
      <c r="J27" s="608">
        <f t="shared" ref="J27" si="52">SUM(J25:J26)</f>
        <v>490927.57073529996</v>
      </c>
      <c r="K27" s="608">
        <f t="shared" ref="K27" si="53">SUM(K25:K26)</f>
        <v>495474.85545293399</v>
      </c>
      <c r="L27" s="608">
        <f t="shared" ref="L27:N27" si="54">SUM(L25:L26)</f>
        <v>499807.41766663117</v>
      </c>
      <c r="M27" s="608">
        <f t="shared" ref="M27:O27" si="55">SUM(M25:M26)</f>
        <v>504227.60402244568</v>
      </c>
      <c r="N27" s="608">
        <f t="shared" si="54"/>
        <v>508727.38273383892</v>
      </c>
      <c r="O27" s="608">
        <f t="shared" si="55"/>
        <v>513317.50225368119</v>
      </c>
      <c r="P27" s="608">
        <f t="shared" ref="P27" si="56">SUM(P25:P26)</f>
        <v>517992.70277317549</v>
      </c>
    </row>
    <row r="28" spans="1:16" ht="11.25" x14ac:dyDescent="0.2">
      <c r="B28" s="608"/>
      <c r="C28" s="608"/>
      <c r="D28" s="608"/>
      <c r="E28" s="608"/>
      <c r="F28" s="608"/>
      <c r="G28" s="608"/>
      <c r="H28" s="608"/>
      <c r="I28" s="608"/>
      <c r="J28" s="608"/>
      <c r="K28" s="608"/>
      <c r="L28" s="608"/>
      <c r="M28" s="608"/>
      <c r="N28" s="608"/>
      <c r="O28" s="608"/>
      <c r="P28" s="608"/>
    </row>
    <row r="29" spans="1:16" ht="11.25" x14ac:dyDescent="0.2">
      <c r="A29" s="654" t="s">
        <v>76</v>
      </c>
      <c r="B29" s="608">
        <f>+B10</f>
        <v>0</v>
      </c>
      <c r="C29" s="621">
        <f t="shared" ref="C29:M29" si="57">+C10</f>
        <v>0</v>
      </c>
      <c r="D29" s="608">
        <f t="shared" si="57"/>
        <v>0</v>
      </c>
      <c r="E29" s="621">
        <f t="shared" si="57"/>
        <v>11810</v>
      </c>
      <c r="F29" s="621">
        <f t="shared" si="57"/>
        <v>2928.0070000000123</v>
      </c>
      <c r="G29" s="621">
        <f t="shared" si="57"/>
        <v>4419.8999599999952</v>
      </c>
      <c r="H29" s="621">
        <f t="shared" si="57"/>
        <v>4402.2824850000034</v>
      </c>
      <c r="I29" s="621">
        <f t="shared" si="57"/>
        <v>4661.3812902999998</v>
      </c>
      <c r="J29" s="621">
        <f t="shared" si="57"/>
        <v>4547.2847176340074</v>
      </c>
      <c r="K29" s="621">
        <f t="shared" si="57"/>
        <v>4332.5622136972088</v>
      </c>
      <c r="L29" s="621">
        <f t="shared" si="57"/>
        <v>4420.1863558144687</v>
      </c>
      <c r="M29" s="621">
        <f t="shared" si="57"/>
        <v>4499.7787113932573</v>
      </c>
      <c r="N29" s="621">
        <f t="shared" ref="N29:O29" si="58">+N10</f>
        <v>4590.119519842272</v>
      </c>
      <c r="O29" s="621">
        <f t="shared" si="58"/>
        <v>4675.2005194942831</v>
      </c>
      <c r="P29" s="621">
        <f t="shared" ref="P29" si="59">+P10</f>
        <v>4760.1743875826869</v>
      </c>
    </row>
    <row r="30" spans="1:16" ht="11.25" x14ac:dyDescent="0.2">
      <c r="B30" s="608"/>
      <c r="C30" s="608"/>
      <c r="D30" s="608"/>
      <c r="E30" s="621"/>
      <c r="F30" s="621"/>
      <c r="G30" s="621"/>
      <c r="H30" s="621"/>
      <c r="I30" s="621"/>
      <c r="J30" s="621"/>
      <c r="K30" s="621"/>
      <c r="L30" s="621"/>
      <c r="M30" s="621"/>
      <c r="N30" s="621"/>
      <c r="O30" s="621"/>
      <c r="P30" s="621"/>
    </row>
    <row r="31" spans="1:16" s="654" customFormat="1" ht="11.25" x14ac:dyDescent="0.2">
      <c r="A31" s="654" t="s">
        <v>105</v>
      </c>
      <c r="B31" s="674">
        <f>+B12</f>
        <v>0</v>
      </c>
      <c r="C31" s="619">
        <f t="shared" ref="C31:M31" si="60">+C29</f>
        <v>0</v>
      </c>
      <c r="D31" s="674">
        <f t="shared" si="60"/>
        <v>0</v>
      </c>
      <c r="E31" s="619">
        <f t="shared" si="60"/>
        <v>11810</v>
      </c>
      <c r="F31" s="619">
        <f t="shared" si="60"/>
        <v>2928.0070000000123</v>
      </c>
      <c r="G31" s="619">
        <f t="shared" si="60"/>
        <v>4419.8999599999952</v>
      </c>
      <c r="H31" s="619">
        <f t="shared" si="60"/>
        <v>4402.2824850000034</v>
      </c>
      <c r="I31" s="619">
        <f t="shared" si="60"/>
        <v>4661.3812902999998</v>
      </c>
      <c r="J31" s="619">
        <f t="shared" si="60"/>
        <v>4547.2847176340074</v>
      </c>
      <c r="K31" s="619">
        <f t="shared" si="60"/>
        <v>4332.5622136972088</v>
      </c>
      <c r="L31" s="619">
        <f t="shared" si="60"/>
        <v>4420.1863558144687</v>
      </c>
      <c r="M31" s="619">
        <f t="shared" si="60"/>
        <v>4499.7787113932573</v>
      </c>
      <c r="N31" s="619">
        <f t="shared" ref="N31:O31" si="61">+N29</f>
        <v>4590.119519842272</v>
      </c>
      <c r="O31" s="619">
        <f t="shared" si="61"/>
        <v>4675.2005194942831</v>
      </c>
      <c r="P31" s="619">
        <f t="shared" ref="P31" si="62">+P29</f>
        <v>4760.1743875826869</v>
      </c>
    </row>
    <row r="32" spans="1:16" s="676" customFormat="1" ht="12" thickBot="1" x14ac:dyDescent="0.25">
      <c r="A32" s="653" t="s">
        <v>104</v>
      </c>
      <c r="B32" s="633">
        <f>+B20</f>
        <v>0</v>
      </c>
      <c r="C32" s="633">
        <f t="shared" ref="C32:M32" si="63">+C20</f>
        <v>0</v>
      </c>
      <c r="D32" s="633">
        <f t="shared" si="63"/>
        <v>-8350</v>
      </c>
      <c r="E32" s="633">
        <f t="shared" si="63"/>
        <v>0</v>
      </c>
      <c r="F32" s="633">
        <f t="shared" si="63"/>
        <v>0</v>
      </c>
      <c r="G32" s="633">
        <f t="shared" si="63"/>
        <v>0</v>
      </c>
      <c r="H32" s="633">
        <f t="shared" si="63"/>
        <v>0</v>
      </c>
      <c r="I32" s="633">
        <f t="shared" si="63"/>
        <v>0</v>
      </c>
      <c r="J32" s="633">
        <f t="shared" si="63"/>
        <v>0</v>
      </c>
      <c r="K32" s="633">
        <f t="shared" si="63"/>
        <v>0</v>
      </c>
      <c r="L32" s="633">
        <f t="shared" si="63"/>
        <v>0</v>
      </c>
      <c r="M32" s="633">
        <f t="shared" si="63"/>
        <v>0</v>
      </c>
      <c r="N32" s="633">
        <f t="shared" ref="N32:O32" si="64">+N20</f>
        <v>0</v>
      </c>
      <c r="O32" s="633">
        <f t="shared" si="64"/>
        <v>0</v>
      </c>
      <c r="P32" s="633">
        <f t="shared" ref="P32" si="65">+P20</f>
        <v>0</v>
      </c>
    </row>
    <row r="33" spans="1:16" s="654" customFormat="1" ht="12" thickBot="1" x14ac:dyDescent="0.25">
      <c r="A33" s="654" t="s">
        <v>106</v>
      </c>
      <c r="B33" s="668">
        <f>+B27+B31+B32</f>
        <v>0</v>
      </c>
      <c r="C33" s="668">
        <f t="shared" ref="C33:M33" si="66">+C27+C31+C32</f>
        <v>0</v>
      </c>
      <c r="D33" s="668">
        <f t="shared" si="66"/>
        <v>572132</v>
      </c>
      <c r="E33" s="668">
        <f t="shared" si="66"/>
        <v>474516</v>
      </c>
      <c r="F33" s="668">
        <f t="shared" si="66"/>
        <v>477444.00699999998</v>
      </c>
      <c r="G33" s="668">
        <f t="shared" si="66"/>
        <v>481863.90695999999</v>
      </c>
      <c r="H33" s="668">
        <f t="shared" si="66"/>
        <v>486266.18944500003</v>
      </c>
      <c r="I33" s="668">
        <f t="shared" si="66"/>
        <v>490927.57073530002</v>
      </c>
      <c r="J33" s="668">
        <f t="shared" si="66"/>
        <v>495474.85545293399</v>
      </c>
      <c r="K33" s="668">
        <f t="shared" si="66"/>
        <v>499807.41766663117</v>
      </c>
      <c r="L33" s="668">
        <f t="shared" si="66"/>
        <v>504227.60402244562</v>
      </c>
      <c r="M33" s="668">
        <f t="shared" si="66"/>
        <v>508727.38273383892</v>
      </c>
      <c r="N33" s="668">
        <f t="shared" ref="N33:O33" si="67">+N27+N31+N32</f>
        <v>513317.50225368119</v>
      </c>
      <c r="O33" s="668">
        <f t="shared" si="67"/>
        <v>517992.70277317549</v>
      </c>
      <c r="P33" s="668">
        <f t="shared" ref="P33" si="68">+P27+P31+P32</f>
        <v>522752.87716075819</v>
      </c>
    </row>
    <row r="34" spans="1:16" ht="12" thickTop="1" x14ac:dyDescent="0.2">
      <c r="B34" s="608"/>
      <c r="C34" s="608"/>
      <c r="D34" s="608"/>
      <c r="E34" s="608"/>
      <c r="F34" s="608"/>
      <c r="G34" s="608"/>
      <c r="H34" s="608"/>
      <c r="I34" s="608"/>
      <c r="J34" s="608"/>
      <c r="K34" s="608"/>
      <c r="L34" s="608"/>
      <c r="M34" s="608"/>
      <c r="N34" s="608"/>
      <c r="O34" s="608"/>
      <c r="P34" s="608"/>
    </row>
    <row r="35" spans="1:16" ht="12.75" x14ac:dyDescent="0.2">
      <c r="A35" s="1091" t="s">
        <v>1365</v>
      </c>
    </row>
    <row r="36" spans="1:16" s="660" customFormat="1" ht="12" x14ac:dyDescent="0.2">
      <c r="A36" s="671" t="s">
        <v>1073</v>
      </c>
      <c r="B36" s="586" t="s">
        <v>69</v>
      </c>
      <c r="C36" s="586" t="s">
        <v>69</v>
      </c>
      <c r="D36" s="586" t="s">
        <v>69</v>
      </c>
      <c r="E36" s="586" t="s">
        <v>69</v>
      </c>
      <c r="F36" s="586" t="s">
        <v>70</v>
      </c>
      <c r="G36" s="586" t="s">
        <v>70</v>
      </c>
      <c r="H36" s="586" t="s">
        <v>71</v>
      </c>
      <c r="I36" s="586" t="s">
        <v>71</v>
      </c>
      <c r="J36" s="586" t="s">
        <v>71</v>
      </c>
      <c r="K36" s="586" t="s">
        <v>71</v>
      </c>
      <c r="L36" s="586" t="s">
        <v>71</v>
      </c>
      <c r="M36" s="586" t="s">
        <v>71</v>
      </c>
      <c r="N36" s="586" t="s">
        <v>71</v>
      </c>
      <c r="O36" s="586" t="s">
        <v>71</v>
      </c>
      <c r="P36" s="586" t="s">
        <v>71</v>
      </c>
    </row>
    <row r="37" spans="1:16" ht="11.25" x14ac:dyDescent="0.2">
      <c r="A37" s="652" t="s">
        <v>73</v>
      </c>
      <c r="B37" s="741" t="s">
        <v>68</v>
      </c>
      <c r="C37" s="694" t="s">
        <v>0</v>
      </c>
      <c r="D37" s="694" t="s">
        <v>1</v>
      </c>
      <c r="E37" s="694" t="s">
        <v>2</v>
      </c>
      <c r="F37" s="694" t="s">
        <v>3</v>
      </c>
      <c r="G37" s="694" t="s">
        <v>4</v>
      </c>
      <c r="H37" s="694" t="s">
        <v>5</v>
      </c>
      <c r="I37" s="694" t="s">
        <v>6</v>
      </c>
      <c r="J37" s="694" t="s">
        <v>7</v>
      </c>
      <c r="K37" s="694" t="s">
        <v>8</v>
      </c>
      <c r="L37" s="694" t="s">
        <v>9</v>
      </c>
      <c r="M37" s="694" t="s">
        <v>514</v>
      </c>
      <c r="N37" s="694" t="s">
        <v>515</v>
      </c>
      <c r="O37" s="694" t="s">
        <v>904</v>
      </c>
      <c r="P37" s="694" t="s">
        <v>1046</v>
      </c>
    </row>
    <row r="38" spans="1:16" s="664" customFormat="1" ht="11.25" x14ac:dyDescent="0.2">
      <c r="A38" s="661"/>
      <c r="B38" s="662"/>
      <c r="C38" s="662"/>
      <c r="D38" s="663"/>
      <c r="E38" s="663"/>
      <c r="F38" s="663"/>
      <c r="G38" s="663"/>
      <c r="H38" s="663"/>
      <c r="I38" s="663"/>
      <c r="J38" s="663"/>
      <c r="K38" s="663"/>
      <c r="L38" s="663"/>
      <c r="M38" s="663"/>
      <c r="N38" s="663"/>
      <c r="O38" s="663"/>
      <c r="P38" s="663"/>
    </row>
    <row r="39" spans="1:16" ht="11.25" x14ac:dyDescent="0.2">
      <c r="A39" s="654" t="s">
        <v>103</v>
      </c>
    </row>
    <row r="40" spans="1:16" ht="11.25" x14ac:dyDescent="0.2">
      <c r="A40" s="654" t="s">
        <v>100</v>
      </c>
      <c r="B40" s="608"/>
      <c r="C40" s="608"/>
      <c r="D40" s="608">
        <f>D6</f>
        <v>271472</v>
      </c>
      <c r="E40" s="608">
        <f>E6</f>
        <v>212100</v>
      </c>
      <c r="F40" s="608">
        <f t="shared" ref="F40" si="69">+E47</f>
        <v>223910</v>
      </c>
      <c r="G40" s="608">
        <f t="shared" ref="G40" si="70">+F47</f>
        <v>226838.00700000001</v>
      </c>
      <c r="H40" s="608">
        <f t="shared" ref="H40" si="71">+G47</f>
        <v>231557.94400000002</v>
      </c>
      <c r="I40" s="608">
        <f t="shared" ref="I40" si="72">+H47</f>
        <v>236555.52601000003</v>
      </c>
      <c r="J40" s="608">
        <f t="shared" ref="J40" si="73">+I47</f>
        <v>245136.86602530003</v>
      </c>
      <c r="K40" s="608">
        <f t="shared" ref="K40" si="74">+J47</f>
        <v>249268.81911793404</v>
      </c>
      <c r="L40" s="608">
        <f t="shared" ref="L40" si="75">+K47</f>
        <v>253365.34100114307</v>
      </c>
      <c r="M40" s="608">
        <f t="shared" ref="M40" si="76">+L47</f>
        <v>257633.58783365032</v>
      </c>
      <c r="N40" s="608">
        <f t="shared" ref="N40" si="77">+M47</f>
        <v>262043.17786343314</v>
      </c>
      <c r="O40" s="608">
        <f t="shared" ref="O40:P40" si="78">+N47</f>
        <v>266561.75492179178</v>
      </c>
      <c r="P40" s="608">
        <f t="shared" si="78"/>
        <v>271212.07223822497</v>
      </c>
    </row>
    <row r="41" spans="1:16" ht="11.25" x14ac:dyDescent="0.2">
      <c r="A41" s="655" t="s">
        <v>101</v>
      </c>
      <c r="B41" s="617"/>
      <c r="C41" s="617"/>
      <c r="D41" s="617"/>
      <c r="E41" s="617"/>
      <c r="F41" s="617">
        <v>0</v>
      </c>
      <c r="G41" s="617">
        <v>0</v>
      </c>
      <c r="H41" s="617">
        <v>0</v>
      </c>
      <c r="I41" s="617">
        <v>0</v>
      </c>
      <c r="J41" s="617">
        <v>0</v>
      </c>
      <c r="K41" s="617">
        <v>0</v>
      </c>
      <c r="L41" s="617">
        <v>0</v>
      </c>
      <c r="M41" s="617">
        <v>0</v>
      </c>
      <c r="N41" s="617">
        <v>0</v>
      </c>
      <c r="O41" s="617">
        <v>0</v>
      </c>
      <c r="P41" s="617">
        <v>0</v>
      </c>
    </row>
    <row r="42" spans="1:16" ht="11.25" x14ac:dyDescent="0.2">
      <c r="A42" s="654" t="s">
        <v>102</v>
      </c>
      <c r="B42" s="608">
        <f>SUM(B40:B41)</f>
        <v>0</v>
      </c>
      <c r="C42" s="608">
        <f t="shared" ref="C42:M42" si="79">SUM(C40:C41)</f>
        <v>0</v>
      </c>
      <c r="D42" s="608">
        <f t="shared" si="79"/>
        <v>271472</v>
      </c>
      <c r="E42" s="608">
        <f t="shared" si="79"/>
        <v>212100</v>
      </c>
      <c r="F42" s="608">
        <f t="shared" si="79"/>
        <v>223910</v>
      </c>
      <c r="G42" s="608">
        <f t="shared" si="79"/>
        <v>226838.00700000001</v>
      </c>
      <c r="H42" s="608">
        <f t="shared" si="79"/>
        <v>231557.94400000002</v>
      </c>
      <c r="I42" s="608">
        <f t="shared" si="79"/>
        <v>236555.52601000003</v>
      </c>
      <c r="J42" s="608">
        <f t="shared" si="79"/>
        <v>245136.86602530003</v>
      </c>
      <c r="K42" s="608">
        <f t="shared" si="79"/>
        <v>249268.81911793404</v>
      </c>
      <c r="L42" s="608">
        <f t="shared" si="79"/>
        <v>253365.34100114307</v>
      </c>
      <c r="M42" s="608">
        <f t="shared" si="79"/>
        <v>257633.58783365032</v>
      </c>
      <c r="N42" s="608">
        <f t="shared" ref="N42:O42" si="80">SUM(N40:N41)</f>
        <v>262043.17786343314</v>
      </c>
      <c r="O42" s="608">
        <f t="shared" si="80"/>
        <v>266561.75492179178</v>
      </c>
      <c r="P42" s="608">
        <f t="shared" ref="P42" si="81">SUM(P40:P41)</f>
        <v>271212.07223822497</v>
      </c>
    </row>
    <row r="43" spans="1:16" ht="11.25" x14ac:dyDescent="0.2">
      <c r="B43" s="608"/>
      <c r="C43" s="608"/>
      <c r="D43" s="608"/>
      <c r="E43" s="608"/>
      <c r="F43" s="608"/>
      <c r="G43" s="608"/>
      <c r="H43" s="608"/>
      <c r="I43" s="608"/>
      <c r="J43" s="608"/>
      <c r="K43" s="608"/>
      <c r="L43" s="608"/>
      <c r="M43" s="608"/>
      <c r="N43" s="608"/>
      <c r="O43" s="608"/>
      <c r="P43" s="608"/>
    </row>
    <row r="44" spans="1:16" ht="11.25" x14ac:dyDescent="0.2">
      <c r="A44" s="654" t="s">
        <v>76</v>
      </c>
      <c r="B44" s="621">
        <f>+'GF &amp; FF  Inc Exp Statement'!B113</f>
        <v>0</v>
      </c>
      <c r="C44" s="621">
        <f>+'GF &amp; FF  Inc Exp Statement'!C113</f>
        <v>0</v>
      </c>
      <c r="D44" s="621">
        <f>+'GF &amp; FF  Inc Exp Statement'!D113</f>
        <v>0</v>
      </c>
      <c r="E44" s="621">
        <f>+'GF &amp; FF  Inc Exp Statement'!E113</f>
        <v>11810</v>
      </c>
      <c r="F44" s="621">
        <f>+'GF &amp; FF  Inc Exp Statement'!F113</f>
        <v>2928.0070000000123</v>
      </c>
      <c r="G44" s="621">
        <f>+'GF &amp; FF  Inc Exp Statement'!G113</f>
        <v>4719.9369999999908</v>
      </c>
      <c r="H44" s="621">
        <f>+'GF &amp; FF  Inc Exp Statement'!H113</f>
        <v>4997.5820099999983</v>
      </c>
      <c r="I44" s="621">
        <f>+'GF &amp; FF  Inc Exp Statement'!I113</f>
        <v>8581.3400152999966</v>
      </c>
      <c r="J44" s="621">
        <f>+'GF &amp; FF  Inc Exp Statement'!J113</f>
        <v>4131.9530926340012</v>
      </c>
      <c r="K44" s="621">
        <f>+'GF &amp; FF  Inc Exp Statement'!K113</f>
        <v>4096.5218832090395</v>
      </c>
      <c r="L44" s="621">
        <f>+'GF &amp; FF  Inc Exp Statement'!L113</f>
        <v>4268.246832507255</v>
      </c>
      <c r="M44" s="621">
        <f>+'GF &amp; FF  Inc Exp Statement'!M113</f>
        <v>4409.5900297828048</v>
      </c>
      <c r="N44" s="621">
        <f>+'GF &amp; FF  Inc Exp Statement'!N113</f>
        <v>4518.5770583586636</v>
      </c>
      <c r="O44" s="621">
        <f>+'GF &amp; FF  Inc Exp Statement'!O113</f>
        <v>4650.317316433182</v>
      </c>
      <c r="P44" s="621">
        <f>+'GF &amp; FF  Inc Exp Statement'!P113</f>
        <v>4786.4474090166477</v>
      </c>
    </row>
    <row r="45" spans="1:16" ht="11.25" x14ac:dyDescent="0.2">
      <c r="B45" s="608"/>
      <c r="C45" s="608"/>
      <c r="D45" s="608"/>
      <c r="E45" s="608"/>
      <c r="F45" s="608"/>
      <c r="G45" s="608"/>
      <c r="H45" s="608"/>
      <c r="I45" s="608"/>
      <c r="J45" s="608"/>
      <c r="K45" s="608"/>
      <c r="L45" s="608"/>
      <c r="M45" s="608"/>
      <c r="N45" s="608"/>
      <c r="O45" s="608"/>
      <c r="P45" s="608"/>
    </row>
    <row r="46" spans="1:16" s="654" customFormat="1" ht="11.25" x14ac:dyDescent="0.2">
      <c r="A46" s="654" t="s">
        <v>105</v>
      </c>
      <c r="B46" s="674">
        <f>+B44</f>
        <v>0</v>
      </c>
      <c r="C46" s="619">
        <f t="shared" ref="C46:M46" si="82">+C44</f>
        <v>0</v>
      </c>
      <c r="D46" s="674">
        <f t="shared" si="82"/>
        <v>0</v>
      </c>
      <c r="E46" s="619">
        <f t="shared" si="82"/>
        <v>11810</v>
      </c>
      <c r="F46" s="619">
        <f t="shared" si="82"/>
        <v>2928.0070000000123</v>
      </c>
      <c r="G46" s="619">
        <f t="shared" si="82"/>
        <v>4719.9369999999908</v>
      </c>
      <c r="H46" s="619">
        <f t="shared" si="82"/>
        <v>4997.5820099999983</v>
      </c>
      <c r="I46" s="619">
        <f t="shared" si="82"/>
        <v>8581.3400152999966</v>
      </c>
      <c r="J46" s="619">
        <f t="shared" si="82"/>
        <v>4131.9530926340012</v>
      </c>
      <c r="K46" s="619">
        <f t="shared" si="82"/>
        <v>4096.5218832090395</v>
      </c>
      <c r="L46" s="619">
        <f t="shared" si="82"/>
        <v>4268.246832507255</v>
      </c>
      <c r="M46" s="619">
        <f t="shared" si="82"/>
        <v>4409.5900297828048</v>
      </c>
      <c r="N46" s="619">
        <f t="shared" ref="N46:O46" si="83">+N44</f>
        <v>4518.5770583586636</v>
      </c>
      <c r="O46" s="619">
        <f t="shared" si="83"/>
        <v>4650.317316433182</v>
      </c>
      <c r="P46" s="619">
        <f t="shared" ref="P46" si="84">+P44</f>
        <v>4786.4474090166477</v>
      </c>
    </row>
    <row r="47" spans="1:16" s="654" customFormat="1" ht="12" thickBot="1" x14ac:dyDescent="0.25">
      <c r="A47" s="654" t="s">
        <v>106</v>
      </c>
      <c r="B47" s="658">
        <f t="shared" ref="B47:M47" si="85">+B42+B46</f>
        <v>0</v>
      </c>
      <c r="C47" s="658">
        <f t="shared" si="85"/>
        <v>0</v>
      </c>
      <c r="D47" s="658">
        <f t="shared" si="85"/>
        <v>271472</v>
      </c>
      <c r="E47" s="658">
        <f t="shared" si="85"/>
        <v>223910</v>
      </c>
      <c r="F47" s="658">
        <f t="shared" si="85"/>
        <v>226838.00700000001</v>
      </c>
      <c r="G47" s="658">
        <f t="shared" si="85"/>
        <v>231557.94400000002</v>
      </c>
      <c r="H47" s="658">
        <f t="shared" si="85"/>
        <v>236555.52601000003</v>
      </c>
      <c r="I47" s="658">
        <f t="shared" si="85"/>
        <v>245136.86602530003</v>
      </c>
      <c r="J47" s="658">
        <f t="shared" si="85"/>
        <v>249268.81911793404</v>
      </c>
      <c r="K47" s="658">
        <f t="shared" si="85"/>
        <v>253365.34100114307</v>
      </c>
      <c r="L47" s="658">
        <f t="shared" si="85"/>
        <v>257633.58783365032</v>
      </c>
      <c r="M47" s="658">
        <f t="shared" si="85"/>
        <v>262043.17786343314</v>
      </c>
      <c r="N47" s="658">
        <f t="shared" ref="N47:O47" si="86">+N42+N46</f>
        <v>266561.75492179178</v>
      </c>
      <c r="O47" s="658">
        <f t="shared" si="86"/>
        <v>271212.07223822497</v>
      </c>
      <c r="P47" s="658">
        <f t="shared" ref="P47" si="87">+P42+P46</f>
        <v>275998.51964724163</v>
      </c>
    </row>
    <row r="48" spans="1:16" ht="11.25" x14ac:dyDescent="0.2">
      <c r="B48" s="608"/>
      <c r="C48" s="608"/>
      <c r="D48" s="608"/>
      <c r="E48" s="608"/>
      <c r="F48" s="608"/>
      <c r="G48" s="608"/>
      <c r="H48" s="608"/>
      <c r="I48" s="608"/>
      <c r="J48" s="608"/>
      <c r="K48" s="608"/>
      <c r="L48" s="608"/>
      <c r="M48" s="608"/>
      <c r="N48" s="608"/>
      <c r="O48" s="608"/>
      <c r="P48" s="608"/>
    </row>
    <row r="49" spans="1:16" ht="11.25" x14ac:dyDescent="0.2">
      <c r="A49" s="654" t="s">
        <v>107</v>
      </c>
      <c r="B49" s="608"/>
      <c r="C49" s="608"/>
      <c r="D49" s="608"/>
      <c r="E49" s="608"/>
      <c r="F49" s="608"/>
      <c r="G49" s="608"/>
      <c r="H49" s="608"/>
      <c r="I49" s="608"/>
      <c r="J49" s="608"/>
      <c r="K49" s="608"/>
      <c r="L49" s="608"/>
      <c r="M49" s="608"/>
      <c r="N49" s="608"/>
      <c r="O49" s="608"/>
      <c r="P49" s="608"/>
    </row>
    <row r="50" spans="1:16" ht="11.25" x14ac:dyDescent="0.2">
      <c r="A50" s="654" t="s">
        <v>100</v>
      </c>
      <c r="B50" s="608"/>
      <c r="C50" s="608">
        <f>+B56</f>
        <v>0</v>
      </c>
      <c r="D50" s="608">
        <f>D16</f>
        <v>309010</v>
      </c>
      <c r="E50" s="608">
        <f>E16</f>
        <v>250606</v>
      </c>
      <c r="F50" s="608">
        <f t="shared" ref="F50" si="88">+E56</f>
        <v>250606</v>
      </c>
      <c r="G50" s="608">
        <f t="shared" ref="G50" si="89">+F56</f>
        <v>250606</v>
      </c>
      <c r="H50" s="608">
        <f t="shared" ref="H50" si="90">+G56</f>
        <v>250606</v>
      </c>
      <c r="I50" s="608">
        <f t="shared" ref="I50" si="91">+H56</f>
        <v>250606</v>
      </c>
      <c r="J50" s="608">
        <f t="shared" ref="J50" si="92">+I56</f>
        <v>250606</v>
      </c>
      <c r="K50" s="608">
        <f t="shared" ref="K50" si="93">+J56</f>
        <v>250606</v>
      </c>
      <c r="L50" s="608">
        <f t="shared" ref="L50" si="94">+K56</f>
        <v>250606</v>
      </c>
      <c r="M50" s="608">
        <f t="shared" ref="M50" si="95">+L56</f>
        <v>250606</v>
      </c>
      <c r="N50" s="608">
        <f t="shared" ref="N50" si="96">+M56</f>
        <v>250606</v>
      </c>
      <c r="O50" s="608">
        <f t="shared" ref="O50:P50" si="97">+N56</f>
        <v>250606</v>
      </c>
      <c r="P50" s="608">
        <f t="shared" si="97"/>
        <v>250606</v>
      </c>
    </row>
    <row r="51" spans="1:16" ht="11.25" x14ac:dyDescent="0.2">
      <c r="A51" s="655" t="s">
        <v>101</v>
      </c>
      <c r="B51" s="617">
        <v>0</v>
      </c>
      <c r="C51" s="617">
        <v>0</v>
      </c>
      <c r="D51" s="617">
        <v>0</v>
      </c>
      <c r="E51" s="617">
        <v>0</v>
      </c>
      <c r="F51" s="617">
        <v>0</v>
      </c>
      <c r="G51" s="617">
        <v>0</v>
      </c>
      <c r="H51" s="617">
        <v>0</v>
      </c>
      <c r="I51" s="617">
        <v>0</v>
      </c>
      <c r="J51" s="617">
        <v>0</v>
      </c>
      <c r="K51" s="617">
        <v>0</v>
      </c>
      <c r="L51" s="617">
        <v>0</v>
      </c>
      <c r="M51" s="617">
        <v>0</v>
      </c>
      <c r="N51" s="617">
        <v>0</v>
      </c>
      <c r="O51" s="617">
        <v>0</v>
      </c>
      <c r="P51" s="617">
        <v>0</v>
      </c>
    </row>
    <row r="52" spans="1:16" ht="11.25" x14ac:dyDescent="0.2">
      <c r="A52" s="654" t="s">
        <v>102</v>
      </c>
      <c r="B52" s="675">
        <f>SUM(B50:B51)</f>
        <v>0</v>
      </c>
      <c r="C52" s="675">
        <f t="shared" ref="C52:M52" si="98">SUM(C50:C51)</f>
        <v>0</v>
      </c>
      <c r="D52" s="675">
        <f t="shared" si="98"/>
        <v>309010</v>
      </c>
      <c r="E52" s="675">
        <f t="shared" si="98"/>
        <v>250606</v>
      </c>
      <c r="F52" s="675">
        <f t="shared" si="98"/>
        <v>250606</v>
      </c>
      <c r="G52" s="675">
        <f t="shared" si="98"/>
        <v>250606</v>
      </c>
      <c r="H52" s="675">
        <f t="shared" si="98"/>
        <v>250606</v>
      </c>
      <c r="I52" s="675">
        <f t="shared" si="98"/>
        <v>250606</v>
      </c>
      <c r="J52" s="675">
        <f t="shared" si="98"/>
        <v>250606</v>
      </c>
      <c r="K52" s="675">
        <f t="shared" si="98"/>
        <v>250606</v>
      </c>
      <c r="L52" s="675">
        <f t="shared" si="98"/>
        <v>250606</v>
      </c>
      <c r="M52" s="675">
        <f t="shared" si="98"/>
        <v>250606</v>
      </c>
      <c r="N52" s="675">
        <f t="shared" ref="N52:O52" si="99">SUM(N50:N51)</f>
        <v>250606</v>
      </c>
      <c r="O52" s="675">
        <f t="shared" si="99"/>
        <v>250606</v>
      </c>
      <c r="P52" s="675">
        <f t="shared" ref="P52" si="100">SUM(P50:P51)</f>
        <v>250606</v>
      </c>
    </row>
    <row r="53" spans="1:16" ht="11.25" x14ac:dyDescent="0.2">
      <c r="B53" s="608"/>
      <c r="C53" s="608"/>
      <c r="D53" s="608"/>
      <c r="E53" s="608"/>
      <c r="F53" s="608"/>
      <c r="G53" s="608"/>
      <c r="H53" s="608"/>
      <c r="I53" s="608"/>
      <c r="J53" s="608"/>
      <c r="K53" s="608"/>
      <c r="L53" s="608"/>
      <c r="M53" s="608"/>
      <c r="N53" s="608"/>
      <c r="O53" s="608"/>
      <c r="P53" s="608"/>
    </row>
    <row r="54" spans="1:16" ht="11.25" x14ac:dyDescent="0.2">
      <c r="A54" s="653" t="s">
        <v>104</v>
      </c>
      <c r="B54" s="621">
        <v>0</v>
      </c>
      <c r="C54" s="621">
        <f>C32</f>
        <v>0</v>
      </c>
      <c r="D54" s="621">
        <f>D20</f>
        <v>-8350</v>
      </c>
      <c r="E54" s="621">
        <f t="shared" ref="E54:P54" si="101">E20</f>
        <v>0</v>
      </c>
      <c r="F54" s="621">
        <f t="shared" si="101"/>
        <v>0</v>
      </c>
      <c r="G54" s="621">
        <f t="shared" si="101"/>
        <v>0</v>
      </c>
      <c r="H54" s="621">
        <f t="shared" si="101"/>
        <v>0</v>
      </c>
      <c r="I54" s="621">
        <f t="shared" si="101"/>
        <v>0</v>
      </c>
      <c r="J54" s="621">
        <f t="shared" si="101"/>
        <v>0</v>
      </c>
      <c r="K54" s="621">
        <f t="shared" si="101"/>
        <v>0</v>
      </c>
      <c r="L54" s="621">
        <f t="shared" si="101"/>
        <v>0</v>
      </c>
      <c r="M54" s="621">
        <f t="shared" si="101"/>
        <v>0</v>
      </c>
      <c r="N54" s="621">
        <f t="shared" si="101"/>
        <v>0</v>
      </c>
      <c r="O54" s="621">
        <f t="shared" si="101"/>
        <v>0</v>
      </c>
      <c r="P54" s="621">
        <f t="shared" si="101"/>
        <v>0</v>
      </c>
    </row>
    <row r="55" spans="1:16" s="657" customFormat="1" ht="11.25" x14ac:dyDescent="0.2">
      <c r="A55" s="654" t="s">
        <v>105</v>
      </c>
      <c r="B55" s="674">
        <f>+B52+B54</f>
        <v>0</v>
      </c>
      <c r="C55" s="674">
        <f>C52+C54</f>
        <v>0</v>
      </c>
      <c r="D55" s="674">
        <f t="shared" ref="D55:M55" si="102">D52+D54</f>
        <v>300660</v>
      </c>
      <c r="E55" s="674">
        <f t="shared" si="102"/>
        <v>250606</v>
      </c>
      <c r="F55" s="674">
        <f t="shared" si="102"/>
        <v>250606</v>
      </c>
      <c r="G55" s="674">
        <f t="shared" si="102"/>
        <v>250606</v>
      </c>
      <c r="H55" s="674">
        <f t="shared" si="102"/>
        <v>250606</v>
      </c>
      <c r="I55" s="674">
        <f t="shared" si="102"/>
        <v>250606</v>
      </c>
      <c r="J55" s="674">
        <f t="shared" si="102"/>
        <v>250606</v>
      </c>
      <c r="K55" s="674">
        <f t="shared" si="102"/>
        <v>250606</v>
      </c>
      <c r="L55" s="674">
        <f t="shared" si="102"/>
        <v>250606</v>
      </c>
      <c r="M55" s="674">
        <f t="shared" si="102"/>
        <v>250606</v>
      </c>
      <c r="N55" s="674">
        <f t="shared" ref="N55:O55" si="103">N52+N54</f>
        <v>250606</v>
      </c>
      <c r="O55" s="674">
        <f t="shared" si="103"/>
        <v>250606</v>
      </c>
      <c r="P55" s="674">
        <f t="shared" ref="P55" si="104">P52+P54</f>
        <v>250606</v>
      </c>
    </row>
    <row r="56" spans="1:16" s="657" customFormat="1" ht="12" thickBot="1" x14ac:dyDescent="0.25">
      <c r="A56" s="654" t="s">
        <v>106</v>
      </c>
      <c r="B56" s="658">
        <f>+B55</f>
        <v>0</v>
      </c>
      <c r="C56" s="658">
        <f t="shared" ref="C56:M56" si="105">+C55</f>
        <v>0</v>
      </c>
      <c r="D56" s="658">
        <f t="shared" si="105"/>
        <v>300660</v>
      </c>
      <c r="E56" s="658">
        <f t="shared" si="105"/>
        <v>250606</v>
      </c>
      <c r="F56" s="658">
        <f t="shared" si="105"/>
        <v>250606</v>
      </c>
      <c r="G56" s="658">
        <f t="shared" si="105"/>
        <v>250606</v>
      </c>
      <c r="H56" s="658">
        <f t="shared" si="105"/>
        <v>250606</v>
      </c>
      <c r="I56" s="658">
        <f t="shared" si="105"/>
        <v>250606</v>
      </c>
      <c r="J56" s="658">
        <f t="shared" si="105"/>
        <v>250606</v>
      </c>
      <c r="K56" s="658">
        <f t="shared" si="105"/>
        <v>250606</v>
      </c>
      <c r="L56" s="658">
        <f t="shared" si="105"/>
        <v>250606</v>
      </c>
      <c r="M56" s="658">
        <f t="shared" si="105"/>
        <v>250606</v>
      </c>
      <c r="N56" s="658">
        <f t="shared" ref="N56:O56" si="106">+N55</f>
        <v>250606</v>
      </c>
      <c r="O56" s="658">
        <f t="shared" si="106"/>
        <v>250606</v>
      </c>
      <c r="P56" s="658">
        <f t="shared" ref="P56" si="107">+P55</f>
        <v>250606</v>
      </c>
    </row>
    <row r="57" spans="1:16" ht="11.25" x14ac:dyDescent="0.2">
      <c r="B57" s="608"/>
      <c r="C57" s="608"/>
      <c r="D57" s="608"/>
      <c r="E57" s="608"/>
      <c r="F57" s="608"/>
      <c r="G57" s="608"/>
      <c r="H57" s="608"/>
      <c r="I57" s="608"/>
      <c r="J57" s="608"/>
      <c r="K57" s="608"/>
      <c r="L57" s="608"/>
      <c r="M57" s="608"/>
      <c r="N57" s="608"/>
      <c r="O57" s="608"/>
      <c r="P57" s="608"/>
    </row>
    <row r="58" spans="1:16" ht="11.25" x14ac:dyDescent="0.2">
      <c r="A58" s="654" t="s">
        <v>108</v>
      </c>
    </row>
    <row r="59" spans="1:16" ht="11.25" x14ac:dyDescent="0.2">
      <c r="A59" s="654" t="s">
        <v>100</v>
      </c>
      <c r="B59" s="608">
        <f>+B40+B50</f>
        <v>0</v>
      </c>
      <c r="C59" s="608">
        <f t="shared" ref="C59:M59" si="108">+C40+C50</f>
        <v>0</v>
      </c>
      <c r="D59" s="608">
        <f t="shared" si="108"/>
        <v>580482</v>
      </c>
      <c r="E59" s="608">
        <f t="shared" si="108"/>
        <v>462706</v>
      </c>
      <c r="F59" s="608">
        <f t="shared" si="108"/>
        <v>474516</v>
      </c>
      <c r="G59" s="608">
        <f t="shared" si="108"/>
        <v>477444.00699999998</v>
      </c>
      <c r="H59" s="608">
        <f t="shared" si="108"/>
        <v>482163.94400000002</v>
      </c>
      <c r="I59" s="608">
        <f t="shared" si="108"/>
        <v>487161.52601000003</v>
      </c>
      <c r="J59" s="608">
        <f t="shared" si="108"/>
        <v>495742.8660253</v>
      </c>
      <c r="K59" s="608">
        <f t="shared" si="108"/>
        <v>499874.81911793404</v>
      </c>
      <c r="L59" s="608">
        <f t="shared" si="108"/>
        <v>503971.3410011431</v>
      </c>
      <c r="M59" s="608">
        <f t="shared" si="108"/>
        <v>508239.58783365029</v>
      </c>
      <c r="N59" s="608">
        <f t="shared" ref="N59:O59" si="109">+N40+N50</f>
        <v>512649.17786343314</v>
      </c>
      <c r="O59" s="608">
        <f t="shared" si="109"/>
        <v>517167.75492179178</v>
      </c>
      <c r="P59" s="608">
        <f t="shared" ref="P59" si="110">+P40+P50</f>
        <v>521818.07223822497</v>
      </c>
    </row>
    <row r="60" spans="1:16" ht="11.25" x14ac:dyDescent="0.2">
      <c r="A60" s="655" t="s">
        <v>101</v>
      </c>
      <c r="B60" s="617">
        <f>+B41+B51</f>
        <v>0</v>
      </c>
      <c r="C60" s="617">
        <f t="shared" ref="C60:M60" si="111">+C41+C51</f>
        <v>0</v>
      </c>
      <c r="D60" s="617">
        <f t="shared" si="111"/>
        <v>0</v>
      </c>
      <c r="E60" s="617">
        <f t="shared" si="111"/>
        <v>0</v>
      </c>
      <c r="F60" s="617">
        <f t="shared" si="111"/>
        <v>0</v>
      </c>
      <c r="G60" s="617">
        <f t="shared" si="111"/>
        <v>0</v>
      </c>
      <c r="H60" s="617">
        <f t="shared" si="111"/>
        <v>0</v>
      </c>
      <c r="I60" s="617">
        <f t="shared" si="111"/>
        <v>0</v>
      </c>
      <c r="J60" s="617">
        <f t="shared" si="111"/>
        <v>0</v>
      </c>
      <c r="K60" s="617">
        <f t="shared" si="111"/>
        <v>0</v>
      </c>
      <c r="L60" s="617">
        <f t="shared" si="111"/>
        <v>0</v>
      </c>
      <c r="M60" s="617">
        <f t="shared" si="111"/>
        <v>0</v>
      </c>
      <c r="N60" s="617">
        <f t="shared" ref="N60:O60" si="112">+N41+N51</f>
        <v>0</v>
      </c>
      <c r="O60" s="617">
        <f t="shared" si="112"/>
        <v>0</v>
      </c>
      <c r="P60" s="617">
        <f t="shared" ref="P60" si="113">+P41+P51</f>
        <v>0</v>
      </c>
    </row>
    <row r="61" spans="1:16" ht="11.25" x14ac:dyDescent="0.2">
      <c r="A61" s="654" t="s">
        <v>102</v>
      </c>
      <c r="B61" s="608">
        <f>SUM(B59:B60)</f>
        <v>0</v>
      </c>
      <c r="C61" s="608">
        <f t="shared" ref="C61:M61" si="114">SUM(C59:C60)</f>
        <v>0</v>
      </c>
      <c r="D61" s="608">
        <f t="shared" si="114"/>
        <v>580482</v>
      </c>
      <c r="E61" s="608">
        <f t="shared" si="114"/>
        <v>462706</v>
      </c>
      <c r="F61" s="608">
        <f t="shared" si="114"/>
        <v>474516</v>
      </c>
      <c r="G61" s="608">
        <f t="shared" si="114"/>
        <v>477444.00699999998</v>
      </c>
      <c r="H61" s="608">
        <f t="shared" si="114"/>
        <v>482163.94400000002</v>
      </c>
      <c r="I61" s="608">
        <f t="shared" si="114"/>
        <v>487161.52601000003</v>
      </c>
      <c r="J61" s="608">
        <f t="shared" si="114"/>
        <v>495742.8660253</v>
      </c>
      <c r="K61" s="608">
        <f t="shared" si="114"/>
        <v>499874.81911793404</v>
      </c>
      <c r="L61" s="608">
        <f t="shared" si="114"/>
        <v>503971.3410011431</v>
      </c>
      <c r="M61" s="608">
        <f t="shared" si="114"/>
        <v>508239.58783365029</v>
      </c>
      <c r="N61" s="608">
        <f t="shared" ref="N61:O61" si="115">SUM(N59:N60)</f>
        <v>512649.17786343314</v>
      </c>
      <c r="O61" s="608">
        <f t="shared" si="115"/>
        <v>517167.75492179178</v>
      </c>
      <c r="P61" s="608">
        <f t="shared" ref="P61" si="116">SUM(P59:P60)</f>
        <v>521818.07223822497</v>
      </c>
    </row>
    <row r="62" spans="1:16" ht="11.25" x14ac:dyDescent="0.2">
      <c r="B62" s="608"/>
      <c r="C62" s="608"/>
      <c r="D62" s="608"/>
      <c r="E62" s="608"/>
      <c r="F62" s="608"/>
      <c r="G62" s="608"/>
      <c r="H62" s="608"/>
      <c r="I62" s="608"/>
      <c r="J62" s="608"/>
      <c r="K62" s="608"/>
      <c r="L62" s="608"/>
      <c r="M62" s="608"/>
      <c r="N62" s="608"/>
      <c r="O62" s="608"/>
      <c r="P62" s="608"/>
    </row>
    <row r="63" spans="1:16" ht="11.25" x14ac:dyDescent="0.2">
      <c r="A63" s="654" t="s">
        <v>76</v>
      </c>
      <c r="B63" s="608">
        <f>+B44</f>
        <v>0</v>
      </c>
      <c r="C63" s="621">
        <f t="shared" ref="C63:M63" si="117">+C44</f>
        <v>0</v>
      </c>
      <c r="D63" s="608">
        <f t="shared" si="117"/>
        <v>0</v>
      </c>
      <c r="E63" s="621">
        <f t="shared" si="117"/>
        <v>11810</v>
      </c>
      <c r="F63" s="621">
        <f t="shared" si="117"/>
        <v>2928.0070000000123</v>
      </c>
      <c r="G63" s="621">
        <f t="shared" si="117"/>
        <v>4719.9369999999908</v>
      </c>
      <c r="H63" s="621">
        <f t="shared" si="117"/>
        <v>4997.5820099999983</v>
      </c>
      <c r="I63" s="621">
        <f t="shared" si="117"/>
        <v>8581.3400152999966</v>
      </c>
      <c r="J63" s="621">
        <f t="shared" si="117"/>
        <v>4131.9530926340012</v>
      </c>
      <c r="K63" s="621">
        <f t="shared" si="117"/>
        <v>4096.5218832090395</v>
      </c>
      <c r="L63" s="621">
        <f t="shared" si="117"/>
        <v>4268.246832507255</v>
      </c>
      <c r="M63" s="621">
        <f t="shared" si="117"/>
        <v>4409.5900297828048</v>
      </c>
      <c r="N63" s="621">
        <f t="shared" ref="N63:O63" si="118">+N44</f>
        <v>4518.5770583586636</v>
      </c>
      <c r="O63" s="621">
        <f t="shared" si="118"/>
        <v>4650.317316433182</v>
      </c>
      <c r="P63" s="621">
        <f t="shared" ref="P63" si="119">+P44</f>
        <v>4786.4474090166477</v>
      </c>
    </row>
    <row r="64" spans="1:16" ht="11.25" x14ac:dyDescent="0.2">
      <c r="B64" s="608"/>
      <c r="C64" s="608"/>
      <c r="D64" s="608"/>
      <c r="E64" s="608"/>
      <c r="F64" s="608"/>
      <c r="G64" s="608"/>
      <c r="H64" s="608"/>
      <c r="I64" s="608"/>
      <c r="J64" s="608"/>
      <c r="K64" s="608"/>
      <c r="L64" s="608"/>
      <c r="M64" s="608"/>
      <c r="N64" s="608"/>
      <c r="O64" s="608"/>
      <c r="P64" s="608"/>
    </row>
    <row r="65" spans="1:16" s="654" customFormat="1" ht="11.25" x14ac:dyDescent="0.2">
      <c r="A65" s="654" t="s">
        <v>105</v>
      </c>
      <c r="B65" s="674">
        <f>+B46</f>
        <v>0</v>
      </c>
      <c r="C65" s="619">
        <f t="shared" ref="C65:M65" si="120">+C63</f>
        <v>0</v>
      </c>
      <c r="D65" s="674">
        <f t="shared" si="120"/>
        <v>0</v>
      </c>
      <c r="E65" s="619">
        <f t="shared" si="120"/>
        <v>11810</v>
      </c>
      <c r="F65" s="619">
        <f t="shared" si="120"/>
        <v>2928.0070000000123</v>
      </c>
      <c r="G65" s="619">
        <f t="shared" si="120"/>
        <v>4719.9369999999908</v>
      </c>
      <c r="H65" s="619">
        <f t="shared" si="120"/>
        <v>4997.5820099999983</v>
      </c>
      <c r="I65" s="619">
        <f t="shared" si="120"/>
        <v>8581.3400152999966</v>
      </c>
      <c r="J65" s="619">
        <f t="shared" si="120"/>
        <v>4131.9530926340012</v>
      </c>
      <c r="K65" s="619">
        <f t="shared" si="120"/>
        <v>4096.5218832090395</v>
      </c>
      <c r="L65" s="619">
        <f t="shared" si="120"/>
        <v>4268.246832507255</v>
      </c>
      <c r="M65" s="619">
        <f t="shared" si="120"/>
        <v>4409.5900297828048</v>
      </c>
      <c r="N65" s="619">
        <f t="shared" ref="N65:O65" si="121">+N63</f>
        <v>4518.5770583586636</v>
      </c>
      <c r="O65" s="619">
        <f t="shared" si="121"/>
        <v>4650.317316433182</v>
      </c>
      <c r="P65" s="619">
        <f t="shared" ref="P65" si="122">+P63</f>
        <v>4786.4474090166477</v>
      </c>
    </row>
    <row r="66" spans="1:16" s="676" customFormat="1" ht="12" thickBot="1" x14ac:dyDescent="0.25">
      <c r="A66" s="653" t="s">
        <v>104</v>
      </c>
      <c r="B66" s="633">
        <f>+B54</f>
        <v>0</v>
      </c>
      <c r="C66" s="633">
        <f t="shared" ref="C66:M66" si="123">+C54</f>
        <v>0</v>
      </c>
      <c r="D66" s="633">
        <f t="shared" si="123"/>
        <v>-8350</v>
      </c>
      <c r="E66" s="633">
        <f t="shared" si="123"/>
        <v>0</v>
      </c>
      <c r="F66" s="633">
        <f t="shared" si="123"/>
        <v>0</v>
      </c>
      <c r="G66" s="633">
        <f t="shared" si="123"/>
        <v>0</v>
      </c>
      <c r="H66" s="633">
        <f t="shared" si="123"/>
        <v>0</v>
      </c>
      <c r="I66" s="633">
        <f t="shared" si="123"/>
        <v>0</v>
      </c>
      <c r="J66" s="633">
        <f t="shared" si="123"/>
        <v>0</v>
      </c>
      <c r="K66" s="633">
        <f t="shared" si="123"/>
        <v>0</v>
      </c>
      <c r="L66" s="633">
        <f t="shared" si="123"/>
        <v>0</v>
      </c>
      <c r="M66" s="633">
        <f t="shared" si="123"/>
        <v>0</v>
      </c>
      <c r="N66" s="633">
        <f t="shared" ref="N66:O66" si="124">+N54</f>
        <v>0</v>
      </c>
      <c r="O66" s="633">
        <f t="shared" si="124"/>
        <v>0</v>
      </c>
      <c r="P66" s="633">
        <f t="shared" ref="P66" si="125">+P54</f>
        <v>0</v>
      </c>
    </row>
    <row r="67" spans="1:16" s="654" customFormat="1" ht="12" thickBot="1" x14ac:dyDescent="0.25">
      <c r="A67" s="654" t="s">
        <v>106</v>
      </c>
      <c r="B67" s="668">
        <f>+B61+B65+B66</f>
        <v>0</v>
      </c>
      <c r="C67" s="668">
        <f t="shared" ref="C67:M67" si="126">+C61+C65+C66</f>
        <v>0</v>
      </c>
      <c r="D67" s="668">
        <f t="shared" si="126"/>
        <v>572132</v>
      </c>
      <c r="E67" s="668">
        <f t="shared" si="126"/>
        <v>474516</v>
      </c>
      <c r="F67" s="668">
        <f t="shared" si="126"/>
        <v>477444.00699999998</v>
      </c>
      <c r="G67" s="668">
        <f t="shared" si="126"/>
        <v>482163.94399999996</v>
      </c>
      <c r="H67" s="668">
        <f t="shared" si="126"/>
        <v>487161.52601000003</v>
      </c>
      <c r="I67" s="668">
        <f t="shared" si="126"/>
        <v>495742.8660253</v>
      </c>
      <c r="J67" s="668">
        <f t="shared" si="126"/>
        <v>499874.81911793398</v>
      </c>
      <c r="K67" s="668">
        <f t="shared" si="126"/>
        <v>503971.3410011431</v>
      </c>
      <c r="L67" s="668">
        <f t="shared" si="126"/>
        <v>508239.58783365035</v>
      </c>
      <c r="M67" s="668">
        <f t="shared" si="126"/>
        <v>512649.17786343308</v>
      </c>
      <c r="N67" s="668">
        <f t="shared" ref="N67:O67" si="127">+N61+N65+N66</f>
        <v>517167.75492179178</v>
      </c>
      <c r="O67" s="668">
        <f t="shared" si="127"/>
        <v>521818.07223822497</v>
      </c>
      <c r="P67" s="668">
        <f t="shared" ref="P67" si="128">+P61+P65+P66</f>
        <v>526604.51964724157</v>
      </c>
    </row>
    <row r="68" spans="1:16" ht="12" thickTop="1" x14ac:dyDescent="0.2"/>
    <row r="69" spans="1:16" ht="12.75" x14ac:dyDescent="0.2">
      <c r="A69" s="1091" t="s">
        <v>1365</v>
      </c>
    </row>
    <row r="70" spans="1:16" ht="12" x14ac:dyDescent="0.2">
      <c r="A70" s="673" t="s">
        <v>1074</v>
      </c>
      <c r="B70" s="586" t="s">
        <v>69</v>
      </c>
      <c r="C70" s="586" t="s">
        <v>69</v>
      </c>
      <c r="D70" s="586" t="s">
        <v>69</v>
      </c>
      <c r="E70" s="586" t="s">
        <v>69</v>
      </c>
      <c r="F70" s="586" t="s">
        <v>70</v>
      </c>
      <c r="G70" s="586" t="s">
        <v>70</v>
      </c>
      <c r="H70" s="586" t="s">
        <v>71</v>
      </c>
      <c r="I70" s="586" t="s">
        <v>71</v>
      </c>
      <c r="J70" s="586" t="s">
        <v>71</v>
      </c>
      <c r="K70" s="586" t="s">
        <v>71</v>
      </c>
      <c r="L70" s="586" t="s">
        <v>71</v>
      </c>
      <c r="M70" s="586" t="s">
        <v>71</v>
      </c>
      <c r="N70" s="586" t="s">
        <v>71</v>
      </c>
      <c r="O70" s="586" t="s">
        <v>71</v>
      </c>
      <c r="P70" s="586" t="s">
        <v>71</v>
      </c>
    </row>
    <row r="71" spans="1:16" ht="11.25" x14ac:dyDescent="0.2">
      <c r="A71" s="652" t="s">
        <v>73</v>
      </c>
      <c r="B71" s="741" t="s">
        <v>68</v>
      </c>
      <c r="C71" s="694" t="s">
        <v>0</v>
      </c>
      <c r="D71" s="694" t="s">
        <v>1</v>
      </c>
      <c r="E71" s="694" t="s">
        <v>2</v>
      </c>
      <c r="F71" s="694" t="s">
        <v>3</v>
      </c>
      <c r="G71" s="694" t="s">
        <v>4</v>
      </c>
      <c r="H71" s="694" t="s">
        <v>5</v>
      </c>
      <c r="I71" s="694" t="s">
        <v>6</v>
      </c>
      <c r="J71" s="694" t="s">
        <v>7</v>
      </c>
      <c r="K71" s="694" t="s">
        <v>8</v>
      </c>
      <c r="L71" s="694" t="s">
        <v>9</v>
      </c>
      <c r="M71" s="694" t="s">
        <v>514</v>
      </c>
      <c r="N71" s="694" t="s">
        <v>515</v>
      </c>
      <c r="O71" s="694" t="s">
        <v>904</v>
      </c>
      <c r="P71" s="694" t="s">
        <v>1046</v>
      </c>
    </row>
    <row r="72" spans="1:16" ht="11.25" x14ac:dyDescent="0.2">
      <c r="A72" s="661"/>
      <c r="B72" s="662"/>
      <c r="C72" s="662"/>
      <c r="D72" s="663"/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3"/>
      <c r="P72" s="663"/>
    </row>
    <row r="73" spans="1:16" ht="11.25" x14ac:dyDescent="0.2">
      <c r="A73" s="654" t="s">
        <v>103</v>
      </c>
    </row>
    <row r="74" spans="1:16" ht="11.25" x14ac:dyDescent="0.2">
      <c r="A74" s="654" t="s">
        <v>100</v>
      </c>
      <c r="B74" s="608"/>
      <c r="C74" s="608">
        <f>+B81</f>
        <v>0</v>
      </c>
      <c r="D74" s="608">
        <f>D6</f>
        <v>271472</v>
      </c>
      <c r="E74" s="608">
        <f>E6</f>
        <v>212100</v>
      </c>
      <c r="F74" s="608">
        <f t="shared" ref="F74" si="129">+E81</f>
        <v>223910</v>
      </c>
      <c r="G74" s="608">
        <f t="shared" ref="G74" si="130">+F81</f>
        <v>226838.00700000001</v>
      </c>
      <c r="H74" s="608">
        <f t="shared" ref="H74" si="131">+G81</f>
        <v>232116.29550000001</v>
      </c>
      <c r="I74" s="608">
        <f t="shared" ref="I74" si="132">+H81</f>
        <v>237207.21579350001</v>
      </c>
      <c r="J74" s="608">
        <f t="shared" ref="J74" si="133">+I81</f>
        <v>246150.82364313753</v>
      </c>
      <c r="K74" s="608">
        <f t="shared" ref="K74" si="134">+J81</f>
        <v>250654.10126596747</v>
      </c>
      <c r="L74" s="608">
        <f t="shared" ref="L74" si="135">+K81</f>
        <v>254617.75203655649</v>
      </c>
      <c r="M74" s="608">
        <f t="shared" ref="M74" si="136">+L81</f>
        <v>258703.83415545637</v>
      </c>
      <c r="N74" s="608">
        <f t="shared" ref="N74" si="137">+M81</f>
        <v>262517.19463804574</v>
      </c>
      <c r="O74" s="608">
        <f t="shared" ref="O74:P74" si="138">+N81</f>
        <v>266436.18983433198</v>
      </c>
      <c r="P74" s="608">
        <f t="shared" si="138"/>
        <v>269165.86750661378</v>
      </c>
    </row>
    <row r="75" spans="1:16" ht="11.25" x14ac:dyDescent="0.2">
      <c r="A75" s="655" t="s">
        <v>101</v>
      </c>
      <c r="B75" s="617"/>
      <c r="C75" s="617">
        <v>0</v>
      </c>
      <c r="D75" s="617">
        <v>0</v>
      </c>
      <c r="E75" s="617">
        <v>0</v>
      </c>
      <c r="F75" s="617">
        <v>0</v>
      </c>
      <c r="G75" s="617">
        <v>0</v>
      </c>
      <c r="H75" s="617">
        <v>0</v>
      </c>
      <c r="I75" s="617">
        <v>0</v>
      </c>
      <c r="J75" s="617">
        <v>0</v>
      </c>
      <c r="K75" s="617">
        <v>0</v>
      </c>
      <c r="L75" s="617">
        <v>0</v>
      </c>
      <c r="M75" s="617">
        <v>0</v>
      </c>
      <c r="N75" s="617">
        <v>0</v>
      </c>
      <c r="O75" s="617">
        <v>0</v>
      </c>
      <c r="P75" s="617">
        <v>0</v>
      </c>
    </row>
    <row r="76" spans="1:16" ht="11.25" x14ac:dyDescent="0.2">
      <c r="A76" s="654" t="s">
        <v>102</v>
      </c>
      <c r="B76" s="608">
        <f>SUM(B74:B75)</f>
        <v>0</v>
      </c>
      <c r="C76" s="608">
        <f t="shared" ref="C76:M76" si="139">SUM(C74:C75)</f>
        <v>0</v>
      </c>
      <c r="D76" s="608">
        <f t="shared" si="139"/>
        <v>271472</v>
      </c>
      <c r="E76" s="608">
        <f t="shared" si="139"/>
        <v>212100</v>
      </c>
      <c r="F76" s="608">
        <f t="shared" si="139"/>
        <v>223910</v>
      </c>
      <c r="G76" s="608">
        <f t="shared" si="139"/>
        <v>226838.00700000001</v>
      </c>
      <c r="H76" s="608">
        <f t="shared" si="139"/>
        <v>232116.29550000001</v>
      </c>
      <c r="I76" s="608">
        <f t="shared" si="139"/>
        <v>237207.21579350001</v>
      </c>
      <c r="J76" s="608">
        <f t="shared" si="139"/>
        <v>246150.82364313753</v>
      </c>
      <c r="K76" s="608">
        <f t="shared" si="139"/>
        <v>250654.10126596747</v>
      </c>
      <c r="L76" s="608">
        <f t="shared" si="139"/>
        <v>254617.75203655649</v>
      </c>
      <c r="M76" s="608">
        <f t="shared" si="139"/>
        <v>258703.83415545637</v>
      </c>
      <c r="N76" s="608">
        <f t="shared" ref="N76:O76" si="140">SUM(N74:N75)</f>
        <v>262517.19463804574</v>
      </c>
      <c r="O76" s="608">
        <f t="shared" si="140"/>
        <v>266436.18983433198</v>
      </c>
      <c r="P76" s="608">
        <f t="shared" ref="P76" si="141">SUM(P74:P75)</f>
        <v>269165.86750661378</v>
      </c>
    </row>
    <row r="77" spans="1:16" ht="11.25" x14ac:dyDescent="0.2">
      <c r="B77" s="608"/>
      <c r="C77" s="608"/>
      <c r="D77" s="608"/>
      <c r="E77" s="608"/>
      <c r="F77" s="608"/>
      <c r="G77" s="608"/>
      <c r="H77" s="608"/>
      <c r="I77" s="608"/>
      <c r="J77" s="608"/>
      <c r="K77" s="608"/>
      <c r="L77" s="608"/>
      <c r="M77" s="608"/>
      <c r="N77" s="608"/>
      <c r="O77" s="608"/>
      <c r="P77" s="608"/>
    </row>
    <row r="78" spans="1:16" ht="11.25" x14ac:dyDescent="0.2">
      <c r="A78" s="654" t="s">
        <v>76</v>
      </c>
      <c r="B78" s="608">
        <f>+'GF &amp; FF  Inc Exp Statement'!B182</f>
        <v>0</v>
      </c>
      <c r="C78" s="621">
        <f>+'GF &amp; FF  Inc Exp Statement'!C182</f>
        <v>0</v>
      </c>
      <c r="D78" s="608">
        <f>+'GF &amp; FF  Inc Exp Statement'!D182</f>
        <v>0</v>
      </c>
      <c r="E78" s="621">
        <f>+'GF &amp; FF  Inc Exp Statement'!E182</f>
        <v>11810</v>
      </c>
      <c r="F78" s="621">
        <f>+'GF &amp; FF  Inc Exp Statement'!F182</f>
        <v>2928.0070000000123</v>
      </c>
      <c r="G78" s="621">
        <f>+'GF &amp; FF  Inc Exp Statement'!G182</f>
        <v>5278.2884999999951</v>
      </c>
      <c r="H78" s="621">
        <f>+'GF &amp; FF  Inc Exp Statement'!H182</f>
        <v>5090.9202934999994</v>
      </c>
      <c r="I78" s="621">
        <f>+'GF &amp; FF  Inc Exp Statement'!I182</f>
        <v>8943.6078496374976</v>
      </c>
      <c r="J78" s="621">
        <f>+'GF &amp; FF  Inc Exp Statement'!J182</f>
        <v>4503.2776228299408</v>
      </c>
      <c r="K78" s="621">
        <f>+'GF &amp; FF  Inc Exp Statement'!K182</f>
        <v>3963.6507705890253</v>
      </c>
      <c r="L78" s="608">
        <f>+'GF &amp; FF  Inc Exp Statement'!L182</f>
        <v>4086.0821188998816</v>
      </c>
      <c r="M78" s="608">
        <f>+'GF &amp; FF  Inc Exp Statement'!M182</f>
        <v>3813.3604825893635</v>
      </c>
      <c r="N78" s="608">
        <f>+'GF &amp; FF  Inc Exp Statement'!N182</f>
        <v>3918.9951962862178</v>
      </c>
      <c r="O78" s="608">
        <f>+'GF &amp; FF  Inc Exp Statement'!O182</f>
        <v>2729.6776722817813</v>
      </c>
      <c r="P78" s="608">
        <f>+'GF &amp; FF  Inc Exp Statement'!P182</f>
        <v>750.33486055577669</v>
      </c>
    </row>
    <row r="79" spans="1:16" ht="11.25" x14ac:dyDescent="0.2">
      <c r="B79" s="608"/>
      <c r="C79" s="608"/>
      <c r="D79" s="608"/>
      <c r="E79" s="608"/>
      <c r="F79" s="608"/>
      <c r="G79" s="608"/>
      <c r="H79" s="608"/>
      <c r="I79" s="608"/>
      <c r="J79" s="608"/>
      <c r="K79" s="608"/>
      <c r="L79" s="608"/>
      <c r="M79" s="608"/>
      <c r="N79" s="608"/>
      <c r="O79" s="608"/>
      <c r="P79" s="608"/>
    </row>
    <row r="80" spans="1:16" ht="11.25" x14ac:dyDescent="0.2">
      <c r="A80" s="654" t="s">
        <v>105</v>
      </c>
      <c r="B80" s="674">
        <f>+B78</f>
        <v>0</v>
      </c>
      <c r="C80" s="619">
        <f t="shared" ref="C80:M80" si="142">+C78</f>
        <v>0</v>
      </c>
      <c r="D80" s="674">
        <f t="shared" si="142"/>
        <v>0</v>
      </c>
      <c r="E80" s="619">
        <f t="shared" si="142"/>
        <v>11810</v>
      </c>
      <c r="F80" s="619">
        <f t="shared" si="142"/>
        <v>2928.0070000000123</v>
      </c>
      <c r="G80" s="619">
        <f t="shared" si="142"/>
        <v>5278.2884999999951</v>
      </c>
      <c r="H80" s="619">
        <f t="shared" si="142"/>
        <v>5090.9202934999994</v>
      </c>
      <c r="I80" s="619">
        <f t="shared" si="142"/>
        <v>8943.6078496374976</v>
      </c>
      <c r="J80" s="619">
        <f t="shared" si="142"/>
        <v>4503.2776228299408</v>
      </c>
      <c r="K80" s="619">
        <f t="shared" si="142"/>
        <v>3963.6507705890253</v>
      </c>
      <c r="L80" s="674">
        <f t="shared" si="142"/>
        <v>4086.0821188998816</v>
      </c>
      <c r="M80" s="674">
        <f t="shared" si="142"/>
        <v>3813.3604825893635</v>
      </c>
      <c r="N80" s="674">
        <f t="shared" ref="N80:O80" si="143">+N78</f>
        <v>3918.9951962862178</v>
      </c>
      <c r="O80" s="674">
        <f t="shared" si="143"/>
        <v>2729.6776722817813</v>
      </c>
      <c r="P80" s="674">
        <f t="shared" ref="P80" si="144">+P78</f>
        <v>750.33486055577669</v>
      </c>
    </row>
    <row r="81" spans="1:16" ht="12" thickBot="1" x14ac:dyDescent="0.25">
      <c r="A81" s="654" t="s">
        <v>106</v>
      </c>
      <c r="B81" s="658">
        <f t="shared" ref="B81:M81" si="145">+B76+B80</f>
        <v>0</v>
      </c>
      <c r="C81" s="658">
        <f t="shared" si="145"/>
        <v>0</v>
      </c>
      <c r="D81" s="658">
        <f t="shared" si="145"/>
        <v>271472</v>
      </c>
      <c r="E81" s="658">
        <f t="shared" si="145"/>
        <v>223910</v>
      </c>
      <c r="F81" s="658">
        <f t="shared" si="145"/>
        <v>226838.00700000001</v>
      </c>
      <c r="G81" s="658">
        <f t="shared" si="145"/>
        <v>232116.29550000001</v>
      </c>
      <c r="H81" s="658">
        <f t="shared" si="145"/>
        <v>237207.21579350001</v>
      </c>
      <c r="I81" s="658">
        <f t="shared" si="145"/>
        <v>246150.82364313753</v>
      </c>
      <c r="J81" s="658">
        <f t="shared" si="145"/>
        <v>250654.10126596747</v>
      </c>
      <c r="K81" s="658">
        <f t="shared" si="145"/>
        <v>254617.75203655649</v>
      </c>
      <c r="L81" s="658">
        <f t="shared" si="145"/>
        <v>258703.83415545637</v>
      </c>
      <c r="M81" s="658">
        <f t="shared" si="145"/>
        <v>262517.19463804574</v>
      </c>
      <c r="N81" s="658">
        <f t="shared" ref="N81:O81" si="146">+N76+N80</f>
        <v>266436.18983433198</v>
      </c>
      <c r="O81" s="658">
        <f t="shared" si="146"/>
        <v>269165.86750661378</v>
      </c>
      <c r="P81" s="658">
        <f t="shared" ref="P81" si="147">+P76+P80</f>
        <v>269916.20236716955</v>
      </c>
    </row>
    <row r="82" spans="1:16" ht="11.25" x14ac:dyDescent="0.2">
      <c r="B82" s="608"/>
      <c r="C82" s="608"/>
      <c r="D82" s="608"/>
      <c r="E82" s="608"/>
      <c r="F82" s="608"/>
      <c r="G82" s="608"/>
      <c r="H82" s="608"/>
      <c r="I82" s="608"/>
      <c r="J82" s="608"/>
      <c r="K82" s="608"/>
      <c r="L82" s="608"/>
      <c r="M82" s="608"/>
      <c r="N82" s="608"/>
      <c r="O82" s="608"/>
      <c r="P82" s="608"/>
    </row>
    <row r="83" spans="1:16" ht="11.25" x14ac:dyDescent="0.2">
      <c r="A83" s="654" t="s">
        <v>107</v>
      </c>
      <c r="B83" s="608"/>
      <c r="C83" s="608"/>
      <c r="D83" s="608"/>
      <c r="E83" s="608"/>
      <c r="F83" s="608"/>
      <c r="G83" s="608"/>
      <c r="H83" s="608"/>
      <c r="I83" s="608"/>
      <c r="J83" s="608"/>
      <c r="K83" s="608"/>
      <c r="L83" s="608"/>
      <c r="M83" s="608"/>
      <c r="N83" s="608"/>
      <c r="O83" s="608"/>
      <c r="P83" s="608"/>
    </row>
    <row r="84" spans="1:16" ht="11.25" x14ac:dyDescent="0.2">
      <c r="A84" s="654" t="s">
        <v>100</v>
      </c>
      <c r="B84" s="608"/>
      <c r="C84" s="608">
        <f>+B90</f>
        <v>0</v>
      </c>
      <c r="D84" s="608">
        <f>D16</f>
        <v>309010</v>
      </c>
      <c r="E84" s="608">
        <f>E16</f>
        <v>250606</v>
      </c>
      <c r="F84" s="608">
        <f t="shared" ref="F84" si="148">+E90</f>
        <v>250606</v>
      </c>
      <c r="G84" s="608">
        <f t="shared" ref="G84" si="149">+F90</f>
        <v>250606</v>
      </c>
      <c r="H84" s="608">
        <f t="shared" ref="H84" si="150">+G90</f>
        <v>250606</v>
      </c>
      <c r="I84" s="608">
        <f t="shared" ref="I84" si="151">+H90</f>
        <v>250606</v>
      </c>
      <c r="J84" s="608">
        <f t="shared" ref="J84" si="152">+I90</f>
        <v>250606</v>
      </c>
      <c r="K84" s="608">
        <f t="shared" ref="K84" si="153">+J90</f>
        <v>250606</v>
      </c>
      <c r="L84" s="608">
        <f t="shared" ref="L84" si="154">+K90</f>
        <v>250606</v>
      </c>
      <c r="M84" s="608">
        <f t="shared" ref="M84" si="155">+L90</f>
        <v>250606</v>
      </c>
      <c r="N84" s="608">
        <f t="shared" ref="N84" si="156">+M90</f>
        <v>250606</v>
      </c>
      <c r="O84" s="608">
        <f t="shared" ref="O84:P84" si="157">+N90</f>
        <v>250606</v>
      </c>
      <c r="P84" s="608">
        <f t="shared" si="157"/>
        <v>250606</v>
      </c>
    </row>
    <row r="85" spans="1:16" ht="11.25" x14ac:dyDescent="0.2">
      <c r="A85" s="655" t="s">
        <v>101</v>
      </c>
      <c r="B85" s="617">
        <v>0</v>
      </c>
      <c r="C85" s="617">
        <v>0</v>
      </c>
      <c r="D85" s="617">
        <v>0</v>
      </c>
      <c r="E85" s="617">
        <v>0</v>
      </c>
      <c r="F85" s="617">
        <v>0</v>
      </c>
      <c r="G85" s="617">
        <v>0</v>
      </c>
      <c r="H85" s="617">
        <v>0</v>
      </c>
      <c r="I85" s="617">
        <v>0</v>
      </c>
      <c r="J85" s="617">
        <v>0</v>
      </c>
      <c r="K85" s="617">
        <v>0</v>
      </c>
      <c r="L85" s="617">
        <v>0</v>
      </c>
      <c r="M85" s="617">
        <v>0</v>
      </c>
      <c r="N85" s="617">
        <v>0</v>
      </c>
      <c r="O85" s="617">
        <v>0</v>
      </c>
      <c r="P85" s="617">
        <v>0</v>
      </c>
    </row>
    <row r="86" spans="1:16" ht="11.25" x14ac:dyDescent="0.2">
      <c r="A86" s="654" t="s">
        <v>102</v>
      </c>
      <c r="B86" s="675">
        <f>SUM(B84:B85)</f>
        <v>0</v>
      </c>
      <c r="C86" s="675">
        <f t="shared" ref="C86:M86" si="158">SUM(C84:C85)</f>
        <v>0</v>
      </c>
      <c r="D86" s="675">
        <f t="shared" si="158"/>
        <v>309010</v>
      </c>
      <c r="E86" s="675">
        <f t="shared" si="158"/>
        <v>250606</v>
      </c>
      <c r="F86" s="675">
        <f t="shared" si="158"/>
        <v>250606</v>
      </c>
      <c r="G86" s="675">
        <f t="shared" si="158"/>
        <v>250606</v>
      </c>
      <c r="H86" s="675">
        <f t="shared" si="158"/>
        <v>250606</v>
      </c>
      <c r="I86" s="675">
        <f t="shared" si="158"/>
        <v>250606</v>
      </c>
      <c r="J86" s="675">
        <f t="shared" si="158"/>
        <v>250606</v>
      </c>
      <c r="K86" s="675">
        <f t="shared" si="158"/>
        <v>250606</v>
      </c>
      <c r="L86" s="675">
        <f t="shared" si="158"/>
        <v>250606</v>
      </c>
      <c r="M86" s="675">
        <f t="shared" si="158"/>
        <v>250606</v>
      </c>
      <c r="N86" s="675">
        <f t="shared" ref="N86:O86" si="159">SUM(N84:N85)</f>
        <v>250606</v>
      </c>
      <c r="O86" s="675">
        <f t="shared" si="159"/>
        <v>250606</v>
      </c>
      <c r="P86" s="675">
        <f t="shared" ref="P86" si="160">SUM(P84:P85)</f>
        <v>250606</v>
      </c>
    </row>
    <row r="87" spans="1:16" ht="11.25" x14ac:dyDescent="0.2">
      <c r="B87" s="608"/>
      <c r="C87" s="608"/>
      <c r="D87" s="608"/>
      <c r="E87" s="608"/>
      <c r="F87" s="608"/>
      <c r="G87" s="608"/>
      <c r="H87" s="608"/>
      <c r="I87" s="608"/>
      <c r="J87" s="608"/>
      <c r="K87" s="608"/>
      <c r="L87" s="608"/>
      <c r="M87" s="608"/>
      <c r="N87" s="608"/>
      <c r="O87" s="608"/>
      <c r="P87" s="608"/>
    </row>
    <row r="88" spans="1:16" ht="11.25" x14ac:dyDescent="0.2">
      <c r="A88" s="653" t="s">
        <v>104</v>
      </c>
      <c r="B88" s="621">
        <v>0</v>
      </c>
      <c r="C88" s="621">
        <f>C54</f>
        <v>0</v>
      </c>
      <c r="D88" s="621">
        <f t="shared" ref="D88:M88" si="161">D54</f>
        <v>-8350</v>
      </c>
      <c r="E88" s="621">
        <f t="shared" si="161"/>
        <v>0</v>
      </c>
      <c r="F88" s="621">
        <f t="shared" si="161"/>
        <v>0</v>
      </c>
      <c r="G88" s="621">
        <f t="shared" si="161"/>
        <v>0</v>
      </c>
      <c r="H88" s="621">
        <f t="shared" si="161"/>
        <v>0</v>
      </c>
      <c r="I88" s="621">
        <f t="shared" si="161"/>
        <v>0</v>
      </c>
      <c r="J88" s="621">
        <f t="shared" si="161"/>
        <v>0</v>
      </c>
      <c r="K88" s="621">
        <f t="shared" si="161"/>
        <v>0</v>
      </c>
      <c r="L88" s="621">
        <f t="shared" si="161"/>
        <v>0</v>
      </c>
      <c r="M88" s="621">
        <f t="shared" si="161"/>
        <v>0</v>
      </c>
      <c r="N88" s="621">
        <f t="shared" ref="N88:O88" si="162">N54</f>
        <v>0</v>
      </c>
      <c r="O88" s="621">
        <f t="shared" si="162"/>
        <v>0</v>
      </c>
      <c r="P88" s="621">
        <f t="shared" ref="P88" si="163">P54</f>
        <v>0</v>
      </c>
    </row>
    <row r="89" spans="1:16" ht="11.25" x14ac:dyDescent="0.2">
      <c r="A89" s="654" t="s">
        <v>105</v>
      </c>
      <c r="B89" s="674">
        <f>+B86+B88</f>
        <v>0</v>
      </c>
      <c r="C89" s="674">
        <f>C86+C88</f>
        <v>0</v>
      </c>
      <c r="D89" s="674">
        <f t="shared" ref="D89:M89" si="164">D86+D88</f>
        <v>300660</v>
      </c>
      <c r="E89" s="674">
        <f t="shared" si="164"/>
        <v>250606</v>
      </c>
      <c r="F89" s="674">
        <f t="shared" si="164"/>
        <v>250606</v>
      </c>
      <c r="G89" s="674">
        <f t="shared" si="164"/>
        <v>250606</v>
      </c>
      <c r="H89" s="674">
        <f t="shared" si="164"/>
        <v>250606</v>
      </c>
      <c r="I89" s="674">
        <f t="shared" si="164"/>
        <v>250606</v>
      </c>
      <c r="J89" s="674">
        <f t="shared" si="164"/>
        <v>250606</v>
      </c>
      <c r="K89" s="674">
        <f t="shared" si="164"/>
        <v>250606</v>
      </c>
      <c r="L89" s="674">
        <f t="shared" si="164"/>
        <v>250606</v>
      </c>
      <c r="M89" s="674">
        <f t="shared" si="164"/>
        <v>250606</v>
      </c>
      <c r="N89" s="674">
        <f t="shared" ref="N89:O89" si="165">N86+N88</f>
        <v>250606</v>
      </c>
      <c r="O89" s="674">
        <f t="shared" si="165"/>
        <v>250606</v>
      </c>
      <c r="P89" s="674">
        <f t="shared" ref="P89" si="166">P86+P88</f>
        <v>250606</v>
      </c>
    </row>
    <row r="90" spans="1:16" ht="12" thickBot="1" x14ac:dyDescent="0.25">
      <c r="A90" s="654" t="s">
        <v>106</v>
      </c>
      <c r="B90" s="658">
        <f>+B89</f>
        <v>0</v>
      </c>
      <c r="C90" s="658">
        <f t="shared" ref="C90:M90" si="167">+C89</f>
        <v>0</v>
      </c>
      <c r="D90" s="658">
        <f t="shared" si="167"/>
        <v>300660</v>
      </c>
      <c r="E90" s="658">
        <f t="shared" si="167"/>
        <v>250606</v>
      </c>
      <c r="F90" s="658">
        <f t="shared" si="167"/>
        <v>250606</v>
      </c>
      <c r="G90" s="658">
        <f t="shared" si="167"/>
        <v>250606</v>
      </c>
      <c r="H90" s="658">
        <f t="shared" si="167"/>
        <v>250606</v>
      </c>
      <c r="I90" s="658">
        <f t="shared" si="167"/>
        <v>250606</v>
      </c>
      <c r="J90" s="658">
        <f t="shared" si="167"/>
        <v>250606</v>
      </c>
      <c r="K90" s="658">
        <f t="shared" si="167"/>
        <v>250606</v>
      </c>
      <c r="L90" s="658">
        <f t="shared" si="167"/>
        <v>250606</v>
      </c>
      <c r="M90" s="658">
        <f t="shared" si="167"/>
        <v>250606</v>
      </c>
      <c r="N90" s="658">
        <f t="shared" ref="N90:O90" si="168">+N89</f>
        <v>250606</v>
      </c>
      <c r="O90" s="658">
        <f t="shared" si="168"/>
        <v>250606</v>
      </c>
      <c r="P90" s="658">
        <f t="shared" ref="P90" si="169">+P89</f>
        <v>250606</v>
      </c>
    </row>
    <row r="91" spans="1:16" ht="11.25" x14ac:dyDescent="0.2">
      <c r="B91" s="608"/>
      <c r="C91" s="608"/>
      <c r="D91" s="608"/>
      <c r="E91" s="608"/>
      <c r="F91" s="608"/>
      <c r="G91" s="608"/>
      <c r="H91" s="608"/>
      <c r="I91" s="608"/>
      <c r="J91" s="608"/>
      <c r="K91" s="608"/>
      <c r="L91" s="608"/>
      <c r="M91" s="608"/>
      <c r="N91" s="608"/>
      <c r="O91" s="608"/>
      <c r="P91" s="608"/>
    </row>
    <row r="92" spans="1:16" ht="11.25" x14ac:dyDescent="0.2">
      <c r="A92" s="654" t="s">
        <v>108</v>
      </c>
    </row>
    <row r="93" spans="1:16" ht="11.25" x14ac:dyDescent="0.2">
      <c r="A93" s="654" t="s">
        <v>100</v>
      </c>
      <c r="B93" s="608">
        <f>+B74+B84</f>
        <v>0</v>
      </c>
      <c r="C93" s="608">
        <f t="shared" ref="C93:M93" si="170">+C74+C84</f>
        <v>0</v>
      </c>
      <c r="D93" s="608">
        <f t="shared" si="170"/>
        <v>580482</v>
      </c>
      <c r="E93" s="608">
        <f t="shared" si="170"/>
        <v>462706</v>
      </c>
      <c r="F93" s="608">
        <f t="shared" si="170"/>
        <v>474516</v>
      </c>
      <c r="G93" s="608">
        <f t="shared" si="170"/>
        <v>477444.00699999998</v>
      </c>
      <c r="H93" s="608">
        <f t="shared" si="170"/>
        <v>482722.29550000001</v>
      </c>
      <c r="I93" s="608">
        <f t="shared" si="170"/>
        <v>487813.21579350001</v>
      </c>
      <c r="J93" s="608">
        <f t="shared" si="170"/>
        <v>496756.82364313753</v>
      </c>
      <c r="K93" s="608">
        <f t="shared" si="170"/>
        <v>501260.10126596747</v>
      </c>
      <c r="L93" s="608">
        <f t="shared" si="170"/>
        <v>505223.75203655649</v>
      </c>
      <c r="M93" s="608">
        <f t="shared" si="170"/>
        <v>509309.8341554564</v>
      </c>
      <c r="N93" s="608">
        <f t="shared" ref="N93:O93" si="171">+N74+N84</f>
        <v>513123.19463804574</v>
      </c>
      <c r="O93" s="608">
        <f t="shared" si="171"/>
        <v>517042.18983433198</v>
      </c>
      <c r="P93" s="608">
        <f t="shared" ref="P93" si="172">+P74+P84</f>
        <v>519771.86750661378</v>
      </c>
    </row>
    <row r="94" spans="1:16" ht="11.25" x14ac:dyDescent="0.2">
      <c r="A94" s="655" t="s">
        <v>101</v>
      </c>
      <c r="B94" s="617">
        <f>+B75+B85</f>
        <v>0</v>
      </c>
      <c r="C94" s="617">
        <f t="shared" ref="C94:M94" si="173">+C75+C85</f>
        <v>0</v>
      </c>
      <c r="D94" s="617">
        <f t="shared" si="173"/>
        <v>0</v>
      </c>
      <c r="E94" s="617">
        <f t="shared" si="173"/>
        <v>0</v>
      </c>
      <c r="F94" s="617">
        <f t="shared" si="173"/>
        <v>0</v>
      </c>
      <c r="G94" s="617">
        <f t="shared" si="173"/>
        <v>0</v>
      </c>
      <c r="H94" s="617">
        <f t="shared" si="173"/>
        <v>0</v>
      </c>
      <c r="I94" s="617">
        <f t="shared" si="173"/>
        <v>0</v>
      </c>
      <c r="J94" s="617">
        <f t="shared" si="173"/>
        <v>0</v>
      </c>
      <c r="K94" s="617">
        <f t="shared" si="173"/>
        <v>0</v>
      </c>
      <c r="L94" s="617">
        <f t="shared" si="173"/>
        <v>0</v>
      </c>
      <c r="M94" s="617">
        <f t="shared" si="173"/>
        <v>0</v>
      </c>
      <c r="N94" s="617">
        <f t="shared" ref="N94:O94" si="174">+N75+N85</f>
        <v>0</v>
      </c>
      <c r="O94" s="617">
        <f t="shared" si="174"/>
        <v>0</v>
      </c>
      <c r="P94" s="617">
        <f t="shared" ref="P94" si="175">+P75+P85</f>
        <v>0</v>
      </c>
    </row>
    <row r="95" spans="1:16" ht="11.25" x14ac:dyDescent="0.2">
      <c r="A95" s="654" t="s">
        <v>102</v>
      </c>
      <c r="B95" s="608">
        <f>SUM(B93:B94)</f>
        <v>0</v>
      </c>
      <c r="C95" s="608">
        <f t="shared" ref="C95:M95" si="176">SUM(C93:C94)</f>
        <v>0</v>
      </c>
      <c r="D95" s="608">
        <f t="shared" si="176"/>
        <v>580482</v>
      </c>
      <c r="E95" s="608">
        <f t="shared" si="176"/>
        <v>462706</v>
      </c>
      <c r="F95" s="608">
        <f t="shared" si="176"/>
        <v>474516</v>
      </c>
      <c r="G95" s="608">
        <f t="shared" si="176"/>
        <v>477444.00699999998</v>
      </c>
      <c r="H95" s="608">
        <f t="shared" si="176"/>
        <v>482722.29550000001</v>
      </c>
      <c r="I95" s="608">
        <f t="shared" si="176"/>
        <v>487813.21579350001</v>
      </c>
      <c r="J95" s="608">
        <f t="shared" si="176"/>
        <v>496756.82364313753</v>
      </c>
      <c r="K95" s="608">
        <f t="shared" si="176"/>
        <v>501260.10126596747</v>
      </c>
      <c r="L95" s="608">
        <f t="shared" si="176"/>
        <v>505223.75203655649</v>
      </c>
      <c r="M95" s="608">
        <f t="shared" si="176"/>
        <v>509309.8341554564</v>
      </c>
      <c r="N95" s="608">
        <f t="shared" ref="N95:O95" si="177">SUM(N93:N94)</f>
        <v>513123.19463804574</v>
      </c>
      <c r="O95" s="608">
        <f t="shared" si="177"/>
        <v>517042.18983433198</v>
      </c>
      <c r="P95" s="608">
        <f t="shared" ref="P95" si="178">SUM(P93:P94)</f>
        <v>519771.86750661378</v>
      </c>
    </row>
    <row r="96" spans="1:16" ht="11.25" x14ac:dyDescent="0.2">
      <c r="B96" s="608"/>
      <c r="C96" s="608"/>
      <c r="D96" s="608"/>
      <c r="E96" s="608"/>
      <c r="F96" s="608"/>
      <c r="G96" s="608"/>
      <c r="H96" s="608"/>
      <c r="I96" s="608"/>
      <c r="J96" s="608"/>
      <c r="K96" s="608"/>
      <c r="L96" s="608"/>
      <c r="M96" s="608"/>
      <c r="N96" s="608"/>
      <c r="O96" s="608"/>
      <c r="P96" s="608"/>
    </row>
    <row r="97" spans="1:16" ht="11.25" x14ac:dyDescent="0.2">
      <c r="A97" s="654" t="s">
        <v>76</v>
      </c>
      <c r="B97" s="621">
        <f>+B78</f>
        <v>0</v>
      </c>
      <c r="C97" s="621">
        <f t="shared" ref="C97:M97" si="179">+C78</f>
        <v>0</v>
      </c>
      <c r="D97" s="621">
        <f t="shared" si="179"/>
        <v>0</v>
      </c>
      <c r="E97" s="621">
        <f t="shared" si="179"/>
        <v>11810</v>
      </c>
      <c r="F97" s="621">
        <f t="shared" si="179"/>
        <v>2928.0070000000123</v>
      </c>
      <c r="G97" s="621">
        <f t="shared" si="179"/>
        <v>5278.2884999999951</v>
      </c>
      <c r="H97" s="621">
        <f t="shared" si="179"/>
        <v>5090.9202934999994</v>
      </c>
      <c r="I97" s="621">
        <f t="shared" si="179"/>
        <v>8943.6078496374976</v>
      </c>
      <c r="J97" s="621">
        <f t="shared" si="179"/>
        <v>4503.2776228299408</v>
      </c>
      <c r="K97" s="621">
        <f t="shared" si="179"/>
        <v>3963.6507705890253</v>
      </c>
      <c r="L97" s="621">
        <f t="shared" si="179"/>
        <v>4086.0821188998816</v>
      </c>
      <c r="M97" s="621">
        <f t="shared" si="179"/>
        <v>3813.3604825893635</v>
      </c>
      <c r="N97" s="621">
        <f t="shared" ref="N97:O97" si="180">+N78</f>
        <v>3918.9951962862178</v>
      </c>
      <c r="O97" s="621">
        <f t="shared" si="180"/>
        <v>2729.6776722817813</v>
      </c>
      <c r="P97" s="621">
        <f t="shared" ref="P97" si="181">+P78</f>
        <v>750.33486055577669</v>
      </c>
    </row>
    <row r="98" spans="1:16" ht="11.25" x14ac:dyDescent="0.2">
      <c r="B98" s="608"/>
      <c r="C98" s="608"/>
      <c r="D98" s="608"/>
      <c r="E98" s="608"/>
      <c r="F98" s="608"/>
      <c r="G98" s="608"/>
      <c r="H98" s="608"/>
      <c r="I98" s="608"/>
      <c r="J98" s="608"/>
      <c r="K98" s="608"/>
      <c r="L98" s="608"/>
      <c r="M98" s="608"/>
      <c r="N98" s="608"/>
      <c r="O98" s="608"/>
      <c r="P98" s="608"/>
    </row>
    <row r="99" spans="1:16" ht="11.25" x14ac:dyDescent="0.2">
      <c r="A99" s="654" t="s">
        <v>105</v>
      </c>
      <c r="B99" s="674">
        <f>+B80</f>
        <v>0</v>
      </c>
      <c r="C99" s="619">
        <f t="shared" ref="C99:M99" si="182">+C97</f>
        <v>0</v>
      </c>
      <c r="D99" s="674">
        <f t="shared" si="182"/>
        <v>0</v>
      </c>
      <c r="E99" s="619">
        <f t="shared" si="182"/>
        <v>11810</v>
      </c>
      <c r="F99" s="619">
        <f t="shared" si="182"/>
        <v>2928.0070000000123</v>
      </c>
      <c r="G99" s="619">
        <f t="shared" si="182"/>
        <v>5278.2884999999951</v>
      </c>
      <c r="H99" s="619">
        <f t="shared" si="182"/>
        <v>5090.9202934999994</v>
      </c>
      <c r="I99" s="619">
        <f t="shared" si="182"/>
        <v>8943.6078496374976</v>
      </c>
      <c r="J99" s="619">
        <f t="shared" si="182"/>
        <v>4503.2776228299408</v>
      </c>
      <c r="K99" s="619">
        <f t="shared" si="182"/>
        <v>3963.6507705890253</v>
      </c>
      <c r="L99" s="674">
        <f t="shared" si="182"/>
        <v>4086.0821188998816</v>
      </c>
      <c r="M99" s="674">
        <f t="shared" si="182"/>
        <v>3813.3604825893635</v>
      </c>
      <c r="N99" s="674">
        <f t="shared" ref="N99:O99" si="183">+N97</f>
        <v>3918.9951962862178</v>
      </c>
      <c r="O99" s="674">
        <f t="shared" si="183"/>
        <v>2729.6776722817813</v>
      </c>
      <c r="P99" s="674">
        <f t="shared" ref="P99" si="184">+P97</f>
        <v>750.33486055577669</v>
      </c>
    </row>
    <row r="100" spans="1:16" ht="12" thickBot="1" x14ac:dyDescent="0.25">
      <c r="A100" s="653" t="s">
        <v>104</v>
      </c>
      <c r="B100" s="633">
        <f>+B88</f>
        <v>0</v>
      </c>
      <c r="C100" s="633">
        <f t="shared" ref="C100:M100" si="185">+C88</f>
        <v>0</v>
      </c>
      <c r="D100" s="633">
        <f t="shared" si="185"/>
        <v>-8350</v>
      </c>
      <c r="E100" s="633">
        <f t="shared" si="185"/>
        <v>0</v>
      </c>
      <c r="F100" s="633">
        <f t="shared" si="185"/>
        <v>0</v>
      </c>
      <c r="G100" s="633">
        <f t="shared" si="185"/>
        <v>0</v>
      </c>
      <c r="H100" s="633">
        <f t="shared" si="185"/>
        <v>0</v>
      </c>
      <c r="I100" s="633">
        <f t="shared" si="185"/>
        <v>0</v>
      </c>
      <c r="J100" s="633">
        <f t="shared" si="185"/>
        <v>0</v>
      </c>
      <c r="K100" s="633">
        <f t="shared" si="185"/>
        <v>0</v>
      </c>
      <c r="L100" s="633">
        <f t="shared" si="185"/>
        <v>0</v>
      </c>
      <c r="M100" s="633">
        <f t="shared" si="185"/>
        <v>0</v>
      </c>
      <c r="N100" s="633">
        <f t="shared" ref="N100:O100" si="186">+N88</f>
        <v>0</v>
      </c>
      <c r="O100" s="633">
        <f t="shared" si="186"/>
        <v>0</v>
      </c>
      <c r="P100" s="633">
        <f t="shared" ref="P100" si="187">+P88</f>
        <v>0</v>
      </c>
    </row>
    <row r="101" spans="1:16" ht="12" thickBot="1" x14ac:dyDescent="0.25">
      <c r="A101" s="654" t="s">
        <v>106</v>
      </c>
      <c r="B101" s="668">
        <f>+B95+B99+B100</f>
        <v>0</v>
      </c>
      <c r="C101" s="668">
        <f t="shared" ref="C101:M101" si="188">+C95+C99+C100</f>
        <v>0</v>
      </c>
      <c r="D101" s="668">
        <f t="shared" si="188"/>
        <v>572132</v>
      </c>
      <c r="E101" s="668">
        <f t="shared" si="188"/>
        <v>474516</v>
      </c>
      <c r="F101" s="668">
        <f t="shared" si="188"/>
        <v>477444.00699999998</v>
      </c>
      <c r="G101" s="668">
        <f t="shared" si="188"/>
        <v>482722.29550000001</v>
      </c>
      <c r="H101" s="668">
        <f t="shared" si="188"/>
        <v>487813.21579350001</v>
      </c>
      <c r="I101" s="668">
        <f t="shared" si="188"/>
        <v>496756.82364313753</v>
      </c>
      <c r="J101" s="668">
        <f t="shared" si="188"/>
        <v>501260.10126596747</v>
      </c>
      <c r="K101" s="668">
        <f t="shared" si="188"/>
        <v>505223.75203655649</v>
      </c>
      <c r="L101" s="668">
        <f t="shared" si="188"/>
        <v>509309.8341554564</v>
      </c>
      <c r="M101" s="668">
        <f t="shared" si="188"/>
        <v>513123.19463804574</v>
      </c>
      <c r="N101" s="668">
        <f t="shared" ref="N101:O101" si="189">+N95+N99+N100</f>
        <v>517042.18983433198</v>
      </c>
      <c r="O101" s="668">
        <f t="shared" si="189"/>
        <v>519771.86750661378</v>
      </c>
      <c r="P101" s="668">
        <f t="shared" ref="P101" si="190">+P95+P99+P100</f>
        <v>520522.20236716955</v>
      </c>
    </row>
    <row r="102" spans="1:16" ht="12" thickTop="1" x14ac:dyDescent="0.2"/>
  </sheetData>
  <pageMargins left="0.70866141732283472" right="0.70866141732283472" top="0.74803149606299213" bottom="0.74803149606299213" header="0.31496062992125984" footer="0.31496062992125984"/>
  <pageSetup paperSize="9" scale="83" fitToHeight="0" orientation="landscape" r:id="rId1"/>
  <rowBreaks count="2" manualBreakCount="2">
    <brk id="34" max="16383" man="1"/>
    <brk id="68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O101"/>
  <sheetViews>
    <sheetView topLeftCell="F61" workbookViewId="0">
      <selection activeCell="D68" sqref="D68"/>
    </sheetView>
  </sheetViews>
  <sheetFormatPr defaultRowHeight="14.4" outlineLevelCol="2" x14ac:dyDescent="0.3"/>
  <cols>
    <col min="1" max="1" width="44.33203125" bestFit="1" customWidth="1"/>
    <col min="2" max="2" width="13.109375" hidden="1" customWidth="1" outlineLevel="2"/>
    <col min="3" max="3" width="13.109375" style="211" hidden="1" customWidth="1" outlineLevel="1"/>
    <col min="4" max="4" width="13.109375" bestFit="1" customWidth="1" collapsed="1"/>
    <col min="5" max="15" width="13.109375" bestFit="1" customWidth="1"/>
  </cols>
  <sheetData>
    <row r="1" spans="1:15" s="17" customFormat="1" ht="15" x14ac:dyDescent="0.25">
      <c r="A1" s="18" t="s">
        <v>437</v>
      </c>
      <c r="B1" s="19" t="s">
        <v>69</v>
      </c>
      <c r="C1" s="213" t="s">
        <v>69</v>
      </c>
      <c r="D1" s="19" t="s">
        <v>69</v>
      </c>
      <c r="E1" s="19" t="s">
        <v>70</v>
      </c>
      <c r="F1" s="19" t="s">
        <v>71</v>
      </c>
      <c r="G1" s="19" t="s">
        <v>71</v>
      </c>
      <c r="H1" s="19" t="s">
        <v>71</v>
      </c>
      <c r="I1" s="19" t="s">
        <v>71</v>
      </c>
      <c r="J1" s="19" t="s">
        <v>71</v>
      </c>
      <c r="K1" s="19" t="s">
        <v>71</v>
      </c>
      <c r="L1" s="19" t="s">
        <v>71</v>
      </c>
      <c r="M1" s="19" t="s">
        <v>71</v>
      </c>
      <c r="N1" s="213" t="s">
        <v>71</v>
      </c>
      <c r="O1" s="213" t="s">
        <v>71</v>
      </c>
    </row>
    <row r="2" spans="1:15" ht="15" x14ac:dyDescent="0.25">
      <c r="A2" s="18" t="s">
        <v>73</v>
      </c>
      <c r="B2" s="20" t="s">
        <v>60</v>
      </c>
      <c r="C2" s="159" t="s">
        <v>68</v>
      </c>
      <c r="D2" s="19" t="s">
        <v>0</v>
      </c>
      <c r="E2" s="19" t="s">
        <v>1</v>
      </c>
      <c r="F2" s="19" t="s">
        <v>2</v>
      </c>
      <c r="G2" s="19" t="s">
        <v>3</v>
      </c>
      <c r="H2" s="19" t="s">
        <v>4</v>
      </c>
      <c r="I2" s="19" t="s">
        <v>5</v>
      </c>
      <c r="J2" s="19" t="s">
        <v>6</v>
      </c>
      <c r="K2" s="19" t="s">
        <v>7</v>
      </c>
      <c r="L2" s="19" t="s">
        <v>8</v>
      </c>
      <c r="M2" s="19" t="s">
        <v>9</v>
      </c>
      <c r="N2" s="213" t="s">
        <v>514</v>
      </c>
      <c r="O2" s="213" t="s">
        <v>515</v>
      </c>
    </row>
    <row r="3" spans="1:15" s="25" customFormat="1" ht="15" x14ac:dyDescent="0.25">
      <c r="A3" s="22"/>
      <c r="B3" s="23"/>
      <c r="C3" s="161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5" x14ac:dyDescent="0.25">
      <c r="A4" s="40" t="s">
        <v>103</v>
      </c>
      <c r="N4" s="221"/>
      <c r="O4" s="221"/>
    </row>
    <row r="5" spans="1:15" ht="15" x14ac:dyDescent="0.25">
      <c r="A5" s="40" t="s">
        <v>100</v>
      </c>
      <c r="B5" s="4">
        <v>155107000</v>
      </c>
      <c r="C5" s="217">
        <f>+B12</f>
        <v>158027000</v>
      </c>
      <c r="D5" s="4">
        <f t="shared" ref="D5:M5" si="0">+C12</f>
        <v>158027000</v>
      </c>
      <c r="E5" s="4">
        <f t="shared" si="0"/>
        <v>158027000</v>
      </c>
      <c r="F5" s="4">
        <f t="shared" si="0"/>
        <v>158130739.76394677</v>
      </c>
      <c r="G5" s="4">
        <f t="shared" si="0"/>
        <v>158439649.71701083</v>
      </c>
      <c r="H5" s="4">
        <f t="shared" si="0"/>
        <v>158874439.8099477</v>
      </c>
      <c r="I5" s="4">
        <f t="shared" si="0"/>
        <v>159699592.75453389</v>
      </c>
      <c r="J5" s="4">
        <f t="shared" si="0"/>
        <v>160488852.19912884</v>
      </c>
      <c r="K5" s="4">
        <f t="shared" si="0"/>
        <v>161024514.53694165</v>
      </c>
      <c r="L5" s="4">
        <f t="shared" si="0"/>
        <v>161656675.38096499</v>
      </c>
      <c r="M5" s="4">
        <f t="shared" si="0"/>
        <v>162237510.76619875</v>
      </c>
      <c r="N5" s="214">
        <f t="shared" ref="N5" si="1">+M12</f>
        <v>162758404.28743348</v>
      </c>
      <c r="O5" s="214">
        <f t="shared" ref="O5" si="2">+N12</f>
        <v>163279298.8086682</v>
      </c>
    </row>
    <row r="6" spans="1:15" ht="15" x14ac:dyDescent="0.25">
      <c r="A6" s="5" t="s">
        <v>101</v>
      </c>
      <c r="B6" s="118">
        <v>-24000</v>
      </c>
      <c r="C6" s="216">
        <v>0</v>
      </c>
      <c r="D6" s="118">
        <v>0</v>
      </c>
      <c r="E6" s="118">
        <v>0</v>
      </c>
      <c r="F6" s="118">
        <v>0</v>
      </c>
      <c r="G6" s="118">
        <v>0</v>
      </c>
      <c r="H6" s="118">
        <v>0</v>
      </c>
      <c r="I6" s="118">
        <v>0</v>
      </c>
      <c r="J6" s="118">
        <v>0</v>
      </c>
      <c r="K6" s="118">
        <v>0</v>
      </c>
      <c r="L6" s="118">
        <v>0</v>
      </c>
      <c r="M6" s="118">
        <v>0</v>
      </c>
      <c r="N6" s="216">
        <v>1</v>
      </c>
      <c r="O6" s="216">
        <v>2</v>
      </c>
    </row>
    <row r="7" spans="1:15" ht="15" x14ac:dyDescent="0.25">
      <c r="A7" s="40" t="s">
        <v>102</v>
      </c>
      <c r="B7" s="4">
        <f>SUM(B5:B6)</f>
        <v>155083000</v>
      </c>
      <c r="C7" s="217">
        <f t="shared" ref="C7" si="3">SUM(C5:C6)</f>
        <v>158027000</v>
      </c>
      <c r="D7" s="4">
        <f t="shared" ref="D7:M7" si="4">SUM(D5:D6)</f>
        <v>158027000</v>
      </c>
      <c r="E7" s="4">
        <f t="shared" si="4"/>
        <v>158027000</v>
      </c>
      <c r="F7" s="4">
        <f t="shared" si="4"/>
        <v>158130739.76394677</v>
      </c>
      <c r="G7" s="4">
        <f t="shared" si="4"/>
        <v>158439649.71701083</v>
      </c>
      <c r="H7" s="4">
        <f t="shared" si="4"/>
        <v>158874439.8099477</v>
      </c>
      <c r="I7" s="4">
        <f t="shared" si="4"/>
        <v>159699592.75453389</v>
      </c>
      <c r="J7" s="4">
        <f t="shared" si="4"/>
        <v>160488852.19912884</v>
      </c>
      <c r="K7" s="4">
        <f t="shared" si="4"/>
        <v>161024514.53694165</v>
      </c>
      <c r="L7" s="4">
        <f t="shared" si="4"/>
        <v>161656675.38096499</v>
      </c>
      <c r="M7" s="4">
        <f t="shared" si="4"/>
        <v>162237510.76619875</v>
      </c>
      <c r="N7" s="214">
        <f t="shared" ref="N7:O7" si="5">SUM(N5:N6)</f>
        <v>162758405.28743348</v>
      </c>
      <c r="O7" s="214">
        <f t="shared" si="5"/>
        <v>163279300.8086682</v>
      </c>
    </row>
    <row r="8" spans="1:15" ht="15" x14ac:dyDescent="0.25">
      <c r="B8" s="4"/>
      <c r="C8" s="217"/>
      <c r="D8" s="4"/>
      <c r="E8" s="4"/>
      <c r="F8" s="4"/>
      <c r="G8" s="4"/>
      <c r="H8" s="4"/>
      <c r="I8" s="4"/>
      <c r="J8" s="4"/>
      <c r="K8" s="4"/>
      <c r="L8" s="4"/>
      <c r="M8" s="4"/>
      <c r="N8" s="214"/>
      <c r="O8" s="214"/>
    </row>
    <row r="9" spans="1:15" ht="15" x14ac:dyDescent="0.25">
      <c r="A9" s="40" t="s">
        <v>76</v>
      </c>
      <c r="B9" s="4">
        <f>+'Scenario 2 Inc Exp Statement'!B28</f>
        <v>2944000</v>
      </c>
      <c r="C9" s="217">
        <f>+'GF &amp; FF  Inc Exp Statement'!C38</f>
        <v>0</v>
      </c>
      <c r="D9" s="4">
        <f>+'Scenario 2 Inc Exp Statement'!D28</f>
        <v>0</v>
      </c>
      <c r="E9" s="4">
        <f>+'Scenario 2 Inc Exp Statement'!E28</f>
        <v>103739.76394675672</v>
      </c>
      <c r="F9" s="4">
        <f>+'Scenario 2 Inc Exp Statement'!F28</f>
        <v>308909.95306405425</v>
      </c>
      <c r="G9" s="4">
        <f>+'Scenario 2 Inc Exp Statement'!G28</f>
        <v>434790.09293688461</v>
      </c>
      <c r="H9" s="4">
        <f>+'Scenario 2 Inc Exp Statement'!H28</f>
        <v>825152.94458618015</v>
      </c>
      <c r="I9" s="4">
        <f>+'Scenario 2 Inc Exp Statement'!I28</f>
        <v>789259.44459495693</v>
      </c>
      <c r="J9" s="4">
        <f>+'Scenario 2 Inc Exp Statement'!J28</f>
        <v>535662.33781281114</v>
      </c>
      <c r="K9" s="4">
        <f>+'Scenario 2 Inc Exp Statement'!K28</f>
        <v>632160.84402335435</v>
      </c>
      <c r="L9" s="4">
        <f>+'Scenario 2 Inc Exp Statement'!L28</f>
        <v>580835.38523375988</v>
      </c>
      <c r="M9" s="4">
        <f>+'Scenario 2 Inc Exp Statement'!M28</f>
        <v>520893.5212347284</v>
      </c>
      <c r="N9" s="214">
        <f>+'Scenario 2 Inc Exp Statement'!N28</f>
        <v>520893.5212347284</v>
      </c>
      <c r="O9" s="214">
        <f>+'Scenario 2 Inc Exp Statement'!O28</f>
        <v>520893.5212347284</v>
      </c>
    </row>
    <row r="10" spans="1:15" ht="15" x14ac:dyDescent="0.25">
      <c r="B10" s="4"/>
      <c r="C10" s="214"/>
      <c r="D10" s="4"/>
      <c r="E10" s="4"/>
      <c r="F10" s="4"/>
      <c r="G10" s="4"/>
      <c r="H10" s="4"/>
      <c r="I10" s="4"/>
      <c r="J10" s="4"/>
      <c r="K10" s="4"/>
      <c r="L10" s="4"/>
      <c r="M10" s="4"/>
      <c r="N10" s="214"/>
      <c r="O10" s="214"/>
    </row>
    <row r="11" spans="1:15" s="40" customFormat="1" ht="15" x14ac:dyDescent="0.25">
      <c r="A11" s="40" t="s">
        <v>105</v>
      </c>
      <c r="B11" s="45">
        <f>+B9</f>
        <v>2944000</v>
      </c>
      <c r="C11" s="220">
        <f t="shared" ref="C11" si="6">+C9</f>
        <v>0</v>
      </c>
      <c r="D11" s="45">
        <f t="shared" ref="D11:M11" si="7">+D9</f>
        <v>0</v>
      </c>
      <c r="E11" s="45">
        <f t="shared" si="7"/>
        <v>103739.76394675672</v>
      </c>
      <c r="F11" s="45">
        <f t="shared" si="7"/>
        <v>308909.95306405425</v>
      </c>
      <c r="G11" s="45">
        <f t="shared" si="7"/>
        <v>434790.09293688461</v>
      </c>
      <c r="H11" s="45">
        <f t="shared" si="7"/>
        <v>825152.94458618015</v>
      </c>
      <c r="I11" s="45">
        <f t="shared" si="7"/>
        <v>789259.44459495693</v>
      </c>
      <c r="J11" s="45">
        <f t="shared" si="7"/>
        <v>535662.33781281114</v>
      </c>
      <c r="K11" s="45">
        <f t="shared" si="7"/>
        <v>632160.84402335435</v>
      </c>
      <c r="L11" s="45">
        <f t="shared" si="7"/>
        <v>580835.38523375988</v>
      </c>
      <c r="M11" s="45">
        <f t="shared" si="7"/>
        <v>520893.5212347284</v>
      </c>
      <c r="N11" s="168">
        <f t="shared" ref="N11:O11" si="8">+N9</f>
        <v>520893.5212347284</v>
      </c>
      <c r="O11" s="168">
        <f t="shared" si="8"/>
        <v>520893.5212347284</v>
      </c>
    </row>
    <row r="12" spans="1:15" s="40" customFormat="1" ht="15.75" thickBot="1" x14ac:dyDescent="0.3">
      <c r="A12" s="40" t="s">
        <v>106</v>
      </c>
      <c r="B12" s="46">
        <f t="shared" ref="B12:M12" si="9">+B7+B11</f>
        <v>158027000</v>
      </c>
      <c r="C12" s="169">
        <f t="shared" si="9"/>
        <v>158027000</v>
      </c>
      <c r="D12" s="46">
        <f t="shared" si="9"/>
        <v>158027000</v>
      </c>
      <c r="E12" s="46">
        <f t="shared" si="9"/>
        <v>158130739.76394677</v>
      </c>
      <c r="F12" s="46">
        <f t="shared" si="9"/>
        <v>158439649.71701083</v>
      </c>
      <c r="G12" s="46">
        <f t="shared" si="9"/>
        <v>158874439.8099477</v>
      </c>
      <c r="H12" s="46">
        <f t="shared" si="9"/>
        <v>159699592.75453389</v>
      </c>
      <c r="I12" s="46">
        <f t="shared" si="9"/>
        <v>160488852.19912884</v>
      </c>
      <c r="J12" s="46">
        <f t="shared" si="9"/>
        <v>161024514.53694165</v>
      </c>
      <c r="K12" s="46">
        <f t="shared" si="9"/>
        <v>161656675.38096499</v>
      </c>
      <c r="L12" s="46">
        <f t="shared" si="9"/>
        <v>162237510.76619875</v>
      </c>
      <c r="M12" s="46">
        <f t="shared" si="9"/>
        <v>162758404.28743348</v>
      </c>
      <c r="N12" s="169">
        <f t="shared" ref="N12:O12" si="10">+N7+N11</f>
        <v>163279298.8086682</v>
      </c>
      <c r="O12" s="169">
        <f t="shared" si="10"/>
        <v>163800194.32990292</v>
      </c>
    </row>
    <row r="13" spans="1:15" ht="15" x14ac:dyDescent="0.25">
      <c r="B13" s="4"/>
      <c r="C13" s="214"/>
      <c r="D13" s="4"/>
      <c r="E13" s="4"/>
      <c r="F13" s="4"/>
      <c r="G13" s="4"/>
      <c r="H13" s="4"/>
      <c r="I13" s="4"/>
      <c r="J13" s="4"/>
      <c r="K13" s="4"/>
      <c r="L13" s="4"/>
      <c r="M13" s="4"/>
      <c r="N13" s="214"/>
      <c r="O13" s="214"/>
    </row>
    <row r="14" spans="1:15" ht="15" x14ac:dyDescent="0.25">
      <c r="A14" s="40" t="s">
        <v>107</v>
      </c>
      <c r="B14" s="4"/>
      <c r="C14" s="214"/>
      <c r="D14" s="4"/>
      <c r="E14" s="4"/>
      <c r="F14" s="4"/>
      <c r="G14" s="4"/>
      <c r="H14" s="4"/>
      <c r="I14" s="4"/>
      <c r="J14" s="4"/>
      <c r="K14" s="4"/>
      <c r="L14" s="4"/>
      <c r="M14" s="4"/>
      <c r="N14" s="214"/>
      <c r="O14" s="214"/>
    </row>
    <row r="15" spans="1:15" ht="15" x14ac:dyDescent="0.25">
      <c r="A15" s="40" t="s">
        <v>100</v>
      </c>
      <c r="B15" s="4">
        <v>123156000</v>
      </c>
      <c r="C15" s="214">
        <f>+B21</f>
        <v>123156000</v>
      </c>
      <c r="D15" s="4">
        <f t="shared" ref="D15:M15" si="11">+C21</f>
        <v>125016000</v>
      </c>
      <c r="E15" s="4">
        <f t="shared" si="11"/>
        <v>125016000</v>
      </c>
      <c r="F15" s="4">
        <f t="shared" si="11"/>
        <v>125016000</v>
      </c>
      <c r="G15" s="4">
        <f t="shared" si="11"/>
        <v>125016000</v>
      </c>
      <c r="H15" s="4">
        <f t="shared" si="11"/>
        <v>125016000</v>
      </c>
      <c r="I15" s="4">
        <f t="shared" si="11"/>
        <v>125016000</v>
      </c>
      <c r="J15" s="4">
        <f t="shared" si="11"/>
        <v>125016000</v>
      </c>
      <c r="K15" s="4">
        <f t="shared" si="11"/>
        <v>125016000</v>
      </c>
      <c r="L15" s="4">
        <f t="shared" si="11"/>
        <v>125016000</v>
      </c>
      <c r="M15" s="4">
        <f t="shared" si="11"/>
        <v>125016000</v>
      </c>
      <c r="N15" s="214">
        <f t="shared" ref="N15" si="12">+M21</f>
        <v>125016000</v>
      </c>
      <c r="O15" s="214">
        <f t="shared" ref="O15" si="13">+N21</f>
        <v>125016000</v>
      </c>
    </row>
    <row r="16" spans="1:15" ht="15" x14ac:dyDescent="0.25">
      <c r="A16" s="5" t="s">
        <v>101</v>
      </c>
      <c r="B16" s="118">
        <v>0</v>
      </c>
      <c r="C16" s="216">
        <v>0</v>
      </c>
      <c r="D16" s="118">
        <v>0</v>
      </c>
      <c r="E16" s="118">
        <v>0</v>
      </c>
      <c r="F16" s="118">
        <v>0</v>
      </c>
      <c r="G16" s="118">
        <v>0</v>
      </c>
      <c r="H16" s="118">
        <v>0</v>
      </c>
      <c r="I16" s="118">
        <v>0</v>
      </c>
      <c r="J16" s="118">
        <v>0</v>
      </c>
      <c r="K16" s="118">
        <v>0</v>
      </c>
      <c r="L16" s="118">
        <v>0</v>
      </c>
      <c r="M16" s="118">
        <v>0</v>
      </c>
      <c r="N16" s="216">
        <v>1</v>
      </c>
      <c r="O16" s="216">
        <v>2</v>
      </c>
    </row>
    <row r="17" spans="1:15" ht="15" x14ac:dyDescent="0.25">
      <c r="A17" s="40" t="s">
        <v>102</v>
      </c>
      <c r="B17" s="27">
        <f>SUM(B15:B16)</f>
        <v>123156000</v>
      </c>
      <c r="C17" s="163">
        <f t="shared" ref="C17" si="14">SUM(C15:C16)</f>
        <v>123156000</v>
      </c>
      <c r="D17" s="27">
        <f t="shared" ref="D17:M17" si="15">SUM(D15:D16)</f>
        <v>125016000</v>
      </c>
      <c r="E17" s="27">
        <f t="shared" si="15"/>
        <v>125016000</v>
      </c>
      <c r="F17" s="27">
        <f t="shared" si="15"/>
        <v>125016000</v>
      </c>
      <c r="G17" s="27">
        <f t="shared" si="15"/>
        <v>125016000</v>
      </c>
      <c r="H17" s="27">
        <f t="shared" si="15"/>
        <v>125016000</v>
      </c>
      <c r="I17" s="27">
        <f t="shared" si="15"/>
        <v>125016000</v>
      </c>
      <c r="J17" s="27">
        <f t="shared" si="15"/>
        <v>125016000</v>
      </c>
      <c r="K17" s="27">
        <f t="shared" si="15"/>
        <v>125016000</v>
      </c>
      <c r="L17" s="27">
        <f t="shared" si="15"/>
        <v>125016000</v>
      </c>
      <c r="M17" s="27">
        <f t="shared" si="15"/>
        <v>125016000</v>
      </c>
      <c r="N17" s="163">
        <f t="shared" ref="N17:O17" si="16">SUM(N15:N16)</f>
        <v>125016001</v>
      </c>
      <c r="O17" s="163">
        <f t="shared" si="16"/>
        <v>125016002</v>
      </c>
    </row>
    <row r="18" spans="1:15" ht="15" x14ac:dyDescent="0.25">
      <c r="B18" s="4"/>
      <c r="C18" s="214"/>
      <c r="D18" s="4"/>
      <c r="E18" s="4"/>
      <c r="F18" s="4"/>
      <c r="G18" s="4"/>
      <c r="H18" s="4"/>
      <c r="I18" s="4"/>
      <c r="J18" s="4"/>
      <c r="K18" s="4"/>
      <c r="L18" s="4"/>
      <c r="M18" s="4"/>
      <c r="N18" s="214"/>
      <c r="O18" s="214"/>
    </row>
    <row r="19" spans="1:15" ht="15" x14ac:dyDescent="0.25">
      <c r="A19" t="s">
        <v>104</v>
      </c>
      <c r="B19" s="116">
        <v>0</v>
      </c>
      <c r="C19" s="217">
        <v>1860000</v>
      </c>
      <c r="D19" s="116">
        <v>0</v>
      </c>
      <c r="E19" s="116">
        <v>0</v>
      </c>
      <c r="F19" s="116">
        <v>0</v>
      </c>
      <c r="G19" s="116">
        <v>0</v>
      </c>
      <c r="H19" s="116">
        <v>0</v>
      </c>
      <c r="I19" s="116">
        <v>0</v>
      </c>
      <c r="J19" s="116">
        <v>0</v>
      </c>
      <c r="K19" s="116">
        <v>0</v>
      </c>
      <c r="L19" s="116">
        <v>0</v>
      </c>
      <c r="M19" s="116">
        <v>0</v>
      </c>
      <c r="N19" s="217">
        <v>1</v>
      </c>
      <c r="O19" s="217">
        <v>2</v>
      </c>
    </row>
    <row r="20" spans="1:15" s="44" customFormat="1" ht="15" x14ac:dyDescent="0.25">
      <c r="A20" s="40" t="s">
        <v>105</v>
      </c>
      <c r="B20" s="45">
        <f>+B17+B19</f>
        <v>123156000</v>
      </c>
      <c r="C20" s="168">
        <f>C17+C19</f>
        <v>125016000</v>
      </c>
      <c r="D20" s="45">
        <f t="shared" ref="D20:M20" si="17">+C20</f>
        <v>125016000</v>
      </c>
      <c r="E20" s="45">
        <f t="shared" si="17"/>
        <v>125016000</v>
      </c>
      <c r="F20" s="45">
        <f t="shared" si="17"/>
        <v>125016000</v>
      </c>
      <c r="G20" s="45">
        <f t="shared" si="17"/>
        <v>125016000</v>
      </c>
      <c r="H20" s="45">
        <f t="shared" si="17"/>
        <v>125016000</v>
      </c>
      <c r="I20" s="45">
        <f t="shared" si="17"/>
        <v>125016000</v>
      </c>
      <c r="J20" s="45">
        <f t="shared" si="17"/>
        <v>125016000</v>
      </c>
      <c r="K20" s="45">
        <f t="shared" si="17"/>
        <v>125016000</v>
      </c>
      <c r="L20" s="45">
        <f t="shared" si="17"/>
        <v>125016000</v>
      </c>
      <c r="M20" s="45">
        <f t="shared" si="17"/>
        <v>125016000</v>
      </c>
      <c r="N20" s="168">
        <f t="shared" ref="N20" si="18">+M20</f>
        <v>125016000</v>
      </c>
      <c r="O20" s="168">
        <f t="shared" ref="O20" si="19">+N20</f>
        <v>125016000</v>
      </c>
    </row>
    <row r="21" spans="1:15" s="44" customFormat="1" ht="15.75" thickBot="1" x14ac:dyDescent="0.3">
      <c r="A21" s="40" t="s">
        <v>106</v>
      </c>
      <c r="B21" s="46">
        <f>+B20</f>
        <v>123156000</v>
      </c>
      <c r="C21" s="169">
        <f t="shared" ref="C21" si="20">+C20</f>
        <v>125016000</v>
      </c>
      <c r="D21" s="46">
        <f t="shared" ref="D21:M21" si="21">+D20</f>
        <v>125016000</v>
      </c>
      <c r="E21" s="46">
        <f t="shared" si="21"/>
        <v>125016000</v>
      </c>
      <c r="F21" s="46">
        <f t="shared" si="21"/>
        <v>125016000</v>
      </c>
      <c r="G21" s="46">
        <f t="shared" si="21"/>
        <v>125016000</v>
      </c>
      <c r="H21" s="46">
        <f t="shared" si="21"/>
        <v>125016000</v>
      </c>
      <c r="I21" s="46">
        <f t="shared" si="21"/>
        <v>125016000</v>
      </c>
      <c r="J21" s="46">
        <f t="shared" si="21"/>
        <v>125016000</v>
      </c>
      <c r="K21" s="46">
        <f t="shared" si="21"/>
        <v>125016000</v>
      </c>
      <c r="L21" s="46">
        <f t="shared" si="21"/>
        <v>125016000</v>
      </c>
      <c r="M21" s="46">
        <f t="shared" si="21"/>
        <v>125016000</v>
      </c>
      <c r="N21" s="169">
        <f t="shared" ref="N21:O21" si="22">+N20</f>
        <v>125016000</v>
      </c>
      <c r="O21" s="169">
        <f t="shared" si="22"/>
        <v>125016000</v>
      </c>
    </row>
    <row r="22" spans="1:15" ht="15" x14ac:dyDescent="0.25">
      <c r="B22" s="4"/>
      <c r="C22" s="214"/>
      <c r="D22" s="4"/>
      <c r="E22" s="4"/>
      <c r="F22" s="4"/>
      <c r="G22" s="4"/>
      <c r="H22" s="4"/>
      <c r="I22" s="4"/>
      <c r="J22" s="4"/>
      <c r="K22" s="4"/>
      <c r="L22" s="4"/>
      <c r="M22" s="4"/>
      <c r="N22" s="214"/>
      <c r="O22" s="214"/>
    </row>
    <row r="23" spans="1:15" ht="15" x14ac:dyDescent="0.25">
      <c r="A23" s="40" t="s">
        <v>108</v>
      </c>
      <c r="N23" s="221"/>
      <c r="O23" s="221"/>
    </row>
    <row r="24" spans="1:15" ht="15" x14ac:dyDescent="0.25">
      <c r="A24" s="40" t="s">
        <v>100</v>
      </c>
      <c r="B24" s="4">
        <f>+B5+B15</f>
        <v>278263000</v>
      </c>
      <c r="C24" s="214">
        <f t="shared" ref="C24:C25" si="23">+C5+C15</f>
        <v>281183000</v>
      </c>
      <c r="D24" s="4">
        <f t="shared" ref="D24:M25" si="24">+D5+D15</f>
        <v>283043000</v>
      </c>
      <c r="E24" s="4">
        <f t="shared" si="24"/>
        <v>283043000</v>
      </c>
      <c r="F24" s="4">
        <f t="shared" si="24"/>
        <v>283146739.76394677</v>
      </c>
      <c r="G24" s="4">
        <f t="shared" si="24"/>
        <v>283455649.71701086</v>
      </c>
      <c r="H24" s="4">
        <f t="shared" si="24"/>
        <v>283890439.80994773</v>
      </c>
      <c r="I24" s="4">
        <f t="shared" si="24"/>
        <v>284715592.75453389</v>
      </c>
      <c r="J24" s="4">
        <f t="shared" si="24"/>
        <v>285504852.19912887</v>
      </c>
      <c r="K24" s="4">
        <f t="shared" si="24"/>
        <v>286040514.53694165</v>
      </c>
      <c r="L24" s="4">
        <f t="shared" si="24"/>
        <v>286672675.38096499</v>
      </c>
      <c r="M24" s="4">
        <f t="shared" si="24"/>
        <v>287253510.76619875</v>
      </c>
      <c r="N24" s="214">
        <f t="shared" ref="N24:O24" si="25">+N5+N15</f>
        <v>287774404.28743351</v>
      </c>
      <c r="O24" s="214">
        <f t="shared" si="25"/>
        <v>288295298.8086682</v>
      </c>
    </row>
    <row r="25" spans="1:15" ht="15" x14ac:dyDescent="0.25">
      <c r="A25" s="5" t="s">
        <v>101</v>
      </c>
      <c r="B25" s="118">
        <f>+B6+B16</f>
        <v>-24000</v>
      </c>
      <c r="C25" s="216">
        <f t="shared" si="23"/>
        <v>0</v>
      </c>
      <c r="D25" s="118">
        <f t="shared" si="24"/>
        <v>0</v>
      </c>
      <c r="E25" s="118">
        <f t="shared" si="24"/>
        <v>0</v>
      </c>
      <c r="F25" s="118">
        <f t="shared" si="24"/>
        <v>0</v>
      </c>
      <c r="G25" s="118">
        <f t="shared" si="24"/>
        <v>0</v>
      </c>
      <c r="H25" s="118">
        <f t="shared" si="24"/>
        <v>0</v>
      </c>
      <c r="I25" s="118">
        <f t="shared" si="24"/>
        <v>0</v>
      </c>
      <c r="J25" s="118">
        <f t="shared" si="24"/>
        <v>0</v>
      </c>
      <c r="K25" s="118">
        <f t="shared" si="24"/>
        <v>0</v>
      </c>
      <c r="L25" s="118">
        <f t="shared" si="24"/>
        <v>0</v>
      </c>
      <c r="M25" s="118">
        <f t="shared" si="24"/>
        <v>0</v>
      </c>
      <c r="N25" s="216">
        <f t="shared" ref="N25:O25" si="26">+N6+N16</f>
        <v>2</v>
      </c>
      <c r="O25" s="216">
        <f t="shared" si="26"/>
        <v>4</v>
      </c>
    </row>
    <row r="26" spans="1:15" ht="15" x14ac:dyDescent="0.25">
      <c r="A26" s="40" t="s">
        <v>102</v>
      </c>
      <c r="B26" s="4">
        <f>SUM(B24:B25)</f>
        <v>278239000</v>
      </c>
      <c r="C26" s="214">
        <f t="shared" ref="C26" si="27">SUM(C24:C25)</f>
        <v>281183000</v>
      </c>
      <c r="D26" s="4">
        <f t="shared" ref="D26:M26" si="28">SUM(D24:D25)</f>
        <v>283043000</v>
      </c>
      <c r="E26" s="4">
        <f t="shared" si="28"/>
        <v>283043000</v>
      </c>
      <c r="F26" s="4">
        <f t="shared" si="28"/>
        <v>283146739.76394677</v>
      </c>
      <c r="G26" s="4">
        <f t="shared" si="28"/>
        <v>283455649.71701086</v>
      </c>
      <c r="H26" s="4">
        <f t="shared" si="28"/>
        <v>283890439.80994773</v>
      </c>
      <c r="I26" s="4">
        <f t="shared" si="28"/>
        <v>284715592.75453389</v>
      </c>
      <c r="J26" s="4">
        <f t="shared" si="28"/>
        <v>285504852.19912887</v>
      </c>
      <c r="K26" s="4">
        <f t="shared" si="28"/>
        <v>286040514.53694165</v>
      </c>
      <c r="L26" s="4">
        <f t="shared" si="28"/>
        <v>286672675.38096499</v>
      </c>
      <c r="M26" s="4">
        <f t="shared" si="28"/>
        <v>287253510.76619875</v>
      </c>
      <c r="N26" s="214">
        <f t="shared" ref="N26:O26" si="29">SUM(N24:N25)</f>
        <v>287774406.28743351</v>
      </c>
      <c r="O26" s="214">
        <f t="shared" si="29"/>
        <v>288295302.8086682</v>
      </c>
    </row>
    <row r="27" spans="1:15" ht="15" x14ac:dyDescent="0.25">
      <c r="B27" s="4"/>
      <c r="C27" s="214"/>
      <c r="D27" s="4"/>
      <c r="E27" s="4"/>
      <c r="F27" s="4"/>
      <c r="G27" s="4"/>
      <c r="H27" s="4"/>
      <c r="I27" s="4"/>
      <c r="J27" s="4"/>
      <c r="K27" s="4"/>
      <c r="L27" s="4"/>
      <c r="M27" s="4"/>
      <c r="N27" s="214"/>
      <c r="O27" s="214"/>
    </row>
    <row r="28" spans="1:15" ht="15" x14ac:dyDescent="0.25">
      <c r="A28" s="40" t="s">
        <v>76</v>
      </c>
      <c r="B28" s="4">
        <f>+B9</f>
        <v>2944000</v>
      </c>
      <c r="C28" s="217">
        <f t="shared" ref="C28" si="30">+C9</f>
        <v>0</v>
      </c>
      <c r="D28" s="4">
        <f t="shared" ref="D28:M28" si="31">+D9</f>
        <v>0</v>
      </c>
      <c r="E28" s="4">
        <f t="shared" si="31"/>
        <v>103739.76394675672</v>
      </c>
      <c r="F28" s="4">
        <f t="shared" si="31"/>
        <v>308909.95306405425</v>
      </c>
      <c r="G28" s="4">
        <f t="shared" si="31"/>
        <v>434790.09293688461</v>
      </c>
      <c r="H28" s="4">
        <f t="shared" si="31"/>
        <v>825152.94458618015</v>
      </c>
      <c r="I28" s="4">
        <f t="shared" si="31"/>
        <v>789259.44459495693</v>
      </c>
      <c r="J28" s="4">
        <f t="shared" si="31"/>
        <v>535662.33781281114</v>
      </c>
      <c r="K28" s="4">
        <f t="shared" si="31"/>
        <v>632160.84402335435</v>
      </c>
      <c r="L28" s="4">
        <f t="shared" si="31"/>
        <v>580835.38523375988</v>
      </c>
      <c r="M28" s="4">
        <f t="shared" si="31"/>
        <v>520893.5212347284</v>
      </c>
      <c r="N28" s="214">
        <f t="shared" ref="N28:O28" si="32">+N9</f>
        <v>520893.5212347284</v>
      </c>
      <c r="O28" s="214">
        <f t="shared" si="32"/>
        <v>520893.5212347284</v>
      </c>
    </row>
    <row r="29" spans="1:15" ht="15" x14ac:dyDescent="0.25">
      <c r="B29" s="4"/>
      <c r="C29" s="214"/>
      <c r="D29" s="4"/>
      <c r="E29" s="4"/>
      <c r="F29" s="4"/>
      <c r="G29" s="4"/>
      <c r="H29" s="4"/>
      <c r="I29" s="4"/>
      <c r="J29" s="4"/>
      <c r="K29" s="4"/>
      <c r="L29" s="4"/>
      <c r="M29" s="4"/>
      <c r="N29" s="214"/>
      <c r="O29" s="214"/>
    </row>
    <row r="30" spans="1:15" s="40" customFormat="1" ht="15" x14ac:dyDescent="0.25">
      <c r="A30" s="40" t="s">
        <v>105</v>
      </c>
      <c r="B30" s="45">
        <f>+B11</f>
        <v>2944000</v>
      </c>
      <c r="C30" s="220">
        <f t="shared" ref="C30" si="33">+C28</f>
        <v>0</v>
      </c>
      <c r="D30" s="45">
        <f t="shared" ref="D30:M30" si="34">+D28</f>
        <v>0</v>
      </c>
      <c r="E30" s="45">
        <f t="shared" si="34"/>
        <v>103739.76394675672</v>
      </c>
      <c r="F30" s="45">
        <f t="shared" si="34"/>
        <v>308909.95306405425</v>
      </c>
      <c r="G30" s="45">
        <f t="shared" si="34"/>
        <v>434790.09293688461</v>
      </c>
      <c r="H30" s="45">
        <f t="shared" si="34"/>
        <v>825152.94458618015</v>
      </c>
      <c r="I30" s="45">
        <f t="shared" si="34"/>
        <v>789259.44459495693</v>
      </c>
      <c r="J30" s="45">
        <f t="shared" si="34"/>
        <v>535662.33781281114</v>
      </c>
      <c r="K30" s="45">
        <f t="shared" si="34"/>
        <v>632160.84402335435</v>
      </c>
      <c r="L30" s="45">
        <f t="shared" si="34"/>
        <v>580835.38523375988</v>
      </c>
      <c r="M30" s="45">
        <f t="shared" si="34"/>
        <v>520893.5212347284</v>
      </c>
      <c r="N30" s="168">
        <f t="shared" ref="N30:O30" si="35">+N28</f>
        <v>520893.5212347284</v>
      </c>
      <c r="O30" s="168">
        <f t="shared" si="35"/>
        <v>520893.5212347284</v>
      </c>
    </row>
    <row r="31" spans="1:15" s="1" customFormat="1" ht="15.75" thickBot="1" x14ac:dyDescent="0.3">
      <c r="A31" t="s">
        <v>104</v>
      </c>
      <c r="B31" s="117">
        <f>+B19</f>
        <v>0</v>
      </c>
      <c r="C31" s="205">
        <f t="shared" ref="C31" si="36">+C19</f>
        <v>1860000</v>
      </c>
      <c r="D31" s="117">
        <f t="shared" ref="D31:M31" si="37">+D19</f>
        <v>0</v>
      </c>
      <c r="E31" s="117">
        <f t="shared" si="37"/>
        <v>0</v>
      </c>
      <c r="F31" s="117">
        <f t="shared" si="37"/>
        <v>0</v>
      </c>
      <c r="G31" s="117">
        <f t="shared" si="37"/>
        <v>0</v>
      </c>
      <c r="H31" s="117">
        <f t="shared" si="37"/>
        <v>0</v>
      </c>
      <c r="I31" s="117">
        <f t="shared" si="37"/>
        <v>0</v>
      </c>
      <c r="J31" s="117">
        <f t="shared" si="37"/>
        <v>0</v>
      </c>
      <c r="K31" s="117">
        <f t="shared" si="37"/>
        <v>0</v>
      </c>
      <c r="L31" s="117">
        <f t="shared" si="37"/>
        <v>0</v>
      </c>
      <c r="M31" s="117">
        <f t="shared" si="37"/>
        <v>0</v>
      </c>
      <c r="N31" s="205">
        <f t="shared" ref="N31:O31" si="38">+N19</f>
        <v>1</v>
      </c>
      <c r="O31" s="205">
        <f t="shared" si="38"/>
        <v>2</v>
      </c>
    </row>
    <row r="32" spans="1:15" s="36" customFormat="1" ht="16.5" thickBot="1" x14ac:dyDescent="0.3">
      <c r="A32" s="36" t="s">
        <v>106</v>
      </c>
      <c r="B32" s="49">
        <f>+B26+B30+B31</f>
        <v>281183000</v>
      </c>
      <c r="C32" s="172">
        <f t="shared" ref="C32" si="39">+C26+C30+C31</f>
        <v>283043000</v>
      </c>
      <c r="D32" s="49">
        <f t="shared" ref="D32:M32" si="40">+D26+D30+D31</f>
        <v>283043000</v>
      </c>
      <c r="E32" s="49">
        <f t="shared" si="40"/>
        <v>283146739.76394677</v>
      </c>
      <c r="F32" s="49">
        <f t="shared" si="40"/>
        <v>283455649.71701086</v>
      </c>
      <c r="G32" s="49">
        <f t="shared" si="40"/>
        <v>283890439.80994773</v>
      </c>
      <c r="H32" s="49">
        <f t="shared" si="40"/>
        <v>284715592.75453389</v>
      </c>
      <c r="I32" s="49">
        <f t="shared" si="40"/>
        <v>285504852.19912887</v>
      </c>
      <c r="J32" s="49">
        <f t="shared" si="40"/>
        <v>286040514.53694165</v>
      </c>
      <c r="K32" s="49">
        <f t="shared" si="40"/>
        <v>286672675.38096499</v>
      </c>
      <c r="L32" s="49">
        <f t="shared" si="40"/>
        <v>287253510.76619875</v>
      </c>
      <c r="M32" s="49">
        <f t="shared" si="40"/>
        <v>287774404.28743351</v>
      </c>
      <c r="N32" s="172">
        <f t="shared" ref="N32:O32" si="41">+N26+N30+N31</f>
        <v>288295300.80866826</v>
      </c>
      <c r="O32" s="172">
        <f t="shared" si="41"/>
        <v>288816198.32990295</v>
      </c>
    </row>
    <row r="33" spans="1:15" ht="15.75" thickTop="1" x14ac:dyDescent="0.25">
      <c r="B33" s="4"/>
      <c r="C33" s="214"/>
      <c r="D33" s="4"/>
      <c r="E33" s="4"/>
      <c r="F33" s="4"/>
      <c r="G33" s="4"/>
      <c r="H33" s="4"/>
      <c r="I33" s="4"/>
      <c r="J33" s="4"/>
      <c r="K33" s="4"/>
      <c r="L33" s="4"/>
      <c r="M33" s="4"/>
      <c r="N33" s="214"/>
      <c r="O33" s="214"/>
    </row>
    <row r="34" spans="1:15" ht="15" x14ac:dyDescent="0.25">
      <c r="N34" s="221"/>
      <c r="O34" s="221"/>
    </row>
    <row r="35" spans="1:15" s="17" customFormat="1" ht="15" x14ac:dyDescent="0.25">
      <c r="A35" s="112" t="s">
        <v>426</v>
      </c>
      <c r="B35" s="19" t="s">
        <v>69</v>
      </c>
      <c r="C35" s="213" t="s">
        <v>69</v>
      </c>
      <c r="D35" s="19" t="s">
        <v>70</v>
      </c>
      <c r="E35" s="19" t="s">
        <v>71</v>
      </c>
      <c r="F35" s="19" t="s">
        <v>71</v>
      </c>
      <c r="G35" s="19" t="s">
        <v>71</v>
      </c>
      <c r="H35" s="19" t="s">
        <v>71</v>
      </c>
      <c r="I35" s="19" t="s">
        <v>71</v>
      </c>
      <c r="J35" s="19" t="s">
        <v>71</v>
      </c>
      <c r="K35" s="19" t="s">
        <v>71</v>
      </c>
      <c r="L35" s="19" t="s">
        <v>71</v>
      </c>
      <c r="M35" s="19" t="s">
        <v>71</v>
      </c>
      <c r="N35" s="213" t="s">
        <v>71</v>
      </c>
      <c r="O35" s="213" t="s">
        <v>71</v>
      </c>
    </row>
    <row r="36" spans="1:15" ht="15" x14ac:dyDescent="0.25">
      <c r="A36" s="18" t="s">
        <v>73</v>
      </c>
      <c r="B36" s="20" t="s">
        <v>60</v>
      </c>
      <c r="C36" s="159" t="s">
        <v>68</v>
      </c>
      <c r="D36" s="19" t="s">
        <v>0</v>
      </c>
      <c r="E36" s="19" t="s">
        <v>1</v>
      </c>
      <c r="F36" s="19" t="s">
        <v>2</v>
      </c>
      <c r="G36" s="19" t="s">
        <v>3</v>
      </c>
      <c r="H36" s="19" t="s">
        <v>4</v>
      </c>
      <c r="I36" s="19" t="s">
        <v>5</v>
      </c>
      <c r="J36" s="19" t="s">
        <v>6</v>
      </c>
      <c r="K36" s="19" t="s">
        <v>7</v>
      </c>
      <c r="L36" s="19" t="s">
        <v>8</v>
      </c>
      <c r="M36" s="19" t="s">
        <v>9</v>
      </c>
      <c r="N36" s="213" t="s">
        <v>514</v>
      </c>
      <c r="O36" s="213" t="s">
        <v>515</v>
      </c>
    </row>
    <row r="37" spans="1:15" s="25" customFormat="1" ht="15" x14ac:dyDescent="0.25">
      <c r="A37" s="22"/>
      <c r="B37" s="23"/>
      <c r="C37" s="161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</row>
    <row r="38" spans="1:15" ht="15" x14ac:dyDescent="0.25">
      <c r="A38" s="40" t="s">
        <v>103</v>
      </c>
      <c r="N38" s="221"/>
      <c r="O38" s="221"/>
    </row>
    <row r="39" spans="1:15" ht="15" x14ac:dyDescent="0.25">
      <c r="A39" s="40" t="s">
        <v>100</v>
      </c>
      <c r="B39" s="4">
        <v>155107000</v>
      </c>
      <c r="C39" s="214">
        <f>+B46</f>
        <v>158027000</v>
      </c>
      <c r="D39" s="4">
        <f t="shared" ref="D39:M39" si="42">+C46</f>
        <v>158027000</v>
      </c>
      <c r="E39" s="4">
        <f t="shared" si="42"/>
        <v>158027000</v>
      </c>
      <c r="F39" s="4">
        <f t="shared" si="42"/>
        <v>158119804.69516098</v>
      </c>
      <c r="G39" s="4">
        <f t="shared" si="42"/>
        <v>158417572.22785854</v>
      </c>
      <c r="H39" s="4">
        <f t="shared" si="42"/>
        <v>158841011.65687701</v>
      </c>
      <c r="I39" s="4">
        <f t="shared" si="42"/>
        <v>159654833.10358083</v>
      </c>
      <c r="J39" s="4">
        <f t="shared" si="42"/>
        <v>160432471.46936804</v>
      </c>
      <c r="K39" s="4">
        <f t="shared" si="42"/>
        <v>160956397.25733203</v>
      </c>
      <c r="L39" s="4">
        <f t="shared" si="42"/>
        <v>161577266.15423843</v>
      </c>
      <c r="M39" s="4">
        <f t="shared" si="42"/>
        <v>162146582.41690987</v>
      </c>
      <c r="N39" s="214">
        <f t="shared" ref="N39" si="43">+M46</f>
        <v>162655788.14264765</v>
      </c>
      <c r="O39" s="214">
        <f t="shared" ref="O39" si="44">+N46</f>
        <v>163164995.86838543</v>
      </c>
    </row>
    <row r="40" spans="1:15" ht="15" x14ac:dyDescent="0.25">
      <c r="A40" s="5" t="s">
        <v>101</v>
      </c>
      <c r="B40" s="118">
        <v>-24000</v>
      </c>
      <c r="C40" s="216">
        <v>0</v>
      </c>
      <c r="D40" s="118">
        <v>0</v>
      </c>
      <c r="E40" s="118">
        <v>0</v>
      </c>
      <c r="F40" s="118">
        <v>0</v>
      </c>
      <c r="G40" s="118">
        <v>0</v>
      </c>
      <c r="H40" s="118">
        <v>0</v>
      </c>
      <c r="I40" s="118">
        <v>0</v>
      </c>
      <c r="J40" s="118">
        <v>0</v>
      </c>
      <c r="K40" s="118">
        <v>0</v>
      </c>
      <c r="L40" s="118">
        <v>0</v>
      </c>
      <c r="M40" s="118">
        <v>0</v>
      </c>
      <c r="N40" s="216">
        <v>1</v>
      </c>
      <c r="O40" s="216">
        <v>2</v>
      </c>
    </row>
    <row r="41" spans="1:15" ht="15" x14ac:dyDescent="0.25">
      <c r="A41" s="40" t="s">
        <v>102</v>
      </c>
      <c r="B41" s="4">
        <f>SUM(B39:B40)</f>
        <v>155083000</v>
      </c>
      <c r="C41" s="214">
        <f t="shared" ref="C41" si="45">SUM(C39:C40)</f>
        <v>158027000</v>
      </c>
      <c r="D41" s="4">
        <f t="shared" ref="D41:M41" si="46">SUM(D39:D40)</f>
        <v>158027000</v>
      </c>
      <c r="E41" s="4">
        <f t="shared" si="46"/>
        <v>158027000</v>
      </c>
      <c r="F41" s="4">
        <f t="shared" si="46"/>
        <v>158119804.69516098</v>
      </c>
      <c r="G41" s="4">
        <f t="shared" si="46"/>
        <v>158417572.22785854</v>
      </c>
      <c r="H41" s="4">
        <f t="shared" si="46"/>
        <v>158841011.65687701</v>
      </c>
      <c r="I41" s="4">
        <f t="shared" si="46"/>
        <v>159654833.10358083</v>
      </c>
      <c r="J41" s="4">
        <f t="shared" si="46"/>
        <v>160432471.46936804</v>
      </c>
      <c r="K41" s="4">
        <f t="shared" si="46"/>
        <v>160956397.25733203</v>
      </c>
      <c r="L41" s="4">
        <f t="shared" si="46"/>
        <v>161577266.15423843</v>
      </c>
      <c r="M41" s="4">
        <f t="shared" si="46"/>
        <v>162146582.41690987</v>
      </c>
      <c r="N41" s="214">
        <f t="shared" ref="N41:O41" si="47">SUM(N39:N40)</f>
        <v>162655789.14264765</v>
      </c>
      <c r="O41" s="214">
        <f t="shared" si="47"/>
        <v>163164997.86838543</v>
      </c>
    </row>
    <row r="42" spans="1:15" ht="15" x14ac:dyDescent="0.25">
      <c r="B42" s="4"/>
      <c r="C42" s="214"/>
      <c r="D42" s="4"/>
      <c r="E42" s="4"/>
      <c r="F42" s="4"/>
      <c r="G42" s="4"/>
      <c r="H42" s="4"/>
      <c r="I42" s="4"/>
      <c r="J42" s="4"/>
      <c r="K42" s="4"/>
      <c r="L42" s="4"/>
      <c r="M42" s="4"/>
      <c r="N42" s="214"/>
      <c r="O42" s="214"/>
    </row>
    <row r="43" spans="1:15" ht="15" x14ac:dyDescent="0.25">
      <c r="A43" s="40" t="s">
        <v>76</v>
      </c>
      <c r="B43" s="4">
        <f>+'Scenario 2 Inc Exp Statement'!B75</f>
        <v>2944000</v>
      </c>
      <c r="C43" s="217">
        <f>+'GF &amp; FF  Inc Exp Statement'!C113</f>
        <v>0</v>
      </c>
      <c r="D43" s="4">
        <f>+'Scenario 2 Inc Exp Statement'!D75</f>
        <v>0</v>
      </c>
      <c r="E43" s="4">
        <f>+'Scenario 2 Inc Exp Statement'!E75</f>
        <v>92804.695160973817</v>
      </c>
      <c r="F43" s="4">
        <f>+'Scenario 2 Inc Exp Statement'!F75</f>
        <v>297767.53269756213</v>
      </c>
      <c r="G43" s="116">
        <f>+'Scenario 2 Inc Exp Statement'!G75</f>
        <v>423439.42901846394</v>
      </c>
      <c r="H43" s="116">
        <f>+'Scenario 2 Inc Exp Statement'!H75</f>
        <v>813821.44670383632</v>
      </c>
      <c r="I43" s="116">
        <f>+'Scenario 2 Inc Exp Statement'!I75</f>
        <v>777638.36578719318</v>
      </c>
      <c r="J43" s="116">
        <f>+'Scenario 2 Inc Exp Statement'!J75</f>
        <v>523925.78796397895</v>
      </c>
      <c r="K43" s="116">
        <f>+'Scenario 2 Inc Exp Statement'!K75</f>
        <v>620868.89690640569</v>
      </c>
      <c r="L43" s="116">
        <f>+'Scenario 2 Inc Exp Statement'!L75</f>
        <v>569316.26267142594</v>
      </c>
      <c r="M43" s="116">
        <f>+'Scenario 2 Inc Exp Statement'!M75</f>
        <v>509205.72573777288</v>
      </c>
      <c r="N43" s="217">
        <f>+'Scenario 2 Inc Exp Statement'!N75</f>
        <v>509206.72573777288</v>
      </c>
      <c r="O43" s="217">
        <f>+'Scenario 2 Inc Exp Statement'!O75</f>
        <v>509207.72573777288</v>
      </c>
    </row>
    <row r="44" spans="1:15" ht="15" x14ac:dyDescent="0.25">
      <c r="B44" s="4"/>
      <c r="C44" s="214"/>
      <c r="D44" s="4"/>
      <c r="E44" s="4"/>
      <c r="F44" s="4"/>
      <c r="G44" s="4"/>
      <c r="H44" s="4"/>
      <c r="I44" s="4"/>
      <c r="J44" s="4"/>
      <c r="K44" s="4"/>
      <c r="L44" s="4"/>
      <c r="M44" s="4"/>
      <c r="N44" s="214"/>
      <c r="O44" s="214"/>
    </row>
    <row r="45" spans="1:15" s="40" customFormat="1" ht="15" x14ac:dyDescent="0.25">
      <c r="A45" s="40" t="s">
        <v>105</v>
      </c>
      <c r="B45" s="45">
        <f>+B43</f>
        <v>2944000</v>
      </c>
      <c r="C45" s="220">
        <f t="shared" ref="C45" si="48">+C43</f>
        <v>0</v>
      </c>
      <c r="D45" s="45">
        <f t="shared" ref="D45:M45" si="49">+D43</f>
        <v>0</v>
      </c>
      <c r="E45" s="45">
        <f t="shared" si="49"/>
        <v>92804.695160973817</v>
      </c>
      <c r="F45" s="45">
        <f t="shared" si="49"/>
        <v>297767.53269756213</v>
      </c>
      <c r="G45" s="120">
        <f t="shared" si="49"/>
        <v>423439.42901846394</v>
      </c>
      <c r="H45" s="120">
        <f t="shared" si="49"/>
        <v>813821.44670383632</v>
      </c>
      <c r="I45" s="120">
        <f t="shared" si="49"/>
        <v>777638.36578719318</v>
      </c>
      <c r="J45" s="120">
        <f t="shared" si="49"/>
        <v>523925.78796397895</v>
      </c>
      <c r="K45" s="120">
        <f t="shared" si="49"/>
        <v>620868.89690640569</v>
      </c>
      <c r="L45" s="120">
        <f t="shared" si="49"/>
        <v>569316.26267142594</v>
      </c>
      <c r="M45" s="120">
        <f t="shared" si="49"/>
        <v>509205.72573777288</v>
      </c>
      <c r="N45" s="220">
        <f t="shared" ref="N45:O45" si="50">+N43</f>
        <v>509206.72573777288</v>
      </c>
      <c r="O45" s="220">
        <f t="shared" si="50"/>
        <v>509207.72573777288</v>
      </c>
    </row>
    <row r="46" spans="1:15" s="40" customFormat="1" ht="15.75" thickBot="1" x14ac:dyDescent="0.3">
      <c r="A46" s="40" t="s">
        <v>106</v>
      </c>
      <c r="B46" s="46">
        <f t="shared" ref="B46:M46" si="51">+B41+B45</f>
        <v>158027000</v>
      </c>
      <c r="C46" s="169">
        <f t="shared" si="51"/>
        <v>158027000</v>
      </c>
      <c r="D46" s="46">
        <f t="shared" si="51"/>
        <v>158027000</v>
      </c>
      <c r="E46" s="46">
        <f t="shared" si="51"/>
        <v>158119804.69516098</v>
      </c>
      <c r="F46" s="46">
        <f t="shared" si="51"/>
        <v>158417572.22785854</v>
      </c>
      <c r="G46" s="46">
        <f t="shared" si="51"/>
        <v>158841011.65687701</v>
      </c>
      <c r="H46" s="46">
        <f t="shared" si="51"/>
        <v>159654833.10358083</v>
      </c>
      <c r="I46" s="46">
        <f t="shared" si="51"/>
        <v>160432471.46936804</v>
      </c>
      <c r="J46" s="46">
        <f t="shared" si="51"/>
        <v>160956397.25733203</v>
      </c>
      <c r="K46" s="46">
        <f t="shared" si="51"/>
        <v>161577266.15423843</v>
      </c>
      <c r="L46" s="46">
        <f t="shared" si="51"/>
        <v>162146582.41690987</v>
      </c>
      <c r="M46" s="46">
        <f t="shared" si="51"/>
        <v>162655788.14264765</v>
      </c>
      <c r="N46" s="169">
        <f t="shared" ref="N46:O46" si="52">+N41+N45</f>
        <v>163164995.86838543</v>
      </c>
      <c r="O46" s="169">
        <f t="shared" si="52"/>
        <v>163674205.59412321</v>
      </c>
    </row>
    <row r="47" spans="1:15" ht="15" x14ac:dyDescent="0.25">
      <c r="B47" s="4"/>
      <c r="C47" s="214"/>
      <c r="D47" s="4"/>
      <c r="E47" s="4"/>
      <c r="F47" s="4"/>
      <c r="G47" s="4"/>
      <c r="H47" s="4"/>
      <c r="I47" s="4"/>
      <c r="J47" s="4"/>
      <c r="K47" s="4"/>
      <c r="L47" s="4"/>
      <c r="M47" s="4"/>
      <c r="N47" s="214"/>
      <c r="O47" s="214"/>
    </row>
    <row r="48" spans="1:15" ht="15" x14ac:dyDescent="0.25">
      <c r="A48" s="40" t="s">
        <v>107</v>
      </c>
      <c r="B48" s="4"/>
      <c r="C48" s="214"/>
      <c r="D48" s="4"/>
      <c r="E48" s="4"/>
      <c r="F48" s="4"/>
      <c r="G48" s="4"/>
      <c r="H48" s="4"/>
      <c r="I48" s="4"/>
      <c r="J48" s="4"/>
      <c r="K48" s="4"/>
      <c r="L48" s="4"/>
      <c r="M48" s="4"/>
      <c r="N48" s="214"/>
      <c r="O48" s="214"/>
    </row>
    <row r="49" spans="1:15" ht="15" x14ac:dyDescent="0.25">
      <c r="A49" s="40" t="s">
        <v>100</v>
      </c>
      <c r="B49" s="4">
        <v>123156000</v>
      </c>
      <c r="C49" s="214">
        <f>+B55</f>
        <v>123156000</v>
      </c>
      <c r="D49" s="4">
        <f t="shared" ref="D49:M49" si="53">+C55</f>
        <v>125016000</v>
      </c>
      <c r="E49" s="4">
        <f t="shared" si="53"/>
        <v>125016000</v>
      </c>
      <c r="F49" s="4">
        <f t="shared" si="53"/>
        <v>125016000</v>
      </c>
      <c r="G49" s="4">
        <f t="shared" si="53"/>
        <v>125016000</v>
      </c>
      <c r="H49" s="4">
        <f t="shared" si="53"/>
        <v>125016000</v>
      </c>
      <c r="I49" s="4">
        <f t="shared" si="53"/>
        <v>125016000</v>
      </c>
      <c r="J49" s="4">
        <f t="shared" si="53"/>
        <v>125016000</v>
      </c>
      <c r="K49" s="4">
        <f t="shared" si="53"/>
        <v>125016000</v>
      </c>
      <c r="L49" s="4">
        <f t="shared" si="53"/>
        <v>125016000</v>
      </c>
      <c r="M49" s="4">
        <f t="shared" si="53"/>
        <v>125016000</v>
      </c>
      <c r="N49" s="214">
        <f t="shared" ref="N49" si="54">+M55</f>
        <v>125016000</v>
      </c>
      <c r="O49" s="214">
        <f t="shared" ref="O49" si="55">+N55</f>
        <v>125016000</v>
      </c>
    </row>
    <row r="50" spans="1:15" ht="15" x14ac:dyDescent="0.25">
      <c r="A50" s="5" t="s">
        <v>101</v>
      </c>
      <c r="B50" s="118">
        <v>0</v>
      </c>
      <c r="C50" s="216">
        <v>0</v>
      </c>
      <c r="D50" s="118">
        <v>0</v>
      </c>
      <c r="E50" s="118">
        <v>0</v>
      </c>
      <c r="F50" s="118">
        <v>0</v>
      </c>
      <c r="G50" s="118">
        <v>0</v>
      </c>
      <c r="H50" s="118">
        <v>0</v>
      </c>
      <c r="I50" s="118">
        <v>0</v>
      </c>
      <c r="J50" s="118">
        <v>0</v>
      </c>
      <c r="K50" s="118">
        <v>0</v>
      </c>
      <c r="L50" s="118">
        <v>0</v>
      </c>
      <c r="M50" s="118">
        <v>0</v>
      </c>
      <c r="N50" s="216">
        <v>1</v>
      </c>
      <c r="O50" s="216">
        <v>2</v>
      </c>
    </row>
    <row r="51" spans="1:15" ht="15" x14ac:dyDescent="0.25">
      <c r="A51" s="40" t="s">
        <v>102</v>
      </c>
      <c r="B51" s="27">
        <f>SUM(B49:B50)</f>
        <v>123156000</v>
      </c>
      <c r="C51" s="163">
        <f t="shared" ref="C51" si="56">SUM(C49:C50)</f>
        <v>123156000</v>
      </c>
      <c r="D51" s="27">
        <f t="shared" ref="D51:M51" si="57">SUM(D49:D50)</f>
        <v>125016000</v>
      </c>
      <c r="E51" s="27">
        <f t="shared" si="57"/>
        <v>125016000</v>
      </c>
      <c r="F51" s="27">
        <f t="shared" si="57"/>
        <v>125016000</v>
      </c>
      <c r="G51" s="27">
        <f t="shared" si="57"/>
        <v>125016000</v>
      </c>
      <c r="H51" s="27">
        <f t="shared" si="57"/>
        <v>125016000</v>
      </c>
      <c r="I51" s="27">
        <f t="shared" si="57"/>
        <v>125016000</v>
      </c>
      <c r="J51" s="27">
        <f t="shared" si="57"/>
        <v>125016000</v>
      </c>
      <c r="K51" s="27">
        <f t="shared" si="57"/>
        <v>125016000</v>
      </c>
      <c r="L51" s="27">
        <f t="shared" si="57"/>
        <v>125016000</v>
      </c>
      <c r="M51" s="27">
        <f t="shared" si="57"/>
        <v>125016000</v>
      </c>
      <c r="N51" s="163">
        <f t="shared" ref="N51:O51" si="58">SUM(N49:N50)</f>
        <v>125016001</v>
      </c>
      <c r="O51" s="163">
        <f t="shared" si="58"/>
        <v>125016002</v>
      </c>
    </row>
    <row r="52" spans="1:15" ht="15" x14ac:dyDescent="0.25">
      <c r="B52" s="4"/>
      <c r="C52" s="214"/>
      <c r="D52" s="4"/>
      <c r="E52" s="4"/>
      <c r="F52" s="4"/>
      <c r="G52" s="4"/>
      <c r="H52" s="4"/>
      <c r="I52" s="4"/>
      <c r="J52" s="4"/>
      <c r="K52" s="4"/>
      <c r="L52" s="4"/>
      <c r="M52" s="4"/>
      <c r="N52" s="214"/>
      <c r="O52" s="214"/>
    </row>
    <row r="53" spans="1:15" ht="15" x14ac:dyDescent="0.25">
      <c r="A53" t="s">
        <v>104</v>
      </c>
      <c r="B53" s="116">
        <v>0</v>
      </c>
      <c r="C53" s="217">
        <f>C31</f>
        <v>1860000</v>
      </c>
      <c r="D53" s="116">
        <v>0</v>
      </c>
      <c r="E53" s="116">
        <v>0</v>
      </c>
      <c r="F53" s="116">
        <v>0</v>
      </c>
      <c r="G53" s="116">
        <v>0</v>
      </c>
      <c r="H53" s="116">
        <v>0</v>
      </c>
      <c r="I53" s="116">
        <v>0</v>
      </c>
      <c r="J53" s="116">
        <v>0</v>
      </c>
      <c r="K53" s="116">
        <v>0</v>
      </c>
      <c r="L53" s="116">
        <v>0</v>
      </c>
      <c r="M53" s="116">
        <v>0</v>
      </c>
      <c r="N53" s="217">
        <v>1</v>
      </c>
      <c r="O53" s="217">
        <v>2</v>
      </c>
    </row>
    <row r="54" spans="1:15" s="44" customFormat="1" ht="15" x14ac:dyDescent="0.25">
      <c r="A54" s="40" t="s">
        <v>105</v>
      </c>
      <c r="B54" s="45">
        <f>+B51+B53</f>
        <v>123156000</v>
      </c>
      <c r="C54" s="168">
        <f>C51+C53</f>
        <v>125016000</v>
      </c>
      <c r="D54" s="45">
        <f t="shared" ref="D54:M54" si="59">+C54</f>
        <v>125016000</v>
      </c>
      <c r="E54" s="45">
        <f t="shared" si="59"/>
        <v>125016000</v>
      </c>
      <c r="F54" s="45">
        <f t="shared" si="59"/>
        <v>125016000</v>
      </c>
      <c r="G54" s="45">
        <f t="shared" si="59"/>
        <v>125016000</v>
      </c>
      <c r="H54" s="45">
        <f t="shared" si="59"/>
        <v>125016000</v>
      </c>
      <c r="I54" s="45">
        <f t="shared" si="59"/>
        <v>125016000</v>
      </c>
      <c r="J54" s="45">
        <f t="shared" si="59"/>
        <v>125016000</v>
      </c>
      <c r="K54" s="45">
        <f t="shared" si="59"/>
        <v>125016000</v>
      </c>
      <c r="L54" s="45">
        <f t="shared" si="59"/>
        <v>125016000</v>
      </c>
      <c r="M54" s="45">
        <f t="shared" si="59"/>
        <v>125016000</v>
      </c>
      <c r="N54" s="168">
        <f t="shared" ref="N54" si="60">+M54</f>
        <v>125016000</v>
      </c>
      <c r="O54" s="168">
        <f t="shared" ref="O54" si="61">+N54</f>
        <v>125016000</v>
      </c>
    </row>
    <row r="55" spans="1:15" s="44" customFormat="1" ht="15.75" thickBot="1" x14ac:dyDescent="0.3">
      <c r="A55" s="40" t="s">
        <v>106</v>
      </c>
      <c r="B55" s="46">
        <f>+B54</f>
        <v>123156000</v>
      </c>
      <c r="C55" s="169">
        <f t="shared" ref="C55" si="62">+C54</f>
        <v>125016000</v>
      </c>
      <c r="D55" s="46">
        <f t="shared" ref="D55:M55" si="63">+D54</f>
        <v>125016000</v>
      </c>
      <c r="E55" s="46">
        <f t="shared" si="63"/>
        <v>125016000</v>
      </c>
      <c r="F55" s="46">
        <f t="shared" si="63"/>
        <v>125016000</v>
      </c>
      <c r="G55" s="46">
        <f t="shared" si="63"/>
        <v>125016000</v>
      </c>
      <c r="H55" s="46">
        <f t="shared" si="63"/>
        <v>125016000</v>
      </c>
      <c r="I55" s="46">
        <f t="shared" si="63"/>
        <v>125016000</v>
      </c>
      <c r="J55" s="46">
        <f t="shared" si="63"/>
        <v>125016000</v>
      </c>
      <c r="K55" s="46">
        <f t="shared" si="63"/>
        <v>125016000</v>
      </c>
      <c r="L55" s="46">
        <f t="shared" si="63"/>
        <v>125016000</v>
      </c>
      <c r="M55" s="46">
        <f t="shared" si="63"/>
        <v>125016000</v>
      </c>
      <c r="N55" s="169">
        <f t="shared" ref="N55:O55" si="64">+N54</f>
        <v>125016000</v>
      </c>
      <c r="O55" s="169">
        <f t="shared" si="64"/>
        <v>125016000</v>
      </c>
    </row>
    <row r="56" spans="1:15" ht="15" x14ac:dyDescent="0.25">
      <c r="B56" s="4"/>
      <c r="C56" s="214"/>
      <c r="D56" s="4"/>
      <c r="E56" s="4"/>
      <c r="F56" s="4"/>
      <c r="G56" s="4"/>
      <c r="H56" s="4"/>
      <c r="I56" s="4"/>
      <c r="J56" s="4"/>
      <c r="K56" s="4"/>
      <c r="L56" s="4"/>
      <c r="M56" s="4"/>
      <c r="N56" s="214"/>
      <c r="O56" s="214"/>
    </row>
    <row r="57" spans="1:15" ht="15" x14ac:dyDescent="0.25">
      <c r="A57" s="40" t="s">
        <v>108</v>
      </c>
      <c r="N57" s="221"/>
      <c r="O57" s="221"/>
    </row>
    <row r="58" spans="1:15" ht="15" x14ac:dyDescent="0.25">
      <c r="A58" s="40" t="s">
        <v>100</v>
      </c>
      <c r="B58" s="4">
        <f>+B39+B49</f>
        <v>278263000</v>
      </c>
      <c r="C58" s="214">
        <f t="shared" ref="C58:C59" si="65">+C39+C49</f>
        <v>281183000</v>
      </c>
      <c r="D58" s="4">
        <f t="shared" ref="D58:M59" si="66">+D39+D49</f>
        <v>283043000</v>
      </c>
      <c r="E58" s="4">
        <f t="shared" si="66"/>
        <v>283043000</v>
      </c>
      <c r="F58" s="4">
        <f t="shared" si="66"/>
        <v>283135804.69516098</v>
      </c>
      <c r="G58" s="4">
        <f t="shared" si="66"/>
        <v>283433572.22785854</v>
      </c>
      <c r="H58" s="4">
        <f t="shared" si="66"/>
        <v>283857011.65687704</v>
      </c>
      <c r="I58" s="4">
        <f t="shared" si="66"/>
        <v>284670833.10358083</v>
      </c>
      <c r="J58" s="4">
        <f t="shared" si="66"/>
        <v>285448471.46936804</v>
      </c>
      <c r="K58" s="4">
        <f t="shared" si="66"/>
        <v>285972397.25733203</v>
      </c>
      <c r="L58" s="4">
        <f t="shared" si="66"/>
        <v>286593266.15423846</v>
      </c>
      <c r="M58" s="4">
        <f t="shared" si="66"/>
        <v>287162582.41690987</v>
      </c>
      <c r="N58" s="214">
        <f t="shared" ref="N58:O58" si="67">+N39+N49</f>
        <v>287671788.14264762</v>
      </c>
      <c r="O58" s="214">
        <f t="shared" si="67"/>
        <v>288180995.86838543</v>
      </c>
    </row>
    <row r="59" spans="1:15" ht="15" x14ac:dyDescent="0.25">
      <c r="A59" s="5" t="s">
        <v>101</v>
      </c>
      <c r="B59" s="118">
        <f>+B40+B50</f>
        <v>-24000</v>
      </c>
      <c r="C59" s="216">
        <f t="shared" si="65"/>
        <v>0</v>
      </c>
      <c r="D59" s="118">
        <f t="shared" si="66"/>
        <v>0</v>
      </c>
      <c r="E59" s="118">
        <f t="shared" si="66"/>
        <v>0</v>
      </c>
      <c r="F59" s="118">
        <f t="shared" si="66"/>
        <v>0</v>
      </c>
      <c r="G59" s="118">
        <f t="shared" si="66"/>
        <v>0</v>
      </c>
      <c r="H59" s="118">
        <f t="shared" si="66"/>
        <v>0</v>
      </c>
      <c r="I59" s="118">
        <f t="shared" si="66"/>
        <v>0</v>
      </c>
      <c r="J59" s="118">
        <f t="shared" si="66"/>
        <v>0</v>
      </c>
      <c r="K59" s="118">
        <f t="shared" si="66"/>
        <v>0</v>
      </c>
      <c r="L59" s="118">
        <f t="shared" si="66"/>
        <v>0</v>
      </c>
      <c r="M59" s="118">
        <f t="shared" si="66"/>
        <v>0</v>
      </c>
      <c r="N59" s="216">
        <f t="shared" ref="N59:O59" si="68">+N40+N50</f>
        <v>2</v>
      </c>
      <c r="O59" s="216">
        <f t="shared" si="68"/>
        <v>4</v>
      </c>
    </row>
    <row r="60" spans="1:15" ht="15" x14ac:dyDescent="0.25">
      <c r="A60" s="40" t="s">
        <v>102</v>
      </c>
      <c r="B60" s="4">
        <f>SUM(B58:B59)</f>
        <v>278239000</v>
      </c>
      <c r="C60" s="214">
        <f t="shared" ref="C60" si="69">SUM(C58:C59)</f>
        <v>281183000</v>
      </c>
      <c r="D60" s="4">
        <f t="shared" ref="D60:M60" si="70">SUM(D58:D59)</f>
        <v>283043000</v>
      </c>
      <c r="E60" s="4">
        <f t="shared" si="70"/>
        <v>283043000</v>
      </c>
      <c r="F60" s="4">
        <f t="shared" si="70"/>
        <v>283135804.69516098</v>
      </c>
      <c r="G60" s="4">
        <f t="shared" si="70"/>
        <v>283433572.22785854</v>
      </c>
      <c r="H60" s="4">
        <f t="shared" si="70"/>
        <v>283857011.65687704</v>
      </c>
      <c r="I60" s="4">
        <f t="shared" si="70"/>
        <v>284670833.10358083</v>
      </c>
      <c r="J60" s="4">
        <f t="shared" si="70"/>
        <v>285448471.46936804</v>
      </c>
      <c r="K60" s="4">
        <f t="shared" si="70"/>
        <v>285972397.25733203</v>
      </c>
      <c r="L60" s="4">
        <f t="shared" si="70"/>
        <v>286593266.15423846</v>
      </c>
      <c r="M60" s="4">
        <f t="shared" si="70"/>
        <v>287162582.41690987</v>
      </c>
      <c r="N60" s="214">
        <f t="shared" ref="N60:O60" si="71">SUM(N58:N59)</f>
        <v>287671790.14264762</v>
      </c>
      <c r="O60" s="214">
        <f t="shared" si="71"/>
        <v>288180999.86838543</v>
      </c>
    </row>
    <row r="61" spans="1:15" ht="15" x14ac:dyDescent="0.25">
      <c r="B61" s="4"/>
      <c r="C61" s="214"/>
      <c r="D61" s="4"/>
      <c r="E61" s="4"/>
      <c r="F61" s="4"/>
      <c r="G61" s="4"/>
      <c r="H61" s="4"/>
      <c r="I61" s="4"/>
      <c r="J61" s="4"/>
      <c r="K61" s="4"/>
      <c r="L61" s="4"/>
      <c r="M61" s="4"/>
      <c r="N61" s="214"/>
      <c r="O61" s="214"/>
    </row>
    <row r="62" spans="1:15" ht="15" x14ac:dyDescent="0.25">
      <c r="A62" s="40" t="s">
        <v>76</v>
      </c>
      <c r="B62" s="116">
        <f>+B43</f>
        <v>2944000</v>
      </c>
      <c r="C62" s="217">
        <f t="shared" ref="C62" si="72">+C43</f>
        <v>0</v>
      </c>
      <c r="D62" s="116">
        <f t="shared" ref="D62:M62" si="73">+D43</f>
        <v>0</v>
      </c>
      <c r="E62" s="116">
        <f t="shared" si="73"/>
        <v>92804.695160973817</v>
      </c>
      <c r="F62" s="116">
        <f t="shared" si="73"/>
        <v>297767.53269756213</v>
      </c>
      <c r="G62" s="116">
        <f t="shared" si="73"/>
        <v>423439.42901846394</v>
      </c>
      <c r="H62" s="116">
        <f t="shared" si="73"/>
        <v>813821.44670383632</v>
      </c>
      <c r="I62" s="116">
        <f t="shared" si="73"/>
        <v>777638.36578719318</v>
      </c>
      <c r="J62" s="116">
        <f t="shared" si="73"/>
        <v>523925.78796397895</v>
      </c>
      <c r="K62" s="116">
        <f t="shared" si="73"/>
        <v>620868.89690640569</v>
      </c>
      <c r="L62" s="116">
        <f t="shared" si="73"/>
        <v>569316.26267142594</v>
      </c>
      <c r="M62" s="116">
        <f t="shared" si="73"/>
        <v>509205.72573777288</v>
      </c>
      <c r="N62" s="217">
        <f t="shared" ref="N62:O62" si="74">+N43</f>
        <v>509206.72573777288</v>
      </c>
      <c r="O62" s="217">
        <f t="shared" si="74"/>
        <v>509207.72573777288</v>
      </c>
    </row>
    <row r="63" spans="1:15" ht="15" x14ac:dyDescent="0.25">
      <c r="B63" s="4"/>
      <c r="C63" s="214"/>
      <c r="D63" s="4"/>
      <c r="E63" s="4"/>
      <c r="F63" s="4"/>
      <c r="G63" s="4"/>
      <c r="H63" s="4"/>
      <c r="I63" s="4"/>
      <c r="J63" s="4"/>
      <c r="K63" s="4"/>
      <c r="L63" s="4"/>
      <c r="M63" s="4"/>
      <c r="N63" s="214"/>
      <c r="O63" s="214"/>
    </row>
    <row r="64" spans="1:15" s="40" customFormat="1" ht="15" x14ac:dyDescent="0.25">
      <c r="A64" s="40" t="s">
        <v>105</v>
      </c>
      <c r="B64" s="45">
        <f>+B45</f>
        <v>2944000</v>
      </c>
      <c r="C64" s="220">
        <f t="shared" ref="C64" si="75">+C62</f>
        <v>0</v>
      </c>
      <c r="D64" s="45">
        <f t="shared" ref="D64:M64" si="76">+D62</f>
        <v>0</v>
      </c>
      <c r="E64" s="45">
        <f t="shared" si="76"/>
        <v>92804.695160973817</v>
      </c>
      <c r="F64" s="45">
        <f t="shared" si="76"/>
        <v>297767.53269756213</v>
      </c>
      <c r="G64" s="120">
        <f t="shared" si="76"/>
        <v>423439.42901846394</v>
      </c>
      <c r="H64" s="120">
        <f t="shared" si="76"/>
        <v>813821.44670383632</v>
      </c>
      <c r="I64" s="120">
        <f t="shared" si="76"/>
        <v>777638.36578719318</v>
      </c>
      <c r="J64" s="120">
        <f t="shared" si="76"/>
        <v>523925.78796397895</v>
      </c>
      <c r="K64" s="120">
        <f t="shared" si="76"/>
        <v>620868.89690640569</v>
      </c>
      <c r="L64" s="120">
        <f t="shared" si="76"/>
        <v>569316.26267142594</v>
      </c>
      <c r="M64" s="120">
        <f t="shared" si="76"/>
        <v>509205.72573777288</v>
      </c>
      <c r="N64" s="220">
        <f t="shared" ref="N64:O64" si="77">+N62</f>
        <v>509206.72573777288</v>
      </c>
      <c r="O64" s="220">
        <f t="shared" si="77"/>
        <v>509207.72573777288</v>
      </c>
    </row>
    <row r="65" spans="1:15" s="1" customFormat="1" ht="15.75" thickBot="1" x14ac:dyDescent="0.3">
      <c r="A65" t="s">
        <v>104</v>
      </c>
      <c r="B65" s="117">
        <f>+B53</f>
        <v>0</v>
      </c>
      <c r="C65" s="205">
        <f t="shared" ref="C65" si="78">+C53</f>
        <v>1860000</v>
      </c>
      <c r="D65" s="117">
        <f t="shared" ref="D65:M65" si="79">+D53</f>
        <v>0</v>
      </c>
      <c r="E65" s="117">
        <f t="shared" si="79"/>
        <v>0</v>
      </c>
      <c r="F65" s="117">
        <f t="shared" si="79"/>
        <v>0</v>
      </c>
      <c r="G65" s="117">
        <f t="shared" si="79"/>
        <v>0</v>
      </c>
      <c r="H65" s="117">
        <f t="shared" si="79"/>
        <v>0</v>
      </c>
      <c r="I65" s="117">
        <f t="shared" si="79"/>
        <v>0</v>
      </c>
      <c r="J65" s="117">
        <f t="shared" si="79"/>
        <v>0</v>
      </c>
      <c r="K65" s="117">
        <f t="shared" si="79"/>
        <v>0</v>
      </c>
      <c r="L65" s="117">
        <f t="shared" si="79"/>
        <v>0</v>
      </c>
      <c r="M65" s="117">
        <f t="shared" si="79"/>
        <v>0</v>
      </c>
      <c r="N65" s="205">
        <f t="shared" ref="N65:O65" si="80">+N53</f>
        <v>1</v>
      </c>
      <c r="O65" s="205">
        <f t="shared" si="80"/>
        <v>2</v>
      </c>
    </row>
    <row r="66" spans="1:15" s="36" customFormat="1" ht="16.5" thickBot="1" x14ac:dyDescent="0.3">
      <c r="A66" s="36" t="s">
        <v>106</v>
      </c>
      <c r="B66" s="49">
        <f>+B60+B64+B65</f>
        <v>281183000</v>
      </c>
      <c r="C66" s="172">
        <f t="shared" ref="C66" si="81">+C60+C64+C65</f>
        <v>283043000</v>
      </c>
      <c r="D66" s="49">
        <f t="shared" ref="D66:M66" si="82">+D60+D64+D65</f>
        <v>283043000</v>
      </c>
      <c r="E66" s="49">
        <f t="shared" si="82"/>
        <v>283135804.69516098</v>
      </c>
      <c r="F66" s="49">
        <f t="shared" si="82"/>
        <v>283433572.22785854</v>
      </c>
      <c r="G66" s="49">
        <f t="shared" si="82"/>
        <v>283857011.65687698</v>
      </c>
      <c r="H66" s="49">
        <f t="shared" si="82"/>
        <v>284670833.10358089</v>
      </c>
      <c r="I66" s="49">
        <f t="shared" si="82"/>
        <v>285448471.46936804</v>
      </c>
      <c r="J66" s="49">
        <f t="shared" si="82"/>
        <v>285972397.25733203</v>
      </c>
      <c r="K66" s="49">
        <f t="shared" si="82"/>
        <v>286593266.15423846</v>
      </c>
      <c r="L66" s="49">
        <f t="shared" si="82"/>
        <v>287162582.41690987</v>
      </c>
      <c r="M66" s="49">
        <f t="shared" si="82"/>
        <v>287671788.14264762</v>
      </c>
      <c r="N66" s="172">
        <f t="shared" ref="N66:O66" si="83">+N60+N64+N65</f>
        <v>288180997.86838537</v>
      </c>
      <c r="O66" s="172">
        <f t="shared" si="83"/>
        <v>288690209.59412318</v>
      </c>
    </row>
    <row r="67" spans="1:15" ht="15.75" thickTop="1" x14ac:dyDescent="0.25">
      <c r="N67" s="221"/>
      <c r="O67" s="221"/>
    </row>
    <row r="68" spans="1:15" ht="15" x14ac:dyDescent="0.25">
      <c r="N68" s="221"/>
      <c r="O68" s="221"/>
    </row>
    <row r="69" spans="1:15" ht="15" x14ac:dyDescent="0.25">
      <c r="A69" s="113" t="s">
        <v>427</v>
      </c>
      <c r="B69" s="19" t="s">
        <v>69</v>
      </c>
      <c r="C69" s="213" t="s">
        <v>69</v>
      </c>
      <c r="D69" s="19" t="s">
        <v>70</v>
      </c>
      <c r="E69" s="19" t="s">
        <v>71</v>
      </c>
      <c r="F69" s="19" t="s">
        <v>71</v>
      </c>
      <c r="G69" s="19" t="s">
        <v>71</v>
      </c>
      <c r="H69" s="19" t="s">
        <v>71</v>
      </c>
      <c r="I69" s="19" t="s">
        <v>71</v>
      </c>
      <c r="J69" s="19" t="s">
        <v>71</v>
      </c>
      <c r="K69" s="19" t="s">
        <v>71</v>
      </c>
      <c r="L69" s="19" t="s">
        <v>71</v>
      </c>
      <c r="M69" s="19" t="s">
        <v>71</v>
      </c>
      <c r="N69" s="213" t="s">
        <v>71</v>
      </c>
      <c r="O69" s="213" t="s">
        <v>71</v>
      </c>
    </row>
    <row r="70" spans="1:15" ht="15" x14ac:dyDescent="0.25">
      <c r="A70" s="18" t="s">
        <v>73</v>
      </c>
      <c r="B70" s="20" t="s">
        <v>60</v>
      </c>
      <c r="C70" s="159" t="s">
        <v>68</v>
      </c>
      <c r="D70" s="19" t="s">
        <v>0</v>
      </c>
      <c r="E70" s="19" t="s">
        <v>1</v>
      </c>
      <c r="F70" s="19" t="s">
        <v>2</v>
      </c>
      <c r="G70" s="19" t="s">
        <v>3</v>
      </c>
      <c r="H70" s="19" t="s">
        <v>4</v>
      </c>
      <c r="I70" s="19" t="s">
        <v>5</v>
      </c>
      <c r="J70" s="19" t="s">
        <v>6</v>
      </c>
      <c r="K70" s="19" t="s">
        <v>7</v>
      </c>
      <c r="L70" s="19" t="s">
        <v>8</v>
      </c>
      <c r="M70" s="19" t="s">
        <v>9</v>
      </c>
      <c r="N70" s="213" t="s">
        <v>514</v>
      </c>
      <c r="O70" s="213" t="s">
        <v>515</v>
      </c>
    </row>
    <row r="71" spans="1:15" ht="15" x14ac:dyDescent="0.25">
      <c r="A71" s="22"/>
      <c r="B71" s="23"/>
      <c r="C71" s="161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</row>
    <row r="72" spans="1:15" ht="15" x14ac:dyDescent="0.25">
      <c r="A72" s="40" t="s">
        <v>103</v>
      </c>
      <c r="N72" s="221"/>
      <c r="O72" s="221"/>
    </row>
    <row r="73" spans="1:15" ht="15" x14ac:dyDescent="0.25">
      <c r="A73" s="40" t="s">
        <v>100</v>
      </c>
      <c r="B73" s="4">
        <v>155107000</v>
      </c>
      <c r="C73" s="214">
        <f>+B80</f>
        <v>158027000</v>
      </c>
      <c r="D73" s="4">
        <f t="shared" ref="D73:M73" si="84">+C80</f>
        <v>158027000</v>
      </c>
      <c r="E73" s="4">
        <f t="shared" si="84"/>
        <v>158027000</v>
      </c>
      <c r="F73" s="4">
        <f t="shared" si="84"/>
        <v>158119804.69516098</v>
      </c>
      <c r="G73" s="4">
        <f t="shared" si="84"/>
        <v>158417572.22785854</v>
      </c>
      <c r="H73" s="4">
        <f t="shared" si="84"/>
        <v>158841011.65687701</v>
      </c>
      <c r="I73" s="4">
        <f t="shared" si="84"/>
        <v>159654833.10358083</v>
      </c>
      <c r="J73" s="4">
        <f t="shared" si="84"/>
        <v>160432471.46936804</v>
      </c>
      <c r="K73" s="4">
        <f t="shared" si="84"/>
        <v>160956397.25733203</v>
      </c>
      <c r="L73" s="4">
        <f t="shared" si="84"/>
        <v>161577266.15423843</v>
      </c>
      <c r="M73" s="4">
        <f t="shared" si="84"/>
        <v>162146582.41690987</v>
      </c>
      <c r="N73" s="214">
        <f t="shared" ref="N73" si="85">+M80</f>
        <v>162655788.14264765</v>
      </c>
      <c r="O73" s="214">
        <f t="shared" ref="O73" si="86">+N80</f>
        <v>163164995.86838543</v>
      </c>
    </row>
    <row r="74" spans="1:15" ht="15" x14ac:dyDescent="0.25">
      <c r="A74" s="5" t="s">
        <v>101</v>
      </c>
      <c r="B74" s="118">
        <v>-24000</v>
      </c>
      <c r="C74" s="216">
        <v>0</v>
      </c>
      <c r="D74" s="118">
        <v>0</v>
      </c>
      <c r="E74" s="118">
        <v>0</v>
      </c>
      <c r="F74" s="118">
        <v>0</v>
      </c>
      <c r="G74" s="118">
        <v>0</v>
      </c>
      <c r="H74" s="118">
        <v>0</v>
      </c>
      <c r="I74" s="118">
        <v>0</v>
      </c>
      <c r="J74" s="118">
        <v>0</v>
      </c>
      <c r="K74" s="118">
        <v>0</v>
      </c>
      <c r="L74" s="118">
        <v>0</v>
      </c>
      <c r="M74" s="118">
        <v>0</v>
      </c>
      <c r="N74" s="216">
        <v>1</v>
      </c>
      <c r="O74" s="216">
        <v>2</v>
      </c>
    </row>
    <row r="75" spans="1:15" ht="15" x14ac:dyDescent="0.25">
      <c r="A75" s="40" t="s">
        <v>102</v>
      </c>
      <c r="B75" s="4">
        <f>SUM(B73:B74)</f>
        <v>155083000</v>
      </c>
      <c r="C75" s="214">
        <f t="shared" ref="C75" si="87">SUM(C73:C74)</f>
        <v>158027000</v>
      </c>
      <c r="D75" s="4">
        <f t="shared" ref="D75:M75" si="88">SUM(D73:D74)</f>
        <v>158027000</v>
      </c>
      <c r="E75" s="4">
        <f t="shared" si="88"/>
        <v>158027000</v>
      </c>
      <c r="F75" s="4">
        <f t="shared" si="88"/>
        <v>158119804.69516098</v>
      </c>
      <c r="G75" s="4">
        <f t="shared" si="88"/>
        <v>158417572.22785854</v>
      </c>
      <c r="H75" s="4">
        <f t="shared" si="88"/>
        <v>158841011.65687701</v>
      </c>
      <c r="I75" s="4">
        <f t="shared" si="88"/>
        <v>159654833.10358083</v>
      </c>
      <c r="J75" s="4">
        <f t="shared" si="88"/>
        <v>160432471.46936804</v>
      </c>
      <c r="K75" s="4">
        <f t="shared" si="88"/>
        <v>160956397.25733203</v>
      </c>
      <c r="L75" s="4">
        <f t="shared" si="88"/>
        <v>161577266.15423843</v>
      </c>
      <c r="M75" s="4">
        <f t="shared" si="88"/>
        <v>162146582.41690987</v>
      </c>
      <c r="N75" s="214">
        <f t="shared" ref="N75:O75" si="89">SUM(N73:N74)</f>
        <v>162655789.14264765</v>
      </c>
      <c r="O75" s="214">
        <f t="shared" si="89"/>
        <v>163164997.86838543</v>
      </c>
    </row>
    <row r="76" spans="1:15" ht="15" x14ac:dyDescent="0.25">
      <c r="B76" s="4"/>
      <c r="C76" s="214"/>
      <c r="D76" s="4"/>
      <c r="E76" s="4"/>
      <c r="F76" s="4"/>
      <c r="G76" s="4"/>
      <c r="H76" s="4"/>
      <c r="I76" s="4"/>
      <c r="J76" s="4"/>
      <c r="K76" s="4"/>
      <c r="L76" s="4"/>
      <c r="M76" s="4"/>
      <c r="N76" s="214"/>
      <c r="O76" s="214"/>
    </row>
    <row r="77" spans="1:15" ht="15" x14ac:dyDescent="0.25">
      <c r="A77" s="40" t="s">
        <v>76</v>
      </c>
      <c r="B77" s="4">
        <f>+'Scenario 2 Inc Exp Statement'!B122</f>
        <v>2944000</v>
      </c>
      <c r="C77" s="217">
        <f>+'GF &amp; FF  Inc Exp Statement'!C182</f>
        <v>0</v>
      </c>
      <c r="D77" s="4">
        <f>+'Scenario 2 Inc Exp Statement'!D122</f>
        <v>0</v>
      </c>
      <c r="E77" s="4">
        <f>+'Scenario 2 Inc Exp Statement'!E122</f>
        <v>92804.695160973817</v>
      </c>
      <c r="F77" s="4">
        <f>+'Scenario 2 Inc Exp Statement'!F122</f>
        <v>297767.53269756213</v>
      </c>
      <c r="G77" s="4">
        <f>+'Scenario 2 Inc Exp Statement'!G122</f>
        <v>423439.42901846394</v>
      </c>
      <c r="H77" s="4">
        <f>+'Scenario 2 Inc Exp Statement'!H122</f>
        <v>813821.44670383632</v>
      </c>
      <c r="I77" s="4">
        <f>+'Scenario 2 Inc Exp Statement'!I122</f>
        <v>777638.36578719318</v>
      </c>
      <c r="J77" s="4">
        <f>+'Scenario 2 Inc Exp Statement'!J122</f>
        <v>523925.78796397895</v>
      </c>
      <c r="K77" s="4">
        <f>+'Scenario 2 Inc Exp Statement'!K122</f>
        <v>620868.89690640569</v>
      </c>
      <c r="L77" s="4">
        <f>+'Scenario 2 Inc Exp Statement'!L122</f>
        <v>569316.26267142594</v>
      </c>
      <c r="M77" s="4">
        <f>+'Scenario 2 Inc Exp Statement'!M122</f>
        <v>509205.72573777288</v>
      </c>
      <c r="N77" s="214">
        <f>+'Scenario 2 Inc Exp Statement'!N122</f>
        <v>509206.72573777288</v>
      </c>
      <c r="O77" s="214">
        <f>+'Scenario 2 Inc Exp Statement'!O122</f>
        <v>509207.72573777288</v>
      </c>
    </row>
    <row r="78" spans="1:15" ht="15" x14ac:dyDescent="0.25">
      <c r="B78" s="4"/>
      <c r="C78" s="214"/>
      <c r="D78" s="4"/>
      <c r="E78" s="4"/>
      <c r="F78" s="4"/>
      <c r="G78" s="4"/>
      <c r="H78" s="4"/>
      <c r="I78" s="4"/>
      <c r="J78" s="4"/>
      <c r="K78" s="4"/>
      <c r="L78" s="4"/>
      <c r="M78" s="4"/>
      <c r="N78" s="214"/>
      <c r="O78" s="214"/>
    </row>
    <row r="79" spans="1:15" ht="15" x14ac:dyDescent="0.25">
      <c r="A79" s="40" t="s">
        <v>105</v>
      </c>
      <c r="B79" s="45">
        <f>+B77</f>
        <v>2944000</v>
      </c>
      <c r="C79" s="220">
        <f t="shared" ref="C79" si="90">+C77</f>
        <v>0</v>
      </c>
      <c r="D79" s="45">
        <f t="shared" ref="D79:M79" si="91">+D77</f>
        <v>0</v>
      </c>
      <c r="E79" s="45">
        <f t="shared" si="91"/>
        <v>92804.695160973817</v>
      </c>
      <c r="F79" s="45">
        <f t="shared" si="91"/>
        <v>297767.53269756213</v>
      </c>
      <c r="G79" s="45">
        <f t="shared" si="91"/>
        <v>423439.42901846394</v>
      </c>
      <c r="H79" s="45">
        <f t="shared" si="91"/>
        <v>813821.44670383632</v>
      </c>
      <c r="I79" s="45">
        <f t="shared" si="91"/>
        <v>777638.36578719318</v>
      </c>
      <c r="J79" s="45">
        <f t="shared" si="91"/>
        <v>523925.78796397895</v>
      </c>
      <c r="K79" s="45">
        <f t="shared" si="91"/>
        <v>620868.89690640569</v>
      </c>
      <c r="L79" s="45">
        <f t="shared" si="91"/>
        <v>569316.26267142594</v>
      </c>
      <c r="M79" s="45">
        <f t="shared" si="91"/>
        <v>509205.72573777288</v>
      </c>
      <c r="N79" s="168">
        <f t="shared" ref="N79:O79" si="92">+N77</f>
        <v>509206.72573777288</v>
      </c>
      <c r="O79" s="168">
        <f t="shared" si="92"/>
        <v>509207.72573777288</v>
      </c>
    </row>
    <row r="80" spans="1:15" ht="15.75" thickBot="1" x14ac:dyDescent="0.3">
      <c r="A80" s="40" t="s">
        <v>106</v>
      </c>
      <c r="B80" s="46">
        <f t="shared" ref="B80:M80" si="93">+B75+B79</f>
        <v>158027000</v>
      </c>
      <c r="C80" s="169">
        <f t="shared" si="93"/>
        <v>158027000</v>
      </c>
      <c r="D80" s="46">
        <f t="shared" si="93"/>
        <v>158027000</v>
      </c>
      <c r="E80" s="46">
        <f t="shared" si="93"/>
        <v>158119804.69516098</v>
      </c>
      <c r="F80" s="46">
        <f t="shared" si="93"/>
        <v>158417572.22785854</v>
      </c>
      <c r="G80" s="46">
        <f t="shared" si="93"/>
        <v>158841011.65687701</v>
      </c>
      <c r="H80" s="46">
        <f t="shared" si="93"/>
        <v>159654833.10358083</v>
      </c>
      <c r="I80" s="46">
        <f t="shared" si="93"/>
        <v>160432471.46936804</v>
      </c>
      <c r="J80" s="46">
        <f t="shared" si="93"/>
        <v>160956397.25733203</v>
      </c>
      <c r="K80" s="46">
        <f t="shared" si="93"/>
        <v>161577266.15423843</v>
      </c>
      <c r="L80" s="46">
        <f t="shared" si="93"/>
        <v>162146582.41690987</v>
      </c>
      <c r="M80" s="46">
        <f t="shared" si="93"/>
        <v>162655788.14264765</v>
      </c>
      <c r="N80" s="169">
        <f t="shared" ref="N80:O80" si="94">+N75+N79</f>
        <v>163164995.86838543</v>
      </c>
      <c r="O80" s="169">
        <f t="shared" si="94"/>
        <v>163674205.59412321</v>
      </c>
    </row>
    <row r="81" spans="1:15" ht="15" x14ac:dyDescent="0.25">
      <c r="B81" s="4"/>
      <c r="C81" s="214"/>
      <c r="D81" s="4"/>
      <c r="E81" s="4"/>
      <c r="F81" s="4"/>
      <c r="G81" s="4"/>
      <c r="H81" s="4"/>
      <c r="I81" s="4"/>
      <c r="J81" s="4"/>
      <c r="K81" s="4"/>
      <c r="L81" s="4"/>
      <c r="M81" s="4"/>
      <c r="N81" s="214"/>
      <c r="O81" s="214"/>
    </row>
    <row r="82" spans="1:15" ht="15" x14ac:dyDescent="0.25">
      <c r="A82" s="40" t="s">
        <v>107</v>
      </c>
      <c r="B82" s="4"/>
      <c r="C82" s="214"/>
      <c r="D82" s="4"/>
      <c r="E82" s="4"/>
      <c r="F82" s="4"/>
      <c r="G82" s="4"/>
      <c r="H82" s="4"/>
      <c r="I82" s="4"/>
      <c r="J82" s="4"/>
      <c r="K82" s="4"/>
      <c r="L82" s="4"/>
      <c r="M82" s="4"/>
      <c r="N82" s="214"/>
      <c r="O82" s="214"/>
    </row>
    <row r="83" spans="1:15" ht="15" x14ac:dyDescent="0.25">
      <c r="A83" s="40" t="s">
        <v>100</v>
      </c>
      <c r="B83" s="4">
        <v>123156000</v>
      </c>
      <c r="C83" s="214">
        <f>+B89</f>
        <v>123156000</v>
      </c>
      <c r="D83" s="4">
        <f t="shared" ref="D83:M83" si="95">+C89</f>
        <v>125016000</v>
      </c>
      <c r="E83" s="4">
        <f t="shared" si="95"/>
        <v>125016000</v>
      </c>
      <c r="F83" s="4">
        <f t="shared" si="95"/>
        <v>125016000</v>
      </c>
      <c r="G83" s="4">
        <f t="shared" si="95"/>
        <v>125016000</v>
      </c>
      <c r="H83" s="4">
        <f t="shared" si="95"/>
        <v>125016000</v>
      </c>
      <c r="I83" s="4">
        <f t="shared" si="95"/>
        <v>125016000</v>
      </c>
      <c r="J83" s="4">
        <f t="shared" si="95"/>
        <v>125016000</v>
      </c>
      <c r="K83" s="4">
        <f t="shared" si="95"/>
        <v>125016000</v>
      </c>
      <c r="L83" s="4">
        <f t="shared" si="95"/>
        <v>125016000</v>
      </c>
      <c r="M83" s="4">
        <f t="shared" si="95"/>
        <v>125016000</v>
      </c>
      <c r="N83" s="214">
        <f t="shared" ref="N83" si="96">+M89</f>
        <v>125016000</v>
      </c>
      <c r="O83" s="214">
        <f t="shared" ref="O83" si="97">+N89</f>
        <v>125016000</v>
      </c>
    </row>
    <row r="84" spans="1:15" ht="15" x14ac:dyDescent="0.25">
      <c r="A84" s="5" t="s">
        <v>101</v>
      </c>
      <c r="B84" s="118">
        <v>0</v>
      </c>
      <c r="C84" s="216">
        <v>0</v>
      </c>
      <c r="D84" s="118">
        <v>0</v>
      </c>
      <c r="E84" s="118">
        <v>0</v>
      </c>
      <c r="F84" s="118">
        <v>0</v>
      </c>
      <c r="G84" s="118">
        <v>0</v>
      </c>
      <c r="H84" s="118">
        <v>0</v>
      </c>
      <c r="I84" s="118">
        <v>0</v>
      </c>
      <c r="J84" s="118">
        <v>0</v>
      </c>
      <c r="K84" s="118">
        <v>0</v>
      </c>
      <c r="L84" s="118">
        <v>0</v>
      </c>
      <c r="M84" s="118">
        <v>0</v>
      </c>
      <c r="N84" s="216">
        <v>1</v>
      </c>
      <c r="O84" s="216">
        <v>2</v>
      </c>
    </row>
    <row r="85" spans="1:15" ht="15" x14ac:dyDescent="0.25">
      <c r="A85" s="40" t="s">
        <v>102</v>
      </c>
      <c r="B85" s="27">
        <f>SUM(B83:B84)</f>
        <v>123156000</v>
      </c>
      <c r="C85" s="163">
        <f t="shared" ref="C85" si="98">SUM(C83:C84)</f>
        <v>123156000</v>
      </c>
      <c r="D85" s="27">
        <f t="shared" ref="D85:M85" si="99">SUM(D83:D84)</f>
        <v>125016000</v>
      </c>
      <c r="E85" s="27">
        <f t="shared" si="99"/>
        <v>125016000</v>
      </c>
      <c r="F85" s="27">
        <f t="shared" si="99"/>
        <v>125016000</v>
      </c>
      <c r="G85" s="27">
        <f t="shared" si="99"/>
        <v>125016000</v>
      </c>
      <c r="H85" s="27">
        <f t="shared" si="99"/>
        <v>125016000</v>
      </c>
      <c r="I85" s="27">
        <f t="shared" si="99"/>
        <v>125016000</v>
      </c>
      <c r="J85" s="27">
        <f t="shared" si="99"/>
        <v>125016000</v>
      </c>
      <c r="K85" s="27">
        <f t="shared" si="99"/>
        <v>125016000</v>
      </c>
      <c r="L85" s="27">
        <f t="shared" si="99"/>
        <v>125016000</v>
      </c>
      <c r="M85" s="27">
        <f t="shared" si="99"/>
        <v>125016000</v>
      </c>
      <c r="N85" s="163">
        <f t="shared" ref="N85:O85" si="100">SUM(N83:N84)</f>
        <v>125016001</v>
      </c>
      <c r="O85" s="163">
        <f t="shared" si="100"/>
        <v>125016002</v>
      </c>
    </row>
    <row r="86" spans="1:15" ht="15" x14ac:dyDescent="0.25">
      <c r="B86" s="4"/>
      <c r="C86" s="214"/>
      <c r="D86" s="4"/>
      <c r="E86" s="4"/>
      <c r="F86" s="4"/>
      <c r="G86" s="4"/>
      <c r="H86" s="4"/>
      <c r="I86" s="4"/>
      <c r="J86" s="4"/>
      <c r="K86" s="4"/>
      <c r="L86" s="4"/>
      <c r="M86" s="4"/>
      <c r="N86" s="214"/>
      <c r="O86" s="214"/>
    </row>
    <row r="87" spans="1:15" ht="15" x14ac:dyDescent="0.25">
      <c r="A87" t="s">
        <v>104</v>
      </c>
      <c r="B87" s="116">
        <v>0</v>
      </c>
      <c r="C87" s="217">
        <f>C53</f>
        <v>1860000</v>
      </c>
      <c r="D87" s="116">
        <v>0</v>
      </c>
      <c r="E87" s="116">
        <v>0</v>
      </c>
      <c r="F87" s="116">
        <v>0</v>
      </c>
      <c r="G87" s="116">
        <v>0</v>
      </c>
      <c r="H87" s="116">
        <v>0</v>
      </c>
      <c r="I87" s="116">
        <v>0</v>
      </c>
      <c r="J87" s="116">
        <v>0</v>
      </c>
      <c r="K87" s="116">
        <v>0</v>
      </c>
      <c r="L87" s="116">
        <v>0</v>
      </c>
      <c r="M87" s="116">
        <v>0</v>
      </c>
      <c r="N87" s="217">
        <v>1</v>
      </c>
      <c r="O87" s="217">
        <v>2</v>
      </c>
    </row>
    <row r="88" spans="1:15" ht="15" x14ac:dyDescent="0.25">
      <c r="A88" s="40" t="s">
        <v>105</v>
      </c>
      <c r="B88" s="45">
        <f>+B85+B87</f>
        <v>123156000</v>
      </c>
      <c r="C88" s="168">
        <f>C85+C87</f>
        <v>125016000</v>
      </c>
      <c r="D88" s="45">
        <f t="shared" ref="D88:M88" si="101">+C88</f>
        <v>125016000</v>
      </c>
      <c r="E88" s="45">
        <f t="shared" si="101"/>
        <v>125016000</v>
      </c>
      <c r="F88" s="45">
        <f t="shared" si="101"/>
        <v>125016000</v>
      </c>
      <c r="G88" s="45">
        <f t="shared" si="101"/>
        <v>125016000</v>
      </c>
      <c r="H88" s="45">
        <f t="shared" si="101"/>
        <v>125016000</v>
      </c>
      <c r="I88" s="45">
        <f t="shared" si="101"/>
        <v>125016000</v>
      </c>
      <c r="J88" s="45">
        <f t="shared" si="101"/>
        <v>125016000</v>
      </c>
      <c r="K88" s="45">
        <f t="shared" si="101"/>
        <v>125016000</v>
      </c>
      <c r="L88" s="45">
        <f t="shared" si="101"/>
        <v>125016000</v>
      </c>
      <c r="M88" s="45">
        <f t="shared" si="101"/>
        <v>125016000</v>
      </c>
      <c r="N88" s="168">
        <f t="shared" ref="N88" si="102">+M88</f>
        <v>125016000</v>
      </c>
      <c r="O88" s="168">
        <f t="shared" ref="O88" si="103">+N88</f>
        <v>125016000</v>
      </c>
    </row>
    <row r="89" spans="1:15" ht="15" thickBot="1" x14ac:dyDescent="0.35">
      <c r="A89" s="40" t="s">
        <v>106</v>
      </c>
      <c r="B89" s="46">
        <f>+B88</f>
        <v>123156000</v>
      </c>
      <c r="C89" s="169">
        <f t="shared" ref="C89" si="104">+C88</f>
        <v>125016000</v>
      </c>
      <c r="D89" s="46">
        <f t="shared" ref="D89:M89" si="105">+D88</f>
        <v>125016000</v>
      </c>
      <c r="E89" s="46">
        <f t="shared" si="105"/>
        <v>125016000</v>
      </c>
      <c r="F89" s="46">
        <f t="shared" si="105"/>
        <v>125016000</v>
      </c>
      <c r="G89" s="46">
        <f t="shared" si="105"/>
        <v>125016000</v>
      </c>
      <c r="H89" s="46">
        <f t="shared" si="105"/>
        <v>125016000</v>
      </c>
      <c r="I89" s="46">
        <f t="shared" si="105"/>
        <v>125016000</v>
      </c>
      <c r="J89" s="46">
        <f t="shared" si="105"/>
        <v>125016000</v>
      </c>
      <c r="K89" s="46">
        <f t="shared" si="105"/>
        <v>125016000</v>
      </c>
      <c r="L89" s="46">
        <f t="shared" si="105"/>
        <v>125016000</v>
      </c>
      <c r="M89" s="46">
        <f t="shared" si="105"/>
        <v>125016000</v>
      </c>
      <c r="N89" s="169">
        <f t="shared" ref="N89:O89" si="106">+N88</f>
        <v>125016000</v>
      </c>
      <c r="O89" s="169">
        <f t="shared" si="106"/>
        <v>125016000</v>
      </c>
    </row>
    <row r="90" spans="1:15" x14ac:dyDescent="0.3">
      <c r="B90" s="4"/>
      <c r="C90" s="214"/>
      <c r="D90" s="4"/>
      <c r="E90" s="4"/>
      <c r="F90" s="4"/>
      <c r="G90" s="4"/>
      <c r="H90" s="4"/>
      <c r="I90" s="4"/>
      <c r="J90" s="4"/>
      <c r="K90" s="4"/>
      <c r="L90" s="4"/>
      <c r="M90" s="4"/>
      <c r="N90" s="214"/>
      <c r="O90" s="214"/>
    </row>
    <row r="91" spans="1:15" x14ac:dyDescent="0.3">
      <c r="A91" s="40" t="s">
        <v>108</v>
      </c>
      <c r="N91" s="221"/>
      <c r="O91" s="221"/>
    </row>
    <row r="92" spans="1:15" x14ac:dyDescent="0.3">
      <c r="A92" s="40" t="s">
        <v>100</v>
      </c>
      <c r="B92" s="4">
        <f>+B73+B83</f>
        <v>278263000</v>
      </c>
      <c r="C92" s="214">
        <f t="shared" ref="C92:C93" si="107">+C73+C83</f>
        <v>281183000</v>
      </c>
      <c r="D92" s="4">
        <f t="shared" ref="D92:M93" si="108">+D73+D83</f>
        <v>283043000</v>
      </c>
      <c r="E92" s="4">
        <f t="shared" si="108"/>
        <v>283043000</v>
      </c>
      <c r="F92" s="4">
        <f t="shared" si="108"/>
        <v>283135804.69516098</v>
      </c>
      <c r="G92" s="4">
        <f t="shared" si="108"/>
        <v>283433572.22785854</v>
      </c>
      <c r="H92" s="4">
        <f t="shared" si="108"/>
        <v>283857011.65687704</v>
      </c>
      <c r="I92" s="4">
        <f t="shared" si="108"/>
        <v>284670833.10358083</v>
      </c>
      <c r="J92" s="4">
        <f t="shared" si="108"/>
        <v>285448471.46936804</v>
      </c>
      <c r="K92" s="4">
        <f t="shared" si="108"/>
        <v>285972397.25733203</v>
      </c>
      <c r="L92" s="4">
        <f t="shared" si="108"/>
        <v>286593266.15423846</v>
      </c>
      <c r="M92" s="4">
        <f t="shared" si="108"/>
        <v>287162582.41690987</v>
      </c>
      <c r="N92" s="214">
        <f t="shared" ref="N92:O92" si="109">+N73+N83</f>
        <v>287671788.14264762</v>
      </c>
      <c r="O92" s="214">
        <f t="shared" si="109"/>
        <v>288180995.86838543</v>
      </c>
    </row>
    <row r="93" spans="1:15" x14ac:dyDescent="0.3">
      <c r="A93" s="5" t="s">
        <v>101</v>
      </c>
      <c r="B93" s="118">
        <f>+B74+B84</f>
        <v>-24000</v>
      </c>
      <c r="C93" s="216">
        <f t="shared" si="107"/>
        <v>0</v>
      </c>
      <c r="D93" s="118">
        <f t="shared" si="108"/>
        <v>0</v>
      </c>
      <c r="E93" s="118">
        <f t="shared" si="108"/>
        <v>0</v>
      </c>
      <c r="F93" s="118">
        <f t="shared" si="108"/>
        <v>0</v>
      </c>
      <c r="G93" s="118">
        <f t="shared" si="108"/>
        <v>0</v>
      </c>
      <c r="H93" s="118">
        <f t="shared" si="108"/>
        <v>0</v>
      </c>
      <c r="I93" s="118">
        <f t="shared" si="108"/>
        <v>0</v>
      </c>
      <c r="J93" s="118">
        <f t="shared" si="108"/>
        <v>0</v>
      </c>
      <c r="K93" s="118">
        <f t="shared" si="108"/>
        <v>0</v>
      </c>
      <c r="L93" s="118">
        <f t="shared" si="108"/>
        <v>0</v>
      </c>
      <c r="M93" s="118">
        <f t="shared" si="108"/>
        <v>0</v>
      </c>
      <c r="N93" s="216">
        <f t="shared" ref="N93:O93" si="110">+N74+N84</f>
        <v>2</v>
      </c>
      <c r="O93" s="216">
        <f t="shared" si="110"/>
        <v>4</v>
      </c>
    </row>
    <row r="94" spans="1:15" x14ac:dyDescent="0.3">
      <c r="A94" s="40" t="s">
        <v>102</v>
      </c>
      <c r="B94" s="4">
        <f>SUM(B92:B93)</f>
        <v>278239000</v>
      </c>
      <c r="C94" s="214">
        <f t="shared" ref="C94" si="111">SUM(C92:C93)</f>
        <v>281183000</v>
      </c>
      <c r="D94" s="4">
        <f t="shared" ref="D94:M94" si="112">SUM(D92:D93)</f>
        <v>283043000</v>
      </c>
      <c r="E94" s="4">
        <f t="shared" si="112"/>
        <v>283043000</v>
      </c>
      <c r="F94" s="4">
        <f t="shared" si="112"/>
        <v>283135804.69516098</v>
      </c>
      <c r="G94" s="4">
        <f t="shared" si="112"/>
        <v>283433572.22785854</v>
      </c>
      <c r="H94" s="4">
        <f t="shared" si="112"/>
        <v>283857011.65687704</v>
      </c>
      <c r="I94" s="4">
        <f t="shared" si="112"/>
        <v>284670833.10358083</v>
      </c>
      <c r="J94" s="4">
        <f t="shared" si="112"/>
        <v>285448471.46936804</v>
      </c>
      <c r="K94" s="4">
        <f t="shared" si="112"/>
        <v>285972397.25733203</v>
      </c>
      <c r="L94" s="4">
        <f t="shared" si="112"/>
        <v>286593266.15423846</v>
      </c>
      <c r="M94" s="4">
        <f t="shared" si="112"/>
        <v>287162582.41690987</v>
      </c>
      <c r="N94" s="214">
        <f t="shared" ref="N94:O94" si="113">SUM(N92:N93)</f>
        <v>287671790.14264762</v>
      </c>
      <c r="O94" s="214">
        <f t="shared" si="113"/>
        <v>288180999.86838543</v>
      </c>
    </row>
    <row r="95" spans="1:15" x14ac:dyDescent="0.3">
      <c r="B95" s="4"/>
      <c r="C95" s="214"/>
      <c r="D95" s="4"/>
      <c r="E95" s="4"/>
      <c r="F95" s="4"/>
      <c r="G95" s="4"/>
      <c r="H95" s="4"/>
      <c r="I95" s="4"/>
      <c r="J95" s="4"/>
      <c r="K95" s="4"/>
      <c r="L95" s="4"/>
      <c r="M95" s="4"/>
      <c r="N95" s="214"/>
      <c r="O95" s="214"/>
    </row>
    <row r="96" spans="1:15" x14ac:dyDescent="0.3">
      <c r="A96" s="40" t="s">
        <v>76</v>
      </c>
      <c r="B96" s="4">
        <f>+B77</f>
        <v>2944000</v>
      </c>
      <c r="C96" s="217">
        <f t="shared" ref="C96" si="114">+C77</f>
        <v>0</v>
      </c>
      <c r="D96" s="4">
        <f t="shared" ref="D96:M96" si="115">+D77</f>
        <v>0</v>
      </c>
      <c r="E96" s="4">
        <f t="shared" si="115"/>
        <v>92804.695160973817</v>
      </c>
      <c r="F96" s="4">
        <f t="shared" si="115"/>
        <v>297767.53269756213</v>
      </c>
      <c r="G96" s="4">
        <f t="shared" si="115"/>
        <v>423439.42901846394</v>
      </c>
      <c r="H96" s="4">
        <f t="shared" si="115"/>
        <v>813821.44670383632</v>
      </c>
      <c r="I96" s="4">
        <f t="shared" si="115"/>
        <v>777638.36578719318</v>
      </c>
      <c r="J96" s="4">
        <f t="shared" si="115"/>
        <v>523925.78796397895</v>
      </c>
      <c r="K96" s="4">
        <f t="shared" si="115"/>
        <v>620868.89690640569</v>
      </c>
      <c r="L96" s="4">
        <f t="shared" si="115"/>
        <v>569316.26267142594</v>
      </c>
      <c r="M96" s="4">
        <f t="shared" si="115"/>
        <v>509205.72573777288</v>
      </c>
      <c r="N96" s="214">
        <f t="shared" ref="N96:O96" si="116">+N77</f>
        <v>509206.72573777288</v>
      </c>
      <c r="O96" s="214">
        <f t="shared" si="116"/>
        <v>509207.72573777288</v>
      </c>
    </row>
    <row r="97" spans="1:15" x14ac:dyDescent="0.3">
      <c r="B97" s="4"/>
      <c r="C97" s="214"/>
      <c r="D97" s="4"/>
      <c r="E97" s="4"/>
      <c r="F97" s="4"/>
      <c r="G97" s="4"/>
      <c r="H97" s="4"/>
      <c r="I97" s="4"/>
      <c r="J97" s="4"/>
      <c r="K97" s="4"/>
      <c r="L97" s="4"/>
      <c r="M97" s="4"/>
      <c r="N97" s="214"/>
      <c r="O97" s="214"/>
    </row>
    <row r="98" spans="1:15" x14ac:dyDescent="0.3">
      <c r="A98" s="40" t="s">
        <v>105</v>
      </c>
      <c r="B98" s="45">
        <f>+B79</f>
        <v>2944000</v>
      </c>
      <c r="C98" s="220">
        <f t="shared" ref="C98" si="117">+C96</f>
        <v>0</v>
      </c>
      <c r="D98" s="45">
        <f t="shared" ref="D98:M98" si="118">+D96</f>
        <v>0</v>
      </c>
      <c r="E98" s="45">
        <f t="shared" si="118"/>
        <v>92804.695160973817</v>
      </c>
      <c r="F98" s="45">
        <f t="shared" si="118"/>
        <v>297767.53269756213</v>
      </c>
      <c r="G98" s="45">
        <f t="shared" si="118"/>
        <v>423439.42901846394</v>
      </c>
      <c r="H98" s="45">
        <f t="shared" si="118"/>
        <v>813821.44670383632</v>
      </c>
      <c r="I98" s="45">
        <f t="shared" si="118"/>
        <v>777638.36578719318</v>
      </c>
      <c r="J98" s="45">
        <f t="shared" si="118"/>
        <v>523925.78796397895</v>
      </c>
      <c r="K98" s="45">
        <f t="shared" si="118"/>
        <v>620868.89690640569</v>
      </c>
      <c r="L98" s="45">
        <f t="shared" si="118"/>
        <v>569316.26267142594</v>
      </c>
      <c r="M98" s="45">
        <f t="shared" si="118"/>
        <v>509205.72573777288</v>
      </c>
      <c r="N98" s="168">
        <f t="shared" ref="N98:O98" si="119">+N96</f>
        <v>509206.72573777288</v>
      </c>
      <c r="O98" s="168">
        <f t="shared" si="119"/>
        <v>509207.72573777288</v>
      </c>
    </row>
    <row r="99" spans="1:15" ht="15" thickBot="1" x14ac:dyDescent="0.35">
      <c r="A99" t="s">
        <v>104</v>
      </c>
      <c r="B99" s="117">
        <f>+B87</f>
        <v>0</v>
      </c>
      <c r="C99" s="205">
        <f t="shared" ref="C99" si="120">+C87</f>
        <v>1860000</v>
      </c>
      <c r="D99" s="117">
        <f t="shared" ref="D99:M99" si="121">+D87</f>
        <v>0</v>
      </c>
      <c r="E99" s="117">
        <f t="shared" si="121"/>
        <v>0</v>
      </c>
      <c r="F99" s="117">
        <f t="shared" si="121"/>
        <v>0</v>
      </c>
      <c r="G99" s="117">
        <f t="shared" si="121"/>
        <v>0</v>
      </c>
      <c r="H99" s="117">
        <f t="shared" si="121"/>
        <v>0</v>
      </c>
      <c r="I99" s="117">
        <f t="shared" si="121"/>
        <v>0</v>
      </c>
      <c r="J99" s="117">
        <f t="shared" si="121"/>
        <v>0</v>
      </c>
      <c r="K99" s="117">
        <f t="shared" si="121"/>
        <v>0</v>
      </c>
      <c r="L99" s="117">
        <f t="shared" si="121"/>
        <v>0</v>
      </c>
      <c r="M99" s="117">
        <f t="shared" si="121"/>
        <v>0</v>
      </c>
      <c r="N99" s="205">
        <f t="shared" ref="N99:O99" si="122">+N87</f>
        <v>1</v>
      </c>
      <c r="O99" s="205">
        <f t="shared" si="122"/>
        <v>2</v>
      </c>
    </row>
    <row r="100" spans="1:15" ht="16.2" thickBot="1" x14ac:dyDescent="0.35">
      <c r="A100" s="36" t="s">
        <v>106</v>
      </c>
      <c r="B100" s="49">
        <f>+B94+B98+B99</f>
        <v>281183000</v>
      </c>
      <c r="C100" s="172">
        <f t="shared" ref="C100" si="123">+C94+C98+C99</f>
        <v>283043000</v>
      </c>
      <c r="D100" s="49">
        <f t="shared" ref="D100:M100" si="124">+D94+D98+D99</f>
        <v>283043000</v>
      </c>
      <c r="E100" s="49">
        <f t="shared" si="124"/>
        <v>283135804.69516098</v>
      </c>
      <c r="F100" s="49">
        <f t="shared" si="124"/>
        <v>283433572.22785854</v>
      </c>
      <c r="G100" s="49">
        <f t="shared" si="124"/>
        <v>283857011.65687698</v>
      </c>
      <c r="H100" s="49">
        <f t="shared" si="124"/>
        <v>284670833.10358089</v>
      </c>
      <c r="I100" s="49">
        <f t="shared" si="124"/>
        <v>285448471.46936804</v>
      </c>
      <c r="J100" s="49">
        <f t="shared" si="124"/>
        <v>285972397.25733203</v>
      </c>
      <c r="K100" s="49">
        <f t="shared" si="124"/>
        <v>286593266.15423846</v>
      </c>
      <c r="L100" s="49">
        <f t="shared" si="124"/>
        <v>287162582.41690987</v>
      </c>
      <c r="M100" s="49">
        <f t="shared" si="124"/>
        <v>287671788.14264762</v>
      </c>
      <c r="N100" s="172">
        <f t="shared" ref="N100:O100" si="125">+N94+N98+N99</f>
        <v>288180997.86838537</v>
      </c>
      <c r="O100" s="172">
        <f t="shared" si="125"/>
        <v>288690209.59412318</v>
      </c>
    </row>
    <row r="101" spans="1:15" ht="15" thickTop="1" x14ac:dyDescent="0.3">
      <c r="N101" s="221"/>
      <c r="O101" s="221"/>
    </row>
  </sheetData>
  <pageMargins left="0.70866141732283472" right="0.70866141732283472" top="0.74803149606299213" bottom="0.74803149606299213" header="0.31496062992125984" footer="0.31496062992125984"/>
  <pageSetup paperSize="9"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71"/>
  <sheetViews>
    <sheetView workbookViewId="0">
      <selection activeCell="D13" sqref="D13"/>
    </sheetView>
  </sheetViews>
  <sheetFormatPr defaultRowHeight="14.4" outlineLevelCol="1" x14ac:dyDescent="0.3"/>
  <cols>
    <col min="1" max="1" width="47.109375" customWidth="1"/>
    <col min="2" max="3" width="13.109375" customWidth="1" outlineLevel="1"/>
    <col min="4" max="13" width="13.109375" bestFit="1" customWidth="1"/>
    <col min="14" max="15" width="11.5546875" bestFit="1" customWidth="1"/>
    <col min="16" max="16" width="11.5546875" style="221" bestFit="1" customWidth="1"/>
  </cols>
  <sheetData>
    <row r="1" spans="1:16" s="17" customFormat="1" ht="15" x14ac:dyDescent="0.25">
      <c r="A1" s="18" t="s">
        <v>305</v>
      </c>
      <c r="B1" s="586" t="s">
        <v>69</v>
      </c>
      <c r="C1" s="586" t="s">
        <v>69</v>
      </c>
      <c r="D1" s="586" t="s">
        <v>69</v>
      </c>
      <c r="E1" s="586" t="s">
        <v>69</v>
      </c>
      <c r="F1" s="586" t="s">
        <v>70</v>
      </c>
      <c r="G1" s="586" t="s">
        <v>70</v>
      </c>
      <c r="H1" s="586" t="s">
        <v>71</v>
      </c>
      <c r="I1" s="586" t="s">
        <v>71</v>
      </c>
      <c r="J1" s="586" t="s">
        <v>71</v>
      </c>
      <c r="K1" s="586" t="s">
        <v>71</v>
      </c>
      <c r="L1" s="586" t="s">
        <v>71</v>
      </c>
      <c r="M1" s="586" t="s">
        <v>71</v>
      </c>
      <c r="N1" s="586" t="s">
        <v>71</v>
      </c>
      <c r="O1" s="586" t="s">
        <v>71</v>
      </c>
      <c r="P1" s="586" t="s">
        <v>71</v>
      </c>
    </row>
    <row r="2" spans="1:16" ht="15" x14ac:dyDescent="0.25">
      <c r="A2" s="18" t="s">
        <v>73</v>
      </c>
      <c r="B2" s="741" t="s">
        <v>68</v>
      </c>
      <c r="C2" s="694" t="s">
        <v>0</v>
      </c>
      <c r="D2" s="694" t="s">
        <v>1</v>
      </c>
      <c r="E2" s="694" t="s">
        <v>2</v>
      </c>
      <c r="F2" s="694" t="s">
        <v>3</v>
      </c>
      <c r="G2" s="694" t="s">
        <v>4</v>
      </c>
      <c r="H2" s="694" t="s">
        <v>5</v>
      </c>
      <c r="I2" s="694" t="s">
        <v>6</v>
      </c>
      <c r="J2" s="694" t="s">
        <v>7</v>
      </c>
      <c r="K2" s="694" t="s">
        <v>8</v>
      </c>
      <c r="L2" s="694" t="s">
        <v>9</v>
      </c>
      <c r="M2" s="694" t="s">
        <v>514</v>
      </c>
      <c r="N2" s="694" t="s">
        <v>515</v>
      </c>
      <c r="O2" s="694" t="s">
        <v>904</v>
      </c>
      <c r="P2" s="694" t="s">
        <v>1046</v>
      </c>
    </row>
    <row r="3" spans="1:16" ht="15" x14ac:dyDescent="0.25">
      <c r="N3" s="221"/>
      <c r="O3" s="221"/>
    </row>
    <row r="4" spans="1:16" ht="15" x14ac:dyDescent="0.25">
      <c r="A4" s="44" t="s">
        <v>306</v>
      </c>
      <c r="B4" s="116">
        <f>+'GF &amp; FF  Inc Exp Statement'!B38</f>
        <v>0</v>
      </c>
      <c r="C4" s="116">
        <f>+'GF &amp; FF  Inc Exp Statement'!C38</f>
        <v>0</v>
      </c>
      <c r="D4" s="116">
        <f>+'GF &amp; FF  Inc Exp Statement'!D38</f>
        <v>0</v>
      </c>
      <c r="E4" s="116">
        <f>+'GF &amp; FF  Inc Exp Statement'!E38</f>
        <v>11810</v>
      </c>
      <c r="F4" s="116">
        <f>+'GF &amp; FF  Inc Exp Statement'!F38</f>
        <v>2928.0070000000123</v>
      </c>
      <c r="G4" s="116">
        <f>+'GF &amp; FF  Inc Exp Statement'!G38</f>
        <v>4419.8999599999952</v>
      </c>
      <c r="H4" s="116">
        <f>+'GF &amp; FF  Inc Exp Statement'!H38</f>
        <v>4402.2824850000034</v>
      </c>
      <c r="I4" s="116">
        <f>+'GF &amp; FF  Inc Exp Statement'!I38</f>
        <v>4661.3812902999998</v>
      </c>
      <c r="J4" s="116">
        <f>+'GF &amp; FF  Inc Exp Statement'!J38</f>
        <v>4547.2847176340074</v>
      </c>
      <c r="K4" s="116">
        <f>+'GF &amp; FF  Inc Exp Statement'!K38</f>
        <v>4332.5622136972088</v>
      </c>
      <c r="L4" s="116">
        <f>+'GF &amp; FF  Inc Exp Statement'!L38</f>
        <v>4420.1863558144687</v>
      </c>
      <c r="M4" s="116">
        <f>+'GF &amp; FF  Inc Exp Statement'!M38</f>
        <v>4499.7787113932573</v>
      </c>
      <c r="N4" s="217">
        <f>+'GF &amp; FF  Inc Exp Statement'!N38</f>
        <v>4590.119519842272</v>
      </c>
      <c r="O4" s="217">
        <f>+'GF &amp; FF  Inc Exp Statement'!O38</f>
        <v>4675.2005194942831</v>
      </c>
      <c r="P4" s="217">
        <f>+'GF &amp; FF  Inc Exp Statement'!P38</f>
        <v>4760.1743875826869</v>
      </c>
    </row>
    <row r="5" spans="1:16" ht="15" x14ac:dyDescent="0.25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214"/>
      <c r="O5" s="214"/>
      <c r="P5" s="214"/>
    </row>
    <row r="6" spans="1:16" ht="15" x14ac:dyDescent="0.25">
      <c r="A6" s="40" t="s">
        <v>307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214"/>
      <c r="O6" s="214"/>
      <c r="P6" s="214"/>
    </row>
    <row r="7" spans="1:16" ht="15" x14ac:dyDescent="0.25">
      <c r="A7" s="5" t="s">
        <v>320</v>
      </c>
      <c r="B7" s="118">
        <v>0</v>
      </c>
      <c r="C7" s="118">
        <v>0</v>
      </c>
      <c r="D7" s="118">
        <v>0</v>
      </c>
      <c r="E7" s="118">
        <v>0</v>
      </c>
      <c r="F7" s="118">
        <v>0</v>
      </c>
      <c r="G7" s="118">
        <v>0</v>
      </c>
      <c r="H7" s="118">
        <v>0</v>
      </c>
      <c r="I7" s="118">
        <v>0</v>
      </c>
      <c r="J7" s="118">
        <v>0</v>
      </c>
      <c r="K7" s="118">
        <v>0</v>
      </c>
      <c r="L7" s="118">
        <v>0</v>
      </c>
      <c r="M7" s="118">
        <v>0</v>
      </c>
      <c r="N7" s="216">
        <v>0</v>
      </c>
      <c r="O7" s="216">
        <v>0</v>
      </c>
      <c r="P7" s="216">
        <v>0</v>
      </c>
    </row>
    <row r="8" spans="1:16" ht="15" x14ac:dyDescent="0.25">
      <c r="A8" s="44" t="s">
        <v>308</v>
      </c>
      <c r="B8" s="116">
        <f>+B7</f>
        <v>0</v>
      </c>
      <c r="C8" s="116">
        <f t="shared" ref="C8:M8" si="0">+C7</f>
        <v>0</v>
      </c>
      <c r="D8" s="116">
        <f t="shared" si="0"/>
        <v>0</v>
      </c>
      <c r="E8" s="116">
        <f t="shared" si="0"/>
        <v>0</v>
      </c>
      <c r="F8" s="116">
        <f t="shared" si="0"/>
        <v>0</v>
      </c>
      <c r="G8" s="116">
        <f t="shared" si="0"/>
        <v>0</v>
      </c>
      <c r="H8" s="116">
        <f t="shared" si="0"/>
        <v>0</v>
      </c>
      <c r="I8" s="116">
        <f t="shared" si="0"/>
        <v>0</v>
      </c>
      <c r="J8" s="116">
        <f t="shared" si="0"/>
        <v>0</v>
      </c>
      <c r="K8" s="116">
        <f t="shared" si="0"/>
        <v>0</v>
      </c>
      <c r="L8" s="116">
        <f t="shared" si="0"/>
        <v>0</v>
      </c>
      <c r="M8" s="116">
        <f t="shared" si="0"/>
        <v>0</v>
      </c>
      <c r="N8" s="217">
        <f t="shared" ref="N8:O8" si="1">+N7</f>
        <v>0</v>
      </c>
      <c r="O8" s="217">
        <f t="shared" si="1"/>
        <v>0</v>
      </c>
      <c r="P8" s="217">
        <f t="shared" ref="P8" si="2">+P7</f>
        <v>0</v>
      </c>
    </row>
    <row r="9" spans="1:16" ht="15" x14ac:dyDescent="0.25"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214"/>
      <c r="O9" s="214"/>
      <c r="P9" s="214"/>
    </row>
    <row r="10" spans="1:16" s="26" customFormat="1" ht="16.5" thickBot="1" x14ac:dyDescent="0.3">
      <c r="A10" s="36" t="s">
        <v>309</v>
      </c>
      <c r="B10" s="60">
        <f>+B4+B8</f>
        <v>0</v>
      </c>
      <c r="C10" s="126">
        <f t="shared" ref="C10:M10" si="3">+C4+C8</f>
        <v>0</v>
      </c>
      <c r="D10" s="60">
        <f t="shared" si="3"/>
        <v>0</v>
      </c>
      <c r="E10" s="126">
        <f t="shared" si="3"/>
        <v>11810</v>
      </c>
      <c r="F10" s="126">
        <f t="shared" si="3"/>
        <v>2928.0070000000123</v>
      </c>
      <c r="G10" s="126">
        <f t="shared" si="3"/>
        <v>4419.8999599999952</v>
      </c>
      <c r="H10" s="126">
        <f t="shared" si="3"/>
        <v>4402.2824850000034</v>
      </c>
      <c r="I10" s="126">
        <f t="shared" si="3"/>
        <v>4661.3812902999998</v>
      </c>
      <c r="J10" s="126">
        <f t="shared" si="3"/>
        <v>4547.2847176340074</v>
      </c>
      <c r="K10" s="126">
        <f t="shared" si="3"/>
        <v>4332.5622136972088</v>
      </c>
      <c r="L10" s="126">
        <f t="shared" si="3"/>
        <v>4420.1863558144687</v>
      </c>
      <c r="M10" s="126">
        <f t="shared" si="3"/>
        <v>4499.7787113932573</v>
      </c>
      <c r="N10" s="126">
        <f t="shared" ref="N10:O10" si="4">+N4+N8</f>
        <v>4590.119519842272</v>
      </c>
      <c r="O10" s="126">
        <f t="shared" si="4"/>
        <v>4675.2005194942831</v>
      </c>
      <c r="P10" s="126">
        <f t="shared" ref="P10" si="5">+P4+P8</f>
        <v>4760.1743875826869</v>
      </c>
    </row>
    <row r="11" spans="1:16" ht="15" x14ac:dyDescent="0.25"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214"/>
      <c r="O11" s="214"/>
      <c r="P11" s="214"/>
    </row>
    <row r="12" spans="1:16" ht="15" x14ac:dyDescent="0.25">
      <c r="A12" t="s">
        <v>310</v>
      </c>
      <c r="B12" s="116">
        <f>+B10</f>
        <v>0</v>
      </c>
      <c r="C12" s="116">
        <f t="shared" ref="C12:M12" si="6">+C10</f>
        <v>0</v>
      </c>
      <c r="D12" s="116">
        <f t="shared" si="6"/>
        <v>0</v>
      </c>
      <c r="E12" s="116">
        <f t="shared" si="6"/>
        <v>11810</v>
      </c>
      <c r="F12" s="116">
        <f t="shared" si="6"/>
        <v>2928.0070000000123</v>
      </c>
      <c r="G12" s="116">
        <f t="shared" si="6"/>
        <v>4419.8999599999952</v>
      </c>
      <c r="H12" s="116">
        <f t="shared" si="6"/>
        <v>4402.2824850000034</v>
      </c>
      <c r="I12" s="116">
        <f t="shared" si="6"/>
        <v>4661.3812902999998</v>
      </c>
      <c r="J12" s="116">
        <f t="shared" si="6"/>
        <v>4547.2847176340074</v>
      </c>
      <c r="K12" s="116">
        <f t="shared" si="6"/>
        <v>4332.5622136972088</v>
      </c>
      <c r="L12" s="116">
        <f t="shared" si="6"/>
        <v>4420.1863558144687</v>
      </c>
      <c r="M12" s="116">
        <f t="shared" si="6"/>
        <v>4499.7787113932573</v>
      </c>
      <c r="N12" s="217">
        <f t="shared" ref="N12:O12" si="7">+N10</f>
        <v>4590.119519842272</v>
      </c>
      <c r="O12" s="217">
        <f t="shared" si="7"/>
        <v>4675.2005194942831</v>
      </c>
      <c r="P12" s="217">
        <f t="shared" ref="P12" si="8">+P10</f>
        <v>4760.1743875826869</v>
      </c>
    </row>
    <row r="13" spans="1:16" ht="30.75" thickBot="1" x14ac:dyDescent="0.3">
      <c r="A13" s="52" t="s">
        <v>311</v>
      </c>
      <c r="B13" s="119">
        <v>0</v>
      </c>
      <c r="C13" s="119">
        <v>0</v>
      </c>
      <c r="D13" s="119">
        <v>0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  <c r="J13" s="119">
        <v>0</v>
      </c>
      <c r="K13" s="119">
        <v>0</v>
      </c>
      <c r="L13" s="119">
        <v>0</v>
      </c>
      <c r="M13" s="119">
        <v>0</v>
      </c>
      <c r="N13" s="218">
        <v>0</v>
      </c>
      <c r="O13" s="218">
        <v>0</v>
      </c>
      <c r="P13" s="218">
        <v>0</v>
      </c>
    </row>
    <row r="14" spans="1:16" ht="15.75" thickTop="1" x14ac:dyDescent="0.25">
      <c r="N14" s="221"/>
      <c r="O14" s="221"/>
    </row>
    <row r="15" spans="1:16" ht="15" x14ac:dyDescent="0.25">
      <c r="N15" s="221"/>
      <c r="O15" s="221"/>
    </row>
    <row r="16" spans="1:16" s="17" customFormat="1" ht="15" x14ac:dyDescent="0.25">
      <c r="A16" s="18" t="s">
        <v>312</v>
      </c>
      <c r="B16" s="586" t="s">
        <v>69</v>
      </c>
      <c r="C16" s="586" t="s">
        <v>69</v>
      </c>
      <c r="D16" s="586" t="s">
        <v>69</v>
      </c>
      <c r="E16" s="586" t="s">
        <v>69</v>
      </c>
      <c r="F16" s="586" t="s">
        <v>70</v>
      </c>
      <c r="G16" s="586" t="s">
        <v>70</v>
      </c>
      <c r="H16" s="586" t="s">
        <v>71</v>
      </c>
      <c r="I16" s="586" t="s">
        <v>71</v>
      </c>
      <c r="J16" s="586" t="s">
        <v>71</v>
      </c>
      <c r="K16" s="586" t="s">
        <v>71</v>
      </c>
      <c r="L16" s="586" t="s">
        <v>71</v>
      </c>
      <c r="M16" s="586" t="s">
        <v>71</v>
      </c>
      <c r="N16" s="586" t="s">
        <v>71</v>
      </c>
      <c r="O16" s="586" t="s">
        <v>71</v>
      </c>
      <c r="P16" s="586" t="s">
        <v>71</v>
      </c>
    </row>
    <row r="17" spans="1:16" ht="15" x14ac:dyDescent="0.25">
      <c r="A17" s="18" t="s">
        <v>73</v>
      </c>
      <c r="B17" s="741" t="s">
        <v>68</v>
      </c>
      <c r="C17" s="694" t="s">
        <v>0</v>
      </c>
      <c r="D17" s="694" t="s">
        <v>1</v>
      </c>
      <c r="E17" s="694" t="s">
        <v>2</v>
      </c>
      <c r="F17" s="694" t="s">
        <v>3</v>
      </c>
      <c r="G17" s="694" t="s">
        <v>4</v>
      </c>
      <c r="H17" s="694" t="s">
        <v>5</v>
      </c>
      <c r="I17" s="694" t="s">
        <v>6</v>
      </c>
      <c r="J17" s="694" t="s">
        <v>7</v>
      </c>
      <c r="K17" s="694" t="s">
        <v>8</v>
      </c>
      <c r="L17" s="694" t="s">
        <v>9</v>
      </c>
      <c r="M17" s="694" t="s">
        <v>514</v>
      </c>
      <c r="N17" s="694" t="s">
        <v>515</v>
      </c>
      <c r="O17" s="694" t="s">
        <v>904</v>
      </c>
      <c r="P17" s="694" t="s">
        <v>1046</v>
      </c>
    </row>
    <row r="18" spans="1:16" ht="15" x14ac:dyDescent="0.25"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214"/>
      <c r="O18" s="214"/>
      <c r="P18" s="214"/>
    </row>
    <row r="19" spans="1:16" s="3" customFormat="1" ht="15" x14ac:dyDescent="0.25">
      <c r="A19" s="3" t="s">
        <v>76</v>
      </c>
      <c r="B19" s="116">
        <f>+'GF &amp; FF  Inc Exp Statement'!B38</f>
        <v>0</v>
      </c>
      <c r="C19" s="116">
        <f>+'GF &amp; FF  Inc Exp Statement'!C38</f>
        <v>0</v>
      </c>
      <c r="D19" s="116">
        <f>+'GF &amp; FF  Inc Exp Statement'!D38</f>
        <v>0</v>
      </c>
      <c r="E19" s="116">
        <f>+'GF &amp; FF  Inc Exp Statement'!E38</f>
        <v>11810</v>
      </c>
      <c r="F19" s="116">
        <f>+'GF &amp; FF  Inc Exp Statement'!F38</f>
        <v>2928.0070000000123</v>
      </c>
      <c r="G19" s="116">
        <f>+'GF &amp; FF  Inc Exp Statement'!G38</f>
        <v>4419.8999599999952</v>
      </c>
      <c r="H19" s="116">
        <f>+'GF &amp; FF  Inc Exp Statement'!H38</f>
        <v>4402.2824850000034</v>
      </c>
      <c r="I19" s="116">
        <f>+'GF &amp; FF  Inc Exp Statement'!I38</f>
        <v>4661.3812902999998</v>
      </c>
      <c r="J19" s="116">
        <f>+'GF &amp; FF  Inc Exp Statement'!J38</f>
        <v>4547.2847176340074</v>
      </c>
      <c r="K19" s="116">
        <f>+'GF &amp; FF  Inc Exp Statement'!K38</f>
        <v>4332.5622136972088</v>
      </c>
      <c r="L19" s="116">
        <f>+'GF &amp; FF  Inc Exp Statement'!L38</f>
        <v>4420.1863558144687</v>
      </c>
      <c r="M19" s="116">
        <f>+'GF &amp; FF  Inc Exp Statement'!M38</f>
        <v>4499.7787113932573</v>
      </c>
      <c r="N19" s="217">
        <f>+'GF &amp; FF  Inc Exp Statement'!N38</f>
        <v>4590.119519842272</v>
      </c>
      <c r="O19" s="217">
        <f>+'GF &amp; FF  Inc Exp Statement'!O38</f>
        <v>4675.2005194942831</v>
      </c>
      <c r="P19" s="217">
        <f>+'GF &amp; FF  Inc Exp Statement'!P38</f>
        <v>4760.1743875826869</v>
      </c>
    </row>
    <row r="20" spans="1:16" ht="15" x14ac:dyDescent="0.25"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217"/>
      <c r="O20" s="217"/>
      <c r="P20" s="217"/>
    </row>
    <row r="21" spans="1:16" ht="15" x14ac:dyDescent="0.25">
      <c r="A21" s="40" t="s">
        <v>314</v>
      </c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217"/>
      <c r="O21" s="217"/>
      <c r="P21" s="217"/>
    </row>
    <row r="22" spans="1:16" ht="15" x14ac:dyDescent="0.25">
      <c r="A22" t="s">
        <v>109</v>
      </c>
      <c r="B22" s="116">
        <f>+'GF &amp; FF  Inc Exp Statement'!B57</f>
        <v>0</v>
      </c>
      <c r="C22" s="116">
        <f>+'GF &amp; FF  Inc Exp Statement'!C57</f>
        <v>0</v>
      </c>
      <c r="D22" s="116">
        <f>+'GF &amp; FF  Inc Exp Statement'!D57</f>
        <v>0</v>
      </c>
      <c r="E22" s="116">
        <f>+'GF &amp; FF  Inc Exp Statement'!E57</f>
        <v>0</v>
      </c>
      <c r="F22" s="116">
        <f>+'GF &amp; FF  Inc Exp Statement'!F57</f>
        <v>0</v>
      </c>
      <c r="G22" s="116">
        <f>+'GF &amp; FF  Inc Exp Statement'!G57</f>
        <v>0</v>
      </c>
      <c r="H22" s="116">
        <f>+'GF &amp; FF  Inc Exp Statement'!H57</f>
        <v>0</v>
      </c>
      <c r="I22" s="116">
        <f>+'GF &amp; FF  Inc Exp Statement'!I57</f>
        <v>0</v>
      </c>
      <c r="J22" s="116">
        <f>+'GF &amp; FF  Inc Exp Statement'!J57</f>
        <v>0</v>
      </c>
      <c r="K22" s="116">
        <f>+'GF &amp; FF  Inc Exp Statement'!K57</f>
        <v>0</v>
      </c>
      <c r="L22" s="116">
        <f>+'GF &amp; FF  Inc Exp Statement'!L57</f>
        <v>0</v>
      </c>
      <c r="M22" s="116">
        <f>+'GF &amp; FF  Inc Exp Statement'!M57</f>
        <v>0</v>
      </c>
      <c r="N22" s="217">
        <f>+'GF &amp; FF  Inc Exp Statement'!N57</f>
        <v>0</v>
      </c>
      <c r="O22" s="217">
        <f>+'GF &amp; FF  Inc Exp Statement'!O57</f>
        <v>0</v>
      </c>
      <c r="P22" s="217">
        <f>+'GF &amp; FF  Inc Exp Statement'!P57</f>
        <v>0</v>
      </c>
    </row>
    <row r="23" spans="1:16" ht="15" x14ac:dyDescent="0.25">
      <c r="A23" s="5" t="s">
        <v>29</v>
      </c>
      <c r="B23" s="118">
        <f>+'GF &amp; FF  Inc Exp Statement'!B62</f>
        <v>0</v>
      </c>
      <c r="C23" s="118">
        <f>+'GF &amp; FF  Inc Exp Statement'!C62</f>
        <v>0</v>
      </c>
      <c r="D23" s="118">
        <f>+'GF &amp; FF  Inc Exp Statement'!D62</f>
        <v>0</v>
      </c>
      <c r="E23" s="118">
        <f>+'GF &amp; FF  Inc Exp Statement'!E62</f>
        <v>7182</v>
      </c>
      <c r="F23" s="118">
        <f>+'GF &amp; FF  Inc Exp Statement'!F62</f>
        <v>8510.6460000000006</v>
      </c>
      <c r="G23" s="118" t="e">
        <f>+'GF &amp; FF  Inc Exp Statement'!#REF!</f>
        <v>#REF!</v>
      </c>
      <c r="H23" s="118">
        <f>+'GF &amp; FF  Inc Exp Statement'!G62</f>
        <v>7625.4650000000001</v>
      </c>
      <c r="I23" s="118">
        <f>+'GF &amp; FF  Inc Exp Statement'!H62</f>
        <v>7813.7811700000002</v>
      </c>
      <c r="J23" s="118">
        <f>+'GF &amp; FF  Inc Exp Statement'!I62</f>
        <v>8004.9436536499989</v>
      </c>
      <c r="K23" s="118">
        <f>+'GF &amp; FF  Inc Exp Statement'!K62</f>
        <v>8409.8064586787295</v>
      </c>
      <c r="L23" s="118">
        <f>+'GF &amp; FF  Inc Exp Statement'!L62</f>
        <v>8620.0516201456958</v>
      </c>
      <c r="M23" s="118">
        <f>+'GF &amp; FF  Inc Exp Statement'!M62</f>
        <v>8835.5529106493359</v>
      </c>
      <c r="N23" s="216">
        <f>+'GF &amp; FF  Inc Exp Statement'!N62</f>
        <v>9056.4417334155696</v>
      </c>
      <c r="O23" s="216">
        <f>+'GF &amp; FF  Inc Exp Statement'!O62</f>
        <v>9282.8527767509568</v>
      </c>
      <c r="P23" s="216">
        <f>+'GF &amp; FF  Inc Exp Statement'!P62</f>
        <v>9514.9240961697305</v>
      </c>
    </row>
    <row r="24" spans="1:16" s="44" customFormat="1" ht="15" x14ac:dyDescent="0.25">
      <c r="A24" s="44" t="s">
        <v>313</v>
      </c>
      <c r="B24" s="116">
        <f>SUM(B22:B23)</f>
        <v>0</v>
      </c>
      <c r="C24" s="116">
        <f t="shared" ref="C24:M24" si="9">SUM(C22:C23)</f>
        <v>0</v>
      </c>
      <c r="D24" s="116">
        <f t="shared" si="9"/>
        <v>0</v>
      </c>
      <c r="E24" s="116">
        <f t="shared" si="9"/>
        <v>7182</v>
      </c>
      <c r="F24" s="116">
        <f t="shared" si="9"/>
        <v>8510.6460000000006</v>
      </c>
      <c r="G24" s="116" t="e">
        <f t="shared" si="9"/>
        <v>#REF!</v>
      </c>
      <c r="H24" s="116">
        <f t="shared" si="9"/>
        <v>7625.4650000000001</v>
      </c>
      <c r="I24" s="116">
        <f t="shared" si="9"/>
        <v>7813.7811700000002</v>
      </c>
      <c r="J24" s="116">
        <f t="shared" si="9"/>
        <v>8004.9436536499989</v>
      </c>
      <c r="K24" s="116">
        <f t="shared" si="9"/>
        <v>8409.8064586787295</v>
      </c>
      <c r="L24" s="116">
        <f t="shared" si="9"/>
        <v>8620.0516201456958</v>
      </c>
      <c r="M24" s="116">
        <f t="shared" si="9"/>
        <v>8835.5529106493359</v>
      </c>
      <c r="N24" s="217">
        <f t="shared" ref="N24:O24" si="10">SUM(N22:N23)</f>
        <v>9056.4417334155696</v>
      </c>
      <c r="O24" s="217">
        <f t="shared" si="10"/>
        <v>9282.8527767509568</v>
      </c>
      <c r="P24" s="217">
        <f t="shared" ref="P24" si="11">SUM(P22:P23)</f>
        <v>9514.9240961697305</v>
      </c>
    </row>
    <row r="25" spans="1:16" ht="15" x14ac:dyDescent="0.25"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217"/>
      <c r="O25" s="217"/>
      <c r="P25" s="217"/>
    </row>
    <row r="26" spans="1:16" ht="15" x14ac:dyDescent="0.25">
      <c r="A26" s="40" t="s">
        <v>315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217"/>
      <c r="O26" s="217"/>
      <c r="P26" s="217"/>
    </row>
    <row r="27" spans="1:16" ht="15" x14ac:dyDescent="0.25">
      <c r="A27" s="4" t="s">
        <v>316</v>
      </c>
      <c r="B27" s="116" t="e">
        <f>+'GF &amp; FF  Inc Exp Statement'!#REF!</f>
        <v>#REF!</v>
      </c>
      <c r="C27" s="116">
        <v>-150000</v>
      </c>
      <c r="D27" s="116" t="e">
        <f>+'GF &amp; FF  Inc Exp Statement'!#REF!</f>
        <v>#REF!</v>
      </c>
      <c r="E27" s="116" t="e">
        <f>+'GF &amp; FF  Inc Exp Statement'!#REF!</f>
        <v>#REF!</v>
      </c>
      <c r="F27" s="116" t="e">
        <f>+'GF &amp; FF  Inc Exp Statement'!#REF!</f>
        <v>#REF!</v>
      </c>
      <c r="G27" s="116" t="e">
        <f>+'GF &amp; FF  Inc Exp Statement'!#REF!</f>
        <v>#REF!</v>
      </c>
      <c r="H27" s="116" t="e">
        <f>+'GF &amp; FF  Inc Exp Statement'!#REF!</f>
        <v>#REF!</v>
      </c>
      <c r="I27" s="116" t="e">
        <f>+'GF &amp; FF  Inc Exp Statement'!#REF!</f>
        <v>#REF!</v>
      </c>
      <c r="J27" s="116" t="e">
        <f>+'GF &amp; FF  Inc Exp Statement'!#REF!</f>
        <v>#REF!</v>
      </c>
      <c r="K27" s="116" t="e">
        <f>+'GF &amp; FF  Inc Exp Statement'!#REF!</f>
        <v>#REF!</v>
      </c>
      <c r="L27" s="116" t="e">
        <f>+'GF &amp; FF  Inc Exp Statement'!#REF!</f>
        <v>#REF!</v>
      </c>
      <c r="M27" s="116" t="e">
        <f>+'GF &amp; FF  Inc Exp Statement'!#REF!</f>
        <v>#REF!</v>
      </c>
      <c r="N27" s="217" t="e">
        <f>+'GF &amp; FF  Inc Exp Statement'!#REF!</f>
        <v>#REF!</v>
      </c>
      <c r="O27" s="217" t="e">
        <f>+'GF &amp; FF  Inc Exp Statement'!#REF!</f>
        <v>#REF!</v>
      </c>
      <c r="P27" s="217" t="e">
        <f>+'GF &amp; FF  Inc Exp Statement'!#REF!</f>
        <v>#REF!</v>
      </c>
    </row>
    <row r="28" spans="1:16" ht="15" x14ac:dyDescent="0.25">
      <c r="A28" s="4" t="s">
        <v>317</v>
      </c>
      <c r="B28" s="116" t="e">
        <f>+'GF &amp; FF  Inc Exp Statement'!#REF!</f>
        <v>#REF!</v>
      </c>
      <c r="C28" s="116" t="e">
        <f>+'GF &amp; FF  Inc Exp Statement'!#REF!-C27</f>
        <v>#REF!</v>
      </c>
      <c r="D28" s="116" t="e">
        <f>+'GF &amp; FF  Inc Exp Statement'!#REF!</f>
        <v>#REF!</v>
      </c>
      <c r="E28" s="116" t="e">
        <f>+'GF &amp; FF  Inc Exp Statement'!#REF!</f>
        <v>#REF!</v>
      </c>
      <c r="F28" s="116" t="e">
        <f>+'GF &amp; FF  Inc Exp Statement'!#REF!</f>
        <v>#REF!</v>
      </c>
      <c r="G28" s="116" t="e">
        <f>+'GF &amp; FF  Inc Exp Statement'!#REF!</f>
        <v>#REF!</v>
      </c>
      <c r="H28" s="116" t="e">
        <f>+'GF &amp; FF  Inc Exp Statement'!#REF!</f>
        <v>#REF!</v>
      </c>
      <c r="I28" s="116" t="e">
        <f>+'GF &amp; FF  Inc Exp Statement'!#REF!</f>
        <v>#REF!</v>
      </c>
      <c r="J28" s="116" t="e">
        <f>+'GF &amp; FF  Inc Exp Statement'!#REF!</f>
        <v>#REF!</v>
      </c>
      <c r="K28" s="116" t="e">
        <f>+'GF &amp; FF  Inc Exp Statement'!#REF!</f>
        <v>#REF!</v>
      </c>
      <c r="L28" s="116" t="e">
        <f>+'GF &amp; FF  Inc Exp Statement'!#REF!</f>
        <v>#REF!</v>
      </c>
      <c r="M28" s="116" t="e">
        <f>+'GF &amp; FF  Inc Exp Statement'!#REF!</f>
        <v>#REF!</v>
      </c>
      <c r="N28" s="217" t="e">
        <f>+'GF &amp; FF  Inc Exp Statement'!#REF!</f>
        <v>#REF!</v>
      </c>
      <c r="O28" s="217" t="e">
        <f>+'GF &amp; FF  Inc Exp Statement'!#REF!</f>
        <v>#REF!</v>
      </c>
      <c r="P28" s="217" t="e">
        <f>+'GF &amp; FF  Inc Exp Statement'!#REF!</f>
        <v>#REF!</v>
      </c>
    </row>
    <row r="29" spans="1:16" ht="28.8" x14ac:dyDescent="0.3">
      <c r="A29" s="6" t="s">
        <v>318</v>
      </c>
      <c r="B29" s="118" t="e">
        <f>+'GF &amp; FF  Inc Exp Statement'!#REF!</f>
        <v>#REF!</v>
      </c>
      <c r="C29" s="118" t="e">
        <f>+'GF &amp; FF  Inc Exp Statement'!#REF!</f>
        <v>#REF!</v>
      </c>
      <c r="D29" s="118" t="e">
        <f>+'GF &amp; FF  Inc Exp Statement'!#REF!</f>
        <v>#REF!</v>
      </c>
      <c r="E29" s="118" t="e">
        <f>+'GF &amp; FF  Inc Exp Statement'!#REF!</f>
        <v>#REF!</v>
      </c>
      <c r="F29" s="118" t="e">
        <f>+'GF &amp; FF  Inc Exp Statement'!#REF!</f>
        <v>#REF!</v>
      </c>
      <c r="G29" s="118" t="e">
        <f>+'GF &amp; FF  Inc Exp Statement'!#REF!</f>
        <v>#REF!</v>
      </c>
      <c r="H29" s="118" t="e">
        <f>+'GF &amp; FF  Inc Exp Statement'!#REF!</f>
        <v>#REF!</v>
      </c>
      <c r="I29" s="118" t="e">
        <f>+'GF &amp; FF  Inc Exp Statement'!#REF!</f>
        <v>#REF!</v>
      </c>
      <c r="J29" s="118" t="e">
        <f>+'GF &amp; FF  Inc Exp Statement'!#REF!</f>
        <v>#REF!</v>
      </c>
      <c r="K29" s="118" t="e">
        <f>+'GF &amp; FF  Inc Exp Statement'!#REF!</f>
        <v>#REF!</v>
      </c>
      <c r="L29" s="118" t="e">
        <f>+'GF &amp; FF  Inc Exp Statement'!#REF!</f>
        <v>#REF!</v>
      </c>
      <c r="M29" s="118" t="e">
        <f>+'GF &amp; FF  Inc Exp Statement'!#REF!</f>
        <v>#REF!</v>
      </c>
      <c r="N29" s="216" t="e">
        <f>+'GF &amp; FF  Inc Exp Statement'!#REF!</f>
        <v>#REF!</v>
      </c>
      <c r="O29" s="216" t="e">
        <f>+'GF &amp; FF  Inc Exp Statement'!#REF!</f>
        <v>#REF!</v>
      </c>
      <c r="P29" s="216" t="e">
        <f>+'GF &amp; FF  Inc Exp Statement'!#REF!</f>
        <v>#REF!</v>
      </c>
    </row>
    <row r="30" spans="1:16" x14ac:dyDescent="0.3">
      <c r="A30" s="44" t="s">
        <v>319</v>
      </c>
      <c r="B30" s="116" t="e">
        <f>SUM(B27:B29)</f>
        <v>#REF!</v>
      </c>
      <c r="C30" s="116" t="e">
        <f t="shared" ref="C30:M30" si="12">SUM(C27:C29)</f>
        <v>#REF!</v>
      </c>
      <c r="D30" s="116" t="e">
        <f t="shared" si="12"/>
        <v>#REF!</v>
      </c>
      <c r="E30" s="116" t="e">
        <f t="shared" si="12"/>
        <v>#REF!</v>
      </c>
      <c r="F30" s="116" t="e">
        <f t="shared" si="12"/>
        <v>#REF!</v>
      </c>
      <c r="G30" s="116" t="e">
        <f t="shared" si="12"/>
        <v>#REF!</v>
      </c>
      <c r="H30" s="116" t="e">
        <f t="shared" si="12"/>
        <v>#REF!</v>
      </c>
      <c r="I30" s="116" t="e">
        <f t="shared" si="12"/>
        <v>#REF!</v>
      </c>
      <c r="J30" s="116" t="e">
        <f t="shared" si="12"/>
        <v>#REF!</v>
      </c>
      <c r="K30" s="116" t="e">
        <f t="shared" si="12"/>
        <v>#REF!</v>
      </c>
      <c r="L30" s="116" t="e">
        <f t="shared" si="12"/>
        <v>#REF!</v>
      </c>
      <c r="M30" s="116" t="e">
        <f t="shared" si="12"/>
        <v>#REF!</v>
      </c>
      <c r="N30" s="217" t="e">
        <f t="shared" ref="N30:O30" si="13">SUM(N27:N29)</f>
        <v>#REF!</v>
      </c>
      <c r="O30" s="217" t="e">
        <f t="shared" si="13"/>
        <v>#REF!</v>
      </c>
      <c r="P30" s="217" t="e">
        <f t="shared" ref="P30" si="14">SUM(P27:P29)</f>
        <v>#REF!</v>
      </c>
    </row>
    <row r="31" spans="1:16" x14ac:dyDescent="0.3"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217"/>
      <c r="O31" s="217"/>
      <c r="P31" s="217"/>
    </row>
    <row r="32" spans="1:16" x14ac:dyDescent="0.3">
      <c r="A32" s="40" t="s">
        <v>323</v>
      </c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217"/>
      <c r="O32" s="217"/>
      <c r="P32" s="217"/>
    </row>
    <row r="33" spans="1:16" x14ac:dyDescent="0.3">
      <c r="A33" s="11" t="s">
        <v>31</v>
      </c>
      <c r="B33" s="116">
        <f>+'GF &amp; FF  Inc Exp Statement'!B67</f>
        <v>0</v>
      </c>
      <c r="C33" s="116">
        <f>+'GF &amp; FF  Inc Exp Statement'!C67</f>
        <v>0</v>
      </c>
      <c r="D33" s="116">
        <f>+'GF &amp; FF  Inc Exp Statement'!D67</f>
        <v>0</v>
      </c>
      <c r="E33" s="116">
        <f>+'GF &amp; FF  Inc Exp Statement'!E67</f>
        <v>0</v>
      </c>
      <c r="F33" s="116">
        <f>+'GF &amp; FF  Inc Exp Statement'!F67</f>
        <v>0</v>
      </c>
      <c r="G33" s="116">
        <f>+'GF &amp; FF  Inc Exp Statement'!G67</f>
        <v>0</v>
      </c>
      <c r="H33" s="116">
        <f>+'GF &amp; FF  Inc Exp Statement'!H67</f>
        <v>0</v>
      </c>
      <c r="I33" s="116">
        <f>+'GF &amp; FF  Inc Exp Statement'!I67</f>
        <v>0</v>
      </c>
      <c r="J33" s="116">
        <f>+'GF &amp; FF  Inc Exp Statement'!J67</f>
        <v>0</v>
      </c>
      <c r="K33" s="116">
        <f>+'GF &amp; FF  Inc Exp Statement'!K67</f>
        <v>0</v>
      </c>
      <c r="L33" s="116">
        <f>+'GF &amp; FF  Inc Exp Statement'!L67</f>
        <v>0</v>
      </c>
      <c r="M33" s="116">
        <f>+'GF &amp; FF  Inc Exp Statement'!M67</f>
        <v>0</v>
      </c>
      <c r="N33" s="217">
        <f>+'GF &amp; FF  Inc Exp Statement'!N67</f>
        <v>0</v>
      </c>
      <c r="O33" s="217">
        <f>+'GF &amp; FF  Inc Exp Statement'!O67</f>
        <v>0</v>
      </c>
      <c r="P33" s="217">
        <f>+'GF &amp; FF  Inc Exp Statement'!P67</f>
        <v>0</v>
      </c>
    </row>
    <row r="34" spans="1:16" x14ac:dyDescent="0.3">
      <c r="A34" s="15" t="s">
        <v>22</v>
      </c>
      <c r="B34" s="118">
        <f>+'GF &amp; FF  Inc Exp Statement'!B63</f>
        <v>0</v>
      </c>
      <c r="C34" s="118">
        <f>+'GF &amp; FF  Inc Exp Statement'!C63</f>
        <v>0</v>
      </c>
      <c r="D34" s="118">
        <f>+'GF &amp; FF  Inc Exp Statement'!D63</f>
        <v>0</v>
      </c>
      <c r="E34" s="118">
        <f>+'GF &amp; FF  Inc Exp Statement'!E63</f>
        <v>0</v>
      </c>
      <c r="F34" s="118">
        <f>+'GF &amp; FF  Inc Exp Statement'!F63</f>
        <v>2262.9380000000001</v>
      </c>
      <c r="G34" s="118" t="e">
        <f>+'GF &amp; FF  Inc Exp Statement'!#REF!</f>
        <v>#REF!</v>
      </c>
      <c r="H34" s="118">
        <f>+'GF &amp; FF  Inc Exp Statement'!G63</f>
        <v>2200</v>
      </c>
      <c r="I34" s="118">
        <f>+'GF &amp; FF  Inc Exp Statement'!H63</f>
        <v>8000</v>
      </c>
      <c r="J34" s="118">
        <f>+'GF &amp; FF  Inc Exp Statement'!I63</f>
        <v>2000</v>
      </c>
      <c r="K34" s="118">
        <f>+'GF &amp; FF  Inc Exp Statement'!K63</f>
        <v>2040</v>
      </c>
      <c r="L34" s="118">
        <f>+'GF &amp; FF  Inc Exp Statement'!L63</f>
        <v>2080.8000000000002</v>
      </c>
      <c r="M34" s="118">
        <f>+'GF &amp; FF  Inc Exp Statement'!M63</f>
        <v>2122.4160000000002</v>
      </c>
      <c r="N34" s="216">
        <f>+'GF &amp; FF  Inc Exp Statement'!N63</f>
        <v>2164.8643199999997</v>
      </c>
      <c r="O34" s="216">
        <f>+'GF &amp; FF  Inc Exp Statement'!O63</f>
        <v>2208.1616064</v>
      </c>
      <c r="P34" s="216">
        <f>+'GF &amp; FF  Inc Exp Statement'!P63</f>
        <v>2252.3248385279999</v>
      </c>
    </row>
    <row r="35" spans="1:16" x14ac:dyDescent="0.3">
      <c r="A35" s="32" t="s">
        <v>324</v>
      </c>
      <c r="B35" s="116">
        <f>SUM(B33:B34)</f>
        <v>0</v>
      </c>
      <c r="C35" s="116">
        <f t="shared" ref="C35:M35" si="15">SUM(C33:C34)</f>
        <v>0</v>
      </c>
      <c r="D35" s="116">
        <f t="shared" si="15"/>
        <v>0</v>
      </c>
      <c r="E35" s="116">
        <f t="shared" si="15"/>
        <v>0</v>
      </c>
      <c r="F35" s="116">
        <f t="shared" si="15"/>
        <v>2262.9380000000001</v>
      </c>
      <c r="G35" s="116" t="e">
        <f t="shared" si="15"/>
        <v>#REF!</v>
      </c>
      <c r="H35" s="116">
        <f t="shared" si="15"/>
        <v>2200</v>
      </c>
      <c r="I35" s="116">
        <f t="shared" si="15"/>
        <v>8000</v>
      </c>
      <c r="J35" s="116">
        <f t="shared" si="15"/>
        <v>2000</v>
      </c>
      <c r="K35" s="116">
        <f t="shared" si="15"/>
        <v>2040</v>
      </c>
      <c r="L35" s="116">
        <f t="shared" si="15"/>
        <v>2080.8000000000002</v>
      </c>
      <c r="M35" s="116">
        <f t="shared" si="15"/>
        <v>2122.4160000000002</v>
      </c>
      <c r="N35" s="217">
        <f t="shared" ref="N35:O35" si="16">SUM(N33:N34)</f>
        <v>2164.8643199999997</v>
      </c>
      <c r="O35" s="217">
        <f t="shared" si="16"/>
        <v>2208.1616064</v>
      </c>
      <c r="P35" s="217">
        <f t="shared" ref="P35" si="17">SUM(P33:P34)</f>
        <v>2252.3248385279999</v>
      </c>
    </row>
    <row r="36" spans="1:16" x14ac:dyDescent="0.3">
      <c r="A36" s="32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217"/>
      <c r="O36" s="217"/>
      <c r="P36" s="217"/>
    </row>
    <row r="37" spans="1:16" ht="15" thickBot="1" x14ac:dyDescent="0.35">
      <c r="A37" s="29" t="s">
        <v>30</v>
      </c>
      <c r="B37" s="117">
        <f>+'GF &amp; FF  Inc Exp Statement'!B51</f>
        <v>0</v>
      </c>
      <c r="C37" s="117">
        <f>+'GF &amp; FF  Inc Exp Statement'!C51</f>
        <v>0</v>
      </c>
      <c r="D37" s="117">
        <f>+'GF &amp; FF  Inc Exp Statement'!D51</f>
        <v>0</v>
      </c>
      <c r="E37" s="117">
        <f>+'GF &amp; FF  Inc Exp Statement'!E51</f>
        <v>0</v>
      </c>
      <c r="F37" s="117">
        <f>+'GF &amp; FF  Inc Exp Statement'!F58</f>
        <v>30</v>
      </c>
      <c r="G37" s="117" t="e">
        <f>+'GF &amp; FF  Inc Exp Statement'!#REF!</f>
        <v>#REF!</v>
      </c>
      <c r="H37" s="117">
        <f>+'GF &amp; FF  Inc Exp Statement'!H51</f>
        <v>4748.0245000000004</v>
      </c>
      <c r="I37" s="117">
        <f>+'GF &amp; FF  Inc Exp Statement'!I51</f>
        <v>3849.145</v>
      </c>
      <c r="J37" s="117">
        <f>+'GF &amp; FF  Inc Exp Statement'!J51</f>
        <v>3839.348</v>
      </c>
      <c r="K37" s="117">
        <f>+'GF &amp; FF  Inc Exp Statement'!K51</f>
        <v>3674.7064999999998</v>
      </c>
      <c r="L37" s="117">
        <f>+'GF &amp; FF  Inc Exp Statement'!L51</f>
        <v>3724.1991625000001</v>
      </c>
      <c r="M37" s="117">
        <f>+'GF &amp; FF  Inc Exp Statement'!M51</f>
        <v>3743.9291415625003</v>
      </c>
      <c r="N37" s="205">
        <f>+'GF &amp; FF  Inc Exp Statement'!N51</f>
        <v>4053.9023701015626</v>
      </c>
      <c r="O37" s="205">
        <f>+'GF &amp; FF  Inc Exp Statement'!O51</f>
        <v>4204.1249293541014</v>
      </c>
      <c r="P37" s="205">
        <f>+'GF &amp; FF  Inc Exp Statement'!P51</f>
        <v>4029.6030525879537</v>
      </c>
    </row>
    <row r="38" spans="1:16" ht="9" customHeight="1" x14ac:dyDescent="0.3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214"/>
      <c r="O38" s="214"/>
      <c r="P38" s="214"/>
    </row>
    <row r="39" spans="1:16" s="129" customFormat="1" ht="16.2" thickBot="1" x14ac:dyDescent="0.35">
      <c r="A39" s="61" t="s">
        <v>34</v>
      </c>
      <c r="B39" s="130" t="e">
        <f>+B19+B24+B30+B35+B37</f>
        <v>#REF!</v>
      </c>
      <c r="C39" s="130" t="e">
        <f t="shared" ref="C39:M39" si="18">+C19+C24+C30+C35+C37</f>
        <v>#REF!</v>
      </c>
      <c r="D39" s="130" t="e">
        <f t="shared" si="18"/>
        <v>#REF!</v>
      </c>
      <c r="E39" s="130" t="e">
        <f t="shared" si="18"/>
        <v>#REF!</v>
      </c>
      <c r="F39" s="130" t="e">
        <f t="shared" si="18"/>
        <v>#REF!</v>
      </c>
      <c r="G39" s="130" t="e">
        <f t="shared" si="18"/>
        <v>#REF!</v>
      </c>
      <c r="H39" s="130" t="e">
        <f t="shared" si="18"/>
        <v>#REF!</v>
      </c>
      <c r="I39" s="130" t="e">
        <f t="shared" si="18"/>
        <v>#REF!</v>
      </c>
      <c r="J39" s="130" t="e">
        <f t="shared" si="18"/>
        <v>#REF!</v>
      </c>
      <c r="K39" s="130" t="e">
        <f t="shared" si="18"/>
        <v>#REF!</v>
      </c>
      <c r="L39" s="130" t="e">
        <f t="shared" si="18"/>
        <v>#REF!</v>
      </c>
      <c r="M39" s="130" t="e">
        <f t="shared" si="18"/>
        <v>#REF!</v>
      </c>
      <c r="N39" s="130" t="e">
        <f t="shared" ref="N39:O39" si="19">+N19+N24+N30+N35+N37</f>
        <v>#REF!</v>
      </c>
      <c r="O39" s="130" t="e">
        <f t="shared" si="19"/>
        <v>#REF!</v>
      </c>
      <c r="P39" s="130" t="e">
        <f t="shared" ref="P39" si="20">+P19+P24+P30+P35+P37</f>
        <v>#REF!</v>
      </c>
    </row>
    <row r="40" spans="1:16" ht="15" thickTop="1" x14ac:dyDescent="0.3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214"/>
      <c r="O40" s="214"/>
      <c r="P40" s="214"/>
    </row>
    <row r="41" spans="1:16" x14ac:dyDescent="0.3">
      <c r="A41" t="s">
        <v>100</v>
      </c>
      <c r="C41" s="281">
        <f>B43</f>
        <v>2191000</v>
      </c>
      <c r="D41" s="281" t="e">
        <f t="shared" ref="D41:M41" si="21">C43</f>
        <v>#REF!</v>
      </c>
      <c r="E41" s="281" t="e">
        <f>D43</f>
        <v>#REF!</v>
      </c>
      <c r="F41" s="281" t="e">
        <f t="shared" si="21"/>
        <v>#REF!</v>
      </c>
      <c r="G41" s="281" t="e">
        <f t="shared" si="21"/>
        <v>#REF!</v>
      </c>
      <c r="H41" s="281" t="e">
        <f t="shared" si="21"/>
        <v>#REF!</v>
      </c>
      <c r="I41" s="281" t="e">
        <f t="shared" si="21"/>
        <v>#REF!</v>
      </c>
      <c r="J41" s="281" t="e">
        <f t="shared" si="21"/>
        <v>#REF!</v>
      </c>
      <c r="K41" s="281" t="e">
        <f t="shared" si="21"/>
        <v>#REF!</v>
      </c>
      <c r="L41" s="281" t="e">
        <f t="shared" si="21"/>
        <v>#REF!</v>
      </c>
      <c r="M41" s="281" t="e">
        <f t="shared" si="21"/>
        <v>#REF!</v>
      </c>
      <c r="N41" s="281" t="e">
        <f t="shared" ref="N41" si="22">M43</f>
        <v>#REF!</v>
      </c>
      <c r="O41" s="281" t="e">
        <f t="shared" ref="O41:P41" si="23">N43</f>
        <v>#REF!</v>
      </c>
      <c r="P41" s="281" t="e">
        <f t="shared" si="23"/>
        <v>#REF!</v>
      </c>
    </row>
    <row r="42" spans="1:16" x14ac:dyDescent="0.3"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</row>
    <row r="43" spans="1:16" s="162" customFormat="1" ht="16.2" thickBot="1" x14ac:dyDescent="0.35">
      <c r="A43" s="181" t="s">
        <v>488</v>
      </c>
      <c r="B43" s="283">
        <v>2191000</v>
      </c>
      <c r="C43" s="282" t="e">
        <f>SUM(C39:C42)</f>
        <v>#REF!</v>
      </c>
      <c r="D43" s="282" t="e">
        <f t="shared" ref="D43:M43" si="24">SUM(D39:D42)</f>
        <v>#REF!</v>
      </c>
      <c r="E43" s="282" t="e">
        <f t="shared" si="24"/>
        <v>#REF!</v>
      </c>
      <c r="F43" s="282" t="e">
        <f t="shared" si="24"/>
        <v>#REF!</v>
      </c>
      <c r="G43" s="282" t="e">
        <f t="shared" si="24"/>
        <v>#REF!</v>
      </c>
      <c r="H43" s="282" t="e">
        <f t="shared" si="24"/>
        <v>#REF!</v>
      </c>
      <c r="I43" s="282" t="e">
        <f t="shared" si="24"/>
        <v>#REF!</v>
      </c>
      <c r="J43" s="282" t="e">
        <f t="shared" si="24"/>
        <v>#REF!</v>
      </c>
      <c r="K43" s="282" t="e">
        <f t="shared" si="24"/>
        <v>#REF!</v>
      </c>
      <c r="L43" s="282" t="e">
        <f t="shared" si="24"/>
        <v>#REF!</v>
      </c>
      <c r="M43" s="282" t="e">
        <f t="shared" si="24"/>
        <v>#REF!</v>
      </c>
      <c r="N43" s="282" t="e">
        <f t="shared" ref="N43:O43" si="25">SUM(N39:N42)</f>
        <v>#REF!</v>
      </c>
      <c r="O43" s="282" t="e">
        <f t="shared" si="25"/>
        <v>#REF!</v>
      </c>
      <c r="P43" s="282" t="e">
        <f t="shared" ref="P43" si="26">SUM(P39:P42)</f>
        <v>#REF!</v>
      </c>
    </row>
    <row r="44" spans="1:16" ht="15" thickTop="1" x14ac:dyDescent="0.3">
      <c r="N44" s="221"/>
      <c r="O44" s="221"/>
    </row>
    <row r="45" spans="1:16" x14ac:dyDescent="0.3">
      <c r="N45" s="221"/>
      <c r="O45" s="221"/>
    </row>
    <row r="46" spans="1:16" x14ac:dyDescent="0.3">
      <c r="N46" s="221"/>
      <c r="O46" s="221"/>
    </row>
    <row r="47" spans="1:16" x14ac:dyDescent="0.3">
      <c r="N47" s="221"/>
      <c r="O47" s="221"/>
    </row>
    <row r="48" spans="1:16" x14ac:dyDescent="0.3">
      <c r="N48" s="221"/>
      <c r="O48" s="221"/>
    </row>
    <row r="49" spans="14:15" x14ac:dyDescent="0.3">
      <c r="N49" s="221"/>
      <c r="O49" s="221"/>
    </row>
    <row r="50" spans="14:15" x14ac:dyDescent="0.3">
      <c r="N50" s="221"/>
      <c r="O50" s="221"/>
    </row>
    <row r="51" spans="14:15" x14ac:dyDescent="0.3">
      <c r="N51" s="221"/>
      <c r="O51" s="221"/>
    </row>
    <row r="52" spans="14:15" x14ac:dyDescent="0.3">
      <c r="N52" s="221"/>
      <c r="O52" s="221"/>
    </row>
    <row r="53" spans="14:15" x14ac:dyDescent="0.3">
      <c r="N53" s="221"/>
      <c r="O53" s="221"/>
    </row>
    <row r="54" spans="14:15" x14ac:dyDescent="0.3">
      <c r="N54" s="221"/>
      <c r="O54" s="221"/>
    </row>
    <row r="55" spans="14:15" x14ac:dyDescent="0.3">
      <c r="N55" s="221"/>
      <c r="O55" s="221"/>
    </row>
    <row r="56" spans="14:15" x14ac:dyDescent="0.3">
      <c r="N56" s="221"/>
      <c r="O56" s="221"/>
    </row>
    <row r="57" spans="14:15" x14ac:dyDescent="0.3">
      <c r="N57" s="221"/>
      <c r="O57" s="221"/>
    </row>
    <row r="58" spans="14:15" x14ac:dyDescent="0.3">
      <c r="N58" s="221"/>
      <c r="O58" s="221"/>
    </row>
    <row r="59" spans="14:15" x14ac:dyDescent="0.3">
      <c r="N59" s="221"/>
      <c r="O59" s="221"/>
    </row>
    <row r="60" spans="14:15" x14ac:dyDescent="0.3">
      <c r="N60" s="221"/>
      <c r="O60" s="221"/>
    </row>
    <row r="61" spans="14:15" x14ac:dyDescent="0.3">
      <c r="N61" s="221"/>
      <c r="O61" s="221"/>
    </row>
    <row r="62" spans="14:15" x14ac:dyDescent="0.3">
      <c r="N62" s="221"/>
      <c r="O62" s="221"/>
    </row>
    <row r="63" spans="14:15" x14ac:dyDescent="0.3">
      <c r="N63" s="221"/>
      <c r="O63" s="221"/>
    </row>
    <row r="64" spans="14:15" x14ac:dyDescent="0.3">
      <c r="N64" s="221"/>
      <c r="O64" s="221"/>
    </row>
    <row r="65" spans="14:15" x14ac:dyDescent="0.3">
      <c r="N65" s="221"/>
      <c r="O65" s="221"/>
    </row>
    <row r="66" spans="14:15" x14ac:dyDescent="0.3">
      <c r="N66" s="221"/>
      <c r="O66" s="221"/>
    </row>
    <row r="67" spans="14:15" x14ac:dyDescent="0.3">
      <c r="N67" s="221"/>
      <c r="O67" s="221"/>
    </row>
    <row r="68" spans="14:15" x14ac:dyDescent="0.3">
      <c r="N68" s="221"/>
      <c r="O68" s="221"/>
    </row>
    <row r="69" spans="14:15" x14ac:dyDescent="0.3">
      <c r="N69" s="221"/>
      <c r="O69" s="221"/>
    </row>
    <row r="70" spans="14:15" x14ac:dyDescent="0.3">
      <c r="N70" s="221"/>
      <c r="O70" s="221"/>
    </row>
    <row r="71" spans="14:15" x14ac:dyDescent="0.3">
      <c r="N71" s="221"/>
      <c r="O71" s="221"/>
    </row>
  </sheetData>
  <pageMargins left="0.70866141732283472" right="0.70866141732283472" top="0.74803149606299213" bottom="0.74803149606299213" header="0.31496062992125984" footer="0.31496062992125984"/>
  <pageSetup paperSize="9" scale="6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91"/>
  <sheetViews>
    <sheetView workbookViewId="0">
      <selection activeCell="D7" sqref="D7"/>
    </sheetView>
  </sheetViews>
  <sheetFormatPr defaultRowHeight="14.4" x14ac:dyDescent="0.3"/>
  <cols>
    <col min="1" max="1" width="4.44140625" customWidth="1"/>
    <col min="2" max="2" width="36.44140625" customWidth="1"/>
    <col min="3" max="3" width="9.6640625" bestFit="1" customWidth="1"/>
    <col min="4" max="5" width="9.33203125" bestFit="1" customWidth="1"/>
    <col min="6" max="6" width="9.5546875" bestFit="1" customWidth="1"/>
    <col min="7" max="7" width="10.5546875" bestFit="1" customWidth="1"/>
    <col min="8" max="8" width="10.6640625" bestFit="1" customWidth="1"/>
    <col min="9" max="9" width="10.5546875" bestFit="1" customWidth="1"/>
    <col min="10" max="13" width="9.5546875" bestFit="1" customWidth="1"/>
  </cols>
  <sheetData>
    <row r="2" spans="1:14" s="221" customFormat="1" ht="21" x14ac:dyDescent="0.35">
      <c r="A2" s="314" t="s">
        <v>1270</v>
      </c>
    </row>
    <row r="3" spans="1:14" s="221" customFormat="1" ht="15" x14ac:dyDescent="0.25">
      <c r="C3" s="586" t="s">
        <v>70</v>
      </c>
      <c r="D3" s="586" t="s">
        <v>70</v>
      </c>
      <c r="E3" s="586" t="s">
        <v>71</v>
      </c>
      <c r="F3" s="586" t="s">
        <v>71</v>
      </c>
      <c r="G3" s="586" t="s">
        <v>71</v>
      </c>
      <c r="H3" s="586" t="s">
        <v>71</v>
      </c>
      <c r="I3" s="586" t="s">
        <v>71</v>
      </c>
      <c r="J3" s="586" t="s">
        <v>71</v>
      </c>
      <c r="K3" s="586" t="s">
        <v>71</v>
      </c>
      <c r="L3" s="586" t="s">
        <v>71</v>
      </c>
      <c r="M3" s="586" t="s">
        <v>71</v>
      </c>
    </row>
    <row r="4" spans="1:14" s="221" customFormat="1" ht="15" x14ac:dyDescent="0.25">
      <c r="C4" s="694" t="s">
        <v>3</v>
      </c>
      <c r="D4" s="694" t="s">
        <v>4</v>
      </c>
      <c r="E4" s="694" t="s">
        <v>5</v>
      </c>
      <c r="F4" s="694" t="s">
        <v>6</v>
      </c>
      <c r="G4" s="694" t="s">
        <v>7</v>
      </c>
      <c r="H4" s="694" t="s">
        <v>8</v>
      </c>
      <c r="I4" s="694" t="s">
        <v>9</v>
      </c>
      <c r="J4" s="694" t="s">
        <v>514</v>
      </c>
      <c r="K4" s="694" t="s">
        <v>515</v>
      </c>
      <c r="L4" s="694" t="s">
        <v>904</v>
      </c>
      <c r="M4" s="694" t="s">
        <v>1046</v>
      </c>
    </row>
    <row r="5" spans="1:14" ht="15" x14ac:dyDescent="0.25">
      <c r="A5" s="202" t="s">
        <v>1079</v>
      </c>
    </row>
    <row r="6" spans="1:14" ht="15" x14ac:dyDescent="0.25">
      <c r="A6" s="202" t="s">
        <v>80</v>
      </c>
    </row>
    <row r="7" spans="1:14" s="221" customFormat="1" ht="15" x14ac:dyDescent="0.25">
      <c r="A7" s="202"/>
      <c r="B7" s="221" t="s">
        <v>1515</v>
      </c>
      <c r="C7" s="319">
        <f>'Gen Fund  Inc Exp Statement'!F6</f>
        <v>0</v>
      </c>
      <c r="D7" s="319">
        <f>'Gen Fund  Inc Exp Statement'!G6</f>
        <v>220</v>
      </c>
      <c r="E7" s="319">
        <f>'Gen Fund  Inc Exp Statement'!H6</f>
        <v>224.4</v>
      </c>
      <c r="F7" s="319">
        <f>'Gen Fund  Inc Exp Statement'!I6</f>
        <v>228.88800000000001</v>
      </c>
      <c r="G7" s="319">
        <f>'Gen Fund  Inc Exp Statement'!J6</f>
        <v>233.46576000000002</v>
      </c>
    </row>
    <row r="8" spans="1:14" x14ac:dyDescent="0.3">
      <c r="B8" t="s">
        <v>1281</v>
      </c>
      <c r="C8">
        <f>'Gen Fund  Inc Exp Statement'!F7</f>
        <v>0</v>
      </c>
      <c r="D8" s="221">
        <f>'Gen Fund  Inc Exp Statement'!G7</f>
        <v>0</v>
      </c>
      <c r="E8" s="221">
        <f>'Gen Fund  Inc Exp Statement'!H7</f>
        <v>0</v>
      </c>
      <c r="F8" s="221">
        <f>'Gen Fund  Inc Exp Statement'!I7</f>
        <v>0</v>
      </c>
      <c r="G8" s="221">
        <f>'Gen Fund  Inc Exp Statement'!J7</f>
        <v>0</v>
      </c>
      <c r="H8" s="1556" t="s">
        <v>1444</v>
      </c>
      <c r="I8" s="1556"/>
      <c r="J8" s="1556"/>
      <c r="K8" s="1556"/>
      <c r="L8" s="1556"/>
      <c r="M8" s="1556"/>
      <c r="N8" t="s">
        <v>1453</v>
      </c>
    </row>
    <row r="9" spans="1:14" x14ac:dyDescent="0.3">
      <c r="B9" t="s">
        <v>408</v>
      </c>
      <c r="C9" s="221">
        <f>'Gen Fund  Inc Exp Statement'!F8</f>
        <v>0</v>
      </c>
      <c r="D9" s="221">
        <f>'Gen Fund  Inc Exp Statement'!G8</f>
        <v>-750</v>
      </c>
      <c r="E9" s="221">
        <f>'Gen Fund  Inc Exp Statement'!H8</f>
        <v>-765</v>
      </c>
      <c r="F9" s="319">
        <f>'Gen Fund  Inc Exp Statement'!I8</f>
        <v>-780.30000000000007</v>
      </c>
      <c r="G9" s="319">
        <f>'Gen Fund  Inc Exp Statement'!J8</f>
        <v>-795.90600000000006</v>
      </c>
      <c r="H9" s="1556"/>
      <c r="I9" s="1556"/>
      <c r="J9" s="1556"/>
      <c r="K9" s="1556"/>
      <c r="L9" s="1556"/>
      <c r="M9" s="1556"/>
      <c r="N9" t="s">
        <v>1454</v>
      </c>
    </row>
    <row r="12" spans="1:14" ht="15" x14ac:dyDescent="0.25">
      <c r="A12" s="202" t="s">
        <v>1445</v>
      </c>
    </row>
    <row r="13" spans="1:14" ht="15" x14ac:dyDescent="0.25">
      <c r="B13" t="s">
        <v>1446</v>
      </c>
      <c r="C13" s="337"/>
      <c r="D13" s="337">
        <f>'Revised Capital budget No SRV'!D96/1000</f>
        <v>300</v>
      </c>
      <c r="E13" s="337">
        <f>'Revised Capital budget No SRV'!E96/1000</f>
        <v>0</v>
      </c>
      <c r="F13" s="337">
        <f>'Revised Capital budget No SRV'!F96/1000</f>
        <v>300</v>
      </c>
      <c r="G13" s="337">
        <f>'Revised Capital budget No SRV'!G96/1000</f>
        <v>400</v>
      </c>
      <c r="H13" s="337">
        <f>'Revised Capital budget No SRV'!H96/1000</f>
        <v>350</v>
      </c>
      <c r="I13" s="337">
        <f>'Revised Capital budget No SRV'!I96/1000</f>
        <v>357</v>
      </c>
      <c r="J13" s="337">
        <f>'Revised Capital budget No SRV'!J96/1000</f>
        <v>364.14</v>
      </c>
      <c r="K13" s="337">
        <f>'Revised Capital budget No SRV'!K96/1000</f>
        <v>371.4228</v>
      </c>
      <c r="L13" s="337">
        <f>'Revised Capital budget No SRV'!L96/1000</f>
        <v>378.85125599999998</v>
      </c>
      <c r="M13" s="337">
        <f>'Revised Capital budget No SRV'!M96/1000</f>
        <v>386.42828112000001</v>
      </c>
    </row>
    <row r="14" spans="1:14" ht="15" x14ac:dyDescent="0.25">
      <c r="B14" s="1376" t="s">
        <v>1447</v>
      </c>
    </row>
    <row r="15" spans="1:14" ht="15" x14ac:dyDescent="0.25">
      <c r="B15" t="s">
        <v>1151</v>
      </c>
    </row>
    <row r="16" spans="1:14" ht="15" x14ac:dyDescent="0.25">
      <c r="B16" t="s">
        <v>1449</v>
      </c>
      <c r="H16" s="221"/>
    </row>
    <row r="17" spans="1:13" ht="15" x14ac:dyDescent="0.25">
      <c r="B17" t="s">
        <v>1448</v>
      </c>
    </row>
    <row r="19" spans="1:13" ht="15" x14ac:dyDescent="0.25">
      <c r="A19" s="202" t="s">
        <v>382</v>
      </c>
    </row>
    <row r="20" spans="1:13" ht="15" x14ac:dyDescent="0.25">
      <c r="B20" t="s">
        <v>1450</v>
      </c>
      <c r="H20" s="337"/>
      <c r="I20" s="337"/>
      <c r="J20" s="337"/>
      <c r="K20" s="337"/>
      <c r="L20" s="337"/>
      <c r="M20" s="337"/>
    </row>
    <row r="21" spans="1:13" ht="15" x14ac:dyDescent="0.25">
      <c r="B21" t="s">
        <v>1451</v>
      </c>
      <c r="F21" s="337"/>
      <c r="G21" s="337"/>
      <c r="H21" s="337"/>
      <c r="I21" s="337"/>
      <c r="J21" s="337"/>
      <c r="K21" s="337"/>
      <c r="L21" s="337"/>
      <c r="M21" s="337"/>
    </row>
    <row r="23" spans="1:13" ht="18.75" x14ac:dyDescent="0.3">
      <c r="A23" s="1379" t="s">
        <v>1455</v>
      </c>
      <c r="B23" s="1378"/>
      <c r="C23" s="1378"/>
      <c r="D23" s="1378"/>
    </row>
    <row r="25" spans="1:13" s="221" customFormat="1" ht="21" x14ac:dyDescent="0.35">
      <c r="A25" s="314" t="s">
        <v>1452</v>
      </c>
    </row>
    <row r="26" spans="1:13" s="221" customFormat="1" ht="15" x14ac:dyDescent="0.25">
      <c r="C26" s="586" t="s">
        <v>70</v>
      </c>
      <c r="D26" s="586" t="s">
        <v>70</v>
      </c>
      <c r="E26" s="586" t="s">
        <v>71</v>
      </c>
      <c r="F26" s="586" t="s">
        <v>71</v>
      </c>
      <c r="G26" s="586" t="s">
        <v>71</v>
      </c>
      <c r="H26" s="586" t="s">
        <v>71</v>
      </c>
      <c r="I26" s="586" t="s">
        <v>71</v>
      </c>
      <c r="J26" s="586" t="s">
        <v>71</v>
      </c>
      <c r="K26" s="586" t="s">
        <v>71</v>
      </c>
      <c r="L26" s="586" t="s">
        <v>71</v>
      </c>
      <c r="M26" s="586" t="s">
        <v>71</v>
      </c>
    </row>
    <row r="27" spans="1:13" s="221" customFormat="1" ht="15" x14ac:dyDescent="0.25">
      <c r="C27" s="694" t="s">
        <v>3</v>
      </c>
      <c r="D27" s="694" t="s">
        <v>4</v>
      </c>
      <c r="E27" s="694" t="s">
        <v>5</v>
      </c>
      <c r="F27" s="694" t="s">
        <v>6</v>
      </c>
      <c r="G27" s="694" t="s">
        <v>7</v>
      </c>
      <c r="H27" s="694" t="s">
        <v>8</v>
      </c>
      <c r="I27" s="694" t="s">
        <v>9</v>
      </c>
      <c r="J27" s="694" t="s">
        <v>514</v>
      </c>
      <c r="K27" s="694" t="s">
        <v>515</v>
      </c>
      <c r="L27" s="694" t="s">
        <v>904</v>
      </c>
      <c r="M27" s="694" t="s">
        <v>1046</v>
      </c>
    </row>
    <row r="28" spans="1:13" s="221" customFormat="1" ht="15.75" x14ac:dyDescent="0.25">
      <c r="A28" s="1377" t="s">
        <v>1079</v>
      </c>
    </row>
    <row r="29" spans="1:13" s="221" customFormat="1" ht="15" x14ac:dyDescent="0.25">
      <c r="A29" s="202" t="s">
        <v>80</v>
      </c>
    </row>
    <row r="30" spans="1:13" s="221" customFormat="1" ht="15" x14ac:dyDescent="0.25">
      <c r="A30" s="202"/>
      <c r="B30" s="221" t="str">
        <f>B7</f>
        <v>Extra Operational Grants &amp; Contributions</v>
      </c>
      <c r="C30" s="319">
        <f>'Gen Fund  Inc Exp Statement'!F80</f>
        <v>0</v>
      </c>
      <c r="D30" s="319">
        <f>'Gen Fund  Inc Exp Statement'!G80</f>
        <v>220</v>
      </c>
      <c r="E30" s="319">
        <f>'Gen Fund  Inc Exp Statement'!H80</f>
        <v>224.4</v>
      </c>
      <c r="F30" s="319">
        <f>'Gen Fund  Inc Exp Statement'!I80</f>
        <v>228.88800000000001</v>
      </c>
      <c r="G30" s="319">
        <f>'Gen Fund  Inc Exp Statement'!J80</f>
        <v>233.46576000000002</v>
      </c>
    </row>
    <row r="31" spans="1:13" s="221" customFormat="1" x14ac:dyDescent="0.3">
      <c r="B31" s="221" t="s">
        <v>1281</v>
      </c>
      <c r="C31" s="221">
        <f>'Gen Fund  Inc Exp Statement'!F81</f>
        <v>0</v>
      </c>
      <c r="D31" s="221">
        <f>'Gen Fund  Inc Exp Statement'!G81</f>
        <v>0</v>
      </c>
      <c r="E31" s="221">
        <f>'Gen Fund  Inc Exp Statement'!H81</f>
        <v>0</v>
      </c>
      <c r="F31" s="221">
        <f>'Gen Fund  Inc Exp Statement'!I81</f>
        <v>0</v>
      </c>
      <c r="G31" s="221">
        <f>'Gen Fund  Inc Exp Statement'!J81</f>
        <v>0</v>
      </c>
      <c r="H31" s="1556" t="s">
        <v>1444</v>
      </c>
      <c r="I31" s="1556"/>
      <c r="J31" s="1556"/>
      <c r="K31" s="1556"/>
      <c r="L31" s="1556"/>
      <c r="M31" s="1556"/>
    </row>
    <row r="32" spans="1:13" s="221" customFormat="1" x14ac:dyDescent="0.3">
      <c r="B32" s="221" t="s">
        <v>408</v>
      </c>
      <c r="C32" s="221">
        <f>'Gen Fund  Inc Exp Statement'!F83</f>
        <v>0</v>
      </c>
      <c r="D32" s="221">
        <f>'Gen Fund  Inc Exp Statement'!G83</f>
        <v>-750</v>
      </c>
      <c r="E32" s="221">
        <f>'Gen Fund  Inc Exp Statement'!H83</f>
        <v>-765</v>
      </c>
      <c r="F32" s="221">
        <f>'Gen Fund  Inc Exp Statement'!I83</f>
        <v>-780.30000000000007</v>
      </c>
      <c r="G32" s="221">
        <f>'Gen Fund  Inc Exp Statement'!J83</f>
        <v>-795.90600000000006</v>
      </c>
      <c r="H32" s="1556"/>
      <c r="I32" s="1556"/>
      <c r="J32" s="1556"/>
      <c r="K32" s="1556"/>
      <c r="L32" s="1556"/>
      <c r="M32" s="1556"/>
    </row>
    <row r="33" spans="1:13" s="221" customFormat="1" x14ac:dyDescent="0.3">
      <c r="B33" s="221" t="s">
        <v>1608</v>
      </c>
      <c r="F33" s="221">
        <v>280</v>
      </c>
      <c r="G33" s="221">
        <v>140</v>
      </c>
      <c r="I33" s="221" t="s">
        <v>1609</v>
      </c>
    </row>
    <row r="34" spans="1:13" s="221" customFormat="1" x14ac:dyDescent="0.3"/>
    <row r="35" spans="1:13" s="221" customFormat="1" ht="15" customHeight="1" x14ac:dyDescent="0.3">
      <c r="A35" s="202" t="s">
        <v>1445</v>
      </c>
      <c r="J35" s="1529"/>
      <c r="K35" s="1529"/>
      <c r="L35" s="1529"/>
      <c r="M35" s="1529"/>
    </row>
    <row r="36" spans="1:13" s="221" customFormat="1" x14ac:dyDescent="0.3">
      <c r="B36" s="221" t="s">
        <v>1606</v>
      </c>
      <c r="C36" s="337"/>
      <c r="J36" s="1529"/>
      <c r="K36" s="1529"/>
      <c r="L36" s="1529"/>
      <c r="M36" s="1529"/>
    </row>
    <row r="37" spans="1:13" s="221" customFormat="1" x14ac:dyDescent="0.3">
      <c r="B37" s="1376" t="s">
        <v>1447</v>
      </c>
      <c r="I37" s="1529"/>
      <c r="J37" s="1529"/>
      <c r="K37" s="1529"/>
      <c r="L37" s="1529"/>
      <c r="M37" s="1529"/>
    </row>
    <row r="38" spans="1:13" s="221" customFormat="1" x14ac:dyDescent="0.3">
      <c r="B38" s="221" t="s">
        <v>1151</v>
      </c>
      <c r="I38" s="1555" t="s">
        <v>1607</v>
      </c>
      <c r="J38" s="1555"/>
      <c r="K38" s="1555"/>
      <c r="L38" s="1555"/>
      <c r="M38" s="1555"/>
    </row>
    <row r="39" spans="1:13" s="221" customFormat="1" x14ac:dyDescent="0.3">
      <c r="B39" s="221" t="s">
        <v>1449</v>
      </c>
      <c r="I39" s="1555"/>
      <c r="J39" s="1555"/>
      <c r="K39" s="1555"/>
      <c r="L39" s="1555"/>
      <c r="M39" s="1555"/>
    </row>
    <row r="40" spans="1:13" s="221" customFormat="1" x14ac:dyDescent="0.3">
      <c r="B40" s="221" t="s">
        <v>1448</v>
      </c>
      <c r="I40" s="1555"/>
      <c r="J40" s="1555"/>
      <c r="K40" s="1555"/>
      <c r="L40" s="1555"/>
      <c r="M40" s="1555"/>
    </row>
    <row r="41" spans="1:13" s="221" customFormat="1" x14ac:dyDescent="0.3">
      <c r="I41" s="1555"/>
      <c r="J41" s="1555"/>
      <c r="K41" s="1555"/>
      <c r="L41" s="1555"/>
      <c r="M41" s="1555"/>
    </row>
    <row r="42" spans="1:13" s="221" customFormat="1" x14ac:dyDescent="0.3">
      <c r="A42" s="202" t="s">
        <v>382</v>
      </c>
      <c r="I42" s="1555"/>
      <c r="J42" s="1555"/>
      <c r="K42" s="1555"/>
      <c r="L42" s="1555"/>
      <c r="M42" s="1555"/>
    </row>
    <row r="43" spans="1:13" s="221" customFormat="1" x14ac:dyDescent="0.3">
      <c r="B43" s="221" t="s">
        <v>1450</v>
      </c>
      <c r="H43" s="337"/>
      <c r="I43" s="1555"/>
      <c r="J43" s="1555"/>
      <c r="K43" s="1555"/>
      <c r="L43" s="1555"/>
      <c r="M43" s="1555"/>
    </row>
    <row r="44" spans="1:13" s="221" customFormat="1" x14ac:dyDescent="0.3">
      <c r="B44" s="221" t="s">
        <v>1451</v>
      </c>
      <c r="F44" s="337"/>
      <c r="G44" s="337"/>
      <c r="H44" s="337"/>
      <c r="I44" s="1555"/>
      <c r="J44" s="1555"/>
      <c r="K44" s="1555"/>
      <c r="L44" s="1555"/>
      <c r="M44" s="1555"/>
    </row>
    <row r="45" spans="1:13" s="221" customFormat="1" x14ac:dyDescent="0.3"/>
    <row r="46" spans="1:13" ht="23.4" x14ac:dyDescent="0.45">
      <c r="B46" s="331" t="s">
        <v>1500</v>
      </c>
      <c r="C46" s="221"/>
      <c r="D46" s="221"/>
      <c r="E46" s="221"/>
      <c r="F46" s="221"/>
      <c r="G46" s="586" t="s">
        <v>71</v>
      </c>
      <c r="H46" s="1421" t="s">
        <v>71</v>
      </c>
      <c r="I46" s="1407" t="s">
        <v>71</v>
      </c>
      <c r="J46" s="1558" t="s">
        <v>1605</v>
      </c>
      <c r="K46" s="1559"/>
      <c r="L46" s="1559"/>
      <c r="M46" s="1559"/>
    </row>
    <row r="47" spans="1:13" x14ac:dyDescent="0.3">
      <c r="C47" s="221"/>
      <c r="D47" s="221"/>
      <c r="E47" s="221"/>
      <c r="F47" s="221"/>
      <c r="G47" s="694" t="s">
        <v>7</v>
      </c>
      <c r="H47" s="1422" t="s">
        <v>7</v>
      </c>
      <c r="I47" s="1408" t="s">
        <v>7</v>
      </c>
      <c r="J47" s="1559"/>
      <c r="K47" s="1559"/>
      <c r="L47" s="1559"/>
      <c r="M47" s="1559"/>
    </row>
    <row r="48" spans="1:13" x14ac:dyDescent="0.3">
      <c r="G48" s="1557" t="s">
        <v>1504</v>
      </c>
      <c r="H48" s="1554" t="s">
        <v>1505</v>
      </c>
      <c r="I48" s="1409" t="s">
        <v>1506</v>
      </c>
      <c r="J48" s="1559"/>
      <c r="K48" s="1559"/>
      <c r="L48" s="1559"/>
      <c r="M48" s="1559"/>
    </row>
    <row r="49" spans="2:16" x14ac:dyDescent="0.3">
      <c r="B49" t="s">
        <v>1501</v>
      </c>
      <c r="G49" s="1557"/>
      <c r="H49" s="1554"/>
      <c r="I49" s="1409" t="s">
        <v>1507</v>
      </c>
      <c r="J49" s="1559"/>
      <c r="K49" s="1559"/>
      <c r="L49" s="1559"/>
      <c r="M49" s="1559"/>
    </row>
    <row r="50" spans="2:16" x14ac:dyDescent="0.3">
      <c r="H50" s="373"/>
      <c r="I50" s="1409"/>
      <c r="J50" s="1559"/>
      <c r="K50" s="1559"/>
      <c r="L50" s="1559"/>
      <c r="M50" s="1559"/>
    </row>
    <row r="51" spans="2:16" x14ac:dyDescent="0.3">
      <c r="B51" t="s">
        <v>580</v>
      </c>
      <c r="G51" s="337">
        <v>370</v>
      </c>
      <c r="H51" s="1423">
        <v>200</v>
      </c>
      <c r="I51" s="1410">
        <f>H51-G51</f>
        <v>-170</v>
      </c>
      <c r="J51" s="1559"/>
      <c r="K51" s="1559"/>
      <c r="L51" s="1559"/>
      <c r="M51" s="1559"/>
    </row>
    <row r="52" spans="2:16" x14ac:dyDescent="0.3">
      <c r="G52" s="337"/>
      <c r="H52" s="1423"/>
      <c r="I52" s="1410"/>
      <c r="J52" s="1559"/>
      <c r="K52" s="1559"/>
      <c r="L52" s="1559"/>
      <c r="M52" s="1559"/>
    </row>
    <row r="53" spans="2:16" x14ac:dyDescent="0.3">
      <c r="B53" s="202" t="s">
        <v>1502</v>
      </c>
      <c r="G53" s="337"/>
      <c r="H53" s="1423"/>
      <c r="I53" s="1410"/>
      <c r="J53" s="1559"/>
      <c r="K53" s="1559"/>
      <c r="L53" s="1559"/>
      <c r="M53" s="1559"/>
    </row>
    <row r="54" spans="2:16" x14ac:dyDescent="0.3">
      <c r="B54" t="s">
        <v>1281</v>
      </c>
      <c r="G54" s="337">
        <v>249</v>
      </c>
      <c r="H54" s="1423">
        <v>190</v>
      </c>
      <c r="I54" s="1410">
        <f t="shared" ref="I54:I58" si="0">H54-G54</f>
        <v>-59</v>
      </c>
      <c r="J54" s="1559"/>
      <c r="K54" s="1559"/>
      <c r="L54" s="1559"/>
      <c r="M54" s="1559"/>
    </row>
    <row r="55" spans="2:16" x14ac:dyDescent="0.3">
      <c r="B55" t="s">
        <v>408</v>
      </c>
      <c r="G55" s="337">
        <f>(284000+100000+60000)/1000</f>
        <v>444</v>
      </c>
      <c r="H55" s="1423">
        <f>155+280</f>
        <v>435</v>
      </c>
      <c r="I55" s="1410">
        <f t="shared" si="0"/>
        <v>-9</v>
      </c>
      <c r="J55" s="1559"/>
      <c r="K55" s="1559"/>
      <c r="L55" s="1559"/>
      <c r="M55" s="1559"/>
    </row>
    <row r="56" spans="2:16" x14ac:dyDescent="0.3">
      <c r="B56" t="s">
        <v>926</v>
      </c>
      <c r="G56" s="337">
        <f>199</f>
        <v>199</v>
      </c>
      <c r="H56" s="1423">
        <v>474</v>
      </c>
      <c r="I56" s="1410">
        <f t="shared" si="0"/>
        <v>275</v>
      </c>
      <c r="J56" s="1559"/>
      <c r="K56" s="1559"/>
      <c r="L56" s="1559"/>
      <c r="M56" s="1559"/>
    </row>
    <row r="57" spans="2:16" x14ac:dyDescent="0.3">
      <c r="B57" t="s">
        <v>1503</v>
      </c>
      <c r="G57" s="337">
        <v>125</v>
      </c>
      <c r="H57" s="1423">
        <v>360</v>
      </c>
      <c r="I57" s="1410">
        <f t="shared" si="0"/>
        <v>235</v>
      </c>
      <c r="J57" s="1559"/>
      <c r="K57" s="1559"/>
      <c r="L57" s="1559"/>
      <c r="M57" s="1559"/>
    </row>
    <row r="58" spans="2:16" x14ac:dyDescent="0.3">
      <c r="B58" t="s">
        <v>1183</v>
      </c>
      <c r="G58" s="337"/>
      <c r="H58" s="1423"/>
      <c r="I58" s="1410">
        <f t="shared" si="0"/>
        <v>0</v>
      </c>
      <c r="J58" s="1559"/>
      <c r="K58" s="1559"/>
      <c r="L58" s="1559"/>
      <c r="M58" s="1559"/>
    </row>
    <row r="59" spans="2:16" ht="15" thickBot="1" x14ac:dyDescent="0.35">
      <c r="G59" s="1406">
        <f>SUM(G54:G58)</f>
        <v>1017</v>
      </c>
      <c r="H59" s="1424">
        <f t="shared" ref="H59:I59" si="1">SUM(H54:H58)</f>
        <v>1459</v>
      </c>
      <c r="I59" s="1411">
        <f t="shared" si="1"/>
        <v>442</v>
      </c>
      <c r="J59" s="1559"/>
      <c r="K59" s="1559"/>
      <c r="L59" s="1559"/>
      <c r="M59" s="1559"/>
    </row>
    <row r="60" spans="2:16" x14ac:dyDescent="0.3">
      <c r="C60" s="1527">
        <v>42768</v>
      </c>
      <c r="G60" s="1527">
        <v>42768</v>
      </c>
      <c r="H60" s="337"/>
      <c r="I60" s="337"/>
    </row>
    <row r="61" spans="2:16" x14ac:dyDescent="0.3">
      <c r="B61" s="202" t="s">
        <v>1508</v>
      </c>
      <c r="C61" s="586" t="s">
        <v>71</v>
      </c>
      <c r="D61" s="1421" t="s">
        <v>71</v>
      </c>
      <c r="E61" s="1407" t="s">
        <v>71</v>
      </c>
      <c r="G61" s="586" t="s">
        <v>71</v>
      </c>
      <c r="H61" s="1421" t="s">
        <v>71</v>
      </c>
      <c r="I61" s="1407" t="s">
        <v>71</v>
      </c>
      <c r="K61" s="586" t="s">
        <v>71</v>
      </c>
      <c r="L61" s="1421" t="s">
        <v>71</v>
      </c>
      <c r="M61" s="1407" t="s">
        <v>71</v>
      </c>
      <c r="N61" s="1555" t="s">
        <v>1610</v>
      </c>
      <c r="O61" s="1555"/>
      <c r="P61" s="1555"/>
    </row>
    <row r="62" spans="2:16" x14ac:dyDescent="0.3">
      <c r="C62" s="694" t="s">
        <v>5</v>
      </c>
      <c r="D62" s="1422" t="s">
        <v>5</v>
      </c>
      <c r="E62" s="1408" t="s">
        <v>5</v>
      </c>
      <c r="G62" s="694" t="s">
        <v>6</v>
      </c>
      <c r="H62" s="1422" t="s">
        <v>6</v>
      </c>
      <c r="I62" s="1408" t="s">
        <v>6</v>
      </c>
      <c r="K62" s="694" t="s">
        <v>7</v>
      </c>
      <c r="L62" s="1422" t="s">
        <v>7</v>
      </c>
      <c r="M62" s="1408" t="s">
        <v>7</v>
      </c>
      <c r="N62" s="1555"/>
      <c r="O62" s="1555"/>
      <c r="P62" s="1555"/>
    </row>
    <row r="63" spans="2:16" x14ac:dyDescent="0.3">
      <c r="B63" t="s">
        <v>1509</v>
      </c>
      <c r="C63" s="337">
        <v>12000</v>
      </c>
      <c r="D63" s="1423">
        <f>C63</f>
        <v>12000</v>
      </c>
      <c r="E63" s="1410">
        <f t="shared" ref="E63" si="2">D63-C63</f>
        <v>0</v>
      </c>
      <c r="G63" s="337">
        <v>12000</v>
      </c>
      <c r="H63" s="1423">
        <f>G63</f>
        <v>12000</v>
      </c>
      <c r="I63" s="1410">
        <f t="shared" ref="I63" si="3">H63-G63</f>
        <v>0</v>
      </c>
      <c r="K63" s="337"/>
      <c r="L63" s="1423">
        <f t="shared" ref="L63:L69" si="4">K63</f>
        <v>0</v>
      </c>
      <c r="M63" s="1410">
        <f t="shared" ref="M63:M64" si="5">L63-K63</f>
        <v>0</v>
      </c>
      <c r="N63" s="1555"/>
      <c r="O63" s="1555"/>
      <c r="P63" s="1555"/>
    </row>
    <row r="64" spans="2:16" s="221" customFormat="1" x14ac:dyDescent="0.3">
      <c r="B64" s="221" t="s">
        <v>1512</v>
      </c>
      <c r="C64" s="337"/>
      <c r="D64" s="1423">
        <f>C64</f>
        <v>0</v>
      </c>
      <c r="E64" s="1410"/>
      <c r="G64" s="337"/>
      <c r="H64" s="1423">
        <f>G64</f>
        <v>0</v>
      </c>
      <c r="I64" s="1410"/>
      <c r="K64" s="1528">
        <v>400</v>
      </c>
      <c r="L64" s="1423">
        <f t="shared" si="4"/>
        <v>400</v>
      </c>
      <c r="M64" s="1410">
        <f t="shared" si="5"/>
        <v>0</v>
      </c>
      <c r="N64" s="1555"/>
      <c r="O64" s="1555"/>
      <c r="P64" s="1555"/>
    </row>
    <row r="65" spans="2:16" x14ac:dyDescent="0.3">
      <c r="C65" s="337"/>
      <c r="D65" s="1423"/>
      <c r="E65" s="1410"/>
      <c r="G65" s="337"/>
      <c r="H65" s="1423"/>
      <c r="I65" s="1410"/>
      <c r="K65" s="337"/>
      <c r="L65" s="1423">
        <f t="shared" si="4"/>
        <v>0</v>
      </c>
      <c r="M65" s="1410"/>
      <c r="N65" s="1555"/>
      <c r="O65" s="1555"/>
      <c r="P65" s="1555"/>
    </row>
    <row r="66" spans="2:16" x14ac:dyDescent="0.3">
      <c r="B66" s="202" t="s">
        <v>1084</v>
      </c>
      <c r="C66" s="337"/>
      <c r="D66" s="1423"/>
      <c r="E66" s="1410"/>
      <c r="G66" s="337"/>
      <c r="H66" s="1423"/>
      <c r="I66" s="1410"/>
      <c r="K66" s="337"/>
      <c r="L66" s="1423">
        <f t="shared" si="4"/>
        <v>0</v>
      </c>
      <c r="M66" s="1410"/>
      <c r="N66" s="1555"/>
      <c r="O66" s="1555"/>
      <c r="P66" s="1555"/>
    </row>
    <row r="67" spans="2:16" x14ac:dyDescent="0.3">
      <c r="B67" t="s">
        <v>1510</v>
      </c>
      <c r="C67" s="337"/>
      <c r="D67" s="1423">
        <f t="shared" ref="D67:D69" si="6">C67</f>
        <v>0</v>
      </c>
      <c r="E67" s="1410">
        <f t="shared" ref="E67:E69" si="7">D67-C67</f>
        <v>0</v>
      </c>
      <c r="G67" s="337">
        <v>3500</v>
      </c>
      <c r="H67" s="1423">
        <f t="shared" ref="H67:H69" si="8">G67</f>
        <v>3500</v>
      </c>
      <c r="I67" s="1410">
        <f t="shared" ref="I67:I69" si="9">H67-G67</f>
        <v>0</v>
      </c>
      <c r="K67" s="337"/>
      <c r="L67" s="1423">
        <f t="shared" si="4"/>
        <v>0</v>
      </c>
      <c r="M67" s="1410">
        <f t="shared" ref="M67:M69" si="10">L67-K67</f>
        <v>0</v>
      </c>
      <c r="N67" s="1555"/>
      <c r="O67" s="1555"/>
      <c r="P67" s="1555"/>
    </row>
    <row r="68" spans="2:16" x14ac:dyDescent="0.3">
      <c r="B68" t="s">
        <v>1511</v>
      </c>
      <c r="C68" s="337">
        <v>5000</v>
      </c>
      <c r="D68" s="1423">
        <f t="shared" si="6"/>
        <v>5000</v>
      </c>
      <c r="E68" s="1410">
        <f t="shared" si="7"/>
        <v>0</v>
      </c>
      <c r="G68" s="337"/>
      <c r="H68" s="1423">
        <f t="shared" si="8"/>
        <v>0</v>
      </c>
      <c r="I68" s="1410">
        <f t="shared" si="9"/>
        <v>0</v>
      </c>
      <c r="K68" s="337"/>
      <c r="L68" s="1423">
        <f t="shared" si="4"/>
        <v>0</v>
      </c>
      <c r="M68" s="1410">
        <f t="shared" si="10"/>
        <v>0</v>
      </c>
      <c r="N68" s="1555"/>
      <c r="O68" s="1555"/>
      <c r="P68" s="1555"/>
    </row>
    <row r="69" spans="2:16" x14ac:dyDescent="0.3">
      <c r="B69" t="s">
        <v>1451</v>
      </c>
      <c r="C69" s="337">
        <v>7000</v>
      </c>
      <c r="D69" s="1423">
        <f t="shared" si="6"/>
        <v>7000</v>
      </c>
      <c r="E69" s="1410">
        <f t="shared" si="7"/>
        <v>0</v>
      </c>
      <c r="G69" s="337">
        <f>G63-G67</f>
        <v>8500</v>
      </c>
      <c r="H69" s="1423">
        <f t="shared" si="8"/>
        <v>8500</v>
      </c>
      <c r="I69" s="1410">
        <f t="shared" si="9"/>
        <v>0</v>
      </c>
      <c r="K69" s="337"/>
      <c r="L69" s="1423">
        <f t="shared" si="4"/>
        <v>0</v>
      </c>
      <c r="M69" s="1410">
        <f t="shared" si="10"/>
        <v>0</v>
      </c>
      <c r="N69" s="1555"/>
      <c r="O69" s="1555"/>
      <c r="P69" s="1555"/>
    </row>
    <row r="70" spans="2:16" ht="15" thickBot="1" x14ac:dyDescent="0.35">
      <c r="C70" s="1406">
        <f>SUM(C67:C69)</f>
        <v>12000</v>
      </c>
      <c r="D70" s="1424">
        <f t="shared" ref="D70" si="11">SUM(D67:D69)</f>
        <v>12000</v>
      </c>
      <c r="E70" s="1411">
        <f t="shared" ref="E70" si="12">SUM(E67:E69)</f>
        <v>0</v>
      </c>
      <c r="G70" s="1406">
        <f>SUM(G67:G69)</f>
        <v>12000</v>
      </c>
      <c r="H70" s="1424">
        <f t="shared" ref="H70" si="13">SUM(H67:H69)</f>
        <v>12000</v>
      </c>
      <c r="I70" s="1411">
        <f t="shared" ref="I70" si="14">SUM(I67:I69)</f>
        <v>0</v>
      </c>
      <c r="K70" s="1406">
        <f>SUM(K67:K69)</f>
        <v>0</v>
      </c>
      <c r="L70" s="1424">
        <f t="shared" ref="L70:M70" si="15">SUM(L67:L69)</f>
        <v>0</v>
      </c>
      <c r="M70" s="1411">
        <f t="shared" si="15"/>
        <v>0</v>
      </c>
    </row>
    <row r="71" spans="2:16" x14ac:dyDescent="0.3">
      <c r="G71" s="337"/>
      <c r="H71" s="337"/>
      <c r="I71" s="337"/>
    </row>
    <row r="76" spans="2:16" ht="45" x14ac:dyDescent="0.45">
      <c r="B76" s="331" t="s">
        <v>1500</v>
      </c>
      <c r="C76" s="1421" t="s">
        <v>71</v>
      </c>
      <c r="D76" s="52" t="s">
        <v>1627</v>
      </c>
      <c r="E76" s="1421" t="s">
        <v>71</v>
      </c>
      <c r="F76" s="52" t="s">
        <v>1628</v>
      </c>
      <c r="G76" t="s">
        <v>500</v>
      </c>
    </row>
    <row r="77" spans="2:16" x14ac:dyDescent="0.3">
      <c r="B77" s="221"/>
      <c r="C77" s="1422" t="s">
        <v>7</v>
      </c>
      <c r="D77" s="221"/>
      <c r="E77" s="1422" t="s">
        <v>7</v>
      </c>
      <c r="F77" s="221"/>
    </row>
    <row r="78" spans="2:16" ht="15" customHeight="1" x14ac:dyDescent="0.3">
      <c r="B78" s="221"/>
      <c r="C78" s="1554" t="s">
        <v>1505</v>
      </c>
      <c r="D78" s="221"/>
      <c r="E78" s="221"/>
      <c r="F78" s="221"/>
    </row>
    <row r="79" spans="2:16" x14ac:dyDescent="0.3">
      <c r="B79" s="221" t="s">
        <v>1501</v>
      </c>
      <c r="C79" s="1554"/>
      <c r="D79" s="221"/>
      <c r="E79" s="221"/>
      <c r="F79" s="221"/>
    </row>
    <row r="80" spans="2:16" x14ac:dyDescent="0.3">
      <c r="B80" s="221"/>
      <c r="C80" s="373"/>
      <c r="D80" s="221"/>
      <c r="E80" s="221"/>
      <c r="F80" s="221"/>
    </row>
    <row r="81" spans="2:8" x14ac:dyDescent="0.3">
      <c r="B81" s="221" t="s">
        <v>580</v>
      </c>
      <c r="C81" s="1423">
        <v>200</v>
      </c>
      <c r="D81" s="221"/>
      <c r="E81" s="338">
        <f>SUM(C81:D81)</f>
        <v>200</v>
      </c>
      <c r="F81" s="221">
        <v>114</v>
      </c>
      <c r="G81" s="1541">
        <f>F81-E81</f>
        <v>-86</v>
      </c>
      <c r="H81" t="s">
        <v>1629</v>
      </c>
    </row>
    <row r="82" spans="2:8" x14ac:dyDescent="0.3">
      <c r="B82" s="221"/>
      <c r="C82" s="1423"/>
      <c r="D82" s="221"/>
      <c r="E82" s="221"/>
      <c r="F82" s="221"/>
    </row>
    <row r="83" spans="2:8" x14ac:dyDescent="0.3">
      <c r="B83" s="202" t="s">
        <v>1502</v>
      </c>
      <c r="C83" s="1423"/>
      <c r="D83" s="221"/>
      <c r="E83" s="221"/>
      <c r="F83" s="221"/>
    </row>
    <row r="84" spans="2:8" x14ac:dyDescent="0.3">
      <c r="B84" s="221" t="s">
        <v>1281</v>
      </c>
      <c r="C84" s="1423">
        <v>190</v>
      </c>
      <c r="D84" s="221"/>
      <c r="E84" s="338">
        <f t="shared" ref="E84:E87" si="16">SUM(C84:D84)</f>
        <v>190</v>
      </c>
      <c r="F84" s="221">
        <v>190</v>
      </c>
      <c r="G84" s="1542">
        <f t="shared" ref="G84:G88" si="17">F84-E84</f>
        <v>0</v>
      </c>
    </row>
    <row r="85" spans="2:8" x14ac:dyDescent="0.3">
      <c r="B85" s="221" t="s">
        <v>408</v>
      </c>
      <c r="C85" s="1423">
        <f>155+280</f>
        <v>435</v>
      </c>
      <c r="D85" s="221"/>
      <c r="E85" s="338">
        <f t="shared" si="16"/>
        <v>435</v>
      </c>
      <c r="F85" s="221">
        <v>370</v>
      </c>
      <c r="G85" s="1541">
        <f t="shared" si="17"/>
        <v>-65</v>
      </c>
      <c r="H85" t="s">
        <v>1630</v>
      </c>
    </row>
    <row r="86" spans="2:8" x14ac:dyDescent="0.3">
      <c r="B86" s="221" t="s">
        <v>926</v>
      </c>
      <c r="C86" s="1423">
        <v>474</v>
      </c>
      <c r="D86" s="221">
        <v>280</v>
      </c>
      <c r="E86" s="338">
        <f t="shared" si="16"/>
        <v>754</v>
      </c>
      <c r="F86" s="221">
        <v>853</v>
      </c>
      <c r="G86" s="1542">
        <f t="shared" si="17"/>
        <v>99</v>
      </c>
      <c r="H86" t="s">
        <v>1632</v>
      </c>
    </row>
    <row r="87" spans="2:8" x14ac:dyDescent="0.3">
      <c r="B87" s="221" t="s">
        <v>1503</v>
      </c>
      <c r="C87" s="1423">
        <v>360</v>
      </c>
      <c r="D87" s="221"/>
      <c r="E87" s="338">
        <f t="shared" si="16"/>
        <v>360</v>
      </c>
      <c r="F87" s="221">
        <v>426</v>
      </c>
      <c r="G87" s="1542">
        <f t="shared" si="17"/>
        <v>66</v>
      </c>
      <c r="H87" t="s">
        <v>1631</v>
      </c>
    </row>
    <row r="88" spans="2:8" x14ac:dyDescent="0.3">
      <c r="B88" s="221" t="s">
        <v>1183</v>
      </c>
      <c r="C88" s="1423"/>
      <c r="D88" s="221"/>
      <c r="E88" s="221"/>
      <c r="F88" s="221">
        <v>93</v>
      </c>
      <c r="G88" s="1542">
        <f t="shared" si="17"/>
        <v>93</v>
      </c>
    </row>
    <row r="89" spans="2:8" ht="15" thickBot="1" x14ac:dyDescent="0.35">
      <c r="B89" s="221"/>
      <c r="C89" s="1424">
        <f t="shared" ref="C89:E89" si="18">SUM(C84:C88)</f>
        <v>1459</v>
      </c>
      <c r="D89" s="221"/>
      <c r="E89" s="1424">
        <f t="shared" si="18"/>
        <v>1739</v>
      </c>
      <c r="F89" s="1424">
        <f t="shared" ref="F89:G89" si="19">SUM(F84:F88)</f>
        <v>1932</v>
      </c>
      <c r="G89" s="1424">
        <f t="shared" si="19"/>
        <v>193</v>
      </c>
    </row>
    <row r="90" spans="2:8" x14ac:dyDescent="0.3">
      <c r="F90" s="221"/>
    </row>
    <row r="91" spans="2:8" x14ac:dyDescent="0.3">
      <c r="B91" t="s">
        <v>1626</v>
      </c>
      <c r="C91" s="338">
        <f>C89-C81</f>
        <v>1259</v>
      </c>
      <c r="E91" s="338">
        <f>E89-E81</f>
        <v>1539</v>
      </c>
      <c r="F91" s="338">
        <f>F89-F81</f>
        <v>1818</v>
      </c>
      <c r="G91" s="338">
        <f>G89-G81</f>
        <v>279</v>
      </c>
    </row>
  </sheetData>
  <mergeCells count="8">
    <mergeCell ref="C78:C79"/>
    <mergeCell ref="N61:P69"/>
    <mergeCell ref="I38:M44"/>
    <mergeCell ref="H8:M9"/>
    <mergeCell ref="H31:M32"/>
    <mergeCell ref="G48:G49"/>
    <mergeCell ref="H48:H49"/>
    <mergeCell ref="J46:M59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O44"/>
  <sheetViews>
    <sheetView topLeftCell="D1" workbookViewId="0">
      <selection activeCell="D68" sqref="D68"/>
    </sheetView>
  </sheetViews>
  <sheetFormatPr defaultRowHeight="14.4" outlineLevelCol="1" x14ac:dyDescent="0.3"/>
  <cols>
    <col min="1" max="1" width="47.109375" customWidth="1"/>
    <col min="2" max="3" width="13.109375" hidden="1" customWidth="1" outlineLevel="1"/>
    <col min="4" max="4" width="13.109375" bestFit="1" customWidth="1" collapsed="1"/>
    <col min="5" max="13" width="13.109375" bestFit="1" customWidth="1"/>
    <col min="14" max="14" width="10.6640625" bestFit="1" customWidth="1"/>
    <col min="15" max="15" width="11.88671875" bestFit="1" customWidth="1"/>
  </cols>
  <sheetData>
    <row r="1" spans="1:15" s="17" customFormat="1" ht="15" x14ac:dyDescent="0.25">
      <c r="A1" s="18" t="s">
        <v>438</v>
      </c>
      <c r="B1" s="19" t="s">
        <v>69</v>
      </c>
      <c r="C1" s="19" t="s">
        <v>70</v>
      </c>
      <c r="D1" s="19" t="s">
        <v>70</v>
      </c>
      <c r="E1" s="19" t="s">
        <v>71</v>
      </c>
      <c r="F1" s="19" t="s">
        <v>71</v>
      </c>
      <c r="G1" s="19" t="s">
        <v>71</v>
      </c>
      <c r="H1" s="19" t="s">
        <v>71</v>
      </c>
      <c r="I1" s="19" t="s">
        <v>71</v>
      </c>
      <c r="J1" s="19" t="s">
        <v>71</v>
      </c>
      <c r="K1" s="19" t="s">
        <v>71</v>
      </c>
      <c r="L1" s="19" t="s">
        <v>71</v>
      </c>
      <c r="M1" s="19" t="s">
        <v>71</v>
      </c>
      <c r="N1" s="213" t="s">
        <v>71</v>
      </c>
      <c r="O1" s="213" t="s">
        <v>71</v>
      </c>
    </row>
    <row r="2" spans="1:15" ht="15" x14ac:dyDescent="0.25">
      <c r="A2" s="18" t="s">
        <v>73</v>
      </c>
      <c r="B2" s="20" t="s">
        <v>60</v>
      </c>
      <c r="C2" s="20" t="s">
        <v>68</v>
      </c>
      <c r="D2" s="19" t="s">
        <v>0</v>
      </c>
      <c r="E2" s="19" t="s">
        <v>1</v>
      </c>
      <c r="F2" s="19" t="s">
        <v>2</v>
      </c>
      <c r="G2" s="19" t="s">
        <v>3</v>
      </c>
      <c r="H2" s="19" t="s">
        <v>4</v>
      </c>
      <c r="I2" s="19" t="s">
        <v>5</v>
      </c>
      <c r="J2" s="19" t="s">
        <v>6</v>
      </c>
      <c r="K2" s="19" t="s">
        <v>7</v>
      </c>
      <c r="L2" s="19" t="s">
        <v>8</v>
      </c>
      <c r="M2" s="19" t="s">
        <v>9</v>
      </c>
      <c r="N2" s="213" t="s">
        <v>514</v>
      </c>
      <c r="O2" s="213" t="s">
        <v>515</v>
      </c>
    </row>
    <row r="3" spans="1:15" ht="15" x14ac:dyDescent="0.25">
      <c r="N3" s="221"/>
      <c r="O3" s="221"/>
    </row>
    <row r="4" spans="1:15" ht="15" x14ac:dyDescent="0.25">
      <c r="A4" s="44" t="s">
        <v>306</v>
      </c>
      <c r="B4" s="116">
        <f>+'Scenario 2 Inc Exp Statement'!B28</f>
        <v>2944000</v>
      </c>
      <c r="C4" s="116">
        <f>+'Scenario 2 Inc Exp Statement'!C28</f>
        <v>-187000</v>
      </c>
      <c r="D4" s="116">
        <f>+'Scenario 2 Inc Exp Statement'!D28</f>
        <v>0</v>
      </c>
      <c r="E4" s="116">
        <f>+'Scenario 2 Inc Exp Statement'!E28</f>
        <v>103739.76394675672</v>
      </c>
      <c r="F4" s="116">
        <f>+'Scenario 2 Inc Exp Statement'!F28</f>
        <v>308909.95306405425</v>
      </c>
      <c r="G4" s="116">
        <f>+'Scenario 2 Inc Exp Statement'!G28</f>
        <v>434790.09293688461</v>
      </c>
      <c r="H4" s="116">
        <f>+'Scenario 2 Inc Exp Statement'!H28</f>
        <v>825152.94458618015</v>
      </c>
      <c r="I4" s="116">
        <f>+'Scenario 2 Inc Exp Statement'!I28</f>
        <v>789259.44459495693</v>
      </c>
      <c r="J4" s="116">
        <f>+'Scenario 2 Inc Exp Statement'!J28</f>
        <v>535662.33781281114</v>
      </c>
      <c r="K4" s="116">
        <f>+'Scenario 2 Inc Exp Statement'!K28</f>
        <v>632160.84402335435</v>
      </c>
      <c r="L4" s="116">
        <f>+'Scenario 2 Inc Exp Statement'!L28</f>
        <v>580835.38523375988</v>
      </c>
      <c r="M4" s="116">
        <f>+'Scenario 2 Inc Exp Statement'!M28</f>
        <v>520893.5212347284</v>
      </c>
      <c r="N4" s="217">
        <f>+'Scenario 2 Inc Exp Statement'!N28</f>
        <v>520893.5212347284</v>
      </c>
      <c r="O4" s="217">
        <f>+'Scenario 2 Inc Exp Statement'!O28</f>
        <v>520893.5212347284</v>
      </c>
    </row>
    <row r="5" spans="1:15" ht="15" x14ac:dyDescent="0.25"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217"/>
      <c r="O5" s="217"/>
    </row>
    <row r="6" spans="1:15" ht="15" x14ac:dyDescent="0.25">
      <c r="A6" s="40" t="s">
        <v>307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217"/>
      <c r="O6" s="217"/>
    </row>
    <row r="7" spans="1:15" ht="15" x14ac:dyDescent="0.25">
      <c r="A7" s="5" t="s">
        <v>320</v>
      </c>
      <c r="B7" s="118">
        <v>0</v>
      </c>
      <c r="C7" s="118">
        <v>0</v>
      </c>
      <c r="D7" s="118">
        <v>0</v>
      </c>
      <c r="E7" s="118">
        <v>0</v>
      </c>
      <c r="F7" s="118">
        <v>0</v>
      </c>
      <c r="G7" s="118">
        <v>0</v>
      </c>
      <c r="H7" s="118">
        <v>0</v>
      </c>
      <c r="I7" s="118">
        <v>0</v>
      </c>
      <c r="J7" s="118">
        <v>0</v>
      </c>
      <c r="K7" s="118">
        <v>0</v>
      </c>
      <c r="L7" s="118">
        <v>0</v>
      </c>
      <c r="M7" s="118">
        <v>0</v>
      </c>
      <c r="N7" s="216">
        <v>1</v>
      </c>
      <c r="O7" s="216">
        <v>2</v>
      </c>
    </row>
    <row r="8" spans="1:15" ht="15" x14ac:dyDescent="0.25">
      <c r="A8" s="44" t="s">
        <v>308</v>
      </c>
      <c r="B8" s="116">
        <f>+B7</f>
        <v>0</v>
      </c>
      <c r="C8" s="116">
        <f t="shared" ref="C8:M8" si="0">+C7</f>
        <v>0</v>
      </c>
      <c r="D8" s="116">
        <f t="shared" si="0"/>
        <v>0</v>
      </c>
      <c r="E8" s="116">
        <f t="shared" si="0"/>
        <v>0</v>
      </c>
      <c r="F8" s="116">
        <f t="shared" si="0"/>
        <v>0</v>
      </c>
      <c r="G8" s="116">
        <f t="shared" si="0"/>
        <v>0</v>
      </c>
      <c r="H8" s="116">
        <f t="shared" si="0"/>
        <v>0</v>
      </c>
      <c r="I8" s="116">
        <f t="shared" si="0"/>
        <v>0</v>
      </c>
      <c r="J8" s="116">
        <f t="shared" si="0"/>
        <v>0</v>
      </c>
      <c r="K8" s="116">
        <f t="shared" si="0"/>
        <v>0</v>
      </c>
      <c r="L8" s="116">
        <f t="shared" si="0"/>
        <v>0</v>
      </c>
      <c r="M8" s="116">
        <f t="shared" si="0"/>
        <v>0</v>
      </c>
      <c r="N8" s="217">
        <f t="shared" ref="N8:O8" si="1">+N7</f>
        <v>1</v>
      </c>
      <c r="O8" s="217">
        <f t="shared" si="1"/>
        <v>2</v>
      </c>
    </row>
    <row r="9" spans="1:15" ht="15" x14ac:dyDescent="0.25"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217"/>
      <c r="O9" s="217"/>
    </row>
    <row r="10" spans="1:15" s="26" customFormat="1" ht="16.5" thickBot="1" x14ac:dyDescent="0.3">
      <c r="A10" s="36" t="s">
        <v>309</v>
      </c>
      <c r="B10" s="60">
        <f>+B4+B8</f>
        <v>2944000</v>
      </c>
      <c r="C10" s="126">
        <f t="shared" ref="C10:M10" si="2">+C4+C8</f>
        <v>-187000</v>
      </c>
      <c r="D10" s="60">
        <f t="shared" si="2"/>
        <v>0</v>
      </c>
      <c r="E10" s="60">
        <f t="shared" si="2"/>
        <v>103739.76394675672</v>
      </c>
      <c r="F10" s="60">
        <f t="shared" si="2"/>
        <v>308909.95306405425</v>
      </c>
      <c r="G10" s="60">
        <f t="shared" si="2"/>
        <v>434790.09293688461</v>
      </c>
      <c r="H10" s="60">
        <f t="shared" si="2"/>
        <v>825152.94458618015</v>
      </c>
      <c r="I10" s="60">
        <f t="shared" si="2"/>
        <v>789259.44459495693</v>
      </c>
      <c r="J10" s="60">
        <f t="shared" si="2"/>
        <v>535662.33781281114</v>
      </c>
      <c r="K10" s="60">
        <f t="shared" si="2"/>
        <v>632160.84402335435</v>
      </c>
      <c r="L10" s="60">
        <f t="shared" si="2"/>
        <v>580835.38523375988</v>
      </c>
      <c r="M10" s="60">
        <f t="shared" si="2"/>
        <v>520893.5212347284</v>
      </c>
      <c r="N10" s="60">
        <f t="shared" ref="N10:O10" si="3">+N4+N8</f>
        <v>520894.5212347284</v>
      </c>
      <c r="O10" s="60">
        <f t="shared" si="3"/>
        <v>520895.5212347284</v>
      </c>
    </row>
    <row r="11" spans="1:15" ht="15" x14ac:dyDescent="0.25"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214"/>
      <c r="O11" s="214"/>
    </row>
    <row r="12" spans="1:15" ht="15" x14ac:dyDescent="0.25">
      <c r="A12" t="s">
        <v>310</v>
      </c>
      <c r="B12" s="116">
        <f>+B10</f>
        <v>2944000</v>
      </c>
      <c r="C12" s="116">
        <f t="shared" ref="C12:M12" si="4">+C10</f>
        <v>-187000</v>
      </c>
      <c r="D12" s="116">
        <f t="shared" si="4"/>
        <v>0</v>
      </c>
      <c r="E12" s="116">
        <f t="shared" si="4"/>
        <v>103739.76394675672</v>
      </c>
      <c r="F12" s="116">
        <f t="shared" si="4"/>
        <v>308909.95306405425</v>
      </c>
      <c r="G12" s="116">
        <f t="shared" si="4"/>
        <v>434790.09293688461</v>
      </c>
      <c r="H12" s="116">
        <f t="shared" si="4"/>
        <v>825152.94458618015</v>
      </c>
      <c r="I12" s="116">
        <f t="shared" si="4"/>
        <v>789259.44459495693</v>
      </c>
      <c r="J12" s="116">
        <f t="shared" si="4"/>
        <v>535662.33781281114</v>
      </c>
      <c r="K12" s="116">
        <f t="shared" si="4"/>
        <v>632160.84402335435</v>
      </c>
      <c r="L12" s="116">
        <f t="shared" si="4"/>
        <v>580835.38523375988</v>
      </c>
      <c r="M12" s="116">
        <f t="shared" si="4"/>
        <v>520893.5212347284</v>
      </c>
      <c r="N12" s="217">
        <f t="shared" ref="N12:O12" si="5">+N10</f>
        <v>520894.5212347284</v>
      </c>
      <c r="O12" s="217">
        <f t="shared" si="5"/>
        <v>520895.5212347284</v>
      </c>
    </row>
    <row r="13" spans="1:15" ht="30.75" thickBot="1" x14ac:dyDescent="0.3">
      <c r="A13" s="52" t="s">
        <v>311</v>
      </c>
      <c r="B13" s="119">
        <v>0</v>
      </c>
      <c r="C13" s="119">
        <v>0</v>
      </c>
      <c r="D13" s="119">
        <v>0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  <c r="J13" s="119">
        <v>0</v>
      </c>
      <c r="K13" s="119">
        <v>0</v>
      </c>
      <c r="L13" s="119">
        <v>0</v>
      </c>
      <c r="M13" s="119">
        <v>0</v>
      </c>
      <c r="N13" s="218">
        <v>1</v>
      </c>
      <c r="O13" s="218">
        <v>2</v>
      </c>
    </row>
    <row r="14" spans="1:15" ht="15.75" thickTop="1" x14ac:dyDescent="0.25">
      <c r="N14" s="221"/>
      <c r="O14" s="221"/>
    </row>
    <row r="15" spans="1:15" ht="15" x14ac:dyDescent="0.25">
      <c r="N15" s="221"/>
      <c r="O15" s="221"/>
    </row>
    <row r="16" spans="1:15" s="17" customFormat="1" ht="15" x14ac:dyDescent="0.25">
      <c r="A16" s="18" t="s">
        <v>439</v>
      </c>
      <c r="B16" s="19" t="s">
        <v>69</v>
      </c>
      <c r="C16" s="19" t="s">
        <v>70</v>
      </c>
      <c r="D16" s="19" t="s">
        <v>70</v>
      </c>
      <c r="E16" s="19" t="s">
        <v>71</v>
      </c>
      <c r="F16" s="19" t="s">
        <v>71</v>
      </c>
      <c r="G16" s="19" t="s">
        <v>71</v>
      </c>
      <c r="H16" s="19" t="s">
        <v>71</v>
      </c>
      <c r="I16" s="19" t="s">
        <v>71</v>
      </c>
      <c r="J16" s="19" t="s">
        <v>71</v>
      </c>
      <c r="K16" s="19" t="s">
        <v>71</v>
      </c>
      <c r="L16" s="19" t="s">
        <v>71</v>
      </c>
      <c r="M16" s="19" t="s">
        <v>71</v>
      </c>
      <c r="N16" s="213" t="s">
        <v>71</v>
      </c>
      <c r="O16" s="213" t="s">
        <v>71</v>
      </c>
    </row>
    <row r="17" spans="1:15" ht="15" x14ac:dyDescent="0.25">
      <c r="A17" s="18" t="s">
        <v>73</v>
      </c>
      <c r="B17" s="20" t="s">
        <v>60</v>
      </c>
      <c r="C17" s="20" t="s">
        <v>68</v>
      </c>
      <c r="D17" s="19" t="s">
        <v>0</v>
      </c>
      <c r="E17" s="19" t="s">
        <v>1</v>
      </c>
      <c r="F17" s="19" t="s">
        <v>2</v>
      </c>
      <c r="G17" s="19" t="s">
        <v>3</v>
      </c>
      <c r="H17" s="19" t="s">
        <v>4</v>
      </c>
      <c r="I17" s="19" t="s">
        <v>5</v>
      </c>
      <c r="J17" s="19" t="s">
        <v>6</v>
      </c>
      <c r="K17" s="19" t="s">
        <v>7</v>
      </c>
      <c r="L17" s="19" t="s">
        <v>8</v>
      </c>
      <c r="M17" s="19" t="s">
        <v>9</v>
      </c>
      <c r="N17" s="213" t="s">
        <v>514</v>
      </c>
      <c r="O17" s="213" t="s">
        <v>515</v>
      </c>
    </row>
    <row r="18" spans="1:15" ht="15" x14ac:dyDescent="0.25"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214"/>
      <c r="O18" s="214"/>
    </row>
    <row r="19" spans="1:15" s="3" customFormat="1" ht="15" x14ac:dyDescent="0.25">
      <c r="A19" s="3" t="s">
        <v>76</v>
      </c>
      <c r="B19" s="116">
        <f>+'Scenario 2 Inc Exp Statement'!B28</f>
        <v>2944000</v>
      </c>
      <c r="C19" s="116">
        <f>+'Scenario 2 Inc Exp Statement'!C28</f>
        <v>-187000</v>
      </c>
      <c r="D19" s="116">
        <f>+'Scenario 2 Inc Exp Statement'!D28</f>
        <v>0</v>
      </c>
      <c r="E19" s="116">
        <f>+'Scenario 2 Inc Exp Statement'!E28</f>
        <v>103739.76394675672</v>
      </c>
      <c r="F19" s="116">
        <f>+'Scenario 2 Inc Exp Statement'!F28</f>
        <v>308909.95306405425</v>
      </c>
      <c r="G19" s="116">
        <f>+'Scenario 2 Inc Exp Statement'!G28</f>
        <v>434790.09293688461</v>
      </c>
      <c r="H19" s="116">
        <f>+'Scenario 2 Inc Exp Statement'!H28</f>
        <v>825152.94458618015</v>
      </c>
      <c r="I19" s="116">
        <f>+'Scenario 2 Inc Exp Statement'!I28</f>
        <v>789259.44459495693</v>
      </c>
      <c r="J19" s="116">
        <f>+'Scenario 2 Inc Exp Statement'!J28</f>
        <v>535662.33781281114</v>
      </c>
      <c r="K19" s="116">
        <f>+'Scenario 2 Inc Exp Statement'!K28</f>
        <v>632160.84402335435</v>
      </c>
      <c r="L19" s="116">
        <f>+'Scenario 2 Inc Exp Statement'!L28</f>
        <v>580835.38523375988</v>
      </c>
      <c r="M19" s="116">
        <f>+'Scenario 2 Inc Exp Statement'!M28</f>
        <v>520893.5212347284</v>
      </c>
      <c r="N19" s="217">
        <f>+'Scenario 2 Inc Exp Statement'!N28</f>
        <v>520893.5212347284</v>
      </c>
      <c r="O19" s="217">
        <f>+'Scenario 2 Inc Exp Statement'!O28</f>
        <v>520893.5212347284</v>
      </c>
    </row>
    <row r="20" spans="1:15" ht="15" x14ac:dyDescent="0.25"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217"/>
      <c r="O20" s="217"/>
    </row>
    <row r="21" spans="1:15" ht="15" x14ac:dyDescent="0.25">
      <c r="A21" s="40" t="s">
        <v>314</v>
      </c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217"/>
      <c r="O21" s="217"/>
    </row>
    <row r="22" spans="1:15" ht="15" x14ac:dyDescent="0.25">
      <c r="A22" t="s">
        <v>109</v>
      </c>
      <c r="B22" s="116">
        <f>+'Scenario 2 Inc Exp Statement'!B36</f>
        <v>611000</v>
      </c>
      <c r="C22" s="116">
        <f>+'Scenario 2 Inc Exp Statement'!C36</f>
        <v>621000</v>
      </c>
      <c r="D22" s="116">
        <f>+'Scenario 2 Inc Exp Statement'!D36</f>
        <v>0</v>
      </c>
      <c r="E22" s="116">
        <f>+'Scenario 2 Inc Exp Statement'!E36</f>
        <v>0</v>
      </c>
      <c r="F22" s="116">
        <f>+'Scenario 2 Inc Exp Statement'!F36</f>
        <v>0</v>
      </c>
      <c r="G22" s="116">
        <f>+'Scenario 2 Inc Exp Statement'!G36</f>
        <v>0</v>
      </c>
      <c r="H22" s="116">
        <f>+'Scenario 2 Inc Exp Statement'!H36</f>
        <v>0</v>
      </c>
      <c r="I22" s="116">
        <f>+'Scenario 2 Inc Exp Statement'!I36</f>
        <v>0</v>
      </c>
      <c r="J22" s="116">
        <f>+'Scenario 2 Inc Exp Statement'!J36</f>
        <v>0</v>
      </c>
      <c r="K22" s="116">
        <f>+'Scenario 2 Inc Exp Statement'!K36</f>
        <v>0</v>
      </c>
      <c r="L22" s="116">
        <f>+'Scenario 2 Inc Exp Statement'!L36</f>
        <v>0</v>
      </c>
      <c r="M22" s="116">
        <f>+'Scenario 2 Inc Exp Statement'!M36</f>
        <v>0</v>
      </c>
      <c r="N22" s="217">
        <f>+'Scenario 2 Inc Exp Statement'!N36</f>
        <v>0</v>
      </c>
      <c r="O22" s="217">
        <f>+'Scenario 2 Inc Exp Statement'!O36</f>
        <v>0</v>
      </c>
    </row>
    <row r="23" spans="1:15" ht="15" x14ac:dyDescent="0.25">
      <c r="A23" s="5" t="s">
        <v>29</v>
      </c>
      <c r="B23" s="118">
        <f>+'Scenario 2 Inc Exp Statement'!B37</f>
        <v>4402000</v>
      </c>
      <c r="C23" s="118">
        <f>+'Scenario 2 Inc Exp Statement'!C37</f>
        <v>4755000</v>
      </c>
      <c r="D23" s="118">
        <f>+'Scenario 2 Inc Exp Statement'!D37</f>
        <v>0</v>
      </c>
      <c r="E23" s="118">
        <f>+'Scenario 2 Inc Exp Statement'!E37</f>
        <v>4610348</v>
      </c>
      <c r="F23" s="118">
        <f>+'Scenario 2 Inc Exp Statement'!F37</f>
        <v>4725606</v>
      </c>
      <c r="G23" s="118">
        <f>+'Scenario 2 Inc Exp Statement'!G37</f>
        <v>4843746</v>
      </c>
      <c r="H23" s="118">
        <f>+'Scenario 2 Inc Exp Statement'!H37</f>
        <v>4964840</v>
      </c>
      <c r="I23" s="118">
        <f>+'Scenario 2 Inc Exp Statement'!I37</f>
        <v>5088961</v>
      </c>
      <c r="J23" s="118">
        <f>+'Scenario 2 Inc Exp Statement'!J37</f>
        <v>5216185</v>
      </c>
      <c r="K23" s="118">
        <f>+'Scenario 2 Inc Exp Statement'!K37</f>
        <v>5346590</v>
      </c>
      <c r="L23" s="118">
        <f>+'Scenario 2 Inc Exp Statement'!L37</f>
        <v>5480254</v>
      </c>
      <c r="M23" s="118">
        <f>+'Scenario 2 Inc Exp Statement'!M37</f>
        <v>5617261</v>
      </c>
      <c r="N23" s="216">
        <f>+'Scenario 2 Inc Exp Statement'!N37</f>
        <v>5617261</v>
      </c>
      <c r="O23" s="216">
        <f>+'Scenario 2 Inc Exp Statement'!O37</f>
        <v>5617261</v>
      </c>
    </row>
    <row r="24" spans="1:15" s="44" customFormat="1" ht="15" x14ac:dyDescent="0.25">
      <c r="A24" s="44" t="s">
        <v>313</v>
      </c>
      <c r="B24" s="116">
        <f>SUM(B22:B23)</f>
        <v>5013000</v>
      </c>
      <c r="C24" s="116">
        <f t="shared" ref="C24:M24" si="6">SUM(C22:C23)</f>
        <v>5376000</v>
      </c>
      <c r="D24" s="116">
        <f t="shared" si="6"/>
        <v>0</v>
      </c>
      <c r="E24" s="116">
        <f t="shared" si="6"/>
        <v>4610348</v>
      </c>
      <c r="F24" s="116">
        <f t="shared" si="6"/>
        <v>4725606</v>
      </c>
      <c r="G24" s="116">
        <f t="shared" si="6"/>
        <v>4843746</v>
      </c>
      <c r="H24" s="116">
        <f t="shared" si="6"/>
        <v>4964840</v>
      </c>
      <c r="I24" s="116">
        <f t="shared" si="6"/>
        <v>5088961</v>
      </c>
      <c r="J24" s="116">
        <f t="shared" si="6"/>
        <v>5216185</v>
      </c>
      <c r="K24" s="116">
        <f t="shared" si="6"/>
        <v>5346590</v>
      </c>
      <c r="L24" s="116">
        <f t="shared" si="6"/>
        <v>5480254</v>
      </c>
      <c r="M24" s="116">
        <f t="shared" si="6"/>
        <v>5617261</v>
      </c>
      <c r="N24" s="217">
        <f t="shared" ref="N24:O24" si="7">SUM(N22:N23)</f>
        <v>5617261</v>
      </c>
      <c r="O24" s="217">
        <f t="shared" si="7"/>
        <v>5617261</v>
      </c>
    </row>
    <row r="25" spans="1:15" ht="15" x14ac:dyDescent="0.25"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217"/>
      <c r="O25" s="217"/>
    </row>
    <row r="26" spans="1:15" ht="15" x14ac:dyDescent="0.25">
      <c r="A26" s="40" t="s">
        <v>315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217"/>
      <c r="O26" s="217"/>
    </row>
    <row r="27" spans="1:15" ht="15" x14ac:dyDescent="0.25">
      <c r="A27" s="4" t="s">
        <v>316</v>
      </c>
      <c r="B27" s="116">
        <f>+'Scenario 2 Inc Exp Statement'!B42</f>
        <v>349000</v>
      </c>
      <c r="C27" s="116">
        <f>+'Scenario 2 Inc Exp Statement'!C42</f>
        <v>0</v>
      </c>
      <c r="D27" s="116">
        <f>+'Scenario 2 Inc Exp Statement'!D42</f>
        <v>0</v>
      </c>
      <c r="E27" s="116">
        <f>+'Scenario 2 Inc Exp Statement'!E42</f>
        <v>0</v>
      </c>
      <c r="F27" s="116">
        <f>+'Scenario 2 Inc Exp Statement'!F42</f>
        <v>0</v>
      </c>
      <c r="G27" s="116">
        <f>+'Scenario 2 Inc Exp Statement'!G42</f>
        <v>0</v>
      </c>
      <c r="H27" s="116">
        <f>+'Scenario 2 Inc Exp Statement'!H42</f>
        <v>0</v>
      </c>
      <c r="I27" s="116">
        <f>+'Scenario 2 Inc Exp Statement'!I42</f>
        <v>0</v>
      </c>
      <c r="J27" s="116">
        <f>+'Scenario 2 Inc Exp Statement'!J42</f>
        <v>0</v>
      </c>
      <c r="K27" s="116">
        <f>+'Scenario 2 Inc Exp Statement'!K42</f>
        <v>0</v>
      </c>
      <c r="L27" s="116">
        <f>+'Scenario 2 Inc Exp Statement'!L42</f>
        <v>0</v>
      </c>
      <c r="M27" s="116">
        <f>+'Scenario 2 Inc Exp Statement'!M42</f>
        <v>0</v>
      </c>
      <c r="N27" s="217">
        <f>+'Scenario 2 Inc Exp Statement'!N42</f>
        <v>0</v>
      </c>
      <c r="O27" s="217">
        <f>+'Scenario 2 Inc Exp Statement'!O42</f>
        <v>0</v>
      </c>
    </row>
    <row r="28" spans="1:15" ht="15" x14ac:dyDescent="0.25">
      <c r="A28" s="4" t="s">
        <v>317</v>
      </c>
      <c r="B28" s="116">
        <f>+'Scenario 2 Inc Exp Statement'!B43</f>
        <v>-223000</v>
      </c>
      <c r="C28" s="116">
        <f>+'Scenario 2 Inc Exp Statement'!C43</f>
        <v>-281000</v>
      </c>
      <c r="D28" s="116">
        <f>+'Scenario 2 Inc Exp Statement'!D43</f>
        <v>0</v>
      </c>
      <c r="E28" s="116">
        <f>+'Scenario 2 Inc Exp Statement'!E43</f>
        <v>0</v>
      </c>
      <c r="F28" s="116">
        <f>+'Scenario 2 Inc Exp Statement'!F43</f>
        <v>0</v>
      </c>
      <c r="G28" s="116">
        <f>+'Scenario 2 Inc Exp Statement'!G43</f>
        <v>0</v>
      </c>
      <c r="H28" s="116">
        <f>+'Scenario 2 Inc Exp Statement'!H43</f>
        <v>0</v>
      </c>
      <c r="I28" s="116">
        <f>+'Scenario 2 Inc Exp Statement'!I43</f>
        <v>0</v>
      </c>
      <c r="J28" s="116">
        <f>+'Scenario 2 Inc Exp Statement'!J43</f>
        <v>0</v>
      </c>
      <c r="K28" s="116">
        <f>+'Scenario 2 Inc Exp Statement'!K43</f>
        <v>0</v>
      </c>
      <c r="L28" s="116">
        <f>+'Scenario 2 Inc Exp Statement'!L43</f>
        <v>0</v>
      </c>
      <c r="M28" s="116">
        <f>+'Scenario 2 Inc Exp Statement'!M43</f>
        <v>0</v>
      </c>
      <c r="N28" s="217">
        <f>+'Scenario 2 Inc Exp Statement'!N43</f>
        <v>0</v>
      </c>
      <c r="O28" s="217">
        <f>+'Scenario 2 Inc Exp Statement'!O43</f>
        <v>0</v>
      </c>
    </row>
    <row r="29" spans="1:15" ht="28.8" x14ac:dyDescent="0.3">
      <c r="A29" s="6" t="s">
        <v>318</v>
      </c>
      <c r="B29" s="118">
        <f>+'Scenario 2 Inc Exp Statement'!B41</f>
        <v>-80000</v>
      </c>
      <c r="C29" s="118">
        <f>+'Scenario 2 Inc Exp Statement'!C41</f>
        <v>0</v>
      </c>
      <c r="D29" s="118">
        <f>+'Scenario 2 Inc Exp Statement'!D41</f>
        <v>0</v>
      </c>
      <c r="E29" s="118">
        <f>+'Scenario 2 Inc Exp Statement'!E41</f>
        <v>0</v>
      </c>
      <c r="F29" s="118">
        <f>+'Scenario 2 Inc Exp Statement'!F41</f>
        <v>0</v>
      </c>
      <c r="G29" s="118">
        <f>+'Scenario 2 Inc Exp Statement'!G41</f>
        <v>0</v>
      </c>
      <c r="H29" s="118">
        <f>+'Scenario 2 Inc Exp Statement'!H41</f>
        <v>0</v>
      </c>
      <c r="I29" s="118">
        <f>+'Scenario 2 Inc Exp Statement'!I41</f>
        <v>0</v>
      </c>
      <c r="J29" s="118">
        <f>+'Scenario 2 Inc Exp Statement'!J41</f>
        <v>0</v>
      </c>
      <c r="K29" s="118">
        <f>+'Scenario 2 Inc Exp Statement'!K41</f>
        <v>0</v>
      </c>
      <c r="L29" s="118">
        <f>+'Scenario 2 Inc Exp Statement'!L41</f>
        <v>0</v>
      </c>
      <c r="M29" s="118">
        <f>+'Scenario 2 Inc Exp Statement'!M41</f>
        <v>0</v>
      </c>
      <c r="N29" s="216">
        <f>+'Scenario 2 Inc Exp Statement'!N41</f>
        <v>0</v>
      </c>
      <c r="O29" s="216">
        <f>+'Scenario 2 Inc Exp Statement'!O41</f>
        <v>0</v>
      </c>
    </row>
    <row r="30" spans="1:15" x14ac:dyDescent="0.3">
      <c r="A30" s="44" t="s">
        <v>319</v>
      </c>
      <c r="B30" s="116">
        <f>SUM(B27:B29)</f>
        <v>46000</v>
      </c>
      <c r="C30" s="116">
        <f t="shared" ref="C30:M30" si="8">SUM(C27:C29)</f>
        <v>-281000</v>
      </c>
      <c r="D30" s="116">
        <f t="shared" si="8"/>
        <v>0</v>
      </c>
      <c r="E30" s="116">
        <f t="shared" si="8"/>
        <v>0</v>
      </c>
      <c r="F30" s="116">
        <f t="shared" si="8"/>
        <v>0</v>
      </c>
      <c r="G30" s="116">
        <f t="shared" si="8"/>
        <v>0</v>
      </c>
      <c r="H30" s="116">
        <f t="shared" si="8"/>
        <v>0</v>
      </c>
      <c r="I30" s="116">
        <f t="shared" si="8"/>
        <v>0</v>
      </c>
      <c r="J30" s="116">
        <f t="shared" si="8"/>
        <v>0</v>
      </c>
      <c r="K30" s="116">
        <f t="shared" si="8"/>
        <v>0</v>
      </c>
      <c r="L30" s="116">
        <f t="shared" si="8"/>
        <v>0</v>
      </c>
      <c r="M30" s="116">
        <f t="shared" si="8"/>
        <v>0</v>
      </c>
      <c r="N30" s="217">
        <f t="shared" ref="N30:O30" si="9">SUM(N27:N29)</f>
        <v>0</v>
      </c>
      <c r="O30" s="217">
        <f t="shared" si="9"/>
        <v>0</v>
      </c>
    </row>
    <row r="31" spans="1:15" x14ac:dyDescent="0.3"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217"/>
      <c r="O31" s="217"/>
    </row>
    <row r="32" spans="1:15" x14ac:dyDescent="0.3">
      <c r="A32" s="40" t="s">
        <v>323</v>
      </c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217"/>
      <c r="O32" s="217"/>
    </row>
    <row r="33" spans="1:15" x14ac:dyDescent="0.3">
      <c r="A33" s="11" t="s">
        <v>31</v>
      </c>
      <c r="B33" s="116">
        <f>+'Scenario 2 Inc Exp Statement'!B39</f>
        <v>-8130000</v>
      </c>
      <c r="C33" s="116">
        <f>+'Scenario 2 Inc Exp Statement'!C39</f>
        <v>-258000</v>
      </c>
      <c r="D33" s="116">
        <f>+'Scenario 2 Inc Exp Statement'!D39</f>
        <v>0</v>
      </c>
      <c r="E33" s="116">
        <f>+'Scenario 2 Inc Exp Statement'!E39</f>
        <v>0</v>
      </c>
      <c r="F33" s="116">
        <f>+'Scenario 2 Inc Exp Statement'!F39</f>
        <v>0</v>
      </c>
      <c r="G33" s="116">
        <f>+'Scenario 2 Inc Exp Statement'!G39</f>
        <v>0</v>
      </c>
      <c r="H33" s="116">
        <f>+'Scenario 2 Inc Exp Statement'!H39</f>
        <v>0</v>
      </c>
      <c r="I33" s="116">
        <f>+'Scenario 2 Inc Exp Statement'!I39</f>
        <v>0</v>
      </c>
      <c r="J33" s="116">
        <f>+'Scenario 2 Inc Exp Statement'!J39</f>
        <v>0</v>
      </c>
      <c r="K33" s="116">
        <f>+'Scenario 2 Inc Exp Statement'!K39</f>
        <v>0</v>
      </c>
      <c r="L33" s="116">
        <f>+'Scenario 2 Inc Exp Statement'!L39</f>
        <v>0</v>
      </c>
      <c r="M33" s="116">
        <f>+'Scenario 2 Inc Exp Statement'!M39</f>
        <v>0</v>
      </c>
      <c r="N33" s="217">
        <f>+'Scenario 2 Inc Exp Statement'!N39</f>
        <v>0</v>
      </c>
      <c r="O33" s="217">
        <f>+'Scenario 2 Inc Exp Statement'!O39</f>
        <v>0</v>
      </c>
    </row>
    <row r="34" spans="1:15" x14ac:dyDescent="0.3">
      <c r="A34" s="15" t="s">
        <v>22</v>
      </c>
      <c r="B34" s="118">
        <f>+'Scenario 2 Inc Exp Statement'!B40</f>
        <v>3862000</v>
      </c>
      <c r="C34" s="118">
        <f>+'Scenario 2 Inc Exp Statement'!C40</f>
        <v>121000</v>
      </c>
      <c r="D34" s="118">
        <f>+'Scenario 2 Inc Exp Statement'!D40</f>
        <v>0</v>
      </c>
      <c r="E34" s="118">
        <f>+'Scenario 2 Inc Exp Statement'!E40</f>
        <v>0</v>
      </c>
      <c r="F34" s="118">
        <f>+'Scenario 2 Inc Exp Statement'!F40</f>
        <v>2262.9380000000001</v>
      </c>
      <c r="G34" s="118" t="e">
        <f>+'Scenario 2 Inc Exp Statement'!G40</f>
        <v>#REF!</v>
      </c>
      <c r="H34" s="118">
        <f>+'Scenario 2 Inc Exp Statement'!H40</f>
        <v>2200</v>
      </c>
      <c r="I34" s="118">
        <f>+'Scenario 2 Inc Exp Statement'!I40</f>
        <v>8000</v>
      </c>
      <c r="J34" s="118">
        <f>+'Scenario 2 Inc Exp Statement'!J40</f>
        <v>2000</v>
      </c>
      <c r="K34" s="118">
        <f>+'Scenario 2 Inc Exp Statement'!K40</f>
        <v>2040</v>
      </c>
      <c r="L34" s="118">
        <f>+'Scenario 2 Inc Exp Statement'!L40</f>
        <v>2080.8000000000002</v>
      </c>
      <c r="M34" s="118">
        <f>+'Scenario 2 Inc Exp Statement'!M40</f>
        <v>2122.4160000000002</v>
      </c>
      <c r="N34" s="216">
        <f>+'Scenario 2 Inc Exp Statement'!N40</f>
        <v>2164.8643199999997</v>
      </c>
      <c r="O34" s="216">
        <f>+'Scenario 2 Inc Exp Statement'!O40</f>
        <v>2208.1616064</v>
      </c>
    </row>
    <row r="35" spans="1:15" x14ac:dyDescent="0.3">
      <c r="A35" s="32" t="s">
        <v>324</v>
      </c>
      <c r="B35" s="116">
        <f>SUM(B33:B34)</f>
        <v>-4268000</v>
      </c>
      <c r="C35" s="116">
        <f t="shared" ref="C35:M35" si="10">SUM(C33:C34)</f>
        <v>-137000</v>
      </c>
      <c r="D35" s="116">
        <f t="shared" si="10"/>
        <v>0</v>
      </c>
      <c r="E35" s="116">
        <f t="shared" si="10"/>
        <v>0</v>
      </c>
      <c r="F35" s="116">
        <f t="shared" si="10"/>
        <v>2262.9380000000001</v>
      </c>
      <c r="G35" s="116" t="e">
        <f t="shared" si="10"/>
        <v>#REF!</v>
      </c>
      <c r="H35" s="116">
        <f t="shared" si="10"/>
        <v>2200</v>
      </c>
      <c r="I35" s="116">
        <f t="shared" si="10"/>
        <v>8000</v>
      </c>
      <c r="J35" s="116">
        <f t="shared" si="10"/>
        <v>2000</v>
      </c>
      <c r="K35" s="116">
        <f t="shared" si="10"/>
        <v>2040</v>
      </c>
      <c r="L35" s="116">
        <f t="shared" si="10"/>
        <v>2080.8000000000002</v>
      </c>
      <c r="M35" s="116">
        <f t="shared" si="10"/>
        <v>2122.4160000000002</v>
      </c>
      <c r="N35" s="217">
        <f t="shared" ref="N35:O35" si="11">SUM(N33:N34)</f>
        <v>2164.8643199999997</v>
      </c>
      <c r="O35" s="217">
        <f t="shared" si="11"/>
        <v>2208.1616064</v>
      </c>
    </row>
    <row r="36" spans="1:15" x14ac:dyDescent="0.3">
      <c r="A36" s="32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217"/>
      <c r="O36" s="217"/>
    </row>
    <row r="37" spans="1:15" ht="15" thickBot="1" x14ac:dyDescent="0.35">
      <c r="A37" s="29" t="s">
        <v>30</v>
      </c>
      <c r="B37" s="117">
        <f>+'Scenario 2 Inc Exp Statement'!B35</f>
        <v>-3830000</v>
      </c>
      <c r="C37" s="117">
        <f>+'Scenario 2 Inc Exp Statement'!C35</f>
        <v>-5950000</v>
      </c>
      <c r="D37" s="117">
        <f ca="1">+'Scenario 2 Inc Exp Statement'!D35</f>
        <v>-5386773.6795166293</v>
      </c>
      <c r="E37" s="117">
        <f ca="1">+'Scenario 2 Inc Exp Statement'!E35</f>
        <v>-6869037.4982148726</v>
      </c>
      <c r="F37" s="117">
        <f ca="1">+'Scenario 2 Inc Exp Statement'!F35</f>
        <v>-5970292.9597329386</v>
      </c>
      <c r="G37" s="117">
        <f ca="1">+'Scenario 2 Inc Exp Statement'!G35</f>
        <v>-6630420.5554642072</v>
      </c>
      <c r="H37" s="117">
        <f ca="1">+'Scenario 2 Inc Exp Statement'!H35</f>
        <v>-11558267.290281707</v>
      </c>
      <c r="I37" s="117">
        <f ca="1">+'Scenario 2 Inc Exp Statement'!I35</f>
        <v>-6988760.1907281922</v>
      </c>
      <c r="J37" s="117">
        <f ca="1">+'Scenario 2 Inc Exp Statement'!J35</f>
        <v>-9644446.2463969775</v>
      </c>
      <c r="K37" s="117">
        <f ca="1">+'Scenario 2 Inc Exp Statement'!K35</f>
        <v>-5475779.917529624</v>
      </c>
      <c r="L37" s="117" t="e">
        <f>+'Scenario 2 Inc Exp Statement'!L35</f>
        <v>#REF!</v>
      </c>
      <c r="M37" s="117" t="e">
        <f>+'Scenario 2 Inc Exp Statement'!M35</f>
        <v>#REF!</v>
      </c>
      <c r="N37" s="205">
        <f>+'Scenario 2 Inc Exp Statement'!N35</f>
        <v>0</v>
      </c>
      <c r="O37" s="205">
        <f>+'Scenario 2 Inc Exp Statement'!O35</f>
        <v>0</v>
      </c>
    </row>
    <row r="38" spans="1:15" ht="9" customHeight="1" x14ac:dyDescent="0.3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214"/>
      <c r="O38" s="214"/>
    </row>
    <row r="39" spans="1:15" s="26" customFormat="1" ht="16.2" thickBot="1" x14ac:dyDescent="0.35">
      <c r="A39" s="61" t="s">
        <v>34</v>
      </c>
      <c r="B39" s="127">
        <f>+B19+B24+B30+B35+B37</f>
        <v>-95000</v>
      </c>
      <c r="C39" s="127">
        <f t="shared" ref="C39:M39" si="12">+C19+C24+C30+C35+C37</f>
        <v>-1179000</v>
      </c>
      <c r="D39" s="130">
        <f t="shared" ca="1" si="12"/>
        <v>-5386773.6795166293</v>
      </c>
      <c r="E39" s="130">
        <f t="shared" ca="1" si="12"/>
        <v>-2154949.7342681158</v>
      </c>
      <c r="F39" s="130">
        <f t="shared" ca="1" si="12"/>
        <v>-933514.06866888423</v>
      </c>
      <c r="G39" s="130" t="e">
        <f t="shared" ca="1" si="12"/>
        <v>#REF!</v>
      </c>
      <c r="H39" s="130">
        <f t="shared" ca="1" si="12"/>
        <v>-5766074.3456955273</v>
      </c>
      <c r="I39" s="130">
        <f t="shared" ca="1" si="12"/>
        <v>-1102539.7461332353</v>
      </c>
      <c r="J39" s="130">
        <f t="shared" ca="1" si="12"/>
        <v>-3890598.9085841663</v>
      </c>
      <c r="K39" s="130">
        <f t="shared" ca="1" si="12"/>
        <v>505010.9264937304</v>
      </c>
      <c r="L39" s="130" t="e">
        <f t="shared" si="12"/>
        <v>#REF!</v>
      </c>
      <c r="M39" s="130" t="e">
        <f t="shared" si="12"/>
        <v>#REF!</v>
      </c>
      <c r="N39" s="130">
        <f t="shared" ref="N39:O39" si="13">+N19+N24+N30+N35+N37</f>
        <v>6140319.3855547281</v>
      </c>
      <c r="O39" s="130">
        <f t="shared" si="13"/>
        <v>6140362.6828411287</v>
      </c>
    </row>
    <row r="40" spans="1:15" ht="15" thickTop="1" x14ac:dyDescent="0.3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214"/>
      <c r="O40" s="214"/>
    </row>
    <row r="41" spans="1:15" s="221" customFormat="1" x14ac:dyDescent="0.3">
      <c r="A41" s="221" t="s">
        <v>100</v>
      </c>
      <c r="C41" s="281">
        <f>B43</f>
        <v>2191000</v>
      </c>
      <c r="D41" s="281">
        <v>1012139</v>
      </c>
      <c r="E41" s="281">
        <f t="shared" ref="E41:M41" ca="1" si="14">D43</f>
        <v>-4374634.6795166293</v>
      </c>
      <c r="F41" s="281">
        <f t="shared" ca="1" si="14"/>
        <v>-6529584.4137847451</v>
      </c>
      <c r="G41" s="281">
        <f t="shared" ca="1" si="14"/>
        <v>-7463098.4824536294</v>
      </c>
      <c r="H41" s="281" t="e">
        <f t="shared" ca="1" si="14"/>
        <v>#REF!</v>
      </c>
      <c r="I41" s="281" t="e">
        <f t="shared" ca="1" si="14"/>
        <v>#REF!</v>
      </c>
      <c r="J41" s="281" t="e">
        <f t="shared" ca="1" si="14"/>
        <v>#REF!</v>
      </c>
      <c r="K41" s="281" t="e">
        <f t="shared" ca="1" si="14"/>
        <v>#REF!</v>
      </c>
      <c r="L41" s="281" t="e">
        <f t="shared" ca="1" si="14"/>
        <v>#REF!</v>
      </c>
      <c r="M41" s="281" t="e">
        <f t="shared" si="14"/>
        <v>#REF!</v>
      </c>
      <c r="N41" s="281" t="e">
        <f t="shared" ref="N41" si="15">M43</f>
        <v>#REF!</v>
      </c>
      <c r="O41" s="281" t="e">
        <f t="shared" ref="O41" si="16">N43</f>
        <v>#REF!</v>
      </c>
    </row>
    <row r="42" spans="1:15" s="221" customFormat="1" x14ac:dyDescent="0.3"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</row>
    <row r="43" spans="1:15" s="162" customFormat="1" ht="16.2" thickBot="1" x14ac:dyDescent="0.35">
      <c r="A43" s="181" t="s">
        <v>488</v>
      </c>
      <c r="B43" s="283">
        <v>2191000</v>
      </c>
      <c r="C43" s="282">
        <f>SUM(C39:C42)</f>
        <v>1012000</v>
      </c>
      <c r="D43" s="282">
        <f t="shared" ref="D43:M43" ca="1" si="17">SUM(D39:D42)</f>
        <v>-4374634.6795166293</v>
      </c>
      <c r="E43" s="282">
        <f t="shared" ca="1" si="17"/>
        <v>-6529584.4137847451</v>
      </c>
      <c r="F43" s="282">
        <f t="shared" ca="1" si="17"/>
        <v>-7463098.4824536294</v>
      </c>
      <c r="G43" s="282" t="e">
        <f t="shared" ca="1" si="17"/>
        <v>#REF!</v>
      </c>
      <c r="H43" s="282" t="e">
        <f t="shared" ca="1" si="17"/>
        <v>#REF!</v>
      </c>
      <c r="I43" s="282" t="e">
        <f t="shared" ca="1" si="17"/>
        <v>#REF!</v>
      </c>
      <c r="J43" s="282" t="e">
        <f t="shared" ca="1" si="17"/>
        <v>#REF!</v>
      </c>
      <c r="K43" s="282" t="e">
        <f t="shared" ca="1" si="17"/>
        <v>#REF!</v>
      </c>
      <c r="L43" s="282" t="e">
        <f t="shared" si="17"/>
        <v>#REF!</v>
      </c>
      <c r="M43" s="282" t="e">
        <f t="shared" si="17"/>
        <v>#REF!</v>
      </c>
      <c r="N43" s="282" t="e">
        <f t="shared" ref="N43:O43" si="18">SUM(N39:N42)</f>
        <v>#REF!</v>
      </c>
      <c r="O43" s="282" t="e">
        <f t="shared" si="18"/>
        <v>#REF!</v>
      </c>
    </row>
    <row r="44" spans="1:15" ht="15" thickTop="1" x14ac:dyDescent="0.3">
      <c r="N44" s="221"/>
      <c r="O44" s="221"/>
    </row>
  </sheetData>
  <pageMargins left="0.70866141732283472" right="0.70866141732283472" top="0.74803149606299213" bottom="0.74803149606299213" header="0.31496062992125984" footer="0.31496062992125984"/>
  <pageSetup paperSize="9" scale="63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E216"/>
  <sheetViews>
    <sheetView zoomScaleNormal="100" workbookViewId="0">
      <pane xSplit="3" ySplit="3" topLeftCell="D103" activePane="bottomRight" state="frozen"/>
      <selection activeCell="A164" sqref="A164:XFD164"/>
      <selection pane="topRight" activeCell="A164" sqref="A164:XFD164"/>
      <selection pane="bottomLeft" activeCell="A164" sqref="A164:XFD164"/>
      <selection pane="bottomRight" activeCell="I82" sqref="I82"/>
    </sheetView>
  </sheetViews>
  <sheetFormatPr defaultColWidth="9.109375" defaultRowHeight="10.199999999999999" outlineLevelRow="1" outlineLevelCol="1" x14ac:dyDescent="0.2"/>
  <cols>
    <col min="1" max="1" width="35.44140625" style="600" customWidth="1"/>
    <col min="2" max="2" width="12.6640625" style="599" hidden="1" customWidth="1" outlineLevel="1"/>
    <col min="3" max="3" width="11" style="599" hidden="1" customWidth="1" outlineLevel="1"/>
    <col min="4" max="4" width="10.109375" style="599" hidden="1" customWidth="1" outlineLevel="1" collapsed="1"/>
    <col min="5" max="5" width="9" style="599" hidden="1" customWidth="1" outlineLevel="1" collapsed="1"/>
    <col min="6" max="6" width="10.109375" style="599" customWidth="1" collapsed="1"/>
    <col min="7" max="7" width="9.5546875" style="599" bestFit="1" customWidth="1"/>
    <col min="8" max="8" width="9.88671875" style="599" bestFit="1" customWidth="1"/>
    <col min="9" max="9" width="9.5546875" style="599" bestFit="1" customWidth="1"/>
    <col min="10" max="11" width="10.109375" style="599" bestFit="1" customWidth="1"/>
    <col min="12" max="12" width="9.88671875" style="599" bestFit="1" customWidth="1"/>
    <col min="13" max="15" width="10.109375" style="599" bestFit="1" customWidth="1"/>
    <col min="16" max="16" width="9.88671875" style="599" customWidth="1"/>
    <col min="17" max="17" width="9.109375" style="599" customWidth="1"/>
    <col min="18" max="29" width="9.109375" style="599"/>
    <col min="30" max="30" width="49.6640625" style="599" bestFit="1" customWidth="1"/>
    <col min="31" max="31" width="10.6640625" style="599" bestFit="1" customWidth="1"/>
    <col min="32" max="16384" width="9.109375" style="599"/>
  </cols>
  <sheetData>
    <row r="1" spans="1:31" ht="12.75" x14ac:dyDescent="0.2">
      <c r="A1" s="1091" t="s">
        <v>1364</v>
      </c>
    </row>
    <row r="2" spans="1:31" ht="12" x14ac:dyDescent="0.2">
      <c r="A2" s="693" t="s">
        <v>1622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31" ht="11.25" x14ac:dyDescent="0.2">
      <c r="A3" s="693" t="s">
        <v>73</v>
      </c>
      <c r="B3" s="741" t="s">
        <v>68</v>
      </c>
      <c r="C3" s="694" t="s">
        <v>0</v>
      </c>
      <c r="D3" s="694" t="s">
        <v>1</v>
      </c>
      <c r="E3" s="694" t="s">
        <v>2</v>
      </c>
      <c r="F3" s="694" t="s">
        <v>3</v>
      </c>
      <c r="G3" s="694" t="s">
        <v>4</v>
      </c>
      <c r="H3" s="694" t="s">
        <v>5</v>
      </c>
      <c r="I3" s="694" t="s">
        <v>6</v>
      </c>
      <c r="J3" s="694" t="s">
        <v>7</v>
      </c>
      <c r="K3" s="694" t="s">
        <v>8</v>
      </c>
      <c r="L3" s="694" t="s">
        <v>9</v>
      </c>
      <c r="M3" s="694" t="s">
        <v>514</v>
      </c>
      <c r="N3" s="694" t="s">
        <v>515</v>
      </c>
      <c r="O3" s="694" t="s">
        <v>904</v>
      </c>
      <c r="P3" s="694" t="s">
        <v>1046</v>
      </c>
    </row>
    <row r="4" spans="1:31" ht="11.25" hidden="1" outlineLevel="1" x14ac:dyDescent="0.2">
      <c r="A4" s="695"/>
      <c r="B4" s="696"/>
      <c r="C4" s="697"/>
      <c r="D4" s="698"/>
      <c r="E4" s="698"/>
      <c r="F4" s="699"/>
      <c r="G4" s="757"/>
      <c r="H4" s="757"/>
      <c r="I4" s="757"/>
      <c r="J4" s="757"/>
      <c r="K4" s="757"/>
      <c r="L4" s="757"/>
      <c r="M4" s="757"/>
      <c r="N4" s="757"/>
      <c r="O4" s="757"/>
      <c r="P4" s="757"/>
      <c r="R4" s="599" t="s">
        <v>1042</v>
      </c>
      <c r="AD4" s="601" t="s">
        <v>10</v>
      </c>
    </row>
    <row r="5" spans="1:31" s="603" customFormat="1" ht="13.5" hidden="1" customHeight="1" outlineLevel="1" x14ac:dyDescent="0.2">
      <c r="A5" s="700"/>
      <c r="B5" s="701"/>
      <c r="C5" s="702"/>
      <c r="D5" s="703"/>
      <c r="E5" s="703"/>
      <c r="F5" s="703"/>
      <c r="G5" s="704"/>
      <c r="H5" s="745"/>
      <c r="I5" s="745"/>
      <c r="J5" s="818"/>
      <c r="K5" s="745"/>
      <c r="L5" s="745"/>
      <c r="M5" s="745"/>
      <c r="N5" s="745"/>
      <c r="O5" s="745"/>
      <c r="P5" s="745"/>
      <c r="R5" s="603" t="s">
        <v>1043</v>
      </c>
      <c r="AD5" s="602"/>
    </row>
    <row r="6" spans="1:31" s="603" customFormat="1" ht="13.5" hidden="1" customHeight="1" outlineLevel="1" x14ac:dyDescent="0.2">
      <c r="A6" s="700"/>
      <c r="B6" s="701"/>
      <c r="C6" s="702"/>
      <c r="D6" s="703"/>
      <c r="E6" s="703"/>
      <c r="F6" s="703"/>
      <c r="G6" s="812"/>
      <c r="H6" s="716"/>
      <c r="I6" s="716"/>
      <c r="J6" s="746"/>
      <c r="K6" s="745"/>
      <c r="L6" s="745"/>
      <c r="M6" s="745"/>
      <c r="N6" s="745"/>
      <c r="O6" s="745"/>
      <c r="P6" s="745"/>
      <c r="AD6" s="602"/>
    </row>
    <row r="7" spans="1:31" s="603" customFormat="1" ht="17.25" hidden="1" customHeight="1" outlineLevel="1" x14ac:dyDescent="0.2">
      <c r="A7" s="700"/>
      <c r="B7" s="701"/>
      <c r="C7" s="702"/>
      <c r="D7" s="703"/>
      <c r="E7" s="703"/>
      <c r="F7" s="776"/>
      <c r="G7" s="812"/>
      <c r="H7" s="711"/>
      <c r="I7" s="711"/>
      <c r="J7" s="813"/>
      <c r="K7" s="711"/>
      <c r="L7" s="711"/>
      <c r="M7" s="711"/>
      <c r="N7" s="711"/>
      <c r="O7" s="711"/>
      <c r="P7" s="711"/>
      <c r="AD7" s="602"/>
    </row>
    <row r="8" spans="1:31" s="603" customFormat="1" ht="17.25" customHeight="1" collapsed="1" x14ac:dyDescent="0.2">
      <c r="A8" s="700"/>
      <c r="B8" s="701"/>
      <c r="C8" s="702"/>
      <c r="D8" s="703"/>
      <c r="E8" s="703"/>
      <c r="F8" s="776"/>
      <c r="G8" s="704"/>
      <c r="H8" s="711"/>
      <c r="I8" s="711"/>
      <c r="K8" s="711"/>
      <c r="L8" s="711"/>
      <c r="M8" s="711"/>
      <c r="N8" s="711"/>
      <c r="O8" s="711"/>
      <c r="P8" s="711"/>
      <c r="AD8" s="602"/>
    </row>
    <row r="9" spans="1:31" ht="11.25" x14ac:dyDescent="0.2">
      <c r="A9" s="705" t="s">
        <v>61</v>
      </c>
      <c r="B9" s="706"/>
      <c r="C9" s="706"/>
      <c r="D9" s="702"/>
      <c r="E9" s="707"/>
      <c r="F9" s="707"/>
      <c r="G9" s="707"/>
      <c r="AD9" s="599" t="s">
        <v>11</v>
      </c>
      <c r="AE9" s="606">
        <f>+D11</f>
        <v>0</v>
      </c>
    </row>
    <row r="10" spans="1:31" ht="11.25" x14ac:dyDescent="0.2">
      <c r="A10" s="708" t="s">
        <v>62</v>
      </c>
      <c r="B10" s="709"/>
      <c r="C10" s="709"/>
      <c r="D10" s="710"/>
      <c r="E10" s="710"/>
      <c r="F10" s="711"/>
      <c r="G10" s="711"/>
      <c r="AE10" s="606"/>
    </row>
    <row r="11" spans="1:31" ht="11.25" x14ac:dyDescent="0.2">
      <c r="A11" s="700" t="s">
        <v>11</v>
      </c>
      <c r="B11" s="712"/>
      <c r="C11" s="712"/>
      <c r="D11" s="707"/>
      <c r="E11" s="707"/>
      <c r="F11" s="713">
        <f>-'Opex No SRV'!C138/1000</f>
        <v>0</v>
      </c>
      <c r="G11" s="713">
        <f>-'Opex No SRV'!E138/1000</f>
        <v>0</v>
      </c>
      <c r="H11" s="713">
        <f>-'Opex No SRV'!F138/1000</f>
        <v>0</v>
      </c>
      <c r="I11" s="713">
        <f>-'Opex No SRV'!G138/1000</f>
        <v>0</v>
      </c>
      <c r="J11" s="713">
        <f>-'Opex No SRV'!H138/1000</f>
        <v>0</v>
      </c>
      <c r="K11" s="713">
        <f>J11*(1+'LTFP Assumptions'!$H6)</f>
        <v>0</v>
      </c>
      <c r="L11" s="713">
        <f>K11*(1+'LTFP Assumptions'!$H6)</f>
        <v>0</v>
      </c>
      <c r="M11" s="713">
        <f>L11*(1+'LTFP Assumptions'!$H6)</f>
        <v>0</v>
      </c>
      <c r="N11" s="713">
        <f>M11*(1+'LTFP Assumptions'!$H6)</f>
        <v>0</v>
      </c>
      <c r="O11" s="713">
        <f>N11*(1+'LTFP Assumptions'!$H6)</f>
        <v>0</v>
      </c>
      <c r="P11" s="713">
        <f>O11*(1+'LTFP Assumptions'!$H6)</f>
        <v>0</v>
      </c>
      <c r="AD11" s="599" t="s">
        <v>12</v>
      </c>
      <c r="AE11" s="606">
        <f t="shared" ref="AE11:AE15" si="0">+D12</f>
        <v>0</v>
      </c>
    </row>
    <row r="12" spans="1:31" ht="11.25" x14ac:dyDescent="0.2">
      <c r="A12" s="695" t="s">
        <v>12</v>
      </c>
      <c r="B12" s="714"/>
      <c r="C12" s="714"/>
      <c r="D12" s="715"/>
      <c r="E12" s="715">
        <v>1239</v>
      </c>
      <c r="F12" s="713">
        <f>-'Opex No SRV'!C139/1000</f>
        <v>3052.3029999999999</v>
      </c>
      <c r="G12" s="713">
        <f>-'Opex No SRV'!E139/1000</f>
        <v>3203.3</v>
      </c>
      <c r="H12" s="713">
        <f>-'Opex No SRV'!F139/1000</f>
        <v>3283</v>
      </c>
      <c r="I12" s="713">
        <f>-'Opex No SRV'!G139/1000</f>
        <v>3348.66</v>
      </c>
      <c r="J12" s="713">
        <f>-'Opex No SRV'!H139/1000</f>
        <v>3415.6332000000002</v>
      </c>
      <c r="K12" s="711">
        <f>J12*(1+'LTFP Assumptions'!$H12)</f>
        <v>3483.9458640000003</v>
      </c>
      <c r="L12" s="711">
        <f>K12*(1+'LTFP Assumptions'!$H12)</f>
        <v>3553.6247812800002</v>
      </c>
      <c r="M12" s="711">
        <f>L12*(1+'LTFP Assumptions'!$H12)</f>
        <v>3624.6972769056001</v>
      </c>
      <c r="N12" s="711">
        <f>M12*(1+'LTFP Assumptions'!$H12)</f>
        <v>3697.1912224437124</v>
      </c>
      <c r="O12" s="711">
        <f>N12*(1+'LTFP Assumptions'!$H12)</f>
        <v>3771.1350468925866</v>
      </c>
      <c r="P12" s="711">
        <f>O12*(1+'LTFP Assumptions'!$H12)</f>
        <v>3846.5577478304385</v>
      </c>
      <c r="AD12" s="599" t="s">
        <v>13</v>
      </c>
      <c r="AE12" s="606">
        <f t="shared" si="0"/>
        <v>0</v>
      </c>
    </row>
    <row r="13" spans="1:31" s="603" customFormat="1" ht="11.25" x14ac:dyDescent="0.2">
      <c r="A13" s="700" t="s">
        <v>13</v>
      </c>
      <c r="B13" s="712"/>
      <c r="C13" s="712"/>
      <c r="D13" s="707"/>
      <c r="E13" s="707">
        <v>20</v>
      </c>
      <c r="F13" s="716"/>
      <c r="G13" s="716"/>
      <c r="H13" s="716"/>
      <c r="I13" s="716"/>
      <c r="J13" s="716"/>
      <c r="K13" s="716">
        <f>'Future Fund  Cash Flow'!J52*'LTFP Assumptions'!$H17</f>
        <v>25.299288000000008</v>
      </c>
      <c r="L13" s="716">
        <f>'Future Fund  Cash Flow'!K52*'LTFP Assumptions'!$H17</f>
        <v>29.261076480000025</v>
      </c>
      <c r="M13" s="716">
        <f>'Future Fund  Cash Flow'!L52*'LTFP Assumptions'!$H17</f>
        <v>34.130263550400045</v>
      </c>
      <c r="N13" s="716">
        <f>'Future Fund  Cash Flow'!M52*'LTFP Assumptions'!$H17</f>
        <v>39.957023977200024</v>
      </c>
      <c r="O13" s="716">
        <f>'Future Fund  Cash Flow'!N52*'LTFP Assumptions'!$H17</f>
        <v>46.793784101928523</v>
      </c>
      <c r="P13" s="716">
        <f>'Future Fund  Cash Flow'!O52*'LTFP Assumptions'!$H17</f>
        <v>54.69531580661458</v>
      </c>
      <c r="AD13" s="603" t="s">
        <v>14</v>
      </c>
      <c r="AE13" s="605">
        <f t="shared" si="0"/>
        <v>0</v>
      </c>
    </row>
    <row r="14" spans="1:31" ht="11.25" x14ac:dyDescent="0.2">
      <c r="A14" s="695" t="s">
        <v>14</v>
      </c>
      <c r="B14" s="714"/>
      <c r="C14" s="714"/>
      <c r="D14" s="715"/>
      <c r="E14" s="715"/>
      <c r="F14" s="716"/>
      <c r="G14" s="711"/>
      <c r="H14" s="711"/>
      <c r="I14" s="711"/>
      <c r="J14" s="711"/>
      <c r="K14" s="711">
        <f>J14*(1+'LTFP Assumptions'!$H12)</f>
        <v>0</v>
      </c>
      <c r="L14" s="711">
        <f>K14*(1+'LTFP Assumptions'!$H12)</f>
        <v>0</v>
      </c>
      <c r="M14" s="711">
        <f>L14*(1+'LTFP Assumptions'!$H12)</f>
        <v>0</v>
      </c>
      <c r="N14" s="711">
        <f>M14*(1+'LTFP Assumptions'!$H12)</f>
        <v>0</v>
      </c>
      <c r="O14" s="711">
        <f>N14*(1+'LTFP Assumptions'!$H12)</f>
        <v>0</v>
      </c>
      <c r="P14" s="711">
        <f>O14*(1+'LTFP Assumptions'!$H12)</f>
        <v>0</v>
      </c>
      <c r="AD14" s="599" t="s">
        <v>15</v>
      </c>
      <c r="AE14" s="606">
        <f t="shared" si="0"/>
        <v>0</v>
      </c>
    </row>
    <row r="15" spans="1:31" ht="12.75" customHeight="1" x14ac:dyDescent="0.2">
      <c r="A15" s="695" t="s">
        <v>15</v>
      </c>
      <c r="B15" s="714"/>
      <c r="C15" s="714"/>
      <c r="D15" s="715"/>
      <c r="E15" s="715"/>
      <c r="F15" s="711"/>
      <c r="G15" s="711"/>
      <c r="H15" s="711"/>
      <c r="I15" s="711"/>
      <c r="J15" s="711"/>
      <c r="K15" s="711">
        <f>J15*(1+'LTFP Assumptions'!$H10)</f>
        <v>0</v>
      </c>
      <c r="L15" s="711">
        <f>K15*(1+'LTFP Assumptions'!$H10)</f>
        <v>0</v>
      </c>
      <c r="M15" s="711">
        <f>L15*(1+'LTFP Assumptions'!$H10)</f>
        <v>0</v>
      </c>
      <c r="N15" s="711">
        <f>M15*(1+'LTFP Assumptions'!$H10)</f>
        <v>0</v>
      </c>
      <c r="O15" s="711">
        <f>N15*(1+'LTFP Assumptions'!$H10)</f>
        <v>0</v>
      </c>
      <c r="P15" s="711">
        <f>O15*(1+'LTFP Assumptions'!$H10)</f>
        <v>0</v>
      </c>
      <c r="AD15" s="599" t="s">
        <v>18</v>
      </c>
      <c r="AE15" s="606">
        <f t="shared" si="0"/>
        <v>0</v>
      </c>
    </row>
    <row r="16" spans="1:31" ht="11.25" customHeight="1" x14ac:dyDescent="0.2">
      <c r="A16" s="695" t="s">
        <v>18</v>
      </c>
      <c r="B16" s="714"/>
      <c r="C16" s="714"/>
      <c r="D16" s="715"/>
      <c r="E16" s="715"/>
      <c r="F16" s="716"/>
      <c r="G16" s="716"/>
      <c r="H16" s="716"/>
      <c r="I16" s="716"/>
      <c r="J16" s="716"/>
      <c r="K16" s="716">
        <f t="shared" ref="K16:P16" si="1">K59+K60+K61</f>
        <v>0</v>
      </c>
      <c r="L16" s="716">
        <f t="shared" si="1"/>
        <v>0</v>
      </c>
      <c r="M16" s="716">
        <f t="shared" si="1"/>
        <v>0</v>
      </c>
      <c r="N16" s="716">
        <f t="shared" si="1"/>
        <v>0</v>
      </c>
      <c r="O16" s="716">
        <f t="shared" si="1"/>
        <v>0</v>
      </c>
      <c r="P16" s="716">
        <f t="shared" si="1"/>
        <v>0</v>
      </c>
      <c r="AD16" s="599" t="s">
        <v>21</v>
      </c>
      <c r="AE16" s="606">
        <f>+D19</f>
        <v>0</v>
      </c>
    </row>
    <row r="17" spans="1:31" ht="11.25" customHeight="1" x14ac:dyDescent="0.2">
      <c r="A17" s="1149" t="s">
        <v>1180</v>
      </c>
      <c r="B17" s="714"/>
      <c r="C17" s="714"/>
      <c r="D17" s="715"/>
      <c r="E17" s="715"/>
      <c r="F17" s="716"/>
      <c r="G17" s="716"/>
      <c r="H17" s="716"/>
      <c r="I17" s="716"/>
      <c r="J17" s="716"/>
      <c r="K17" s="716"/>
      <c r="L17" s="716"/>
      <c r="M17" s="716"/>
      <c r="N17" s="716"/>
      <c r="O17" s="716"/>
      <c r="P17" s="716"/>
      <c r="AE17" s="606"/>
    </row>
    <row r="18" spans="1:31" ht="11.25" x14ac:dyDescent="0.2">
      <c r="A18" s="708" t="s">
        <v>63</v>
      </c>
      <c r="B18" s="714"/>
      <c r="C18" s="714"/>
      <c r="D18" s="715"/>
      <c r="E18" s="715"/>
      <c r="F18" s="715"/>
      <c r="G18" s="715"/>
      <c r="H18" s="715"/>
      <c r="I18" s="715"/>
      <c r="J18" s="711"/>
      <c r="K18" s="711"/>
      <c r="L18" s="711"/>
      <c r="M18" s="711"/>
      <c r="N18" s="711"/>
      <c r="O18" s="711"/>
      <c r="P18" s="711"/>
      <c r="AE18" s="606"/>
    </row>
    <row r="19" spans="1:31" ht="11.25" x14ac:dyDescent="0.2">
      <c r="A19" s="758" t="s">
        <v>74</v>
      </c>
      <c r="B19" s="718"/>
      <c r="C19" s="718"/>
      <c r="D19" s="707"/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609"/>
      <c r="AD19" s="599" t="s">
        <v>22</v>
      </c>
      <c r="AE19" s="606">
        <f>+D63</f>
        <v>0</v>
      </c>
    </row>
    <row r="20" spans="1:31" ht="11.25" x14ac:dyDescent="0.2">
      <c r="A20" s="758" t="s">
        <v>1047</v>
      </c>
      <c r="B20" s="718"/>
      <c r="C20" s="718"/>
      <c r="D20" s="707"/>
      <c r="E20" s="711"/>
      <c r="F20" s="711"/>
      <c r="G20" s="711"/>
      <c r="H20" s="711"/>
      <c r="I20" s="711"/>
      <c r="J20" s="711"/>
      <c r="K20" s="711"/>
      <c r="L20" s="711"/>
      <c r="M20" s="711"/>
      <c r="N20" s="711"/>
      <c r="O20" s="711"/>
      <c r="P20" s="711"/>
      <c r="Q20" s="609"/>
      <c r="AE20" s="606"/>
    </row>
    <row r="21" spans="1:31" s="611" customFormat="1" ht="11.25" x14ac:dyDescent="0.2">
      <c r="A21" s="759" t="s">
        <v>64</v>
      </c>
      <c r="B21" s="719">
        <f>SUM(B11:B19)</f>
        <v>0</v>
      </c>
      <c r="C21" s="719">
        <f>SUM(C11:C19)</f>
        <v>0</v>
      </c>
      <c r="D21" s="719">
        <f>SUM(D11:D20)</f>
        <v>0</v>
      </c>
      <c r="E21" s="719">
        <f t="shared" ref="E21:P21" si="2">SUM(E11:E20)</f>
        <v>1259</v>
      </c>
      <c r="F21" s="719">
        <f t="shared" si="2"/>
        <v>3052.3029999999999</v>
      </c>
      <c r="G21" s="719">
        <f t="shared" si="2"/>
        <v>3203.3</v>
      </c>
      <c r="H21" s="719">
        <f t="shared" si="2"/>
        <v>3283</v>
      </c>
      <c r="I21" s="719">
        <f t="shared" si="2"/>
        <v>3348.66</v>
      </c>
      <c r="J21" s="719">
        <f t="shared" si="2"/>
        <v>3415.6332000000002</v>
      </c>
      <c r="K21" s="719">
        <f t="shared" si="2"/>
        <v>3509.2451520000004</v>
      </c>
      <c r="L21" s="719">
        <f t="shared" si="2"/>
        <v>3582.8858577600004</v>
      </c>
      <c r="M21" s="719">
        <f t="shared" si="2"/>
        <v>3658.827540456</v>
      </c>
      <c r="N21" s="719">
        <f t="shared" si="2"/>
        <v>3737.1482464209125</v>
      </c>
      <c r="O21" s="719">
        <f t="shared" si="2"/>
        <v>3817.928830994515</v>
      </c>
      <c r="P21" s="719">
        <f t="shared" si="2"/>
        <v>3901.2530636370529</v>
      </c>
      <c r="AD21" s="612" t="s">
        <v>23</v>
      </c>
      <c r="AE21" s="613">
        <f>SUM(AE9:AE19)</f>
        <v>0</v>
      </c>
    </row>
    <row r="22" spans="1:31" ht="11.25" x14ac:dyDescent="0.2">
      <c r="A22" s="705" t="s">
        <v>65</v>
      </c>
      <c r="B22" s="714"/>
      <c r="C22" s="714"/>
      <c r="D22" s="710"/>
      <c r="E22" s="710"/>
      <c r="F22" s="710"/>
      <c r="G22" s="710"/>
      <c r="H22" s="710"/>
      <c r="I22" s="710"/>
      <c r="J22" s="710"/>
      <c r="K22" s="711"/>
      <c r="L22" s="711"/>
      <c r="M22" s="711"/>
      <c r="N22" s="711"/>
      <c r="O22" s="711"/>
      <c r="P22" s="711"/>
      <c r="AD22" s="601" t="s">
        <v>24</v>
      </c>
    </row>
    <row r="23" spans="1:31" ht="11.25" x14ac:dyDescent="0.2">
      <c r="A23" s="695" t="s">
        <v>25</v>
      </c>
      <c r="B23" s="714"/>
      <c r="C23" s="714"/>
      <c r="D23" s="715"/>
      <c r="F23" s="715">
        <f>'Opex No SRV'!C145/1000</f>
        <v>80</v>
      </c>
      <c r="G23" s="715">
        <f>'Opex No SRV'!E145/1000</f>
        <v>81.424000000000007</v>
      </c>
      <c r="H23" s="715">
        <f>'Opex No SRV'!F145/1000</f>
        <v>83.866</v>
      </c>
      <c r="I23" s="715">
        <f>'Opex No SRV'!G145/1000</f>
        <v>86.382000000000005</v>
      </c>
      <c r="J23" s="715">
        <f>'Opex No SRV'!H145/1000</f>
        <v>88.974000000000004</v>
      </c>
      <c r="K23" s="715">
        <f>J23*(1+'LTFP Assumptions'!$H9)</f>
        <v>91.643219999999999</v>
      </c>
      <c r="L23" s="715">
        <f>K23*(1+'LTFP Assumptions'!$H9)</f>
        <v>94.392516600000008</v>
      </c>
      <c r="M23" s="715">
        <f>L23*(1+'LTFP Assumptions'!$H9)</f>
        <v>97.224292098000006</v>
      </c>
      <c r="N23" s="715">
        <f>M23*(1+'LTFP Assumptions'!$H9)</f>
        <v>100.14102086094</v>
      </c>
      <c r="O23" s="715">
        <f>N23*(1+'LTFP Assumptions'!$H9)</f>
        <v>103.1452514867682</v>
      </c>
      <c r="P23" s="715">
        <f>O23*(1+'LTFP Assumptions'!$H9)</f>
        <v>106.23960903137124</v>
      </c>
      <c r="AD23" s="599" t="s">
        <v>25</v>
      </c>
      <c r="AE23" s="606">
        <f>+D23</f>
        <v>0</v>
      </c>
    </row>
    <row r="24" spans="1:31" ht="11.25" x14ac:dyDescent="0.2">
      <c r="A24" s="695" t="s">
        <v>926</v>
      </c>
      <c r="B24" s="714"/>
      <c r="C24" s="714"/>
      <c r="D24" s="715"/>
      <c r="E24" s="599">
        <v>174</v>
      </c>
      <c r="F24" s="715">
        <f>'Opex No SRV'!C148/1000</f>
        <v>908.23500000000001</v>
      </c>
      <c r="G24" s="715">
        <f>'Opex No SRV'!E148/1000</f>
        <v>908.23500000000001</v>
      </c>
      <c r="H24" s="715">
        <f>G24</f>
        <v>908.23500000000001</v>
      </c>
      <c r="I24" s="715">
        <f t="shared" ref="I24:P24" si="3">H24</f>
        <v>908.23500000000001</v>
      </c>
      <c r="J24" s="715">
        <f t="shared" si="3"/>
        <v>908.23500000000001</v>
      </c>
      <c r="K24" s="715">
        <f t="shared" si="3"/>
        <v>908.23500000000001</v>
      </c>
      <c r="L24" s="715">
        <f t="shared" si="3"/>
        <v>908.23500000000001</v>
      </c>
      <c r="M24" s="715">
        <f t="shared" si="3"/>
        <v>908.23500000000001</v>
      </c>
      <c r="N24" s="715">
        <f t="shared" si="3"/>
        <v>908.23500000000001</v>
      </c>
      <c r="O24" s="715">
        <f t="shared" si="3"/>
        <v>908.23500000000001</v>
      </c>
      <c r="P24" s="715">
        <f t="shared" si="3"/>
        <v>908.23500000000001</v>
      </c>
      <c r="Q24" s="599" t="s">
        <v>1391</v>
      </c>
      <c r="AE24" s="606"/>
    </row>
    <row r="25" spans="1:31" ht="11.25" x14ac:dyDescent="0.2">
      <c r="A25" s="695" t="s">
        <v>27</v>
      </c>
      <c r="B25" s="714"/>
      <c r="C25" s="714"/>
      <c r="D25" s="715"/>
      <c r="E25" s="599">
        <v>332</v>
      </c>
      <c r="F25" s="715">
        <f>'Opex No SRV'!C146/1000</f>
        <v>577.15</v>
      </c>
      <c r="G25" s="715">
        <f>'Opex No SRV'!E146/1000</f>
        <v>563.57500000000005</v>
      </c>
      <c r="H25" s="715">
        <f>'Opex No SRV'!F146/1000</f>
        <v>545.53099999999995</v>
      </c>
      <c r="I25" s="715">
        <f>'Opex No SRV'!G146/1000</f>
        <v>556.71600000000001</v>
      </c>
      <c r="J25" s="715">
        <f>'Opex No SRV'!H146/1000</f>
        <v>568.15800000000002</v>
      </c>
      <c r="K25" s="715">
        <f>J25*(1+'LTFP Assumptions'!$H$13)</f>
        <v>579.52116000000001</v>
      </c>
      <c r="L25" s="715">
        <f>K25*(1+'LTFP Assumptions'!$H13)</f>
        <v>591.11158320000004</v>
      </c>
      <c r="M25" s="715">
        <f>L25*(1+'LTFP Assumptions'!$H13)</f>
        <v>602.93381486400006</v>
      </c>
      <c r="N25" s="715">
        <f>M25*(1+'LTFP Assumptions'!$H13)</f>
        <v>614.9924911612801</v>
      </c>
      <c r="O25" s="715">
        <f>N25*(1+'LTFP Assumptions'!$H13)</f>
        <v>627.2923409845057</v>
      </c>
      <c r="P25" s="715">
        <f>O25*(1+'LTFP Assumptions'!$H13)</f>
        <v>639.83818780419585</v>
      </c>
      <c r="AD25" s="599" t="s">
        <v>28</v>
      </c>
      <c r="AE25" s="606">
        <f>+D30</f>
        <v>0</v>
      </c>
    </row>
    <row r="26" spans="1:31" ht="11.25" x14ac:dyDescent="0.2">
      <c r="A26" s="600" t="s">
        <v>1077</v>
      </c>
      <c r="B26" s="714"/>
      <c r="C26" s="714"/>
      <c r="D26" s="715"/>
      <c r="F26" s="715">
        <f>'Opex No SRV'!C149/1000</f>
        <v>1000</v>
      </c>
      <c r="G26" s="715">
        <f>'Opex No SRV'!E149/1000</f>
        <v>1100</v>
      </c>
      <c r="H26" s="715">
        <f>'Opex No SRV'!F149/1000</f>
        <v>1200</v>
      </c>
      <c r="I26" s="715">
        <f>'Opex No SRV'!G149/1000</f>
        <v>1300</v>
      </c>
      <c r="J26" s="715">
        <f>'Opex No SRV'!H149/1000</f>
        <v>1400</v>
      </c>
      <c r="K26" s="715">
        <f>J26*(1+'LTFP Assumptions'!$H$13)</f>
        <v>1428</v>
      </c>
      <c r="L26" s="715">
        <f>K26*(1+'LTFP Assumptions'!$H$13)</f>
        <v>1456.56</v>
      </c>
      <c r="M26" s="715">
        <f>L26*(1+'LTFP Assumptions'!$H$13)</f>
        <v>1485.6912</v>
      </c>
      <c r="N26" s="715">
        <f>M26*(1+'LTFP Assumptions'!$H$13)</f>
        <v>1515.4050239999999</v>
      </c>
      <c r="O26" s="715">
        <f>N26*(1+'LTFP Assumptions'!$H$13)</f>
        <v>1545.71312448</v>
      </c>
      <c r="P26" s="715">
        <f>O26*(1+'LTFP Assumptions'!$H$13)</f>
        <v>1576.6273869696001</v>
      </c>
      <c r="AE26" s="606"/>
    </row>
    <row r="27" spans="1:31" s="603" customFormat="1" ht="11.25" x14ac:dyDescent="0.2">
      <c r="A27" s="700" t="s">
        <v>29</v>
      </c>
      <c r="B27" s="712"/>
      <c r="C27" s="712"/>
      <c r="D27" s="707"/>
      <c r="E27" s="603">
        <v>14</v>
      </c>
      <c r="F27" s="715">
        <f>'Opex No SRV'!C150/1000</f>
        <v>0</v>
      </c>
      <c r="G27" s="715">
        <f>'Opex No SRV'!E150/1000</f>
        <v>269.68700000000001</v>
      </c>
      <c r="H27" s="715">
        <f>'Opex No SRV'!F150/1000</f>
        <v>275.995</v>
      </c>
      <c r="I27" s="715">
        <f>'Opex No SRV'!G150/1000</f>
        <v>280.65499999999997</v>
      </c>
      <c r="J27" s="715">
        <f>'Opex No SRV'!H150/1000</f>
        <v>289.06900000000002</v>
      </c>
      <c r="K27" s="707">
        <f>J27*(1+'LTFP Assumptions'!$H16)</f>
        <v>296.295725</v>
      </c>
      <c r="L27" s="707">
        <f>K27*(1+'LTFP Assumptions'!$H16)</f>
        <v>303.703118125</v>
      </c>
      <c r="M27" s="707">
        <f>L27*(1+'LTFP Assumptions'!$H16)</f>
        <v>311.29569607812499</v>
      </c>
      <c r="N27" s="707">
        <f>M27*(1+'LTFP Assumptions'!$H16)</f>
        <v>319.07808848007807</v>
      </c>
      <c r="O27" s="707">
        <f>N27*(1+'LTFP Assumptions'!$H16)</f>
        <v>327.05504069208001</v>
      </c>
      <c r="P27" s="707">
        <f>O27*(1+'LTFP Assumptions'!$H16)</f>
        <v>335.23141670938196</v>
      </c>
      <c r="AD27" s="603" t="s">
        <v>30</v>
      </c>
      <c r="AE27" s="605">
        <f>-D51</f>
        <v>0</v>
      </c>
    </row>
    <row r="28" spans="1:31" s="603" customFormat="1" ht="11.25" x14ac:dyDescent="0.2">
      <c r="A28" s="700" t="s">
        <v>1048</v>
      </c>
      <c r="B28" s="712"/>
      <c r="C28" s="712"/>
      <c r="D28" s="707"/>
      <c r="F28" s="707"/>
      <c r="G28" s="707"/>
      <c r="H28" s="707"/>
      <c r="I28" s="707"/>
      <c r="J28" s="707"/>
      <c r="K28" s="707"/>
      <c r="L28" s="707"/>
      <c r="M28" s="707"/>
      <c r="N28" s="707"/>
      <c r="O28" s="707"/>
      <c r="P28" s="707"/>
      <c r="AE28" s="605"/>
    </row>
    <row r="29" spans="1:31" s="603" customFormat="1" ht="11.25" x14ac:dyDescent="0.2">
      <c r="A29" s="700" t="s">
        <v>1049</v>
      </c>
      <c r="B29" s="712"/>
      <c r="C29" s="712"/>
      <c r="D29" s="707"/>
      <c r="K29" s="707"/>
      <c r="L29" s="707"/>
      <c r="M29" s="707"/>
      <c r="N29" s="707"/>
      <c r="O29" s="707"/>
      <c r="P29" s="707"/>
      <c r="AE29" s="605"/>
    </row>
    <row r="30" spans="1:31" ht="11.25" x14ac:dyDescent="0.2">
      <c r="A30" s="721" t="s">
        <v>28</v>
      </c>
      <c r="B30" s="722"/>
      <c r="C30" s="722"/>
      <c r="D30" s="723"/>
      <c r="E30" s="599">
        <v>2689</v>
      </c>
      <c r="F30" s="707">
        <f>'Opex No SRV'!C147/1000</f>
        <v>359.04300000000001</v>
      </c>
      <c r="G30" s="707">
        <f>'Opex No SRV'!E147/1000</f>
        <v>379.6</v>
      </c>
      <c r="H30" s="707">
        <f>'Opex No SRV'!F147/1000</f>
        <v>379.69600000000003</v>
      </c>
      <c r="I30" s="707">
        <f>'Opex No SRV'!G147/1000</f>
        <v>387.221</v>
      </c>
      <c r="J30" s="707">
        <f>'Opex No SRV'!H147/1000</f>
        <v>394.90300000000002</v>
      </c>
      <c r="K30" s="715">
        <f>J30*(1+'LTFP Assumptions'!$H14)</f>
        <v>402.80106000000001</v>
      </c>
      <c r="L30" s="715">
        <f>K30*(1+'LTFP Assumptions'!$H14)</f>
        <v>410.85708120000004</v>
      </c>
      <c r="M30" s="715">
        <f>L30*(1+'LTFP Assumptions'!$H14)</f>
        <v>419.07422282400006</v>
      </c>
      <c r="N30" s="715">
        <f>M30*(1+'LTFP Assumptions'!$H14)</f>
        <v>427.45570728048006</v>
      </c>
      <c r="O30" s="715">
        <f>N30*(1+'LTFP Assumptions'!$H14)</f>
        <v>436.00482142608968</v>
      </c>
      <c r="P30" s="715">
        <f>O30*(1+'LTFP Assumptions'!$H14)</f>
        <v>444.72491785461148</v>
      </c>
      <c r="AD30" s="599" t="s">
        <v>31</v>
      </c>
      <c r="AE30" s="606">
        <f>-D67</f>
        <v>0</v>
      </c>
    </row>
    <row r="31" spans="1:31" s="611" customFormat="1" ht="11.25" x14ac:dyDescent="0.2">
      <c r="A31" s="705" t="s">
        <v>66</v>
      </c>
      <c r="B31" s="719">
        <f>SUM(B23:B30)</f>
        <v>0</v>
      </c>
      <c r="C31" s="719">
        <f>SUM(C23:C30)</f>
        <v>0</v>
      </c>
      <c r="D31" s="719">
        <f>SUM(D23:D30)</f>
        <v>0</v>
      </c>
      <c r="E31" s="719">
        <f>SUM(E23:E30)</f>
        <v>3209</v>
      </c>
      <c r="F31" s="719">
        <f t="shared" ref="F31:G31" si="4">SUM(F23:F30)</f>
        <v>2924.4280000000003</v>
      </c>
      <c r="G31" s="719">
        <f t="shared" si="4"/>
        <v>3302.5209999999997</v>
      </c>
      <c r="H31" s="719">
        <f t="shared" ref="H31:P31" si="5">SUM(H23:H30)</f>
        <v>3393.3229999999999</v>
      </c>
      <c r="I31" s="719">
        <f t="shared" si="5"/>
        <v>3519.2090000000003</v>
      </c>
      <c r="J31" s="719">
        <f t="shared" si="5"/>
        <v>3649.3389999999999</v>
      </c>
      <c r="K31" s="719">
        <f t="shared" si="5"/>
        <v>3706.4961649999996</v>
      </c>
      <c r="L31" s="719">
        <f t="shared" si="5"/>
        <v>3764.8592991249998</v>
      </c>
      <c r="M31" s="719">
        <f t="shared" si="5"/>
        <v>3824.454225864125</v>
      </c>
      <c r="N31" s="719">
        <f t="shared" si="5"/>
        <v>3885.307331782778</v>
      </c>
      <c r="O31" s="719">
        <f t="shared" si="5"/>
        <v>3947.4455790694437</v>
      </c>
      <c r="P31" s="719">
        <f t="shared" si="5"/>
        <v>4010.8965183691607</v>
      </c>
      <c r="AD31" s="612" t="s">
        <v>23</v>
      </c>
      <c r="AE31" s="613">
        <f>SUM(AE23:AE30)</f>
        <v>0</v>
      </c>
    </row>
    <row r="32" spans="1:31" ht="3.75" customHeight="1" x14ac:dyDescent="0.2">
      <c r="A32" s="695"/>
      <c r="B32" s="714"/>
      <c r="C32" s="710"/>
      <c r="D32" s="710"/>
      <c r="E32" s="710"/>
      <c r="F32" s="710"/>
      <c r="G32" s="710"/>
      <c r="H32" s="710"/>
      <c r="I32" s="710"/>
      <c r="J32" s="710"/>
      <c r="K32" s="710"/>
      <c r="L32" s="710"/>
      <c r="M32" s="710"/>
      <c r="N32" s="710"/>
      <c r="O32" s="710"/>
      <c r="P32" s="710"/>
    </row>
    <row r="33" spans="1:16" s="612" customFormat="1" ht="12" thickBot="1" x14ac:dyDescent="0.25">
      <c r="A33" s="705" t="s">
        <v>67</v>
      </c>
      <c r="B33" s="724">
        <f t="shared" ref="B33:P33" si="6">+B21-B31</f>
        <v>0</v>
      </c>
      <c r="C33" s="725">
        <f t="shared" si="6"/>
        <v>0</v>
      </c>
      <c r="D33" s="724">
        <f t="shared" si="6"/>
        <v>0</v>
      </c>
      <c r="E33" s="725">
        <f t="shared" si="6"/>
        <v>-1950</v>
      </c>
      <c r="F33" s="725">
        <f t="shared" si="6"/>
        <v>127.87499999999955</v>
      </c>
      <c r="G33" s="725">
        <f t="shared" si="6"/>
        <v>-99.220999999999549</v>
      </c>
      <c r="H33" s="725">
        <f t="shared" si="6"/>
        <v>-110.32299999999987</v>
      </c>
      <c r="I33" s="725">
        <f t="shared" si="6"/>
        <v>-170.54900000000043</v>
      </c>
      <c r="J33" s="725">
        <f t="shared" si="6"/>
        <v>-233.70579999999973</v>
      </c>
      <c r="K33" s="725">
        <f t="shared" si="6"/>
        <v>-197.25101299999915</v>
      </c>
      <c r="L33" s="725">
        <f t="shared" si="6"/>
        <v>-181.97344136499942</v>
      </c>
      <c r="M33" s="725">
        <f t="shared" si="6"/>
        <v>-165.62668540812501</v>
      </c>
      <c r="N33" s="725">
        <f t="shared" si="6"/>
        <v>-148.15908536186544</v>
      </c>
      <c r="O33" s="725">
        <f t="shared" si="6"/>
        <v>-129.51674807492873</v>
      </c>
      <c r="P33" s="725">
        <f t="shared" si="6"/>
        <v>-109.64345473210778</v>
      </c>
    </row>
    <row r="34" spans="1:16" ht="4.5" customHeight="1" x14ac:dyDescent="0.2">
      <c r="A34" s="726"/>
      <c r="B34" s="714"/>
      <c r="C34" s="710"/>
      <c r="D34" s="710"/>
      <c r="E34" s="710"/>
      <c r="F34" s="710"/>
      <c r="G34" s="710"/>
      <c r="H34" s="710"/>
      <c r="I34" s="710"/>
      <c r="J34" s="710"/>
      <c r="K34" s="710"/>
      <c r="L34" s="710"/>
      <c r="M34" s="710"/>
      <c r="N34" s="710"/>
      <c r="O34" s="710"/>
      <c r="P34" s="710"/>
    </row>
    <row r="35" spans="1:16" s="611" customFormat="1" ht="11.25" x14ac:dyDescent="0.2">
      <c r="A35" s="705" t="s">
        <v>75</v>
      </c>
      <c r="B35" s="727"/>
      <c r="C35" s="728"/>
      <c r="D35" s="728"/>
      <c r="E35" s="728"/>
      <c r="F35" s="728"/>
      <c r="G35" s="728"/>
      <c r="H35" s="728"/>
      <c r="I35" s="728"/>
      <c r="J35" s="728"/>
      <c r="K35" s="728"/>
      <c r="L35" s="728"/>
      <c r="M35" s="728"/>
      <c r="N35" s="728"/>
      <c r="O35" s="728"/>
      <c r="P35" s="728"/>
    </row>
    <row r="36" spans="1:16" ht="12.75" customHeight="1" x14ac:dyDescent="0.2">
      <c r="A36" s="721" t="s">
        <v>322</v>
      </c>
      <c r="B36" s="729">
        <v>0</v>
      </c>
      <c r="C36" s="729">
        <v>0</v>
      </c>
      <c r="D36" s="729">
        <v>0</v>
      </c>
      <c r="E36" s="729">
        <v>0</v>
      </c>
      <c r="F36" s="729">
        <v>0</v>
      </c>
      <c r="G36" s="729">
        <v>0</v>
      </c>
      <c r="H36" s="729">
        <v>0</v>
      </c>
      <c r="I36" s="729">
        <v>0</v>
      </c>
      <c r="J36" s="729">
        <v>0</v>
      </c>
      <c r="K36" s="729">
        <v>0</v>
      </c>
      <c r="L36" s="729">
        <v>0</v>
      </c>
      <c r="M36" s="729">
        <v>0</v>
      </c>
      <c r="N36" s="729">
        <v>0</v>
      </c>
      <c r="O36" s="729">
        <v>0</v>
      </c>
      <c r="P36" s="729">
        <v>0</v>
      </c>
    </row>
    <row r="37" spans="1:16" ht="4.5" customHeight="1" x14ac:dyDescent="0.2">
      <c r="A37" s="695"/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</row>
    <row r="38" spans="1:16" s="611" customFormat="1" ht="11.25" x14ac:dyDescent="0.2">
      <c r="A38" s="730" t="s">
        <v>76</v>
      </c>
      <c r="B38" s="731">
        <f>+B33+B36</f>
        <v>0</v>
      </c>
      <c r="C38" s="732">
        <f>+C33+C36</f>
        <v>0</v>
      </c>
      <c r="D38" s="731">
        <f>+D33+D36</f>
        <v>0</v>
      </c>
      <c r="E38" s="732">
        <f t="shared" ref="E38:P38" si="7">+E33+E36</f>
        <v>-1950</v>
      </c>
      <c r="F38" s="732">
        <f t="shared" si="7"/>
        <v>127.87499999999955</v>
      </c>
      <c r="G38" s="732">
        <f t="shared" si="7"/>
        <v>-99.220999999999549</v>
      </c>
      <c r="H38" s="732">
        <f t="shared" si="7"/>
        <v>-110.32299999999987</v>
      </c>
      <c r="I38" s="732">
        <f t="shared" si="7"/>
        <v>-170.54900000000043</v>
      </c>
      <c r="J38" s="732">
        <f t="shared" si="7"/>
        <v>-233.70579999999973</v>
      </c>
      <c r="K38" s="732">
        <f t="shared" si="7"/>
        <v>-197.25101299999915</v>
      </c>
      <c r="L38" s="732">
        <f t="shared" si="7"/>
        <v>-181.97344136499942</v>
      </c>
      <c r="M38" s="732">
        <f t="shared" si="7"/>
        <v>-165.62668540812501</v>
      </c>
      <c r="N38" s="732">
        <f t="shared" si="7"/>
        <v>-148.15908536186544</v>
      </c>
      <c r="O38" s="732">
        <f t="shared" si="7"/>
        <v>-129.51674807492873</v>
      </c>
      <c r="P38" s="732">
        <f t="shared" si="7"/>
        <v>-109.64345473210778</v>
      </c>
    </row>
    <row r="39" spans="1:16" ht="3.75" customHeight="1" x14ac:dyDescent="0.2">
      <c r="A39" s="695"/>
      <c r="B39" s="710"/>
      <c r="C39" s="710"/>
      <c r="D39" s="710"/>
      <c r="E39" s="710"/>
      <c r="F39" s="710"/>
      <c r="G39" s="710"/>
      <c r="H39" s="710"/>
      <c r="I39" s="710"/>
      <c r="J39" s="710"/>
      <c r="K39" s="710"/>
      <c r="L39" s="710"/>
      <c r="M39" s="710"/>
      <c r="N39" s="710"/>
      <c r="O39" s="710"/>
      <c r="P39" s="710"/>
    </row>
    <row r="40" spans="1:16" s="601" customFormat="1" ht="11.25" x14ac:dyDescent="0.2">
      <c r="A40" s="733" t="s">
        <v>77</v>
      </c>
      <c r="B40" s="715">
        <f>+B38</f>
        <v>0</v>
      </c>
      <c r="C40" s="734">
        <f>+C35+C38</f>
        <v>0</v>
      </c>
      <c r="D40" s="715">
        <f>+D38</f>
        <v>0</v>
      </c>
      <c r="E40" s="734">
        <f t="shared" ref="E40:P40" si="8">+E35+E38</f>
        <v>-1950</v>
      </c>
      <c r="F40" s="734">
        <f t="shared" si="8"/>
        <v>127.87499999999955</v>
      </c>
      <c r="G40" s="734">
        <f t="shared" si="8"/>
        <v>-99.220999999999549</v>
      </c>
      <c r="H40" s="734">
        <f t="shared" si="8"/>
        <v>-110.32299999999987</v>
      </c>
      <c r="I40" s="734">
        <f t="shared" si="8"/>
        <v>-170.54900000000043</v>
      </c>
      <c r="J40" s="734">
        <f t="shared" si="8"/>
        <v>-233.70579999999973</v>
      </c>
      <c r="K40" s="734">
        <f t="shared" si="8"/>
        <v>-197.25101299999915</v>
      </c>
      <c r="L40" s="734">
        <f t="shared" si="8"/>
        <v>-181.97344136499942</v>
      </c>
      <c r="M40" s="734">
        <f t="shared" si="8"/>
        <v>-165.62668540812501</v>
      </c>
      <c r="N40" s="734">
        <f t="shared" si="8"/>
        <v>-148.15908536186544</v>
      </c>
      <c r="O40" s="734">
        <f t="shared" si="8"/>
        <v>-129.51674807492873</v>
      </c>
      <c r="P40" s="734">
        <f t="shared" si="8"/>
        <v>-109.64345473210778</v>
      </c>
    </row>
    <row r="41" spans="1:16" s="601" customFormat="1" ht="10.5" customHeight="1" thickBot="1" x14ac:dyDescent="0.25">
      <c r="A41" s="739" t="s">
        <v>78</v>
      </c>
      <c r="B41" s="735">
        <v>0</v>
      </c>
      <c r="C41" s="735">
        <v>0</v>
      </c>
      <c r="D41" s="735">
        <v>0</v>
      </c>
      <c r="E41" s="735">
        <v>0</v>
      </c>
      <c r="F41" s="735"/>
      <c r="G41" s="735">
        <v>0</v>
      </c>
      <c r="H41" s="735">
        <v>0</v>
      </c>
      <c r="I41" s="735">
        <v>0</v>
      </c>
      <c r="J41" s="735">
        <v>0</v>
      </c>
      <c r="K41" s="735">
        <v>0</v>
      </c>
      <c r="L41" s="735">
        <v>0</v>
      </c>
      <c r="M41" s="735">
        <v>0</v>
      </c>
      <c r="N41" s="735">
        <v>0</v>
      </c>
      <c r="O41" s="735">
        <v>0</v>
      </c>
      <c r="P41" s="735">
        <v>0</v>
      </c>
    </row>
    <row r="42" spans="1:16" ht="3.75" customHeight="1" thickTop="1" x14ac:dyDescent="0.2">
      <c r="A42" s="726"/>
      <c r="B42" s="714"/>
      <c r="C42" s="714"/>
      <c r="D42" s="710"/>
      <c r="E42" s="710"/>
      <c r="F42" s="710"/>
      <c r="G42" s="710"/>
      <c r="H42" s="710"/>
      <c r="I42" s="710"/>
      <c r="J42" s="710"/>
      <c r="K42" s="710"/>
      <c r="L42" s="710"/>
      <c r="M42" s="710"/>
      <c r="N42" s="710"/>
      <c r="O42" s="710"/>
      <c r="P42" s="710"/>
    </row>
    <row r="43" spans="1:16" ht="31.5" customHeight="1" thickBot="1" x14ac:dyDescent="0.25">
      <c r="A43" s="705" t="s">
        <v>79</v>
      </c>
      <c r="B43" s="736">
        <f t="shared" ref="B43:P43" si="9">+B38-B16-B19</f>
        <v>0</v>
      </c>
      <c r="C43" s="736">
        <f t="shared" si="9"/>
        <v>0</v>
      </c>
      <c r="D43" s="736">
        <f t="shared" si="9"/>
        <v>0</v>
      </c>
      <c r="E43" s="736">
        <f t="shared" si="9"/>
        <v>-1950</v>
      </c>
      <c r="F43" s="736">
        <f t="shared" si="9"/>
        <v>127.87499999999955</v>
      </c>
      <c r="G43" s="736">
        <f t="shared" si="9"/>
        <v>-99.220999999999549</v>
      </c>
      <c r="H43" s="736">
        <f t="shared" si="9"/>
        <v>-110.32299999999987</v>
      </c>
      <c r="I43" s="736">
        <f t="shared" si="9"/>
        <v>-170.54900000000043</v>
      </c>
      <c r="J43" s="736">
        <f t="shared" si="9"/>
        <v>-233.70579999999973</v>
      </c>
      <c r="K43" s="736">
        <f t="shared" si="9"/>
        <v>-197.25101299999915</v>
      </c>
      <c r="L43" s="736">
        <f t="shared" si="9"/>
        <v>-181.97344136499942</v>
      </c>
      <c r="M43" s="736">
        <f t="shared" si="9"/>
        <v>-165.62668540812501</v>
      </c>
      <c r="N43" s="736">
        <f t="shared" si="9"/>
        <v>-148.15908536186544</v>
      </c>
      <c r="O43" s="736">
        <f t="shared" si="9"/>
        <v>-129.51674807492873</v>
      </c>
      <c r="P43" s="736">
        <f t="shared" si="9"/>
        <v>-109.64345473210778</v>
      </c>
    </row>
    <row r="44" spans="1:16" ht="4.5" customHeight="1" thickTop="1" x14ac:dyDescent="0.2">
      <c r="A44" s="705"/>
      <c r="B44" s="734"/>
      <c r="C44" s="734"/>
      <c r="D44" s="734"/>
      <c r="E44" s="734"/>
      <c r="F44" s="734"/>
      <c r="G44" s="734"/>
      <c r="H44" s="734"/>
      <c r="I44" s="734"/>
      <c r="J44" s="734"/>
      <c r="K44" s="734"/>
      <c r="L44" s="734"/>
      <c r="M44" s="734"/>
      <c r="N44" s="734"/>
      <c r="O44" s="734"/>
      <c r="P44" s="734"/>
    </row>
    <row r="45" spans="1:16" ht="11.25" x14ac:dyDescent="0.2">
      <c r="A45" s="730" t="s">
        <v>76</v>
      </c>
      <c r="B45" s="732">
        <f t="shared" ref="B45:P45" si="10">B38</f>
        <v>0</v>
      </c>
      <c r="C45" s="732">
        <f t="shared" si="10"/>
        <v>0</v>
      </c>
      <c r="D45" s="732">
        <f t="shared" si="10"/>
        <v>0</v>
      </c>
      <c r="E45" s="732">
        <f t="shared" si="10"/>
        <v>-1950</v>
      </c>
      <c r="F45" s="732">
        <f t="shared" si="10"/>
        <v>127.87499999999955</v>
      </c>
      <c r="G45" s="732">
        <f t="shared" si="10"/>
        <v>-99.220999999999549</v>
      </c>
      <c r="H45" s="732">
        <f t="shared" si="10"/>
        <v>-110.32299999999987</v>
      </c>
      <c r="I45" s="732">
        <f t="shared" si="10"/>
        <v>-170.54900000000043</v>
      </c>
      <c r="J45" s="732">
        <f t="shared" si="10"/>
        <v>-233.70579999999973</v>
      </c>
      <c r="K45" s="732">
        <f t="shared" si="10"/>
        <v>-197.25101299999915</v>
      </c>
      <c r="L45" s="732">
        <f t="shared" si="10"/>
        <v>-181.97344136499942</v>
      </c>
      <c r="M45" s="732">
        <f t="shared" si="10"/>
        <v>-165.62668540812501</v>
      </c>
      <c r="N45" s="732">
        <f t="shared" si="10"/>
        <v>-148.15908536186544</v>
      </c>
      <c r="O45" s="732">
        <f t="shared" si="10"/>
        <v>-129.51674807492873</v>
      </c>
      <c r="P45" s="732">
        <f t="shared" si="10"/>
        <v>-109.64345473210778</v>
      </c>
    </row>
    <row r="46" spans="1:16" ht="9.75" customHeight="1" x14ac:dyDescent="0.2">
      <c r="A46" s="737" t="s">
        <v>1015</v>
      </c>
      <c r="B46" s="734"/>
      <c r="C46" s="734"/>
      <c r="D46" s="734"/>
      <c r="E46" s="734"/>
      <c r="F46" s="734"/>
      <c r="G46" s="734"/>
      <c r="H46" s="734"/>
      <c r="I46" s="734"/>
      <c r="J46" s="734"/>
      <c r="K46" s="734"/>
      <c r="L46" s="734"/>
      <c r="M46" s="734"/>
      <c r="N46" s="734"/>
      <c r="O46" s="734"/>
      <c r="P46" s="734"/>
    </row>
    <row r="47" spans="1:16" ht="11.25" x14ac:dyDescent="0.2">
      <c r="A47" s="705" t="s">
        <v>1014</v>
      </c>
      <c r="B47" s="734"/>
      <c r="C47" s="734"/>
      <c r="D47" s="734"/>
      <c r="E47" s="734"/>
      <c r="F47" s="734"/>
      <c r="G47" s="734"/>
      <c r="H47" s="734"/>
      <c r="I47" s="734"/>
      <c r="J47" s="734"/>
      <c r="K47" s="734"/>
      <c r="L47" s="734"/>
      <c r="M47" s="734"/>
      <c r="N47" s="734"/>
      <c r="O47" s="734"/>
      <c r="P47" s="734"/>
    </row>
    <row r="48" spans="1:16" ht="1.5" customHeight="1" x14ac:dyDescent="0.2">
      <c r="A48" s="705"/>
      <c r="B48" s="734"/>
      <c r="C48" s="734"/>
      <c r="D48" s="734"/>
      <c r="E48" s="734"/>
      <c r="F48" s="734"/>
      <c r="G48" s="734"/>
      <c r="H48" s="734"/>
      <c r="I48" s="734"/>
      <c r="J48" s="734"/>
      <c r="K48" s="734"/>
      <c r="L48" s="734"/>
      <c r="M48" s="734"/>
      <c r="N48" s="734"/>
      <c r="O48" s="734"/>
      <c r="P48" s="734"/>
    </row>
    <row r="49" spans="1:17" ht="12" thickBot="1" x14ac:dyDescent="0.25">
      <c r="A49" s="705" t="s">
        <v>309</v>
      </c>
      <c r="B49" s="738">
        <f t="shared" ref="B49:P49" si="11">SUM(B45:B48)</f>
        <v>0</v>
      </c>
      <c r="C49" s="738">
        <f t="shared" si="11"/>
        <v>0</v>
      </c>
      <c r="D49" s="738">
        <f t="shared" si="11"/>
        <v>0</v>
      </c>
      <c r="E49" s="738">
        <f t="shared" si="11"/>
        <v>-1950</v>
      </c>
      <c r="F49" s="738">
        <f t="shared" si="11"/>
        <v>127.87499999999955</v>
      </c>
      <c r="G49" s="738">
        <f t="shared" si="11"/>
        <v>-99.220999999999549</v>
      </c>
      <c r="H49" s="738">
        <f t="shared" si="11"/>
        <v>-110.32299999999987</v>
      </c>
      <c r="I49" s="738">
        <f t="shared" si="11"/>
        <v>-170.54900000000043</v>
      </c>
      <c r="J49" s="738">
        <f t="shared" si="11"/>
        <v>-233.70579999999973</v>
      </c>
      <c r="K49" s="738">
        <f t="shared" si="11"/>
        <v>-197.25101299999915</v>
      </c>
      <c r="L49" s="738">
        <f t="shared" si="11"/>
        <v>-181.97344136499942</v>
      </c>
      <c r="M49" s="738">
        <f t="shared" si="11"/>
        <v>-165.62668540812501</v>
      </c>
      <c r="N49" s="738">
        <f t="shared" si="11"/>
        <v>-148.15908536186544</v>
      </c>
      <c r="O49" s="738">
        <f t="shared" si="11"/>
        <v>-129.51674807492873</v>
      </c>
      <c r="P49" s="738">
        <f t="shared" si="11"/>
        <v>-109.64345473210778</v>
      </c>
    </row>
    <row r="50" spans="1:17" ht="12" thickTop="1" x14ac:dyDescent="0.2">
      <c r="A50" s="616"/>
      <c r="B50" s="621"/>
      <c r="C50" s="621"/>
      <c r="D50" s="621"/>
      <c r="E50" s="621"/>
      <c r="F50" s="621"/>
      <c r="G50" s="621"/>
      <c r="H50" s="621"/>
      <c r="I50" s="621"/>
      <c r="J50" s="621"/>
      <c r="K50" s="621"/>
      <c r="L50" s="621"/>
      <c r="M50" s="621"/>
      <c r="N50" s="621"/>
      <c r="O50" s="621"/>
      <c r="P50" s="621"/>
    </row>
    <row r="51" spans="1:17" ht="11.25" hidden="1" outlineLevel="1" x14ac:dyDescent="0.2">
      <c r="A51" s="604" t="s">
        <v>1081</v>
      </c>
      <c r="B51" s="621"/>
      <c r="C51" s="621"/>
      <c r="D51" s="621"/>
      <c r="E51" s="622"/>
      <c r="F51" s="811">
        <f>'OLD Capital Budget - NO SRV'!D172/1000-F53-F52</f>
        <v>0</v>
      </c>
      <c r="G51" s="811">
        <f>'OLD Capital Budget - NO SRV'!E172/1000-G53-G52</f>
        <v>0</v>
      </c>
      <c r="H51" s="811">
        <f>'OLD Capital Budget - NO SRV'!F172/1000-H53-H52</f>
        <v>0</v>
      </c>
      <c r="I51" s="811">
        <f>'OLD Capital Budget - NO SRV'!G172/1000-I53-I52</f>
        <v>0</v>
      </c>
      <c r="J51" s="811">
        <f>'OLD Capital Budget - NO SRV'!H172/1000-J53-J52</f>
        <v>0</v>
      </c>
      <c r="K51" s="811">
        <f>'OLD Capital Budget - NO SRV'!I172/1000-K53-K52</f>
        <v>0</v>
      </c>
      <c r="L51" s="811">
        <f>'OLD Capital Budget - NO SRV'!J172/1000-L53-L52</f>
        <v>0</v>
      </c>
      <c r="M51" s="811">
        <f>'OLD Capital Budget - NO SRV'!K172/1000-M53-M52</f>
        <v>0</v>
      </c>
      <c r="N51" s="811">
        <f>'OLD Capital Budget - NO SRV'!L172/1000-N53-N52</f>
        <v>0</v>
      </c>
      <c r="O51" s="811">
        <f>'OLD Capital Budget - NO SRV'!M172/1000-O53-O52</f>
        <v>0</v>
      </c>
      <c r="P51" s="811">
        <f>'OLD Capital Budget - NO SRV'!N172/1000-P53-P52</f>
        <v>0</v>
      </c>
      <c r="Q51" s="599" t="s">
        <v>32</v>
      </c>
    </row>
    <row r="52" spans="1:17" ht="11.25" hidden="1" outlineLevel="1" x14ac:dyDescent="0.2">
      <c r="A52" s="817" t="s">
        <v>1111</v>
      </c>
      <c r="B52" s="621"/>
      <c r="C52" s="621"/>
      <c r="D52" s="621"/>
      <c r="E52" s="622"/>
      <c r="F52" s="811">
        <v>10000</v>
      </c>
      <c r="G52" s="811"/>
      <c r="H52" s="811"/>
      <c r="I52" s="811"/>
      <c r="J52" s="811"/>
      <c r="K52" s="811"/>
      <c r="L52" s="811"/>
      <c r="M52" s="811"/>
      <c r="N52" s="811"/>
      <c r="O52" s="811"/>
      <c r="P52" s="811"/>
      <c r="Q52" s="599" t="s">
        <v>32</v>
      </c>
    </row>
    <row r="53" spans="1:17" ht="11.25" hidden="1" outlineLevel="1" x14ac:dyDescent="0.2">
      <c r="A53" s="604" t="s">
        <v>1082</v>
      </c>
      <c r="B53" s="621"/>
      <c r="C53" s="621"/>
      <c r="D53" s="621"/>
      <c r="E53" s="622"/>
      <c r="F53" s="622"/>
      <c r="G53" s="622"/>
      <c r="H53" s="622"/>
      <c r="I53" s="622"/>
      <c r="J53" s="622"/>
      <c r="K53" s="622"/>
      <c r="L53" s="622"/>
      <c r="M53" s="622"/>
      <c r="N53" s="622"/>
      <c r="O53" s="622"/>
      <c r="P53" s="622"/>
      <c r="Q53" s="599" t="s">
        <v>32</v>
      </c>
    </row>
    <row r="54" spans="1:17" ht="11.25" hidden="1" outlineLevel="1" x14ac:dyDescent="0.2">
      <c r="A54" s="604" t="s">
        <v>1083</v>
      </c>
      <c r="B54" s="621"/>
      <c r="C54" s="621"/>
      <c r="D54" s="621"/>
      <c r="E54" s="622"/>
      <c r="F54" s="1399">
        <f>'OLD Capital Budget - NO SRV'!D173/1000</f>
        <v>0</v>
      </c>
      <c r="G54" s="1399">
        <f>'OLD Capital Budget - NO SRV'!E173/1000</f>
        <v>0</v>
      </c>
      <c r="H54" s="1399">
        <f>'OLD Capital Budget - NO SRV'!F173/1000</f>
        <v>0</v>
      </c>
      <c r="I54" s="1399">
        <f>'OLD Capital Budget - NO SRV'!G173/1000</f>
        <v>0</v>
      </c>
      <c r="J54" s="1399">
        <f>'OLD Capital Budget - NO SRV'!H173/1000</f>
        <v>0</v>
      </c>
      <c r="K54" s="811">
        <f t="shared" ref="K54:P54" si="12">J54</f>
        <v>0</v>
      </c>
      <c r="L54" s="811">
        <f t="shared" si="12"/>
        <v>0</v>
      </c>
      <c r="M54" s="811">
        <f t="shared" si="12"/>
        <v>0</v>
      </c>
      <c r="N54" s="811">
        <f t="shared" si="12"/>
        <v>0</v>
      </c>
      <c r="O54" s="811">
        <f t="shared" si="12"/>
        <v>0</v>
      </c>
      <c r="P54" s="811">
        <f t="shared" si="12"/>
        <v>0</v>
      </c>
      <c r="Q54" s="599" t="s">
        <v>1391</v>
      </c>
    </row>
    <row r="55" spans="1:17" ht="11.25" hidden="1" outlineLevel="1" x14ac:dyDescent="0.2">
      <c r="A55" s="604" t="s">
        <v>1089</v>
      </c>
      <c r="B55" s="621"/>
      <c r="C55" s="621"/>
      <c r="D55" s="621"/>
      <c r="E55" s="622"/>
      <c r="F55" s="811">
        <f>'OLD Capital Budget - NO SRV'!D174/1000</f>
        <v>127.875</v>
      </c>
      <c r="G55" s="811">
        <f>'OLD Capital Budget - NO SRV'!F174/1000</f>
        <v>0</v>
      </c>
      <c r="H55" s="811">
        <f>'OLD Capital Budget - NO SRV'!G174/1000</f>
        <v>0</v>
      </c>
      <c r="I55" s="811">
        <f>'OLD Capital Budget - NO SRV'!H174/1000</f>
        <v>0</v>
      </c>
      <c r="J55" s="811">
        <f>'OLD Capital Budget - NO SRV'!I174/1000</f>
        <v>0</v>
      </c>
      <c r="K55" s="715">
        <f>J55*(1+'LTFP Assumptions'!$H$13)</f>
        <v>0</v>
      </c>
      <c r="L55" s="707">
        <f>K55*(1+'LTFP Assumptions'!$H$13)</f>
        <v>0</v>
      </c>
      <c r="M55" s="707">
        <f>(L55)*(1+'LTFP Assumptions'!$H$13)</f>
        <v>0</v>
      </c>
      <c r="N55" s="707">
        <f>M55*(1+'LTFP Assumptions'!$H$13)</f>
        <v>0</v>
      </c>
      <c r="O55" s="707">
        <f>N55*(1+'LTFP Assumptions'!$H$13)</f>
        <v>0</v>
      </c>
      <c r="P55" s="707">
        <f>O55*(1+'LTFP Assumptions'!$H$13)</f>
        <v>0</v>
      </c>
      <c r="Q55" s="603"/>
    </row>
    <row r="56" spans="1:17" ht="11.25" hidden="1" outlineLevel="1" x14ac:dyDescent="0.2">
      <c r="A56" s="604"/>
      <c r="B56" s="621"/>
      <c r="C56" s="621"/>
      <c r="D56" s="771">
        <f>SUM(D51:D55)</f>
        <v>0</v>
      </c>
      <c r="E56" s="771">
        <f t="shared" ref="E56" si="13">SUM(E51:E54)</f>
        <v>0</v>
      </c>
      <c r="F56" s="771">
        <f>SUM(F51:F55)</f>
        <v>10127.875</v>
      </c>
      <c r="G56" s="771">
        <f>SUM(G51:G55)</f>
        <v>0</v>
      </c>
      <c r="H56" s="771">
        <f t="shared" ref="H56:J56" si="14">SUM(H51:H55)</f>
        <v>0</v>
      </c>
      <c r="I56" s="771">
        <f t="shared" si="14"/>
        <v>0</v>
      </c>
      <c r="J56" s="771">
        <f t="shared" si="14"/>
        <v>0</v>
      </c>
      <c r="K56" s="771">
        <f t="shared" ref="K56:P56" si="15">SUM(K51:K55)</f>
        <v>0</v>
      </c>
      <c r="L56" s="771">
        <f t="shared" si="15"/>
        <v>0</v>
      </c>
      <c r="M56" s="771">
        <f t="shared" si="15"/>
        <v>0</v>
      </c>
      <c r="N56" s="771">
        <f t="shared" si="15"/>
        <v>0</v>
      </c>
      <c r="O56" s="771">
        <f t="shared" si="15"/>
        <v>0</v>
      </c>
      <c r="P56" s="771">
        <f t="shared" si="15"/>
        <v>0</v>
      </c>
    </row>
    <row r="57" spans="1:17" s="608" customFormat="1" ht="11.25" hidden="1" outlineLevel="1" x14ac:dyDescent="0.2">
      <c r="A57" s="623" t="s">
        <v>1084</v>
      </c>
      <c r="B57" s="621"/>
      <c r="C57" s="621"/>
      <c r="D57" s="621"/>
      <c r="E57" s="621"/>
      <c r="F57" s="621"/>
      <c r="G57" s="621"/>
      <c r="H57" s="621"/>
      <c r="I57" s="621"/>
      <c r="J57" s="621"/>
      <c r="K57" s="621"/>
      <c r="L57" s="621"/>
      <c r="M57" s="621"/>
      <c r="N57" s="621"/>
      <c r="O57" s="621"/>
      <c r="P57" s="621"/>
    </row>
    <row r="58" spans="1:17" ht="11.25" hidden="1" outlineLevel="1" x14ac:dyDescent="0.2">
      <c r="A58" s="604" t="s">
        <v>931</v>
      </c>
      <c r="B58" s="621"/>
      <c r="C58" s="621"/>
      <c r="D58" s="621"/>
      <c r="E58" s="621"/>
      <c r="F58" s="622">
        <f>-'OLD Capital Budget - NO SRV'!D163/1000</f>
        <v>127.875</v>
      </c>
      <c r="G58" s="622">
        <f>-'OLD Capital Budget - NO SRV'!F163/1000</f>
        <v>0.77900000000000003</v>
      </c>
      <c r="H58" s="622">
        <f>-'OLD Capital Budget - NO SRV'!G163/1000</f>
        <v>-71.78</v>
      </c>
      <c r="I58" s="622">
        <f>-'OLD Capital Budget - NO SRV'!H163/1000</f>
        <v>-20.475999999999999</v>
      </c>
      <c r="J58" s="622">
        <f>-'OLD Capital Budget - NO SRV'!I163/1000</f>
        <v>28.814</v>
      </c>
      <c r="K58" s="622">
        <f>K43</f>
        <v>-197.25101299999915</v>
      </c>
      <c r="L58" s="622">
        <f t="shared" ref="L58:P58" si="16">L43</f>
        <v>-181.97344136499942</v>
      </c>
      <c r="M58" s="622">
        <f t="shared" si="16"/>
        <v>-165.62668540812501</v>
      </c>
      <c r="N58" s="622">
        <f t="shared" si="16"/>
        <v>-148.15908536186544</v>
      </c>
      <c r="O58" s="622">
        <f t="shared" si="16"/>
        <v>-129.51674807492873</v>
      </c>
      <c r="P58" s="622">
        <f t="shared" si="16"/>
        <v>-109.64345473210778</v>
      </c>
    </row>
    <row r="59" spans="1:17" ht="11.25" hidden="1" outlineLevel="1" x14ac:dyDescent="0.2">
      <c r="A59" s="604" t="s">
        <v>244</v>
      </c>
      <c r="B59" s="621"/>
      <c r="C59" s="621"/>
      <c r="D59" s="621"/>
      <c r="E59" s="621"/>
      <c r="F59" s="622"/>
      <c r="G59" s="622"/>
      <c r="H59" s="622"/>
      <c r="I59" s="622"/>
      <c r="J59" s="622"/>
      <c r="K59" s="622">
        <f>J59*(1+'LTFP Assumptions'!$H12)</f>
        <v>0</v>
      </c>
      <c r="L59" s="622">
        <f>K59*(1+'LTFP Assumptions'!$H12)</f>
        <v>0</v>
      </c>
      <c r="M59" s="622">
        <f>L59*(1+'LTFP Assumptions'!$H12)</f>
        <v>0</v>
      </c>
      <c r="N59" s="622">
        <f>M59*(1+'LTFP Assumptions'!$H12)</f>
        <v>0</v>
      </c>
      <c r="O59" s="622">
        <f>N59*(1+'LTFP Assumptions'!$H12)</f>
        <v>0</v>
      </c>
      <c r="P59" s="622">
        <f>O59*(1+'LTFP Assumptions'!$H12)</f>
        <v>0</v>
      </c>
    </row>
    <row r="60" spans="1:17" ht="11.25" hidden="1" outlineLevel="1" x14ac:dyDescent="0.2">
      <c r="A60" s="604" t="s">
        <v>1085</v>
      </c>
      <c r="B60" s="621"/>
      <c r="C60" s="621"/>
      <c r="D60" s="621"/>
      <c r="E60" s="621"/>
      <c r="F60" s="622"/>
      <c r="G60" s="622"/>
      <c r="H60" s="622"/>
      <c r="I60" s="622"/>
      <c r="J60" s="622"/>
      <c r="K60" s="622">
        <f>J60*(1+'LTFP Assumptions'!$H12)</f>
        <v>0</v>
      </c>
      <c r="L60" s="622">
        <f>K60*(1+'LTFP Assumptions'!$H12)</f>
        <v>0</v>
      </c>
      <c r="M60" s="622">
        <f>L60*(1+'LTFP Assumptions'!$H12)</f>
        <v>0</v>
      </c>
      <c r="N60" s="622">
        <f>M60*(1+'LTFP Assumptions'!$H12)</f>
        <v>0</v>
      </c>
      <c r="O60" s="622">
        <f>N60*(1+'LTFP Assumptions'!$H12)</f>
        <v>0</v>
      </c>
      <c r="P60" s="622">
        <f>O60*(1+'LTFP Assumptions'!$H12)</f>
        <v>0</v>
      </c>
    </row>
    <row r="61" spans="1:17" ht="11.25" hidden="1" outlineLevel="1" x14ac:dyDescent="0.2">
      <c r="A61" s="604" t="s">
        <v>1086</v>
      </c>
      <c r="B61" s="621"/>
      <c r="C61" s="621"/>
      <c r="D61" s="621"/>
      <c r="E61" s="621"/>
      <c r="F61" s="622">
        <f>-'OLD Capital Budget - NO SRV'!D165/1000</f>
        <v>0</v>
      </c>
      <c r="G61" s="622">
        <f>-'OLD Capital Budget - NO SRV'!F165/1000</f>
        <v>0</v>
      </c>
      <c r="H61" s="622">
        <f>-'OLD Capital Budget - NO SRV'!G165/1000</f>
        <v>0</v>
      </c>
      <c r="I61" s="622">
        <f>-'OLD Capital Budget - NO SRV'!H165/1000</f>
        <v>0</v>
      </c>
      <c r="J61" s="622">
        <f>-'OLD Capital Budget - NO SRV'!I165/1000</f>
        <v>0</v>
      </c>
      <c r="K61" s="622">
        <f>J61*(1+'LTFP Assumptions'!$H12)</f>
        <v>0</v>
      </c>
      <c r="L61" s="622">
        <f>K61*(1+'LTFP Assumptions'!$H12)</f>
        <v>0</v>
      </c>
      <c r="M61" s="622">
        <f>L61*(1+'LTFP Assumptions'!$H12)</f>
        <v>0</v>
      </c>
      <c r="N61" s="622">
        <f>M61*(1+'LTFP Assumptions'!$H12)</f>
        <v>0</v>
      </c>
      <c r="O61" s="622">
        <f>N61*(1+'LTFP Assumptions'!$H12)</f>
        <v>0</v>
      </c>
      <c r="P61" s="622">
        <f>O61*(1+'LTFP Assumptions'!$H12)</f>
        <v>0</v>
      </c>
    </row>
    <row r="62" spans="1:17" ht="11.25" hidden="1" outlineLevel="1" x14ac:dyDescent="0.2">
      <c r="A62" s="604" t="s">
        <v>33</v>
      </c>
      <c r="B62" s="621">
        <f>+B27</f>
        <v>0</v>
      </c>
      <c r="C62" s="621">
        <f>C27</f>
        <v>0</v>
      </c>
      <c r="D62" s="621">
        <f>D27</f>
        <v>0</v>
      </c>
      <c r="E62" s="621">
        <f>F27</f>
        <v>0</v>
      </c>
      <c r="F62" s="622">
        <f>-'OLD Capital Budget - NO SRV'!D164/1000</f>
        <v>0</v>
      </c>
      <c r="G62" s="622">
        <f>-'OLD Capital Budget - NO SRV'!F164/1000</f>
        <v>269.68700000000001</v>
      </c>
      <c r="H62" s="622">
        <f>-'OLD Capital Budget - NO SRV'!G164/1000</f>
        <v>275.995</v>
      </c>
      <c r="I62" s="622">
        <f>-'OLD Capital Budget - NO SRV'!H164/1000</f>
        <v>280.65499999999997</v>
      </c>
      <c r="J62" s="622">
        <f>-'OLD Capital Budget - NO SRV'!I164/1000</f>
        <v>289.06900000000002</v>
      </c>
      <c r="K62" s="622">
        <f>K27</f>
        <v>296.295725</v>
      </c>
      <c r="L62" s="622">
        <f t="shared" ref="L62:P62" si="17">L27</f>
        <v>303.703118125</v>
      </c>
      <c r="M62" s="622">
        <f t="shared" si="17"/>
        <v>311.29569607812499</v>
      </c>
      <c r="N62" s="622">
        <f t="shared" si="17"/>
        <v>319.07808848007807</v>
      </c>
      <c r="O62" s="622">
        <f t="shared" si="17"/>
        <v>327.05504069208001</v>
      </c>
      <c r="P62" s="622">
        <f t="shared" si="17"/>
        <v>335.23141670938196</v>
      </c>
    </row>
    <row r="63" spans="1:17" ht="11.25" hidden="1" outlineLevel="1" x14ac:dyDescent="0.2">
      <c r="A63" s="604" t="s">
        <v>22</v>
      </c>
      <c r="B63" s="621"/>
      <c r="C63" s="621"/>
      <c r="D63" s="621"/>
      <c r="E63" s="621"/>
      <c r="F63" s="622">
        <f>-'OLD Capital Budget - NO SRV'!D167/1000</f>
        <v>0</v>
      </c>
      <c r="G63" s="622">
        <f>-'OLD Capital Budget - NO SRV'!F167/1000</f>
        <v>0</v>
      </c>
      <c r="H63" s="622">
        <f>-'OLD Capital Budget - NO SRV'!G167/1000</f>
        <v>0</v>
      </c>
      <c r="I63" s="622">
        <f>-'OLD Capital Budget - NO SRV'!H167/1000</f>
        <v>0</v>
      </c>
      <c r="J63" s="622">
        <f>-'OLD Capital Budget - NO SRV'!I167/1000</f>
        <v>0</v>
      </c>
      <c r="K63" s="715">
        <f>J63*(1+'LTFP Assumptions'!$H$13)</f>
        <v>0</v>
      </c>
      <c r="L63" s="715">
        <f>K63*(1+'LTFP Assumptions'!$H$13)</f>
        <v>0</v>
      </c>
      <c r="M63" s="715">
        <f>L63*(1+'LTFP Assumptions'!$H$13)</f>
        <v>0</v>
      </c>
      <c r="N63" s="715">
        <f>M63*(1+'LTFP Assumptions'!$H$13)</f>
        <v>0</v>
      </c>
      <c r="O63" s="715">
        <f>N63*(1+'LTFP Assumptions'!$H$13)</f>
        <v>0</v>
      </c>
      <c r="P63" s="715">
        <f>O63*(1+'LTFP Assumptions'!$H$13)</f>
        <v>0</v>
      </c>
    </row>
    <row r="64" spans="1:17" ht="11.25" hidden="1" outlineLevel="1" x14ac:dyDescent="0.2">
      <c r="A64" s="604" t="s">
        <v>1087</v>
      </c>
      <c r="B64" s="621"/>
      <c r="C64" s="621"/>
      <c r="D64" s="621"/>
      <c r="E64" s="621"/>
      <c r="F64" s="622">
        <f>-'OLD Capital Budget - NO SRV'!D166/1000</f>
        <v>10000</v>
      </c>
      <c r="G64" s="622">
        <f>-'OLD Capital Budget - NO SRV'!F166/1000</f>
        <v>0</v>
      </c>
      <c r="H64" s="622">
        <f>-'OLD Capital Budget - NO SRV'!G166/1000</f>
        <v>0</v>
      </c>
      <c r="I64" s="622">
        <f>-'OLD Capital Budget - NO SRV'!H166/1000</f>
        <v>0</v>
      </c>
      <c r="J64" s="622">
        <f>-'OLD Capital Budget - NO SRV'!I166/1000</f>
        <v>0</v>
      </c>
      <c r="K64" s="622">
        <f>-'OLD Capital Budget - NO SRV'!J166/1000</f>
        <v>0</v>
      </c>
      <c r="L64" s="622">
        <f>-'OLD Capital Budget - NO SRV'!K166/1000</f>
        <v>0</v>
      </c>
      <c r="M64" s="622">
        <f>-'OLD Capital Budget - NO SRV'!L166/1000</f>
        <v>0</v>
      </c>
      <c r="N64" s="622">
        <f>-'OLD Capital Budget - NO SRV'!M166/1000</f>
        <v>0</v>
      </c>
      <c r="O64" s="622">
        <f>-'OLD Capital Budget - NO SRV'!N166/1000</f>
        <v>0</v>
      </c>
      <c r="P64" s="622">
        <f>-'OLD Capital Budget - NO SRV'!O166/1000</f>
        <v>0</v>
      </c>
    </row>
    <row r="65" spans="1:16" ht="11.25" hidden="1" outlineLevel="1" x14ac:dyDescent="0.2">
      <c r="A65" s="604" t="s">
        <v>1344</v>
      </c>
      <c r="B65" s="621"/>
      <c r="C65" s="621"/>
      <c r="D65" s="621"/>
      <c r="E65" s="621"/>
      <c r="F65" s="622">
        <f>-'OLD Capital Budget - NO SRV'!D168/1000</f>
        <v>0</v>
      </c>
      <c r="G65" s="622">
        <f>-'OLD Capital Budget - NO SRV'!F168/1000</f>
        <v>0</v>
      </c>
      <c r="H65" s="622">
        <f>-'OLD Capital Budget - NO SRV'!G168/1000</f>
        <v>0</v>
      </c>
      <c r="I65" s="622">
        <f>-'OLD Capital Budget - NO SRV'!H168/1000</f>
        <v>0</v>
      </c>
      <c r="J65" s="622">
        <f>-'OLD Capital Budget - NO SRV'!I168/1000</f>
        <v>0</v>
      </c>
      <c r="K65" s="622">
        <f>J65*(1+'LTFP Assumptions'!$H12)</f>
        <v>0</v>
      </c>
      <c r="L65" s="622">
        <f>K65*(1+'LTFP Assumptions'!$H12)</f>
        <v>0</v>
      </c>
      <c r="M65" s="622">
        <f>L65*(1+'LTFP Assumptions'!$H12)</f>
        <v>0</v>
      </c>
      <c r="N65" s="622">
        <f>M65*(1+'LTFP Assumptions'!$H12)</f>
        <v>0</v>
      </c>
      <c r="O65" s="622">
        <f>N65*(1+'LTFP Assumptions'!$H12)</f>
        <v>0</v>
      </c>
      <c r="P65" s="622">
        <f>O65*(1+'LTFP Assumptions'!$H12)</f>
        <v>0</v>
      </c>
    </row>
    <row r="66" spans="1:16" ht="11.25" hidden="1" outlineLevel="1" x14ac:dyDescent="0.2">
      <c r="A66" s="604"/>
      <c r="B66" s="621"/>
      <c r="C66" s="621"/>
      <c r="D66" s="771">
        <f>SUM(D58:D65)</f>
        <v>0</v>
      </c>
      <c r="E66" s="771">
        <f>SUM(E58:E65)</f>
        <v>0</v>
      </c>
      <c r="F66" s="771">
        <f>SUM(F58:F65)</f>
        <v>10127.875</v>
      </c>
      <c r="G66" s="771">
        <f t="shared" ref="G66:P66" si="18">SUM(G58:G65)</f>
        <v>270.46600000000001</v>
      </c>
      <c r="H66" s="771">
        <f t="shared" si="18"/>
        <v>204.215</v>
      </c>
      <c r="I66" s="771">
        <f t="shared" si="18"/>
        <v>260.17899999999997</v>
      </c>
      <c r="J66" s="771">
        <f t="shared" si="18"/>
        <v>317.88300000000004</v>
      </c>
      <c r="K66" s="771">
        <f t="shared" si="18"/>
        <v>99.044712000000857</v>
      </c>
      <c r="L66" s="771">
        <f t="shared" si="18"/>
        <v>121.72967676000059</v>
      </c>
      <c r="M66" s="771">
        <f t="shared" si="18"/>
        <v>145.66901066999998</v>
      </c>
      <c r="N66" s="771">
        <f t="shared" si="18"/>
        <v>170.91900311821263</v>
      </c>
      <c r="O66" s="771">
        <f t="shared" si="18"/>
        <v>197.53829261715128</v>
      </c>
      <c r="P66" s="771">
        <f t="shared" si="18"/>
        <v>225.58796197727418</v>
      </c>
    </row>
    <row r="67" spans="1:16" ht="11.25" hidden="1" outlineLevel="1" x14ac:dyDescent="0.2">
      <c r="A67" s="599"/>
      <c r="B67" s="621"/>
      <c r="C67" s="621"/>
      <c r="D67" s="622"/>
      <c r="E67" s="622"/>
      <c r="F67" s="622"/>
      <c r="G67" s="622"/>
      <c r="H67" s="622"/>
      <c r="I67" s="622"/>
      <c r="J67" s="624"/>
      <c r="K67" s="624"/>
      <c r="L67" s="624"/>
      <c r="M67" s="624"/>
      <c r="N67" s="624"/>
      <c r="O67" s="624"/>
      <c r="P67" s="624"/>
    </row>
    <row r="68" spans="1:16" ht="11.25" hidden="1" outlineLevel="1" x14ac:dyDescent="0.2">
      <c r="A68" s="604"/>
      <c r="B68" s="621"/>
      <c r="C68" s="621"/>
      <c r="D68" s="621"/>
      <c r="E68" s="621"/>
      <c r="F68" s="621"/>
      <c r="G68" s="621"/>
      <c r="H68" s="621"/>
      <c r="I68" s="621"/>
      <c r="J68" s="621"/>
      <c r="K68" s="621"/>
      <c r="L68" s="621"/>
      <c r="M68" s="621"/>
      <c r="N68" s="621"/>
      <c r="O68" s="621"/>
      <c r="P68" s="621"/>
    </row>
    <row r="69" spans="1:16" ht="11.25" hidden="1" outlineLevel="1" x14ac:dyDescent="0.2">
      <c r="A69" s="604" t="s">
        <v>34</v>
      </c>
      <c r="B69" s="621">
        <f>+B38+SUM(B51:B68)</f>
        <v>0</v>
      </c>
      <c r="C69" s="621">
        <f>+C38+SUM(C51:C68)</f>
        <v>0</v>
      </c>
      <c r="D69" s="625">
        <f>D66-D56</f>
        <v>0</v>
      </c>
      <c r="E69" s="625">
        <f t="shared" ref="E69:P69" si="19">E66-E56</f>
        <v>0</v>
      </c>
      <c r="F69" s="625">
        <f t="shared" si="19"/>
        <v>0</v>
      </c>
      <c r="G69" s="625">
        <f t="shared" si="19"/>
        <v>270.46600000000001</v>
      </c>
      <c r="H69" s="625">
        <f t="shared" si="19"/>
        <v>204.215</v>
      </c>
      <c r="I69" s="625">
        <f t="shared" si="19"/>
        <v>260.17899999999997</v>
      </c>
      <c r="J69" s="625">
        <f t="shared" si="19"/>
        <v>317.88300000000004</v>
      </c>
      <c r="K69" s="625">
        <f t="shared" si="19"/>
        <v>99.044712000000857</v>
      </c>
      <c r="L69" s="625">
        <f t="shared" si="19"/>
        <v>121.72967676000059</v>
      </c>
      <c r="M69" s="625">
        <f t="shared" si="19"/>
        <v>145.66901066999998</v>
      </c>
      <c r="N69" s="625">
        <f t="shared" si="19"/>
        <v>170.91900311821263</v>
      </c>
      <c r="O69" s="625">
        <f t="shared" si="19"/>
        <v>197.53829261715128</v>
      </c>
      <c r="P69" s="625">
        <f t="shared" si="19"/>
        <v>225.58796197727418</v>
      </c>
    </row>
    <row r="70" spans="1:16" ht="11.25" hidden="1" outlineLevel="1" x14ac:dyDescent="0.2">
      <c r="A70" s="600" t="s">
        <v>451</v>
      </c>
      <c r="C70" s="606">
        <f>B71</f>
        <v>0</v>
      </c>
      <c r="D70" s="606">
        <f t="shared" ref="D70:P70" si="20">C71</f>
        <v>0</v>
      </c>
      <c r="E70" s="606">
        <f t="shared" si="20"/>
        <v>0</v>
      </c>
      <c r="F70" s="606">
        <v>0</v>
      </c>
      <c r="G70" s="606">
        <f t="shared" si="20"/>
        <v>0</v>
      </c>
      <c r="H70" s="606">
        <f t="shared" si="20"/>
        <v>270.46600000000001</v>
      </c>
      <c r="I70" s="606">
        <f t="shared" si="20"/>
        <v>474.68100000000004</v>
      </c>
      <c r="J70" s="606">
        <f t="shared" si="20"/>
        <v>734.86</v>
      </c>
      <c r="K70" s="606">
        <f t="shared" si="20"/>
        <v>1052.7429999999999</v>
      </c>
      <c r="L70" s="606">
        <f t="shared" si="20"/>
        <v>1151.7877120000007</v>
      </c>
      <c r="M70" s="606">
        <f t="shared" si="20"/>
        <v>1273.5173887600013</v>
      </c>
      <c r="N70" s="606">
        <f t="shared" si="20"/>
        <v>1419.1863994300013</v>
      </c>
      <c r="O70" s="606">
        <f t="shared" si="20"/>
        <v>1590.105402548214</v>
      </c>
      <c r="P70" s="606">
        <f t="shared" si="20"/>
        <v>1787.6436951653652</v>
      </c>
    </row>
    <row r="71" spans="1:16" ht="11.25" hidden="1" outlineLevel="1" x14ac:dyDescent="0.2">
      <c r="A71" s="620" t="s">
        <v>452</v>
      </c>
      <c r="B71" s="626"/>
      <c r="C71" s="627">
        <f>SUM(C69:C70)</f>
        <v>0</v>
      </c>
      <c r="D71" s="627">
        <f t="shared" ref="D71:P71" si="21">SUM(D69:D70)</f>
        <v>0</v>
      </c>
      <c r="E71" s="627">
        <f t="shared" si="21"/>
        <v>0</v>
      </c>
      <c r="F71" s="627">
        <f t="shared" si="21"/>
        <v>0</v>
      </c>
      <c r="G71" s="627">
        <f t="shared" si="21"/>
        <v>270.46600000000001</v>
      </c>
      <c r="H71" s="627">
        <f t="shared" si="21"/>
        <v>474.68100000000004</v>
      </c>
      <c r="I71" s="627">
        <f t="shared" si="21"/>
        <v>734.86</v>
      </c>
      <c r="J71" s="627">
        <f t="shared" si="21"/>
        <v>1052.7429999999999</v>
      </c>
      <c r="K71" s="627">
        <f t="shared" si="21"/>
        <v>1151.7877120000007</v>
      </c>
      <c r="L71" s="627">
        <f t="shared" si="21"/>
        <v>1273.5173887600013</v>
      </c>
      <c r="M71" s="627">
        <f t="shared" si="21"/>
        <v>1419.1863994300013</v>
      </c>
      <c r="N71" s="627">
        <f t="shared" si="21"/>
        <v>1590.105402548214</v>
      </c>
      <c r="O71" s="627">
        <f t="shared" si="21"/>
        <v>1787.6436951653652</v>
      </c>
      <c r="P71" s="627">
        <f t="shared" si="21"/>
        <v>2013.2316571426395</v>
      </c>
    </row>
    <row r="72" spans="1:16" ht="11.25" collapsed="1" x14ac:dyDescent="0.2">
      <c r="A72" s="620"/>
      <c r="B72" s="626"/>
      <c r="C72" s="627"/>
      <c r="D72" s="627"/>
      <c r="E72" s="627"/>
      <c r="F72" s="627"/>
      <c r="G72" s="627"/>
      <c r="H72" s="627"/>
      <c r="I72" s="627"/>
      <c r="J72" s="627"/>
      <c r="K72" s="627"/>
      <c r="L72" s="627"/>
      <c r="M72" s="627"/>
      <c r="N72" s="627"/>
      <c r="O72" s="627"/>
      <c r="P72" s="627"/>
    </row>
    <row r="73" spans="1:16" s="631" customFormat="1" ht="11.25" hidden="1" outlineLevel="1" x14ac:dyDescent="0.2">
      <c r="A73" s="628"/>
      <c r="B73" s="629"/>
      <c r="C73" s="630"/>
      <c r="D73" s="630"/>
      <c r="E73" s="630"/>
      <c r="F73" s="630"/>
      <c r="G73" s="630"/>
      <c r="H73" s="630"/>
      <c r="I73" s="630"/>
      <c r="J73" s="630"/>
      <c r="K73" s="630"/>
      <c r="L73" s="630"/>
      <c r="M73" s="630"/>
      <c r="N73" s="630"/>
      <c r="O73" s="630"/>
      <c r="P73" s="630"/>
    </row>
    <row r="74" spans="1:16" s="631" customFormat="1" ht="11.25" hidden="1" outlineLevel="1" x14ac:dyDescent="0.2">
      <c r="A74" s="628"/>
      <c r="B74" s="629"/>
      <c r="C74" s="630"/>
      <c r="D74" s="630"/>
      <c r="E74" s="630"/>
      <c r="F74" s="630"/>
      <c r="G74" s="630"/>
      <c r="H74" s="630"/>
      <c r="I74" s="630"/>
      <c r="J74" s="630"/>
      <c r="K74" s="630"/>
      <c r="L74" s="630"/>
      <c r="M74" s="630"/>
      <c r="N74" s="630"/>
      <c r="O74" s="630"/>
      <c r="P74" s="630"/>
    </row>
    <row r="75" spans="1:16" ht="12.75" collapsed="1" x14ac:dyDescent="0.2">
      <c r="A75" s="1091" t="s">
        <v>1364</v>
      </c>
    </row>
    <row r="76" spans="1:16" ht="12" x14ac:dyDescent="0.2">
      <c r="A76" s="632" t="s">
        <v>1065</v>
      </c>
      <c r="B76" s="586" t="s">
        <v>69</v>
      </c>
      <c r="C76" s="586" t="s">
        <v>69</v>
      </c>
      <c r="D76" s="586" t="s">
        <v>69</v>
      </c>
      <c r="E76" s="586" t="s">
        <v>69</v>
      </c>
      <c r="F76" s="586" t="s">
        <v>70</v>
      </c>
      <c r="G76" s="586" t="s">
        <v>70</v>
      </c>
      <c r="H76" s="586" t="s">
        <v>71</v>
      </c>
      <c r="I76" s="586" t="s">
        <v>71</v>
      </c>
      <c r="J76" s="586" t="s">
        <v>71</v>
      </c>
      <c r="K76" s="586" t="s">
        <v>71</v>
      </c>
      <c r="L76" s="586" t="s">
        <v>71</v>
      </c>
      <c r="M76" s="586" t="s">
        <v>71</v>
      </c>
      <c r="N76" s="586" t="s">
        <v>71</v>
      </c>
      <c r="O76" s="586" t="s">
        <v>71</v>
      </c>
      <c r="P76" s="586" t="s">
        <v>71</v>
      </c>
    </row>
    <row r="77" spans="1:16" ht="11.25" x14ac:dyDescent="0.2">
      <c r="A77" s="598" t="s">
        <v>73</v>
      </c>
      <c r="B77" s="741" t="s">
        <v>68</v>
      </c>
      <c r="C77" s="694" t="s">
        <v>0</v>
      </c>
      <c r="D77" s="694" t="s">
        <v>1</v>
      </c>
      <c r="E77" s="694" t="s">
        <v>2</v>
      </c>
      <c r="F77" s="694" t="s">
        <v>3</v>
      </c>
      <c r="G77" s="694" t="s">
        <v>4</v>
      </c>
      <c r="H77" s="694" t="s">
        <v>5</v>
      </c>
      <c r="I77" s="694" t="s">
        <v>6</v>
      </c>
      <c r="J77" s="694" t="s">
        <v>7</v>
      </c>
      <c r="K77" s="694" t="s">
        <v>8</v>
      </c>
      <c r="L77" s="694" t="s">
        <v>9</v>
      </c>
      <c r="M77" s="694" t="s">
        <v>514</v>
      </c>
      <c r="N77" s="694" t="s">
        <v>515</v>
      </c>
      <c r="O77" s="694" t="s">
        <v>904</v>
      </c>
      <c r="P77" s="694" t="s">
        <v>1046</v>
      </c>
    </row>
    <row r="78" spans="1:16" s="603" customFormat="1" ht="11.25" hidden="1" outlineLevel="1" x14ac:dyDescent="0.2">
      <c r="A78" s="1087" t="s">
        <v>1360</v>
      </c>
      <c r="B78" s="1088"/>
      <c r="C78" s="1089"/>
      <c r="D78" s="1089"/>
      <c r="E78" s="1089"/>
      <c r="F78" s="1089"/>
      <c r="G78" s="1090"/>
      <c r="H78" s="1090"/>
      <c r="I78" s="1090"/>
      <c r="J78" s="1090"/>
      <c r="K78" s="1090"/>
      <c r="L78" s="1090"/>
      <c r="M78" s="1090"/>
      <c r="N78" s="1090"/>
      <c r="O78" s="1090"/>
      <c r="P78" s="1090"/>
    </row>
    <row r="79" spans="1:16" s="603" customFormat="1" ht="11.25" hidden="1" outlineLevel="1" x14ac:dyDescent="0.2">
      <c r="A79" s="1087"/>
      <c r="B79" s="1088"/>
      <c r="C79" s="1089"/>
      <c r="D79" s="1089"/>
      <c r="E79" s="1089"/>
      <c r="F79" s="1089"/>
      <c r="G79" s="1089"/>
      <c r="H79" s="1089"/>
      <c r="I79" s="1089"/>
      <c r="J79" s="1089"/>
      <c r="K79" s="1089"/>
      <c r="L79" s="1089"/>
      <c r="M79" s="1089"/>
      <c r="N79" s="1089"/>
      <c r="O79" s="1089"/>
      <c r="P79" s="1089"/>
    </row>
    <row r="80" spans="1:16" s="603" customFormat="1" ht="11.25" hidden="1" outlineLevel="1" x14ac:dyDescent="0.2">
      <c r="A80" s="1087"/>
      <c r="B80" s="1088"/>
      <c r="C80" s="1089"/>
      <c r="D80" s="1089"/>
      <c r="E80" s="1089"/>
      <c r="F80" s="1089"/>
      <c r="G80" s="1089"/>
      <c r="H80" s="1089"/>
      <c r="I80" s="1089"/>
      <c r="J80" s="1089"/>
      <c r="K80" s="1089"/>
      <c r="L80" s="1089"/>
      <c r="M80" s="1089"/>
      <c r="N80" s="1089"/>
      <c r="O80" s="1089"/>
      <c r="P80" s="1089"/>
    </row>
    <row r="81" spans="1:16" s="603" customFormat="1" ht="11.25" hidden="1" outlineLevel="1" x14ac:dyDescent="0.2">
      <c r="A81" s="1087"/>
      <c r="B81" s="1088"/>
      <c r="C81" s="1089"/>
      <c r="D81" s="1089"/>
      <c r="E81" s="1089"/>
      <c r="F81" s="1089"/>
      <c r="G81" s="1089"/>
      <c r="H81" s="1089"/>
      <c r="I81" s="1089"/>
      <c r="J81" s="1089"/>
      <c r="K81" s="1089"/>
      <c r="L81" s="1089"/>
      <c r="M81" s="1089"/>
      <c r="N81" s="1089"/>
      <c r="O81" s="1089"/>
      <c r="P81" s="1089"/>
    </row>
    <row r="82" spans="1:16" ht="11.25" collapsed="1" x14ac:dyDescent="0.2">
      <c r="A82" s="604" t="s">
        <v>61</v>
      </c>
    </row>
    <row r="83" spans="1:16" ht="11.25" x14ac:dyDescent="0.2">
      <c r="A83" s="607" t="s">
        <v>62</v>
      </c>
    </row>
    <row r="84" spans="1:16" ht="11.25" x14ac:dyDescent="0.2">
      <c r="A84" s="600" t="s">
        <v>11</v>
      </c>
      <c r="B84" s="606">
        <f t="shared" ref="B84:E89" si="22">+B11</f>
        <v>0</v>
      </c>
      <c r="C84" s="606">
        <f t="shared" si="22"/>
        <v>0</v>
      </c>
      <c r="D84" s="606">
        <f t="shared" si="22"/>
        <v>0</v>
      </c>
      <c r="E84" s="606">
        <f t="shared" si="22"/>
        <v>0</v>
      </c>
      <c r="F84" s="606"/>
      <c r="G84" s="606"/>
      <c r="H84" s="606"/>
      <c r="I84" s="606"/>
      <c r="J84" s="606"/>
      <c r="K84" s="608">
        <f>J84*(1+'LTFP Assumptions'!$J6)</f>
        <v>0</v>
      </c>
      <c r="L84" s="608">
        <f>K84*(1+'LTFP Assumptions'!$J6)</f>
        <v>0</v>
      </c>
      <c r="M84" s="608">
        <f>L84*(1+'LTFP Assumptions'!$J6)</f>
        <v>0</v>
      </c>
      <c r="N84" s="608">
        <f>M84*(1+'LTFP Assumptions'!$J6)</f>
        <v>0</v>
      </c>
      <c r="O84" s="608">
        <f>N84*(1+'LTFP Assumptions'!$J6)</f>
        <v>0</v>
      </c>
      <c r="P84" s="608">
        <f>O84*(1+'LTFP Assumptions'!$J6)</f>
        <v>0</v>
      </c>
    </row>
    <row r="85" spans="1:16" ht="11.25" x14ac:dyDescent="0.2">
      <c r="A85" s="600" t="s">
        <v>12</v>
      </c>
      <c r="B85" s="606">
        <f t="shared" si="22"/>
        <v>0</v>
      </c>
      <c r="C85" s="606">
        <f t="shared" si="22"/>
        <v>0</v>
      </c>
      <c r="D85" s="606">
        <f t="shared" si="22"/>
        <v>0</v>
      </c>
      <c r="E85" s="606">
        <f t="shared" si="22"/>
        <v>1239</v>
      </c>
      <c r="F85" s="606">
        <f>-'Opex with SRV'!C163/1000</f>
        <v>3052.3029999999999</v>
      </c>
      <c r="G85" s="606">
        <f>-'Opex with SRV'!E163/1000</f>
        <v>3203.3</v>
      </c>
      <c r="H85" s="606">
        <f>-'Opex with SRV'!G163/1000</f>
        <v>3097.5430000000001</v>
      </c>
      <c r="I85" s="606">
        <f>-'Opex with SRV'!H163/1000</f>
        <v>3174.7330000000002</v>
      </c>
      <c r="J85" s="606">
        <f>-'Opex with SRV'!I163/1000</f>
        <v>3254.1529999999998</v>
      </c>
      <c r="K85" s="608">
        <f>J85*(1+'LTFP Assumptions'!$J12)</f>
        <v>3319.2360599999997</v>
      </c>
      <c r="L85" s="608">
        <f>K85*(1+'LTFP Assumptions'!$J12)</f>
        <v>3385.6207811999998</v>
      </c>
      <c r="M85" s="608">
        <f>L85*(1+'LTFP Assumptions'!$J12)</f>
        <v>3453.333196824</v>
      </c>
      <c r="N85" s="608">
        <f>M85*(1+'LTFP Assumptions'!$J12)</f>
        <v>3522.3998607604799</v>
      </c>
      <c r="O85" s="608">
        <f>N85*(1+'LTFP Assumptions'!$J12)</f>
        <v>3592.8478579756897</v>
      </c>
      <c r="P85" s="608">
        <f>O85*(1+'LTFP Assumptions'!$J12)</f>
        <v>3664.7048151352037</v>
      </c>
    </row>
    <row r="86" spans="1:16" ht="11.25" x14ac:dyDescent="0.2">
      <c r="A86" s="600" t="s">
        <v>13</v>
      </c>
      <c r="B86" s="606">
        <f t="shared" si="22"/>
        <v>0</v>
      </c>
      <c r="C86" s="606">
        <f t="shared" si="22"/>
        <v>0</v>
      </c>
      <c r="D86" s="606">
        <f t="shared" si="22"/>
        <v>0</v>
      </c>
      <c r="E86" s="606">
        <f t="shared" si="22"/>
        <v>20</v>
      </c>
      <c r="F86" s="606"/>
      <c r="G86" s="606"/>
      <c r="H86" s="608"/>
      <c r="I86" s="608"/>
      <c r="J86" s="608"/>
      <c r="K86" s="608">
        <f>'Future Fund  Cash Flow'!J105*'LTFP Assumptions'!$J17</f>
        <v>64.464720000000014</v>
      </c>
      <c r="L86" s="608">
        <f>'Future Fund  Cash Flow'!K105*'LTFP Assumptions'!$J17</f>
        <v>63.4047336</v>
      </c>
      <c r="M86" s="608">
        <f>'Future Fund  Cash Flow'!L105*'LTFP Assumptions'!$J17</f>
        <v>62.919506951999985</v>
      </c>
      <c r="N86" s="608">
        <f>'Future Fund  Cash Flow'!M105*'LTFP Assumptions'!$J17</f>
        <v>63.043273911599975</v>
      </c>
      <c r="O86" s="608">
        <f>'Future Fund  Cash Flow'!N105*'LTFP Assumptions'!$J17</f>
        <v>63.811829566375167</v>
      </c>
      <c r="P86" s="608">
        <f>'Future Fund  Cash Flow'!O105*'LTFP Assumptions'!$J17</f>
        <v>65.262595532963218</v>
      </c>
    </row>
    <row r="87" spans="1:16" ht="11.25" x14ac:dyDescent="0.2">
      <c r="A87" s="600" t="s">
        <v>14</v>
      </c>
      <c r="B87" s="606">
        <f t="shared" si="22"/>
        <v>0</v>
      </c>
      <c r="C87" s="606">
        <f t="shared" si="22"/>
        <v>0</v>
      </c>
      <c r="D87" s="606">
        <f t="shared" si="22"/>
        <v>0</v>
      </c>
      <c r="E87" s="606">
        <f t="shared" si="22"/>
        <v>0</v>
      </c>
      <c r="F87" s="606"/>
      <c r="G87" s="606"/>
      <c r="H87" s="606"/>
      <c r="I87" s="606"/>
      <c r="J87" s="606"/>
      <c r="K87" s="608">
        <f>J87*(1+'LTFP Assumptions'!$J12)</f>
        <v>0</v>
      </c>
      <c r="L87" s="608">
        <f>K87*(1+'LTFP Assumptions'!$J12)</f>
        <v>0</v>
      </c>
      <c r="M87" s="608">
        <f>L87*(1+'LTFP Assumptions'!$J12)</f>
        <v>0</v>
      </c>
      <c r="N87" s="608">
        <f>M87*(1+'LTFP Assumptions'!$J12)</f>
        <v>0</v>
      </c>
      <c r="O87" s="608">
        <f>N87*(1+'LTFP Assumptions'!$J12)</f>
        <v>0</v>
      </c>
      <c r="P87" s="608">
        <f>O87*(1+'LTFP Assumptions'!$J12)</f>
        <v>0</v>
      </c>
    </row>
    <row r="88" spans="1:16" ht="22.5" x14ac:dyDescent="0.2">
      <c r="A88" s="600" t="s">
        <v>15</v>
      </c>
      <c r="B88" s="606">
        <f t="shared" si="22"/>
        <v>0</v>
      </c>
      <c r="C88" s="606">
        <f t="shared" si="22"/>
        <v>0</v>
      </c>
      <c r="D88" s="606">
        <f t="shared" si="22"/>
        <v>0</v>
      </c>
      <c r="E88" s="606">
        <f t="shared" si="22"/>
        <v>0</v>
      </c>
      <c r="F88" s="606"/>
      <c r="G88" s="606"/>
      <c r="H88" s="606"/>
      <c r="I88" s="606"/>
      <c r="J88" s="606"/>
      <c r="K88" s="608">
        <f>J88*(1+'LTFP Assumptions'!$J10)</f>
        <v>0</v>
      </c>
      <c r="L88" s="608">
        <f>K88*(1+'LTFP Assumptions'!$J10)</f>
        <v>0</v>
      </c>
      <c r="M88" s="608">
        <f>L88*(1+'LTFP Assumptions'!$J10)</f>
        <v>0</v>
      </c>
      <c r="N88" s="608">
        <f>M88*(1+'LTFP Assumptions'!$J10)</f>
        <v>0</v>
      </c>
      <c r="O88" s="608">
        <f>N88*(1+'LTFP Assumptions'!$J10)</f>
        <v>0</v>
      </c>
      <c r="P88" s="608">
        <f>O88*(1+'LTFP Assumptions'!$J10)</f>
        <v>0</v>
      </c>
    </row>
    <row r="89" spans="1:16" ht="22.5" x14ac:dyDescent="0.2">
      <c r="A89" s="600" t="s">
        <v>18</v>
      </c>
      <c r="B89" s="606">
        <f t="shared" si="22"/>
        <v>0</v>
      </c>
      <c r="C89" s="606">
        <f t="shared" si="22"/>
        <v>0</v>
      </c>
      <c r="D89" s="606">
        <f t="shared" si="22"/>
        <v>0</v>
      </c>
      <c r="E89" s="606">
        <f t="shared" si="22"/>
        <v>0</v>
      </c>
      <c r="F89" s="606"/>
      <c r="G89" s="606"/>
      <c r="H89" s="606"/>
      <c r="I89" s="606"/>
      <c r="J89" s="606"/>
      <c r="K89" s="606">
        <f t="shared" ref="K89:P89" si="23">K134+K135+K136</f>
        <v>0</v>
      </c>
      <c r="L89" s="606">
        <f t="shared" si="23"/>
        <v>0</v>
      </c>
      <c r="M89" s="606">
        <f t="shared" si="23"/>
        <v>0</v>
      </c>
      <c r="N89" s="606">
        <f t="shared" si="23"/>
        <v>0</v>
      </c>
      <c r="O89" s="606">
        <f t="shared" si="23"/>
        <v>0</v>
      </c>
      <c r="P89" s="606">
        <f t="shared" si="23"/>
        <v>0</v>
      </c>
    </row>
    <row r="90" spans="1:16" ht="11.25" x14ac:dyDescent="0.2">
      <c r="A90" s="1149" t="s">
        <v>1180</v>
      </c>
      <c r="B90" s="606"/>
      <c r="C90" s="606"/>
      <c r="D90" s="606"/>
      <c r="E90" s="606"/>
      <c r="F90" s="606"/>
      <c r="G90" s="606"/>
      <c r="H90" s="606"/>
      <c r="I90" s="606"/>
      <c r="J90" s="606"/>
      <c r="K90" s="606"/>
      <c r="L90" s="606"/>
      <c r="M90" s="606"/>
      <c r="N90" s="606"/>
      <c r="O90" s="606"/>
      <c r="P90" s="606"/>
    </row>
    <row r="91" spans="1:16" ht="11.25" x14ac:dyDescent="0.2">
      <c r="A91" s="607" t="s">
        <v>63</v>
      </c>
      <c r="B91" s="606"/>
      <c r="C91" s="606"/>
      <c r="D91" s="606"/>
      <c r="E91" s="606"/>
      <c r="F91" s="606"/>
      <c r="G91" s="606"/>
      <c r="H91" s="606"/>
      <c r="I91" s="606"/>
      <c r="J91" s="606"/>
    </row>
    <row r="92" spans="1:16" ht="11.25" x14ac:dyDescent="0.2">
      <c r="A92" s="764" t="s">
        <v>74</v>
      </c>
      <c r="B92" s="765">
        <f>+B19</f>
        <v>0</v>
      </c>
      <c r="C92" s="765">
        <f>+C19</f>
        <v>0</v>
      </c>
      <c r="D92" s="765">
        <f>+D19</f>
        <v>0</v>
      </c>
      <c r="E92" s="765">
        <f>+E19</f>
        <v>0</v>
      </c>
      <c r="F92" s="765"/>
      <c r="G92" s="765"/>
      <c r="H92" s="765"/>
      <c r="I92" s="765"/>
      <c r="J92" s="765"/>
      <c r="K92" s="765">
        <f t="shared" ref="K92:P93" si="24">+K19</f>
        <v>0</v>
      </c>
      <c r="L92" s="765">
        <f t="shared" si="24"/>
        <v>0</v>
      </c>
      <c r="M92" s="765">
        <f t="shared" si="24"/>
        <v>0</v>
      </c>
      <c r="N92" s="765">
        <f t="shared" si="24"/>
        <v>0</v>
      </c>
      <c r="O92" s="765">
        <f t="shared" si="24"/>
        <v>0</v>
      </c>
      <c r="P92" s="765">
        <f t="shared" si="24"/>
        <v>0</v>
      </c>
    </row>
    <row r="93" spans="1:16" ht="11.25" x14ac:dyDescent="0.2">
      <c r="A93" s="758" t="s">
        <v>1047</v>
      </c>
      <c r="B93" s="765"/>
      <c r="C93" s="765"/>
      <c r="D93" s="765">
        <f>+D20</f>
        <v>0</v>
      </c>
      <c r="E93" s="765">
        <f>+E20</f>
        <v>0</v>
      </c>
      <c r="F93" s="765"/>
      <c r="G93" s="765"/>
      <c r="H93" s="765"/>
      <c r="I93" s="765"/>
      <c r="J93" s="765"/>
      <c r="K93" s="765">
        <f t="shared" si="24"/>
        <v>0</v>
      </c>
      <c r="L93" s="765">
        <f t="shared" si="24"/>
        <v>0</v>
      </c>
      <c r="M93" s="765">
        <f t="shared" si="24"/>
        <v>0</v>
      </c>
      <c r="N93" s="765">
        <f t="shared" si="24"/>
        <v>0</v>
      </c>
      <c r="O93" s="765">
        <f t="shared" si="24"/>
        <v>0</v>
      </c>
      <c r="P93" s="765">
        <f t="shared" si="24"/>
        <v>0</v>
      </c>
    </row>
    <row r="94" spans="1:16" ht="11.25" x14ac:dyDescent="0.2">
      <c r="A94" s="768" t="s">
        <v>64</v>
      </c>
      <c r="B94" s="767">
        <f>SUM(B84:B92)</f>
        <v>0</v>
      </c>
      <c r="C94" s="767">
        <f>SUM(C84:C92)</f>
        <v>0</v>
      </c>
      <c r="D94" s="767">
        <f t="shared" ref="D94:P94" si="25">SUM(D84:D93)</f>
        <v>0</v>
      </c>
      <c r="E94" s="767">
        <f t="shared" si="25"/>
        <v>1259</v>
      </c>
      <c r="F94" s="767">
        <f t="shared" si="25"/>
        <v>3052.3029999999999</v>
      </c>
      <c r="G94" s="767">
        <f t="shared" si="25"/>
        <v>3203.3</v>
      </c>
      <c r="H94" s="767">
        <f t="shared" si="25"/>
        <v>3097.5430000000001</v>
      </c>
      <c r="I94" s="767">
        <f t="shared" si="25"/>
        <v>3174.7330000000002</v>
      </c>
      <c r="J94" s="767">
        <f t="shared" si="25"/>
        <v>3254.1529999999998</v>
      </c>
      <c r="K94" s="767">
        <f t="shared" si="25"/>
        <v>3383.7007799999997</v>
      </c>
      <c r="L94" s="767">
        <f t="shared" si="25"/>
        <v>3449.0255147999997</v>
      </c>
      <c r="M94" s="767">
        <f t="shared" si="25"/>
        <v>3516.2527037760001</v>
      </c>
      <c r="N94" s="767">
        <f t="shared" si="25"/>
        <v>3585.4431346720799</v>
      </c>
      <c r="O94" s="767">
        <f t="shared" si="25"/>
        <v>3656.6596875420651</v>
      </c>
      <c r="P94" s="767">
        <f t="shared" si="25"/>
        <v>3729.9674106681668</v>
      </c>
    </row>
    <row r="97" spans="1:17" ht="11.25" x14ac:dyDescent="0.2">
      <c r="A97" s="604" t="s">
        <v>65</v>
      </c>
    </row>
    <row r="98" spans="1:17" ht="11.25" x14ac:dyDescent="0.2">
      <c r="A98" s="600" t="str">
        <f>A23</f>
        <v>Employee Benefits and On-Costs</v>
      </c>
      <c r="B98" s="606">
        <f>+B23</f>
        <v>0</v>
      </c>
      <c r="C98" s="606">
        <f>+C23</f>
        <v>0</v>
      </c>
      <c r="D98" s="606">
        <f>+D23</f>
        <v>0</v>
      </c>
      <c r="E98" s="606">
        <f>+E23</f>
        <v>0</v>
      </c>
      <c r="F98" s="606">
        <f>'Opex with SRV'!C172/1000</f>
        <v>80</v>
      </c>
      <c r="G98" s="606">
        <f>'Opex with SRV'!E172/1000</f>
        <v>81.424000000000007</v>
      </c>
      <c r="H98" s="606">
        <f>'Opex with SRV'!G172/1000</f>
        <v>83.866</v>
      </c>
      <c r="I98" s="606">
        <f>'Opex with SRV'!H172/1000</f>
        <v>86.382000000000005</v>
      </c>
      <c r="J98" s="606">
        <f>'Opex with SRV'!I172/1000</f>
        <v>88.974000000000004</v>
      </c>
      <c r="K98" s="606">
        <f>J98*(1+'LTFP Assumptions'!$J9)</f>
        <v>91.643219999999999</v>
      </c>
      <c r="L98" s="606">
        <f>K98*(1+'LTFP Assumptions'!$J9)</f>
        <v>94.392516600000008</v>
      </c>
      <c r="M98" s="606">
        <f>L98*(1+'LTFP Assumptions'!$J9)</f>
        <v>97.224292098000006</v>
      </c>
      <c r="N98" s="606">
        <f>M98*(1+'LTFP Assumptions'!$J9)</f>
        <v>100.14102086094</v>
      </c>
      <c r="O98" s="606">
        <f>N98*(1+'LTFP Assumptions'!$J9)</f>
        <v>103.1452514867682</v>
      </c>
      <c r="P98" s="606">
        <f>O98*(1+'LTFP Assumptions'!$J9)</f>
        <v>106.23960903137124</v>
      </c>
    </row>
    <row r="99" spans="1:17" ht="11.25" x14ac:dyDescent="0.2">
      <c r="A99" s="600" t="str">
        <f>A24</f>
        <v>Borrowing Costs</v>
      </c>
      <c r="B99" s="606"/>
      <c r="C99" s="606"/>
      <c r="D99" s="606">
        <f>+D24</f>
        <v>0</v>
      </c>
      <c r="E99" s="606">
        <f t="shared" ref="E99:E105" si="26">+E24</f>
        <v>174</v>
      </c>
      <c r="F99" s="606">
        <f>'Opex with SRV'!C175/1000</f>
        <v>908.23500000000001</v>
      </c>
      <c r="G99" s="606">
        <f>'Opex with SRV'!E175/1000</f>
        <v>908.23500000000001</v>
      </c>
      <c r="H99" s="606">
        <f>'Opex with SRV'!G175/1000</f>
        <v>908.23500000000001</v>
      </c>
      <c r="I99" s="606">
        <f>'Opex with SRV'!H175/1000</f>
        <v>908.23500000000001</v>
      </c>
      <c r="J99" s="606">
        <f>'Opex with SRV'!I175/1000</f>
        <v>908.23500000000001</v>
      </c>
      <c r="K99" s="606">
        <f t="shared" ref="K99:P99" si="27">J99</f>
        <v>908.23500000000001</v>
      </c>
      <c r="L99" s="606">
        <f t="shared" si="27"/>
        <v>908.23500000000001</v>
      </c>
      <c r="M99" s="606">
        <f t="shared" si="27"/>
        <v>908.23500000000001</v>
      </c>
      <c r="N99" s="606">
        <f t="shared" si="27"/>
        <v>908.23500000000001</v>
      </c>
      <c r="O99" s="606">
        <f t="shared" si="27"/>
        <v>908.23500000000001</v>
      </c>
      <c r="P99" s="606">
        <f t="shared" si="27"/>
        <v>908.23500000000001</v>
      </c>
      <c r="Q99" s="599" t="s">
        <v>1391</v>
      </c>
    </row>
    <row r="100" spans="1:17" ht="11.25" x14ac:dyDescent="0.2">
      <c r="A100" s="600" t="str">
        <f>A25</f>
        <v>Materials and Contracts</v>
      </c>
      <c r="B100" s="606">
        <f>+B25</f>
        <v>0</v>
      </c>
      <c r="C100" s="606">
        <f>+C25</f>
        <v>0</v>
      </c>
      <c r="D100" s="606">
        <f>+D25</f>
        <v>0</v>
      </c>
      <c r="E100" s="606">
        <f t="shared" si="26"/>
        <v>332</v>
      </c>
      <c r="F100" s="606">
        <f>'Opex with SRV'!C173/1000</f>
        <v>577.15</v>
      </c>
      <c r="G100" s="606">
        <f>'Opex with SRV'!E173/1000</f>
        <v>563.57500000000005</v>
      </c>
      <c r="H100" s="606">
        <f>'Opex with SRV'!G173/1000</f>
        <v>545.53099999999995</v>
      </c>
      <c r="I100" s="606">
        <f>'Opex with SRV'!H173/1000</f>
        <v>556.71600000000001</v>
      </c>
      <c r="J100" s="606">
        <f>'Opex with SRV'!I173/1000</f>
        <v>568.15800000000002</v>
      </c>
      <c r="K100" s="606">
        <f>J100*(1+'LTFP Assumptions'!$J$13)</f>
        <v>579.52116000000001</v>
      </c>
      <c r="L100" s="606">
        <f>K100*(1+'LTFP Assumptions'!$J13)</f>
        <v>591.11158320000004</v>
      </c>
      <c r="M100" s="606">
        <f>L100*(1+'LTFP Assumptions'!$J13)</f>
        <v>602.93381486400006</v>
      </c>
      <c r="N100" s="606">
        <f>M100*(1+'LTFP Assumptions'!$J13)</f>
        <v>614.9924911612801</v>
      </c>
      <c r="O100" s="606">
        <f>N100*(1+'LTFP Assumptions'!$J13)</f>
        <v>627.2923409845057</v>
      </c>
      <c r="P100" s="606">
        <f>O100*(1+'LTFP Assumptions'!$J13)</f>
        <v>639.83818780419585</v>
      </c>
    </row>
    <row r="101" spans="1:17" ht="11.25" x14ac:dyDescent="0.2">
      <c r="A101" s="600" t="s">
        <v>1077</v>
      </c>
      <c r="B101" s="606"/>
      <c r="C101" s="606"/>
      <c r="D101" s="606"/>
      <c r="E101" s="606">
        <f t="shared" si="26"/>
        <v>0</v>
      </c>
      <c r="F101" s="606">
        <f>'Opex with SRV'!C176/1000</f>
        <v>1000</v>
      </c>
      <c r="G101" s="606">
        <f>'Opex with SRV'!E176/1000</f>
        <v>1100</v>
      </c>
      <c r="H101" s="606">
        <f>'Opex with SRV'!G176/1000</f>
        <v>1200</v>
      </c>
      <c r="I101" s="606">
        <f>'Opex with SRV'!H176/1000</f>
        <v>1300</v>
      </c>
      <c r="J101" s="606">
        <f>'Opex with SRV'!I176/1000</f>
        <v>1400</v>
      </c>
      <c r="K101" s="606">
        <f>J101*(1+'LTFP Assumptions'!$J$13)</f>
        <v>1428</v>
      </c>
      <c r="L101" s="606">
        <f>K101*(1+'LTFP Assumptions'!$J$13)</f>
        <v>1456.56</v>
      </c>
      <c r="M101" s="606">
        <f>L101*(1+'LTFP Assumptions'!$J$13)</f>
        <v>1485.6912</v>
      </c>
      <c r="N101" s="606">
        <f>M101*(1+'LTFP Assumptions'!$J$13)</f>
        <v>1515.4050239999999</v>
      </c>
      <c r="O101" s="606">
        <f>N101*(1+'LTFP Assumptions'!$J$13)</f>
        <v>1545.71312448</v>
      </c>
      <c r="P101" s="606">
        <f>O101*(1+'LTFP Assumptions'!$J$13)</f>
        <v>1576.6273869696001</v>
      </c>
    </row>
    <row r="102" spans="1:17" ht="11.25" x14ac:dyDescent="0.2">
      <c r="A102" s="600" t="str">
        <f t="shared" ref="A102:A104" si="28">A27</f>
        <v>Depreciation and Amortisation</v>
      </c>
      <c r="B102" s="606">
        <f>+B27</f>
        <v>0</v>
      </c>
      <c r="C102" s="606">
        <f>+C27</f>
        <v>0</v>
      </c>
      <c r="D102" s="606">
        <f t="shared" ref="D102:D105" si="29">+D27</f>
        <v>0</v>
      </c>
      <c r="E102" s="606">
        <f t="shared" si="26"/>
        <v>14</v>
      </c>
      <c r="F102" s="606">
        <f>'Opex with SRV'!C177/1000</f>
        <v>0</v>
      </c>
      <c r="G102" s="606">
        <f>'Opex with SRV'!E177/1000</f>
        <v>269.68700000000001</v>
      </c>
      <c r="H102" s="606">
        <f>'Opex with SRV'!G177/1000</f>
        <v>275.995</v>
      </c>
      <c r="I102" s="606">
        <f>'Opex with SRV'!H177/1000</f>
        <v>280.65499999999997</v>
      </c>
      <c r="J102" s="606">
        <f>'Opex with SRV'!I177/1000</f>
        <v>289.06900000000002</v>
      </c>
      <c r="K102" s="606">
        <f>J102*(1+'LTFP Assumptions'!$J16)</f>
        <v>296.295725</v>
      </c>
      <c r="L102" s="606">
        <f>K102*(1+'LTFP Assumptions'!$J16)</f>
        <v>303.703118125</v>
      </c>
      <c r="M102" s="606">
        <f>L102*(1+'LTFP Assumptions'!$J16)</f>
        <v>311.29569607812499</v>
      </c>
      <c r="N102" s="606">
        <f>M102*(1+'LTFP Assumptions'!$J16)</f>
        <v>319.07808848007807</v>
      </c>
      <c r="O102" s="606">
        <f>N102*(1+'LTFP Assumptions'!$J16)</f>
        <v>327.05504069208001</v>
      </c>
      <c r="P102" s="606">
        <f>O102*(1+'LTFP Assumptions'!$J16)</f>
        <v>335.23141670938196</v>
      </c>
    </row>
    <row r="103" spans="1:17" ht="12" x14ac:dyDescent="0.2">
      <c r="A103" s="769" t="str">
        <f t="shared" si="28"/>
        <v>Impairment</v>
      </c>
      <c r="B103" s="606"/>
      <c r="C103" s="606"/>
      <c r="D103" s="606">
        <f t="shared" si="29"/>
        <v>0</v>
      </c>
      <c r="E103" s="606">
        <f t="shared" si="26"/>
        <v>0</v>
      </c>
      <c r="F103" s="606"/>
      <c r="G103" s="606"/>
      <c r="H103" s="606"/>
      <c r="I103" s="606"/>
      <c r="J103" s="606"/>
      <c r="K103" s="606">
        <f t="shared" ref="K103:P104" si="30">+K28</f>
        <v>0</v>
      </c>
      <c r="L103" s="606">
        <f t="shared" si="30"/>
        <v>0</v>
      </c>
      <c r="M103" s="606">
        <f t="shared" si="30"/>
        <v>0</v>
      </c>
      <c r="N103" s="606">
        <f t="shared" si="30"/>
        <v>0</v>
      </c>
      <c r="O103" s="606">
        <f t="shared" si="30"/>
        <v>0</v>
      </c>
      <c r="P103" s="606">
        <f t="shared" si="30"/>
        <v>0</v>
      </c>
    </row>
    <row r="104" spans="1:17" ht="12" x14ac:dyDescent="0.2">
      <c r="A104" s="769" t="str">
        <f t="shared" si="28"/>
        <v>Net Losses from the disposal of assets</v>
      </c>
      <c r="B104" s="606"/>
      <c r="C104" s="606"/>
      <c r="D104" s="606">
        <f t="shared" si="29"/>
        <v>0</v>
      </c>
      <c r="E104" s="606">
        <f t="shared" si="26"/>
        <v>0</v>
      </c>
      <c r="F104" s="606"/>
      <c r="G104" s="606"/>
      <c r="H104" s="606"/>
      <c r="I104" s="606"/>
      <c r="J104" s="606"/>
      <c r="K104" s="606">
        <f t="shared" si="30"/>
        <v>0</v>
      </c>
      <c r="L104" s="606">
        <f t="shared" si="30"/>
        <v>0</v>
      </c>
      <c r="M104" s="606">
        <f t="shared" si="30"/>
        <v>0</v>
      </c>
      <c r="N104" s="606">
        <f t="shared" si="30"/>
        <v>0</v>
      </c>
      <c r="O104" s="606">
        <f t="shared" si="30"/>
        <v>0</v>
      </c>
      <c r="P104" s="606">
        <f t="shared" si="30"/>
        <v>0</v>
      </c>
    </row>
    <row r="105" spans="1:17" ht="11.25" x14ac:dyDescent="0.2">
      <c r="A105" s="614" t="s">
        <v>28</v>
      </c>
      <c r="B105" s="606">
        <f>+B30</f>
        <v>0</v>
      </c>
      <c r="C105" s="606">
        <f>+C30</f>
        <v>0</v>
      </c>
      <c r="D105" s="606">
        <f t="shared" si="29"/>
        <v>0</v>
      </c>
      <c r="E105" s="606">
        <f t="shared" si="26"/>
        <v>2689</v>
      </c>
      <c r="F105" s="606">
        <f>'Opex with SRV'!C174/1000</f>
        <v>359.04300000000001</v>
      </c>
      <c r="G105" s="606">
        <f>'Opex with SRV'!E174/1000</f>
        <v>379.6</v>
      </c>
      <c r="H105" s="606">
        <f>'Opex with SRV'!G174/1000</f>
        <v>379.69600000000003</v>
      </c>
      <c r="I105" s="606">
        <f>'Opex with SRV'!H174/1000</f>
        <v>387.221</v>
      </c>
      <c r="J105" s="606">
        <f>'Opex with SRV'!I174/1000</f>
        <v>394.90300000000002</v>
      </c>
      <c r="K105" s="606">
        <f>J105*(1+'LTFP Assumptions'!$J14)</f>
        <v>402.80106000000001</v>
      </c>
      <c r="L105" s="606">
        <f>K105*(1+'LTFP Assumptions'!$J14)</f>
        <v>410.85708120000004</v>
      </c>
      <c r="M105" s="606">
        <f>L105*(1+'LTFP Assumptions'!$J14)</f>
        <v>419.07422282400006</v>
      </c>
      <c r="N105" s="606">
        <f>M105*(1+'LTFP Assumptions'!$J14)</f>
        <v>427.45570728048006</v>
      </c>
      <c r="O105" s="606">
        <f>N105*(1+'LTFP Assumptions'!$J14)</f>
        <v>436.00482142608968</v>
      </c>
      <c r="P105" s="606">
        <f>O105*(1+'LTFP Assumptions'!$J14)</f>
        <v>444.72491785461148</v>
      </c>
    </row>
    <row r="106" spans="1:17" ht="11.25" x14ac:dyDescent="0.2">
      <c r="A106" s="604" t="s">
        <v>66</v>
      </c>
      <c r="B106" s="610">
        <f t="shared" ref="B106:P106" si="31">SUM(B98:B105)</f>
        <v>0</v>
      </c>
      <c r="C106" s="610">
        <f t="shared" si="31"/>
        <v>0</v>
      </c>
      <c r="D106" s="610">
        <f t="shared" si="31"/>
        <v>0</v>
      </c>
      <c r="E106" s="610">
        <f t="shared" si="31"/>
        <v>3209</v>
      </c>
      <c r="F106" s="610">
        <f t="shared" si="31"/>
        <v>2924.4280000000003</v>
      </c>
      <c r="G106" s="610">
        <f t="shared" si="31"/>
        <v>3302.5209999999997</v>
      </c>
      <c r="H106" s="610">
        <f t="shared" si="31"/>
        <v>3393.3229999999999</v>
      </c>
      <c r="I106" s="610">
        <f t="shared" si="31"/>
        <v>3519.2090000000003</v>
      </c>
      <c r="J106" s="610">
        <f t="shared" si="31"/>
        <v>3649.3389999999999</v>
      </c>
      <c r="K106" s="610">
        <f t="shared" si="31"/>
        <v>3706.4961649999996</v>
      </c>
      <c r="L106" s="610">
        <f t="shared" si="31"/>
        <v>3764.8592991249998</v>
      </c>
      <c r="M106" s="610">
        <f t="shared" si="31"/>
        <v>3824.454225864125</v>
      </c>
      <c r="N106" s="610">
        <f t="shared" si="31"/>
        <v>3885.307331782778</v>
      </c>
      <c r="O106" s="610">
        <f t="shared" si="31"/>
        <v>3947.4455790694437</v>
      </c>
      <c r="P106" s="610">
        <f t="shared" si="31"/>
        <v>4010.8965183691607</v>
      </c>
    </row>
    <row r="108" spans="1:17" ht="12" thickBot="1" x14ac:dyDescent="0.25">
      <c r="A108" s="604" t="s">
        <v>67</v>
      </c>
      <c r="B108" s="633">
        <f t="shared" ref="B108:P108" si="32">+B94-B106</f>
        <v>0</v>
      </c>
      <c r="C108" s="633">
        <f t="shared" si="32"/>
        <v>0</v>
      </c>
      <c r="D108" s="633">
        <f t="shared" si="32"/>
        <v>0</v>
      </c>
      <c r="E108" s="633">
        <f t="shared" si="32"/>
        <v>-1950</v>
      </c>
      <c r="F108" s="633">
        <f t="shared" si="32"/>
        <v>127.87499999999955</v>
      </c>
      <c r="G108" s="633">
        <f t="shared" si="32"/>
        <v>-99.220999999999549</v>
      </c>
      <c r="H108" s="633">
        <f t="shared" si="32"/>
        <v>-295.77999999999975</v>
      </c>
      <c r="I108" s="633">
        <f t="shared" si="32"/>
        <v>-344.47600000000011</v>
      </c>
      <c r="J108" s="633">
        <f t="shared" si="32"/>
        <v>-395.18600000000015</v>
      </c>
      <c r="K108" s="633">
        <f t="shared" si="32"/>
        <v>-322.7953849999999</v>
      </c>
      <c r="L108" s="633">
        <f t="shared" si="32"/>
        <v>-315.83378432500012</v>
      </c>
      <c r="M108" s="633">
        <f t="shared" si="32"/>
        <v>-308.20152208812488</v>
      </c>
      <c r="N108" s="633">
        <f t="shared" si="32"/>
        <v>-299.86419711069811</v>
      </c>
      <c r="O108" s="633">
        <f t="shared" si="32"/>
        <v>-290.78589152737868</v>
      </c>
      <c r="P108" s="633">
        <f t="shared" si="32"/>
        <v>-280.92910770099388</v>
      </c>
    </row>
    <row r="109" spans="1:17" ht="11.25" x14ac:dyDescent="0.2">
      <c r="A109" s="616"/>
      <c r="B109" s="621"/>
      <c r="C109" s="621"/>
      <c r="D109" s="621"/>
      <c r="E109" s="621"/>
      <c r="F109" s="621"/>
      <c r="G109" s="621"/>
      <c r="H109" s="621"/>
      <c r="I109" s="621"/>
      <c r="J109" s="621"/>
      <c r="K109" s="621"/>
      <c r="L109" s="621"/>
      <c r="M109" s="621"/>
      <c r="N109" s="621"/>
      <c r="O109" s="621"/>
      <c r="P109" s="621"/>
    </row>
    <row r="110" spans="1:17" ht="11.25" x14ac:dyDescent="0.2">
      <c r="A110" s="604" t="s">
        <v>75</v>
      </c>
      <c r="B110" s="621"/>
      <c r="C110" s="621"/>
      <c r="D110" s="621"/>
      <c r="E110" s="621"/>
      <c r="F110" s="621"/>
      <c r="G110" s="621"/>
      <c r="H110" s="621"/>
      <c r="I110" s="621"/>
      <c r="J110" s="621"/>
      <c r="K110" s="621"/>
      <c r="L110" s="621"/>
      <c r="M110" s="621"/>
      <c r="N110" s="621"/>
      <c r="O110" s="621"/>
      <c r="P110" s="621"/>
    </row>
    <row r="111" spans="1:17" ht="11.25" x14ac:dyDescent="0.2">
      <c r="A111" s="614" t="s">
        <v>322</v>
      </c>
      <c r="B111" s="617">
        <v>0</v>
      </c>
      <c r="C111" s="617">
        <v>0</v>
      </c>
      <c r="D111" s="617">
        <v>0</v>
      </c>
      <c r="E111" s="617">
        <v>0</v>
      </c>
      <c r="F111" s="617">
        <v>0</v>
      </c>
      <c r="G111" s="617">
        <v>0</v>
      </c>
      <c r="H111" s="617">
        <v>0</v>
      </c>
      <c r="I111" s="617">
        <v>0</v>
      </c>
      <c r="J111" s="617">
        <v>0</v>
      </c>
      <c r="K111" s="617">
        <v>0</v>
      </c>
      <c r="L111" s="617">
        <v>0</v>
      </c>
      <c r="M111" s="617">
        <v>0</v>
      </c>
      <c r="N111" s="617">
        <v>0</v>
      </c>
      <c r="O111" s="617">
        <v>0</v>
      </c>
      <c r="P111" s="617">
        <v>0</v>
      </c>
    </row>
    <row r="112" spans="1:17" ht="11.25" x14ac:dyDescent="0.2">
      <c r="B112" s="621"/>
      <c r="C112" s="621"/>
      <c r="D112" s="621"/>
      <c r="E112" s="621"/>
      <c r="F112" s="621"/>
      <c r="G112" s="621"/>
      <c r="H112" s="621"/>
      <c r="I112" s="621"/>
      <c r="J112" s="621"/>
      <c r="K112" s="621"/>
      <c r="L112" s="621"/>
      <c r="M112" s="621"/>
      <c r="N112" s="621"/>
      <c r="O112" s="621"/>
      <c r="P112" s="621"/>
    </row>
    <row r="113" spans="1:17" ht="11.25" x14ac:dyDescent="0.2">
      <c r="A113" s="618" t="s">
        <v>76</v>
      </c>
      <c r="B113" s="634">
        <f>+B108+B111</f>
        <v>0</v>
      </c>
      <c r="C113" s="634">
        <f>+C108+C111</f>
        <v>0</v>
      </c>
      <c r="D113" s="634">
        <f>+D108+D111</f>
        <v>0</v>
      </c>
      <c r="E113" s="634">
        <f t="shared" ref="E113:P113" si="33">+E108+E111</f>
        <v>-1950</v>
      </c>
      <c r="F113" s="634">
        <f t="shared" si="33"/>
        <v>127.87499999999955</v>
      </c>
      <c r="G113" s="634">
        <f t="shared" si="33"/>
        <v>-99.220999999999549</v>
      </c>
      <c r="H113" s="634">
        <f t="shared" si="33"/>
        <v>-295.77999999999975</v>
      </c>
      <c r="I113" s="634">
        <f t="shared" si="33"/>
        <v>-344.47600000000011</v>
      </c>
      <c r="J113" s="634">
        <f t="shared" si="33"/>
        <v>-395.18600000000015</v>
      </c>
      <c r="K113" s="634">
        <f t="shared" si="33"/>
        <v>-322.7953849999999</v>
      </c>
      <c r="L113" s="634">
        <f t="shared" si="33"/>
        <v>-315.83378432500012</v>
      </c>
      <c r="M113" s="634">
        <f t="shared" si="33"/>
        <v>-308.20152208812488</v>
      </c>
      <c r="N113" s="634">
        <f t="shared" si="33"/>
        <v>-299.86419711069811</v>
      </c>
      <c r="O113" s="634">
        <f t="shared" si="33"/>
        <v>-290.78589152737868</v>
      </c>
      <c r="P113" s="634">
        <f t="shared" si="33"/>
        <v>-280.92910770099388</v>
      </c>
    </row>
    <row r="114" spans="1:17" ht="11.25" x14ac:dyDescent="0.2">
      <c r="B114" s="621"/>
      <c r="C114" s="621"/>
      <c r="D114" s="621"/>
      <c r="E114" s="621"/>
      <c r="F114" s="621"/>
      <c r="G114" s="621"/>
      <c r="H114" s="621"/>
      <c r="I114" s="621"/>
      <c r="J114" s="621"/>
      <c r="K114" s="621"/>
      <c r="L114" s="621"/>
      <c r="M114" s="621"/>
      <c r="N114" s="621"/>
      <c r="O114" s="621"/>
      <c r="P114" s="621"/>
    </row>
    <row r="115" spans="1:17" s="601" customFormat="1" ht="11.25" x14ac:dyDescent="0.2">
      <c r="A115" s="733" t="s">
        <v>77</v>
      </c>
      <c r="B115" s="715">
        <f>+B113</f>
        <v>0</v>
      </c>
      <c r="C115" s="734">
        <f>+C110+C113</f>
        <v>0</v>
      </c>
      <c r="D115" s="715">
        <f>+D113</f>
        <v>0</v>
      </c>
      <c r="E115" s="734">
        <f t="shared" ref="E115:P115" si="34">+E110+E113</f>
        <v>-1950</v>
      </c>
      <c r="F115" s="734">
        <f t="shared" si="34"/>
        <v>127.87499999999955</v>
      </c>
      <c r="G115" s="734">
        <f t="shared" si="34"/>
        <v>-99.220999999999549</v>
      </c>
      <c r="H115" s="734">
        <f t="shared" si="34"/>
        <v>-295.77999999999975</v>
      </c>
      <c r="I115" s="734">
        <f t="shared" si="34"/>
        <v>-344.47600000000011</v>
      </c>
      <c r="J115" s="734">
        <f t="shared" si="34"/>
        <v>-395.18600000000015</v>
      </c>
      <c r="K115" s="734">
        <f t="shared" si="34"/>
        <v>-322.7953849999999</v>
      </c>
      <c r="L115" s="734">
        <f t="shared" si="34"/>
        <v>-315.83378432500012</v>
      </c>
      <c r="M115" s="734">
        <f t="shared" si="34"/>
        <v>-308.20152208812488</v>
      </c>
      <c r="N115" s="734">
        <f t="shared" si="34"/>
        <v>-299.86419711069811</v>
      </c>
      <c r="O115" s="734">
        <f t="shared" si="34"/>
        <v>-290.78589152737868</v>
      </c>
      <c r="P115" s="734">
        <f t="shared" si="34"/>
        <v>-280.92910770099388</v>
      </c>
    </row>
    <row r="116" spans="1:17" s="601" customFormat="1" ht="10.5" customHeight="1" thickBot="1" x14ac:dyDescent="0.25">
      <c r="A116" s="739" t="s">
        <v>78</v>
      </c>
      <c r="B116" s="735">
        <v>0</v>
      </c>
      <c r="C116" s="735">
        <v>0</v>
      </c>
      <c r="D116" s="735">
        <v>0</v>
      </c>
      <c r="E116" s="735">
        <v>0</v>
      </c>
      <c r="F116" s="735"/>
      <c r="G116" s="735">
        <v>0</v>
      </c>
      <c r="H116" s="735">
        <v>0</v>
      </c>
      <c r="I116" s="735">
        <v>0</v>
      </c>
      <c r="J116" s="735">
        <v>0</v>
      </c>
      <c r="K116" s="735">
        <v>0</v>
      </c>
      <c r="L116" s="735">
        <v>0</v>
      </c>
      <c r="M116" s="735">
        <v>0</v>
      </c>
      <c r="N116" s="735">
        <v>0</v>
      </c>
      <c r="O116" s="735">
        <v>0</v>
      </c>
      <c r="P116" s="735">
        <v>0</v>
      </c>
    </row>
    <row r="117" spans="1:17" ht="3.75" customHeight="1" thickTop="1" x14ac:dyDescent="0.2">
      <c r="A117" s="726"/>
      <c r="B117" s="714"/>
      <c r="C117" s="714"/>
      <c r="D117" s="710"/>
      <c r="E117" s="710"/>
      <c r="F117" s="710"/>
      <c r="G117" s="710"/>
      <c r="H117" s="710"/>
      <c r="I117" s="710"/>
      <c r="J117" s="710"/>
      <c r="K117" s="710"/>
      <c r="L117" s="710"/>
      <c r="M117" s="710"/>
      <c r="N117" s="710"/>
      <c r="O117" s="710"/>
      <c r="P117" s="710"/>
    </row>
    <row r="118" spans="1:17" ht="31.5" customHeight="1" thickBot="1" x14ac:dyDescent="0.25">
      <c r="A118" s="705" t="s">
        <v>79</v>
      </c>
      <c r="B118" s="736">
        <f>+B113-B91-B93</f>
        <v>0</v>
      </c>
      <c r="C118" s="736">
        <f>+C113-C91-C93</f>
        <v>0</v>
      </c>
      <c r="D118" s="736">
        <f>+D113-D89-D92</f>
        <v>0</v>
      </c>
      <c r="E118" s="736">
        <f t="shared" ref="E118:P118" si="35">+E113-E89-E92</f>
        <v>-1950</v>
      </c>
      <c r="F118" s="736">
        <f t="shared" si="35"/>
        <v>127.87499999999955</v>
      </c>
      <c r="G118" s="736">
        <f t="shared" si="35"/>
        <v>-99.220999999999549</v>
      </c>
      <c r="H118" s="736">
        <f t="shared" si="35"/>
        <v>-295.77999999999975</v>
      </c>
      <c r="I118" s="736">
        <f t="shared" si="35"/>
        <v>-344.47600000000011</v>
      </c>
      <c r="J118" s="736">
        <f t="shared" si="35"/>
        <v>-395.18600000000015</v>
      </c>
      <c r="K118" s="736">
        <f t="shared" si="35"/>
        <v>-322.7953849999999</v>
      </c>
      <c r="L118" s="736">
        <f t="shared" si="35"/>
        <v>-315.83378432500012</v>
      </c>
      <c r="M118" s="736">
        <f t="shared" si="35"/>
        <v>-308.20152208812488</v>
      </c>
      <c r="N118" s="736">
        <f t="shared" si="35"/>
        <v>-299.86419711069811</v>
      </c>
      <c r="O118" s="736">
        <f t="shared" si="35"/>
        <v>-290.78589152737868</v>
      </c>
      <c r="P118" s="736">
        <f t="shared" si="35"/>
        <v>-280.92910770099388</v>
      </c>
    </row>
    <row r="119" spans="1:17" ht="4.5" customHeight="1" thickTop="1" x14ac:dyDescent="0.2">
      <c r="A119" s="705"/>
      <c r="B119" s="734"/>
      <c r="C119" s="734"/>
      <c r="D119" s="734"/>
      <c r="E119" s="734"/>
      <c r="F119" s="734"/>
      <c r="G119" s="734"/>
      <c r="H119" s="734"/>
      <c r="I119" s="734"/>
      <c r="J119" s="734"/>
      <c r="K119" s="734"/>
      <c r="L119" s="734"/>
      <c r="M119" s="734"/>
      <c r="N119" s="734"/>
      <c r="O119" s="734"/>
      <c r="P119" s="734"/>
    </row>
    <row r="120" spans="1:17" ht="11.25" x14ac:dyDescent="0.2">
      <c r="A120" s="730" t="s">
        <v>76</v>
      </c>
      <c r="B120" s="732">
        <f t="shared" ref="B120:P120" si="36">B113</f>
        <v>0</v>
      </c>
      <c r="C120" s="732">
        <f t="shared" si="36"/>
        <v>0</v>
      </c>
      <c r="D120" s="732">
        <f t="shared" si="36"/>
        <v>0</v>
      </c>
      <c r="E120" s="732">
        <f t="shared" si="36"/>
        <v>-1950</v>
      </c>
      <c r="F120" s="732">
        <f t="shared" si="36"/>
        <v>127.87499999999955</v>
      </c>
      <c r="G120" s="732">
        <f t="shared" si="36"/>
        <v>-99.220999999999549</v>
      </c>
      <c r="H120" s="732">
        <f t="shared" si="36"/>
        <v>-295.77999999999975</v>
      </c>
      <c r="I120" s="732">
        <f t="shared" si="36"/>
        <v>-344.47600000000011</v>
      </c>
      <c r="J120" s="732">
        <f t="shared" si="36"/>
        <v>-395.18600000000015</v>
      </c>
      <c r="K120" s="732">
        <f t="shared" si="36"/>
        <v>-322.7953849999999</v>
      </c>
      <c r="L120" s="732">
        <f t="shared" si="36"/>
        <v>-315.83378432500012</v>
      </c>
      <c r="M120" s="732">
        <f t="shared" si="36"/>
        <v>-308.20152208812488</v>
      </c>
      <c r="N120" s="732">
        <f t="shared" si="36"/>
        <v>-299.86419711069811</v>
      </c>
      <c r="O120" s="732">
        <f t="shared" si="36"/>
        <v>-290.78589152737868</v>
      </c>
      <c r="P120" s="732">
        <f t="shared" si="36"/>
        <v>-280.92910770099388</v>
      </c>
    </row>
    <row r="121" spans="1:17" ht="9.75" customHeight="1" x14ac:dyDescent="0.2">
      <c r="A121" s="737" t="s">
        <v>1015</v>
      </c>
      <c r="B121" s="734"/>
      <c r="C121" s="734"/>
      <c r="D121" s="734"/>
      <c r="E121" s="734"/>
      <c r="F121" s="734"/>
      <c r="G121" s="734"/>
      <c r="H121" s="734"/>
      <c r="I121" s="734"/>
      <c r="J121" s="734"/>
      <c r="K121" s="734"/>
      <c r="L121" s="734"/>
      <c r="M121" s="734"/>
      <c r="N121" s="734"/>
      <c r="O121" s="734"/>
      <c r="P121" s="734"/>
    </row>
    <row r="122" spans="1:17" ht="11.25" x14ac:dyDescent="0.2">
      <c r="A122" s="705" t="s">
        <v>1014</v>
      </c>
      <c r="B122" s="734"/>
      <c r="C122" s="734"/>
      <c r="D122" s="734"/>
      <c r="E122" s="734"/>
      <c r="F122" s="734"/>
      <c r="G122" s="734"/>
      <c r="H122" s="734"/>
      <c r="I122" s="734"/>
      <c r="J122" s="734"/>
      <c r="K122" s="734"/>
      <c r="L122" s="734"/>
      <c r="M122" s="734"/>
      <c r="N122" s="734"/>
      <c r="O122" s="734"/>
      <c r="P122" s="734"/>
    </row>
    <row r="123" spans="1:17" ht="1.5" customHeight="1" x14ac:dyDescent="0.2">
      <c r="A123" s="705"/>
      <c r="B123" s="734"/>
      <c r="C123" s="734"/>
      <c r="D123" s="734"/>
      <c r="E123" s="734"/>
      <c r="F123" s="734"/>
      <c r="G123" s="734"/>
      <c r="H123" s="734"/>
      <c r="I123" s="734"/>
      <c r="J123" s="734"/>
      <c r="K123" s="734"/>
      <c r="L123" s="734"/>
      <c r="M123" s="734"/>
      <c r="N123" s="734"/>
      <c r="O123" s="734"/>
      <c r="P123" s="734"/>
    </row>
    <row r="124" spans="1:17" ht="12" thickBot="1" x14ac:dyDescent="0.25">
      <c r="A124" s="705" t="s">
        <v>309</v>
      </c>
      <c r="B124" s="738">
        <f t="shared" ref="B124:P124" si="37">SUM(B120:B123)</f>
        <v>0</v>
      </c>
      <c r="C124" s="738">
        <f t="shared" si="37"/>
        <v>0</v>
      </c>
      <c r="D124" s="738">
        <f t="shared" si="37"/>
        <v>0</v>
      </c>
      <c r="E124" s="738">
        <f t="shared" si="37"/>
        <v>-1950</v>
      </c>
      <c r="F124" s="738">
        <f t="shared" si="37"/>
        <v>127.87499999999955</v>
      </c>
      <c r="G124" s="738">
        <f t="shared" si="37"/>
        <v>-99.220999999999549</v>
      </c>
      <c r="H124" s="738">
        <f t="shared" si="37"/>
        <v>-295.77999999999975</v>
      </c>
      <c r="I124" s="738">
        <f t="shared" si="37"/>
        <v>-344.47600000000011</v>
      </c>
      <c r="J124" s="738">
        <f t="shared" si="37"/>
        <v>-395.18600000000015</v>
      </c>
      <c r="K124" s="738">
        <f t="shared" si="37"/>
        <v>-322.7953849999999</v>
      </c>
      <c r="L124" s="738">
        <f t="shared" si="37"/>
        <v>-315.83378432500012</v>
      </c>
      <c r="M124" s="738">
        <f t="shared" si="37"/>
        <v>-308.20152208812488</v>
      </c>
      <c r="N124" s="738">
        <f t="shared" si="37"/>
        <v>-299.86419711069811</v>
      </c>
      <c r="O124" s="738">
        <f t="shared" si="37"/>
        <v>-290.78589152737868</v>
      </c>
      <c r="P124" s="738">
        <f t="shared" si="37"/>
        <v>-280.92910770099388</v>
      </c>
    </row>
    <row r="125" spans="1:17" ht="12" thickTop="1" x14ac:dyDescent="0.2">
      <c r="A125" s="616"/>
      <c r="B125" s="621"/>
      <c r="C125" s="621"/>
      <c r="D125" s="621"/>
      <c r="E125" s="621"/>
      <c r="F125" s="621"/>
      <c r="G125" s="621"/>
      <c r="H125" s="621"/>
      <c r="I125" s="621"/>
      <c r="J125" s="621"/>
      <c r="K125" s="621"/>
      <c r="L125" s="621"/>
      <c r="M125" s="621"/>
      <c r="N125" s="621"/>
      <c r="O125" s="621"/>
      <c r="P125" s="621"/>
    </row>
    <row r="126" spans="1:17" ht="11.25" hidden="1" outlineLevel="1" x14ac:dyDescent="0.2">
      <c r="A126" s="604" t="s">
        <v>1081</v>
      </c>
      <c r="B126" s="621"/>
      <c r="C126" s="621"/>
      <c r="D126" s="621"/>
      <c r="E126" s="622">
        <f>E51</f>
        <v>0</v>
      </c>
      <c r="F126" s="622">
        <f>'Capital Budget -  Incl SRV'!C172/1000</f>
        <v>10000</v>
      </c>
      <c r="G126" s="622">
        <f>'Capital Budget -  Incl SRV'!E172/1000</f>
        <v>0</v>
      </c>
      <c r="H126" s="622">
        <f>'Capital Budget -  Incl SRV'!F172/1000</f>
        <v>0</v>
      </c>
      <c r="I126" s="622">
        <f>'Capital Budget -  Incl SRV'!G172/1000</f>
        <v>0</v>
      </c>
      <c r="J126" s="622">
        <f>'Capital Budget -  Incl SRV'!H172/1000</f>
        <v>0</v>
      </c>
      <c r="K126" s="622">
        <f>J126*(1+'LTFP Assumptions'!$J$13)</f>
        <v>0</v>
      </c>
      <c r="L126" s="622">
        <f>K126*(1+'LTFP Assumptions'!$J$13)</f>
        <v>0</v>
      </c>
      <c r="M126" s="622">
        <f>L126*(1+'LTFP Assumptions'!$J$13)</f>
        <v>0</v>
      </c>
      <c r="N126" s="622">
        <f>M126*(1+'LTFP Assumptions'!$J$13)</f>
        <v>0</v>
      </c>
      <c r="O126" s="622">
        <f>N126*(1+'LTFP Assumptions'!$J$13)</f>
        <v>0</v>
      </c>
      <c r="P126" s="622">
        <f>O126*(1+'LTFP Assumptions'!$J$13)</f>
        <v>0</v>
      </c>
      <c r="Q126" s="599" t="s">
        <v>32</v>
      </c>
    </row>
    <row r="127" spans="1:17" ht="11.25" hidden="1" outlineLevel="1" x14ac:dyDescent="0.2">
      <c r="A127" s="817" t="s">
        <v>1111</v>
      </c>
      <c r="B127" s="621"/>
      <c r="C127" s="621"/>
      <c r="D127" s="621"/>
      <c r="E127" s="622"/>
      <c r="F127" s="622"/>
      <c r="G127" s="622"/>
      <c r="H127" s="622"/>
      <c r="I127" s="622"/>
      <c r="J127" s="622"/>
      <c r="K127" s="622"/>
      <c r="L127" s="622"/>
      <c r="M127" s="622"/>
      <c r="N127" s="622"/>
      <c r="O127" s="622"/>
      <c r="P127" s="622"/>
    </row>
    <row r="128" spans="1:17" ht="11.25" hidden="1" outlineLevel="1" x14ac:dyDescent="0.2">
      <c r="A128" s="604" t="s">
        <v>1082</v>
      </c>
      <c r="B128" s="621"/>
      <c r="C128" s="621"/>
      <c r="D128" s="621"/>
      <c r="E128" s="622">
        <f t="shared" ref="E128:P130" si="38">E53</f>
        <v>0</v>
      </c>
      <c r="F128" s="622">
        <f t="shared" si="38"/>
        <v>0</v>
      </c>
      <c r="G128" s="622">
        <f t="shared" ref="G128:I128" si="39">G53</f>
        <v>0</v>
      </c>
      <c r="H128" s="622">
        <f t="shared" si="39"/>
        <v>0</v>
      </c>
      <c r="I128" s="622">
        <f t="shared" si="39"/>
        <v>0</v>
      </c>
      <c r="J128" s="622">
        <f t="shared" ref="J128" si="40">J53</f>
        <v>0</v>
      </c>
      <c r="K128" s="622">
        <f t="shared" si="38"/>
        <v>0</v>
      </c>
      <c r="L128" s="622">
        <f t="shared" si="38"/>
        <v>0</v>
      </c>
      <c r="M128" s="622">
        <f t="shared" si="38"/>
        <v>0</v>
      </c>
      <c r="N128" s="622">
        <f t="shared" si="38"/>
        <v>0</v>
      </c>
      <c r="O128" s="622">
        <f t="shared" si="38"/>
        <v>0</v>
      </c>
      <c r="P128" s="622">
        <f t="shared" si="38"/>
        <v>0</v>
      </c>
      <c r="Q128" s="599" t="s">
        <v>32</v>
      </c>
    </row>
    <row r="129" spans="1:18" ht="11.25" hidden="1" outlineLevel="1" x14ac:dyDescent="0.2">
      <c r="A129" s="604" t="s">
        <v>1083</v>
      </c>
      <c r="B129" s="621"/>
      <c r="C129" s="621"/>
      <c r="D129" s="621"/>
      <c r="E129" s="622">
        <f t="shared" si="38"/>
        <v>0</v>
      </c>
      <c r="F129" s="622">
        <f>'Capital Budget -  Incl SRV'!C173/1000</f>
        <v>0</v>
      </c>
      <c r="G129" s="622">
        <f>'Capital Budget -  Incl SRV'!D173/1000</f>
        <v>0</v>
      </c>
      <c r="H129" s="622">
        <f>'Capital Budget -  Incl SRV'!E173/1000</f>
        <v>0</v>
      </c>
      <c r="I129" s="622">
        <f>'Capital Budget -  Incl SRV'!F173/1000</f>
        <v>0</v>
      </c>
      <c r="J129" s="622">
        <f t="shared" ref="J129:P129" si="41">I129</f>
        <v>0</v>
      </c>
      <c r="K129" s="622">
        <f t="shared" si="41"/>
        <v>0</v>
      </c>
      <c r="L129" s="622">
        <f t="shared" si="41"/>
        <v>0</v>
      </c>
      <c r="M129" s="622">
        <f t="shared" si="41"/>
        <v>0</v>
      </c>
      <c r="N129" s="622">
        <f t="shared" si="41"/>
        <v>0</v>
      </c>
      <c r="O129" s="622">
        <f t="shared" si="41"/>
        <v>0</v>
      </c>
      <c r="P129" s="622">
        <f t="shared" si="41"/>
        <v>0</v>
      </c>
      <c r="Q129" s="599" t="s">
        <v>1391</v>
      </c>
    </row>
    <row r="130" spans="1:18" ht="11.25" hidden="1" outlineLevel="1" x14ac:dyDescent="0.2">
      <c r="A130" s="604" t="s">
        <v>1089</v>
      </c>
      <c r="B130" s="621"/>
      <c r="C130" s="621"/>
      <c r="D130" s="621"/>
      <c r="E130" s="622">
        <f t="shared" si="38"/>
        <v>0</v>
      </c>
      <c r="F130" s="622">
        <f>'Capital Budget -  Incl SRV'!C174/1000</f>
        <v>127.875</v>
      </c>
      <c r="G130" s="622">
        <f>'Capital Budget -  Incl SRV'!E174/1000</f>
        <v>0</v>
      </c>
      <c r="H130" s="1334">
        <f>'Capital Budget -  Incl SRV'!F174/1000</f>
        <v>1500</v>
      </c>
      <c r="I130" s="622">
        <f>'Capital Budget -  Incl SRV'!G174/1000</f>
        <v>0</v>
      </c>
      <c r="J130" s="622">
        <f>'Capital Budget -  Incl SRV'!H174/1000</f>
        <v>0</v>
      </c>
      <c r="K130" s="624">
        <f>J130*(1+'LTFP Assumptions'!$J$13)</f>
        <v>0</v>
      </c>
      <c r="L130" s="624">
        <f>K130*(1+'LTFP Assumptions'!$J$13)</f>
        <v>0</v>
      </c>
      <c r="M130" s="624">
        <f>L130*(1+'LTFP Assumptions'!$J$13)</f>
        <v>0</v>
      </c>
      <c r="N130" s="624">
        <f>M130*(1+'LTFP Assumptions'!$J$13)</f>
        <v>0</v>
      </c>
      <c r="O130" s="624">
        <f>N130*(1+'LTFP Assumptions'!$J$13)</f>
        <v>0</v>
      </c>
      <c r="P130" s="624">
        <f>O130*(1+'LTFP Assumptions'!$J$13)</f>
        <v>0</v>
      </c>
      <c r="Q130" s="603"/>
      <c r="R130" s="603"/>
    </row>
    <row r="131" spans="1:18" ht="11.25" hidden="1" outlineLevel="1" x14ac:dyDescent="0.2">
      <c r="A131" s="604"/>
      <c r="B131" s="621"/>
      <c r="C131" s="621"/>
      <c r="D131" s="771">
        <f>SUM(D126:D130)</f>
        <v>0</v>
      </c>
      <c r="E131" s="771">
        <f t="shared" ref="E131:P131" si="42">SUM(E126:E130)</f>
        <v>0</v>
      </c>
      <c r="F131" s="771">
        <f t="shared" si="42"/>
        <v>10127.875</v>
      </c>
      <c r="G131" s="771">
        <f t="shared" si="42"/>
        <v>0</v>
      </c>
      <c r="H131" s="771">
        <f t="shared" si="42"/>
        <v>1500</v>
      </c>
      <c r="I131" s="771">
        <f t="shared" si="42"/>
        <v>0</v>
      </c>
      <c r="J131" s="771">
        <f t="shared" si="42"/>
        <v>0</v>
      </c>
      <c r="K131" s="771">
        <f t="shared" si="42"/>
        <v>0</v>
      </c>
      <c r="L131" s="771">
        <f t="shared" si="42"/>
        <v>0</v>
      </c>
      <c r="M131" s="771">
        <f t="shared" si="42"/>
        <v>0</v>
      </c>
      <c r="N131" s="771">
        <f t="shared" si="42"/>
        <v>0</v>
      </c>
      <c r="O131" s="771">
        <f t="shared" si="42"/>
        <v>0</v>
      </c>
      <c r="P131" s="771">
        <f t="shared" si="42"/>
        <v>0</v>
      </c>
    </row>
    <row r="132" spans="1:18" s="608" customFormat="1" ht="11.25" hidden="1" outlineLevel="1" x14ac:dyDescent="0.2">
      <c r="A132" s="623" t="s">
        <v>1084</v>
      </c>
      <c r="B132" s="621"/>
      <c r="C132" s="621"/>
      <c r="D132" s="621"/>
      <c r="E132" s="621"/>
      <c r="F132" s="621"/>
      <c r="G132" s="621"/>
      <c r="H132" s="621"/>
      <c r="I132" s="621"/>
      <c r="J132" s="621"/>
      <c r="K132" s="621"/>
      <c r="L132" s="621"/>
      <c r="M132" s="621"/>
      <c r="N132" s="621"/>
      <c r="O132" s="621"/>
      <c r="P132" s="621"/>
    </row>
    <row r="133" spans="1:18" ht="11.25" hidden="1" outlineLevel="1" x14ac:dyDescent="0.2">
      <c r="A133" s="604" t="s">
        <v>931</v>
      </c>
      <c r="B133" s="621"/>
      <c r="C133" s="621"/>
      <c r="D133" s="621"/>
      <c r="E133" s="621">
        <f t="shared" ref="E133:E140" si="43">E58</f>
        <v>0</v>
      </c>
      <c r="F133" s="621">
        <f>-'Capital Budget -  Incl SRV'!C163/1000</f>
        <v>127.875</v>
      </c>
      <c r="G133" s="621">
        <f>-'Capital Budget -  Incl SRV'!E163/1000</f>
        <v>0.77900000000000003</v>
      </c>
      <c r="H133" s="621">
        <f>-'Capital Budget -  Incl SRV'!F163/1000</f>
        <v>-71.78</v>
      </c>
      <c r="I133" s="621">
        <f>-'Capital Budget -  Incl SRV'!G163/1000</f>
        <v>-20.475999999999999</v>
      </c>
      <c r="J133" s="621">
        <f>-'Capital Budget -  Incl SRV'!H163/1000</f>
        <v>28.814</v>
      </c>
      <c r="K133" s="621">
        <f t="shared" ref="K133:P133" si="44">K118</f>
        <v>-322.7953849999999</v>
      </c>
      <c r="L133" s="621">
        <f t="shared" si="44"/>
        <v>-315.83378432500012</v>
      </c>
      <c r="M133" s="621">
        <f t="shared" si="44"/>
        <v>-308.20152208812488</v>
      </c>
      <c r="N133" s="621">
        <f t="shared" si="44"/>
        <v>-299.86419711069811</v>
      </c>
      <c r="O133" s="621">
        <f t="shared" si="44"/>
        <v>-290.78589152737868</v>
      </c>
      <c r="P133" s="621">
        <f t="shared" si="44"/>
        <v>-280.92910770099388</v>
      </c>
    </row>
    <row r="134" spans="1:18" ht="11.25" hidden="1" outlineLevel="1" x14ac:dyDescent="0.2">
      <c r="A134" s="604" t="s">
        <v>244</v>
      </c>
      <c r="B134" s="621"/>
      <c r="C134" s="621"/>
      <c r="D134" s="621"/>
      <c r="E134" s="621">
        <f t="shared" si="43"/>
        <v>0</v>
      </c>
      <c r="F134" s="621"/>
      <c r="G134" s="621"/>
      <c r="H134" s="621"/>
      <c r="I134" s="621"/>
      <c r="J134" s="621"/>
      <c r="K134" s="621">
        <f>J134*(1+'LTFP Assumptions'!$J$12)</f>
        <v>0</v>
      </c>
      <c r="L134" s="621">
        <f>K134*(1+'LTFP Assumptions'!$J$12)</f>
        <v>0</v>
      </c>
      <c r="M134" s="621">
        <f>L134*(1+'LTFP Assumptions'!$J$12)</f>
        <v>0</v>
      </c>
      <c r="N134" s="621">
        <f>M134*(1+'LTFP Assumptions'!$J$12)</f>
        <v>0</v>
      </c>
      <c r="O134" s="621">
        <f>N134*(1+'LTFP Assumptions'!$J$12)</f>
        <v>0</v>
      </c>
      <c r="P134" s="621">
        <f>O134*(1+'LTFP Assumptions'!$J$12)</f>
        <v>0</v>
      </c>
    </row>
    <row r="135" spans="1:18" ht="11.25" hidden="1" outlineLevel="1" x14ac:dyDescent="0.2">
      <c r="A135" s="604" t="s">
        <v>1085</v>
      </c>
      <c r="B135" s="621"/>
      <c r="C135" s="621"/>
      <c r="D135" s="621"/>
      <c r="E135" s="621">
        <f t="shared" si="43"/>
        <v>0</v>
      </c>
      <c r="F135" s="621"/>
      <c r="G135" s="621"/>
      <c r="H135" s="621"/>
      <c r="I135" s="621"/>
      <c r="J135" s="621"/>
      <c r="K135" s="621">
        <f>J135*(1+'LTFP Assumptions'!$J$12)</f>
        <v>0</v>
      </c>
      <c r="L135" s="621">
        <f>K135*(1+'LTFP Assumptions'!$J$12)</f>
        <v>0</v>
      </c>
      <c r="M135" s="621">
        <f>L135*(1+'LTFP Assumptions'!$J$12)</f>
        <v>0</v>
      </c>
      <c r="N135" s="621">
        <f>M135*(1+'LTFP Assumptions'!$J$12)</f>
        <v>0</v>
      </c>
      <c r="O135" s="621">
        <f>N135*(1+'LTFP Assumptions'!$J$12)</f>
        <v>0</v>
      </c>
      <c r="P135" s="621">
        <f>O135*(1+'LTFP Assumptions'!$J$12)</f>
        <v>0</v>
      </c>
    </row>
    <row r="136" spans="1:18" ht="11.25" hidden="1" outlineLevel="1" x14ac:dyDescent="0.2">
      <c r="A136" s="604" t="s">
        <v>1086</v>
      </c>
      <c r="B136" s="621"/>
      <c r="C136" s="621"/>
      <c r="D136" s="621"/>
      <c r="E136" s="621">
        <f t="shared" si="43"/>
        <v>0</v>
      </c>
      <c r="F136" s="621">
        <f>-'Capital Budget -  Incl SRV'!C165/1000</f>
        <v>0</v>
      </c>
      <c r="G136" s="621">
        <f>-'Capital Budget -  Incl SRV'!E165/1000</f>
        <v>0</v>
      </c>
      <c r="H136" s="621">
        <f>-'Capital Budget -  Incl SRV'!F165/1000</f>
        <v>0</v>
      </c>
      <c r="I136" s="621">
        <f>-'Capital Budget -  Incl SRV'!G165/1000</f>
        <v>0</v>
      </c>
      <c r="J136" s="621">
        <f>-'Capital Budget -  Incl SRV'!H165/1000</f>
        <v>0</v>
      </c>
      <c r="K136" s="621">
        <f>J136*(1+'LTFP Assumptions'!$J$12)</f>
        <v>0</v>
      </c>
      <c r="L136" s="621">
        <f>K136*(1+'LTFP Assumptions'!$J$12)</f>
        <v>0</v>
      </c>
      <c r="M136" s="621">
        <f>L136*(1+'LTFP Assumptions'!$J$12)</f>
        <v>0</v>
      </c>
      <c r="N136" s="621">
        <f>M136*(1+'LTFP Assumptions'!$J$12)</f>
        <v>0</v>
      </c>
      <c r="O136" s="621">
        <f>N136*(1+'LTFP Assumptions'!$J$12)</f>
        <v>0</v>
      </c>
      <c r="P136" s="621">
        <f>O136*(1+'LTFP Assumptions'!$J$12)</f>
        <v>0</v>
      </c>
    </row>
    <row r="137" spans="1:18" ht="11.25" hidden="1" outlineLevel="1" x14ac:dyDescent="0.2">
      <c r="A137" s="604" t="s">
        <v>33</v>
      </c>
      <c r="B137" s="621">
        <f>+B102</f>
        <v>0</v>
      </c>
      <c r="C137" s="621">
        <f>C102</f>
        <v>0</v>
      </c>
      <c r="D137" s="621">
        <f>D102</f>
        <v>0</v>
      </c>
      <c r="E137" s="621">
        <f t="shared" si="43"/>
        <v>0</v>
      </c>
      <c r="F137" s="621">
        <f>-'Capital Budget -  Incl SRV'!C164/1000</f>
        <v>0</v>
      </c>
      <c r="G137" s="621">
        <f>-'Capital Budget -  Incl SRV'!E164/1000</f>
        <v>269.68700000000001</v>
      </c>
      <c r="H137" s="621">
        <f>-'Capital Budget -  Incl SRV'!F164/1000</f>
        <v>275.995</v>
      </c>
      <c r="I137" s="621">
        <f>-'Capital Budget -  Incl SRV'!G164/1000</f>
        <v>280.65499999999997</v>
      </c>
      <c r="J137" s="621">
        <f>-'Capital Budget -  Incl SRV'!H164/1000</f>
        <v>289.06900000000002</v>
      </c>
      <c r="K137" s="621">
        <f t="shared" ref="K137:P137" si="45">K102</f>
        <v>296.295725</v>
      </c>
      <c r="L137" s="621">
        <f t="shared" si="45"/>
        <v>303.703118125</v>
      </c>
      <c r="M137" s="621">
        <f t="shared" si="45"/>
        <v>311.29569607812499</v>
      </c>
      <c r="N137" s="621">
        <f t="shared" si="45"/>
        <v>319.07808848007807</v>
      </c>
      <c r="O137" s="621">
        <f t="shared" si="45"/>
        <v>327.05504069208001</v>
      </c>
      <c r="P137" s="621">
        <f t="shared" si="45"/>
        <v>335.23141670938196</v>
      </c>
    </row>
    <row r="138" spans="1:18" ht="11.25" hidden="1" outlineLevel="1" x14ac:dyDescent="0.2">
      <c r="A138" s="604" t="s">
        <v>22</v>
      </c>
      <c r="B138" s="621"/>
      <c r="C138" s="621"/>
      <c r="D138" s="621"/>
      <c r="E138" s="621">
        <f t="shared" si="43"/>
        <v>0</v>
      </c>
      <c r="F138" s="621">
        <f>-'Capital Budget -  Incl SRV'!C167/1000</f>
        <v>0</v>
      </c>
      <c r="G138" s="621">
        <f>-'Capital Budget -  Incl SRV'!E167/1000</f>
        <v>0</v>
      </c>
      <c r="H138" s="621">
        <f>-'Capital Budget -  Incl SRV'!F167/1000</f>
        <v>0</v>
      </c>
      <c r="I138" s="621">
        <f>-'Capital Budget -  Incl SRV'!G167/1000</f>
        <v>0</v>
      </c>
      <c r="J138" s="621">
        <f>-'Capital Budget -  Incl SRV'!H167/1000</f>
        <v>0</v>
      </c>
      <c r="K138" s="624">
        <f>J138*(1+'LTFP Assumptions'!$J$14)</f>
        <v>0</v>
      </c>
      <c r="L138" s="624">
        <f>K138*(1+'LTFP Assumptions'!$J$14)</f>
        <v>0</v>
      </c>
      <c r="M138" s="624">
        <f>L138*(1+'LTFP Assumptions'!$J$14)</f>
        <v>0</v>
      </c>
      <c r="N138" s="624">
        <f>M138*(1+'LTFP Assumptions'!$J$14)</f>
        <v>0</v>
      </c>
      <c r="O138" s="624">
        <f>N138*(1+'LTFP Assumptions'!$J$14)</f>
        <v>0</v>
      </c>
      <c r="P138" s="624">
        <f>O138*(1+'LTFP Assumptions'!$J$14)</f>
        <v>0</v>
      </c>
      <c r="R138" s="603"/>
    </row>
    <row r="139" spans="1:18" ht="11.25" hidden="1" outlineLevel="1" x14ac:dyDescent="0.2">
      <c r="A139" s="604" t="s">
        <v>1087</v>
      </c>
      <c r="B139" s="621"/>
      <c r="C139" s="621"/>
      <c r="D139" s="621"/>
      <c r="E139" s="621">
        <f t="shared" si="43"/>
        <v>0</v>
      </c>
      <c r="F139" s="621">
        <f>-'Capital Budget -  Incl SRV'!C166/1000</f>
        <v>10000</v>
      </c>
      <c r="G139" s="621">
        <f>-'Capital Budget -  Incl SRV'!E166/1000</f>
        <v>0</v>
      </c>
      <c r="H139" s="621">
        <f>-'Capital Budget -  Incl SRV'!F166/1000</f>
        <v>0</v>
      </c>
      <c r="I139" s="621">
        <f>-'Capital Budget -  Incl SRV'!G166/1000</f>
        <v>0</v>
      </c>
      <c r="J139" s="621">
        <f>-'Capital Budget -  Incl SRV'!H166/1000</f>
        <v>0</v>
      </c>
      <c r="K139" s="624"/>
      <c r="L139" s="624"/>
      <c r="M139" s="624"/>
      <c r="N139" s="624"/>
      <c r="O139" s="624"/>
      <c r="P139" s="624"/>
      <c r="R139" s="603"/>
    </row>
    <row r="140" spans="1:18" ht="11.25" hidden="1" outlineLevel="1" x14ac:dyDescent="0.2">
      <c r="A140" s="604" t="s">
        <v>1344</v>
      </c>
      <c r="B140" s="621"/>
      <c r="C140" s="621"/>
      <c r="D140" s="621"/>
      <c r="E140" s="621">
        <f t="shared" si="43"/>
        <v>0</v>
      </c>
      <c r="F140" s="621">
        <f>-'Capital Budget -  Incl SRV'!C168/1000</f>
        <v>0</v>
      </c>
      <c r="G140" s="621">
        <f>-'Capital Budget -  Incl SRV'!E168/1000</f>
        <v>0</v>
      </c>
      <c r="H140" s="1334">
        <f>-'Capital Budget -  Incl SRV'!F168/1000</f>
        <v>1500</v>
      </c>
      <c r="I140" s="621">
        <f>-'Capital Budget -  Incl SRV'!G168/1000</f>
        <v>0</v>
      </c>
      <c r="J140" s="621">
        <f>-'Capital Budget -  Incl SRV'!H168/1000</f>
        <v>0</v>
      </c>
      <c r="K140" s="624">
        <f>J140*(1+'LTFP Assumptions'!$J$14)</f>
        <v>0</v>
      </c>
      <c r="L140" s="624">
        <f>K140*(1+'LTFP Assumptions'!$J$14)</f>
        <v>0</v>
      </c>
      <c r="M140" s="624">
        <f>L140*(1+'LTFP Assumptions'!$J$14)</f>
        <v>0</v>
      </c>
      <c r="N140" s="624">
        <f>M140*(1+'LTFP Assumptions'!$J$14)</f>
        <v>0</v>
      </c>
      <c r="O140" s="624">
        <f>N140*(1+'LTFP Assumptions'!$J$14)</f>
        <v>0</v>
      </c>
      <c r="P140" s="624">
        <f>O140*(1+'LTFP Assumptions'!$J$14)</f>
        <v>0</v>
      </c>
    </row>
    <row r="141" spans="1:18" ht="11.25" hidden="1" outlineLevel="1" x14ac:dyDescent="0.2">
      <c r="A141" s="604"/>
      <c r="B141" s="621"/>
      <c r="C141" s="621"/>
      <c r="D141" s="771">
        <f t="shared" ref="D141:P141" si="46">SUM(D133:D140)</f>
        <v>0</v>
      </c>
      <c r="E141" s="771">
        <f t="shared" si="46"/>
        <v>0</v>
      </c>
      <c r="F141" s="771">
        <f t="shared" si="46"/>
        <v>10127.875</v>
      </c>
      <c r="G141" s="771">
        <f t="shared" si="46"/>
        <v>270.46600000000001</v>
      </c>
      <c r="H141" s="771">
        <f t="shared" si="46"/>
        <v>1704.2149999999999</v>
      </c>
      <c r="I141" s="771">
        <f t="shared" si="46"/>
        <v>260.17899999999997</v>
      </c>
      <c r="J141" s="771">
        <f t="shared" si="46"/>
        <v>317.88300000000004</v>
      </c>
      <c r="K141" s="771">
        <f t="shared" si="46"/>
        <v>-26.499659999999892</v>
      </c>
      <c r="L141" s="771">
        <f t="shared" si="46"/>
        <v>-12.130666200000121</v>
      </c>
      <c r="M141" s="771">
        <f t="shared" si="46"/>
        <v>3.0941739900001153</v>
      </c>
      <c r="N141" s="771">
        <f t="shared" si="46"/>
        <v>19.213891369379951</v>
      </c>
      <c r="O141" s="771">
        <f t="shared" si="46"/>
        <v>36.269149164701332</v>
      </c>
      <c r="P141" s="771">
        <f t="shared" si="46"/>
        <v>54.302309008388079</v>
      </c>
    </row>
    <row r="142" spans="1:18" ht="11.25" hidden="1" outlineLevel="1" x14ac:dyDescent="0.2">
      <c r="A142" s="599"/>
      <c r="B142" s="621"/>
      <c r="C142" s="621"/>
      <c r="D142" s="622"/>
      <c r="E142" s="622"/>
      <c r="F142" s="622"/>
      <c r="G142" s="622"/>
      <c r="H142" s="622"/>
      <c r="I142" s="622"/>
      <c r="J142" s="624"/>
      <c r="K142" s="624"/>
      <c r="L142" s="624"/>
      <c r="M142" s="624"/>
      <c r="N142" s="624"/>
      <c r="O142" s="624"/>
      <c r="P142" s="624"/>
    </row>
    <row r="143" spans="1:18" ht="11.25" hidden="1" outlineLevel="1" x14ac:dyDescent="0.2">
      <c r="A143" s="604"/>
      <c r="B143" s="621"/>
      <c r="C143" s="621"/>
      <c r="D143" s="621"/>
      <c r="E143" s="621"/>
      <c r="F143" s="621"/>
      <c r="G143" s="621"/>
      <c r="H143" s="621"/>
      <c r="I143" s="621"/>
      <c r="J143" s="621"/>
      <c r="K143" s="621"/>
      <c r="L143" s="621"/>
      <c r="M143" s="621"/>
      <c r="N143" s="621"/>
      <c r="O143" s="621"/>
      <c r="P143" s="621"/>
    </row>
    <row r="144" spans="1:18" ht="11.25" hidden="1" outlineLevel="1" x14ac:dyDescent="0.2">
      <c r="A144" s="604" t="s">
        <v>34</v>
      </c>
      <c r="B144" s="621">
        <f>+B113+SUM(B126:B143)</f>
        <v>0</v>
      </c>
      <c r="C144" s="621">
        <f>+C113+SUM(C126:C143)</f>
        <v>0</v>
      </c>
      <c r="D144" s="625">
        <f>D141-D131</f>
        <v>0</v>
      </c>
      <c r="E144" s="625">
        <f t="shared" ref="E144:P144" si="47">E141-E131</f>
        <v>0</v>
      </c>
      <c r="F144" s="625">
        <f t="shared" si="47"/>
        <v>0</v>
      </c>
      <c r="G144" s="625">
        <f t="shared" si="47"/>
        <v>270.46600000000001</v>
      </c>
      <c r="H144" s="625">
        <f t="shared" si="47"/>
        <v>204.21499999999992</v>
      </c>
      <c r="I144" s="625">
        <f t="shared" si="47"/>
        <v>260.17899999999997</v>
      </c>
      <c r="J144" s="625">
        <f t="shared" si="47"/>
        <v>317.88300000000004</v>
      </c>
      <c r="K144" s="625">
        <f t="shared" si="47"/>
        <v>-26.499659999999892</v>
      </c>
      <c r="L144" s="625">
        <f t="shared" si="47"/>
        <v>-12.130666200000121</v>
      </c>
      <c r="M144" s="625">
        <f t="shared" si="47"/>
        <v>3.0941739900001153</v>
      </c>
      <c r="N144" s="625">
        <f t="shared" si="47"/>
        <v>19.213891369379951</v>
      </c>
      <c r="O144" s="625">
        <f t="shared" si="47"/>
        <v>36.269149164701332</v>
      </c>
      <c r="P144" s="625">
        <f t="shared" si="47"/>
        <v>54.302309008388079</v>
      </c>
    </row>
    <row r="145" spans="1:16" ht="11.25" hidden="1" outlineLevel="1" x14ac:dyDescent="0.2">
      <c r="A145" s="600" t="s">
        <v>451</v>
      </c>
      <c r="C145" s="606">
        <f>B146</f>
        <v>0</v>
      </c>
      <c r="D145" s="606">
        <f t="shared" ref="D145:E145" si="48">C146</f>
        <v>0</v>
      </c>
      <c r="E145" s="606">
        <f t="shared" si="48"/>
        <v>0</v>
      </c>
      <c r="F145" s="606">
        <v>0</v>
      </c>
      <c r="G145" s="606">
        <f t="shared" ref="G145:P145" si="49">F146</f>
        <v>0</v>
      </c>
      <c r="H145" s="606">
        <f t="shared" si="49"/>
        <v>270.46600000000001</v>
      </c>
      <c r="I145" s="606">
        <f t="shared" si="49"/>
        <v>474.68099999999993</v>
      </c>
      <c r="J145" s="606">
        <f t="shared" si="49"/>
        <v>734.8599999999999</v>
      </c>
      <c r="K145" s="606">
        <f t="shared" si="49"/>
        <v>1052.7429999999999</v>
      </c>
      <c r="L145" s="606">
        <f t="shared" si="49"/>
        <v>1026.24334</v>
      </c>
      <c r="M145" s="606">
        <f t="shared" si="49"/>
        <v>1014.1126737999998</v>
      </c>
      <c r="N145" s="606">
        <f t="shared" si="49"/>
        <v>1017.20684779</v>
      </c>
      <c r="O145" s="606">
        <f t="shared" si="49"/>
        <v>1036.42073915938</v>
      </c>
      <c r="P145" s="606">
        <f t="shared" si="49"/>
        <v>1072.6898883240813</v>
      </c>
    </row>
    <row r="146" spans="1:16" ht="11.25" hidden="1" outlineLevel="1" x14ac:dyDescent="0.2">
      <c r="A146" s="620" t="s">
        <v>452</v>
      </c>
      <c r="B146" s="626"/>
      <c r="C146" s="627">
        <f>SUM(C144:C145)</f>
        <v>0</v>
      </c>
      <c r="D146" s="627">
        <f t="shared" ref="D146:P146" si="50">SUM(D144:D145)</f>
        <v>0</v>
      </c>
      <c r="E146" s="627">
        <f t="shared" si="50"/>
        <v>0</v>
      </c>
      <c r="F146" s="627">
        <f t="shared" si="50"/>
        <v>0</v>
      </c>
      <c r="G146" s="627">
        <f t="shared" si="50"/>
        <v>270.46600000000001</v>
      </c>
      <c r="H146" s="627">
        <f t="shared" si="50"/>
        <v>474.68099999999993</v>
      </c>
      <c r="I146" s="627">
        <f t="shared" si="50"/>
        <v>734.8599999999999</v>
      </c>
      <c r="J146" s="627">
        <f t="shared" si="50"/>
        <v>1052.7429999999999</v>
      </c>
      <c r="K146" s="627">
        <f t="shared" si="50"/>
        <v>1026.24334</v>
      </c>
      <c r="L146" s="627">
        <f t="shared" si="50"/>
        <v>1014.1126737999998</v>
      </c>
      <c r="M146" s="627">
        <f t="shared" si="50"/>
        <v>1017.20684779</v>
      </c>
      <c r="N146" s="627">
        <f t="shared" si="50"/>
        <v>1036.42073915938</v>
      </c>
      <c r="O146" s="627">
        <f t="shared" si="50"/>
        <v>1072.6898883240813</v>
      </c>
      <c r="P146" s="627">
        <f t="shared" si="50"/>
        <v>1126.9921973324695</v>
      </c>
    </row>
    <row r="147" spans="1:16" ht="11.25" hidden="1" outlineLevel="1" x14ac:dyDescent="0.2">
      <c r="A147" s="620"/>
      <c r="B147" s="626"/>
      <c r="C147" s="627"/>
      <c r="D147" s="627"/>
      <c r="E147" s="627"/>
      <c r="F147" s="627"/>
      <c r="G147" s="627"/>
      <c r="H147" s="627"/>
      <c r="I147" s="627"/>
      <c r="J147" s="627"/>
      <c r="K147" s="627"/>
      <c r="L147" s="627"/>
      <c r="M147" s="627"/>
      <c r="N147" s="627"/>
      <c r="O147" s="627"/>
      <c r="P147" s="627"/>
    </row>
    <row r="148" spans="1:16" ht="12.75" collapsed="1" x14ac:dyDescent="0.2">
      <c r="A148" s="1091" t="s">
        <v>1364</v>
      </c>
    </row>
    <row r="149" spans="1:16" ht="12" x14ac:dyDescent="0.2">
      <c r="A149" s="635" t="s">
        <v>1066</v>
      </c>
      <c r="B149" s="586" t="s">
        <v>69</v>
      </c>
      <c r="C149" s="586" t="s">
        <v>69</v>
      </c>
      <c r="D149" s="586" t="s">
        <v>69</v>
      </c>
      <c r="E149" s="586" t="s">
        <v>69</v>
      </c>
      <c r="F149" s="586" t="s">
        <v>70</v>
      </c>
      <c r="G149" s="586" t="s">
        <v>70</v>
      </c>
      <c r="H149" s="586" t="s">
        <v>71</v>
      </c>
      <c r="I149" s="586" t="s">
        <v>71</v>
      </c>
      <c r="J149" s="586" t="s">
        <v>71</v>
      </c>
      <c r="K149" s="586" t="s">
        <v>71</v>
      </c>
      <c r="L149" s="586" t="s">
        <v>71</v>
      </c>
      <c r="M149" s="586" t="s">
        <v>71</v>
      </c>
      <c r="N149" s="586" t="s">
        <v>71</v>
      </c>
      <c r="O149" s="586" t="s">
        <v>71</v>
      </c>
      <c r="P149" s="586" t="s">
        <v>71</v>
      </c>
    </row>
    <row r="150" spans="1:16" ht="11.25" x14ac:dyDescent="0.2">
      <c r="A150" s="598" t="s">
        <v>73</v>
      </c>
      <c r="B150" s="741" t="s">
        <v>68</v>
      </c>
      <c r="C150" s="694" t="s">
        <v>0</v>
      </c>
      <c r="D150" s="694" t="s">
        <v>1</v>
      </c>
      <c r="E150" s="694" t="s">
        <v>2</v>
      </c>
      <c r="F150" s="694" t="s">
        <v>3</v>
      </c>
      <c r="G150" s="694" t="s">
        <v>4</v>
      </c>
      <c r="H150" s="694" t="s">
        <v>5</v>
      </c>
      <c r="I150" s="694" t="s">
        <v>6</v>
      </c>
      <c r="J150" s="694" t="s">
        <v>7</v>
      </c>
      <c r="K150" s="694" t="s">
        <v>8</v>
      </c>
      <c r="L150" s="694" t="s">
        <v>9</v>
      </c>
      <c r="M150" s="694" t="s">
        <v>514</v>
      </c>
      <c r="N150" s="694" t="s">
        <v>515</v>
      </c>
      <c r="O150" s="694" t="s">
        <v>904</v>
      </c>
      <c r="P150" s="694" t="s">
        <v>1046</v>
      </c>
    </row>
    <row r="151" spans="1:16" ht="11.25" x14ac:dyDescent="0.2">
      <c r="A151" s="604" t="s">
        <v>61</v>
      </c>
    </row>
    <row r="152" spans="1:16" ht="11.25" x14ac:dyDescent="0.2">
      <c r="A152" s="607" t="s">
        <v>62</v>
      </c>
    </row>
    <row r="153" spans="1:16" ht="11.25" x14ac:dyDescent="0.2">
      <c r="A153" s="600" t="s">
        <v>11</v>
      </c>
      <c r="B153" s="606">
        <f t="shared" ref="B153:C158" si="51">+B11</f>
        <v>0</v>
      </c>
      <c r="C153" s="606">
        <f t="shared" si="51"/>
        <v>0</v>
      </c>
      <c r="D153" s="606">
        <f t="shared" ref="D153:F158" si="52">D84</f>
        <v>0</v>
      </c>
      <c r="E153" s="606">
        <f t="shared" si="52"/>
        <v>0</v>
      </c>
      <c r="F153" s="606">
        <f t="shared" si="52"/>
        <v>0</v>
      </c>
      <c r="G153" s="606">
        <f t="shared" ref="G153:P153" si="53">G84</f>
        <v>0</v>
      </c>
      <c r="H153" s="606">
        <f t="shared" si="53"/>
        <v>0</v>
      </c>
      <c r="I153" s="606">
        <f t="shared" si="53"/>
        <v>0</v>
      </c>
      <c r="J153" s="606">
        <f t="shared" si="53"/>
        <v>0</v>
      </c>
      <c r="K153" s="606">
        <f t="shared" si="53"/>
        <v>0</v>
      </c>
      <c r="L153" s="606">
        <f t="shared" si="53"/>
        <v>0</v>
      </c>
      <c r="M153" s="606">
        <f t="shared" si="53"/>
        <v>0</v>
      </c>
      <c r="N153" s="606">
        <f t="shared" si="53"/>
        <v>0</v>
      </c>
      <c r="O153" s="606">
        <f t="shared" si="53"/>
        <v>0</v>
      </c>
      <c r="P153" s="606">
        <f t="shared" si="53"/>
        <v>0</v>
      </c>
    </row>
    <row r="154" spans="1:16" ht="11.25" x14ac:dyDescent="0.2">
      <c r="A154" s="600" t="s">
        <v>12</v>
      </c>
      <c r="B154" s="606">
        <f t="shared" si="51"/>
        <v>0</v>
      </c>
      <c r="C154" s="606">
        <f t="shared" si="51"/>
        <v>0</v>
      </c>
      <c r="D154" s="606">
        <f t="shared" si="52"/>
        <v>0</v>
      </c>
      <c r="E154" s="606">
        <f t="shared" si="52"/>
        <v>1239</v>
      </c>
      <c r="F154" s="606">
        <f t="shared" si="52"/>
        <v>3052.3029999999999</v>
      </c>
      <c r="G154" s="606">
        <f t="shared" ref="G154:J158" si="54">G85</f>
        <v>3203.3</v>
      </c>
      <c r="H154" s="606">
        <f t="shared" si="54"/>
        <v>3097.5430000000001</v>
      </c>
      <c r="I154" s="606">
        <f t="shared" si="54"/>
        <v>3174.7330000000002</v>
      </c>
      <c r="J154" s="606">
        <f t="shared" si="54"/>
        <v>3254.1529999999998</v>
      </c>
      <c r="K154" s="608">
        <f>J154*(1+'LTFP Assumptions'!$K12)</f>
        <v>3319.2360599999997</v>
      </c>
      <c r="L154" s="608">
        <f>K154*(1+'LTFP Assumptions'!$K12)</f>
        <v>3385.6207811999998</v>
      </c>
      <c r="M154" s="608">
        <f>L154*(1+'LTFP Assumptions'!$K12)</f>
        <v>3453.333196824</v>
      </c>
      <c r="N154" s="608">
        <f>M154*(1+'LTFP Assumptions'!$K12)</f>
        <v>3522.3998607604799</v>
      </c>
      <c r="O154" s="608">
        <f>N154*(1+'LTFP Assumptions'!$K12)</f>
        <v>3592.8478579756897</v>
      </c>
      <c r="P154" s="608">
        <f>O154*(1+'LTFP Assumptions'!$K12)</f>
        <v>3664.7048151352037</v>
      </c>
    </row>
    <row r="155" spans="1:16" ht="11.25" x14ac:dyDescent="0.2">
      <c r="A155" s="600" t="s">
        <v>13</v>
      </c>
      <c r="B155" s="606">
        <f t="shared" si="51"/>
        <v>0</v>
      </c>
      <c r="C155" s="606">
        <f t="shared" si="51"/>
        <v>0</v>
      </c>
      <c r="D155" s="606">
        <f t="shared" si="52"/>
        <v>0</v>
      </c>
      <c r="E155" s="606">
        <f t="shared" si="52"/>
        <v>20</v>
      </c>
      <c r="F155" s="606">
        <f t="shared" si="52"/>
        <v>0</v>
      </c>
      <c r="G155" s="606">
        <f t="shared" si="54"/>
        <v>0</v>
      </c>
      <c r="H155" s="606">
        <f t="shared" si="54"/>
        <v>0</v>
      </c>
      <c r="I155" s="606">
        <f t="shared" si="54"/>
        <v>0</v>
      </c>
      <c r="J155" s="606">
        <f t="shared" si="54"/>
        <v>0</v>
      </c>
      <c r="K155" s="608">
        <f>'Future Fund  Cash Flow'!J158*'LTFP Assumptions'!$K17</f>
        <v>64.464720000000014</v>
      </c>
      <c r="L155" s="608">
        <f>'Future Fund  Cash Flow'!K158*'LTFP Assumptions'!$K17</f>
        <v>63.4047336</v>
      </c>
      <c r="M155" s="608">
        <f>'Future Fund  Cash Flow'!L158*'LTFP Assumptions'!$K17</f>
        <v>62.919506951999985</v>
      </c>
      <c r="N155" s="608">
        <f>'Future Fund  Cash Flow'!M158*'LTFP Assumptions'!$K17</f>
        <v>63.043273911599975</v>
      </c>
      <c r="O155" s="608">
        <f>'Future Fund  Cash Flow'!N158*'LTFP Assumptions'!$K17</f>
        <v>63.811829566375167</v>
      </c>
      <c r="P155" s="608">
        <f>'Future Fund  Cash Flow'!O158*'LTFP Assumptions'!$K17</f>
        <v>65.262595532963218</v>
      </c>
    </row>
    <row r="156" spans="1:16" ht="11.25" x14ac:dyDescent="0.2">
      <c r="A156" s="600" t="s">
        <v>14</v>
      </c>
      <c r="B156" s="606">
        <f t="shared" si="51"/>
        <v>0</v>
      </c>
      <c r="C156" s="606">
        <f t="shared" si="51"/>
        <v>0</v>
      </c>
      <c r="D156" s="606">
        <f t="shared" si="52"/>
        <v>0</v>
      </c>
      <c r="E156" s="606">
        <f t="shared" si="52"/>
        <v>0</v>
      </c>
      <c r="F156" s="606">
        <f t="shared" si="52"/>
        <v>0</v>
      </c>
      <c r="G156" s="606">
        <f t="shared" si="54"/>
        <v>0</v>
      </c>
      <c r="H156" s="606">
        <f t="shared" si="54"/>
        <v>0</v>
      </c>
      <c r="I156" s="606">
        <f t="shared" si="54"/>
        <v>0</v>
      </c>
      <c r="J156" s="606">
        <f t="shared" si="54"/>
        <v>0</v>
      </c>
      <c r="K156" s="608">
        <f>J156*(1+'LTFP Assumptions'!$K12)</f>
        <v>0</v>
      </c>
      <c r="L156" s="608">
        <f>K156*(1+'LTFP Assumptions'!$K12)</f>
        <v>0</v>
      </c>
      <c r="M156" s="608">
        <f>L156*(1+'LTFP Assumptions'!$K12)</f>
        <v>0</v>
      </c>
      <c r="N156" s="608">
        <f>M156*(1+'LTFP Assumptions'!$K12)</f>
        <v>0</v>
      </c>
      <c r="O156" s="608">
        <f>N156*(1+'LTFP Assumptions'!$K12)</f>
        <v>0</v>
      </c>
      <c r="P156" s="608">
        <f>O156*(1+'LTFP Assumptions'!$K12)</f>
        <v>0</v>
      </c>
    </row>
    <row r="157" spans="1:16" ht="22.5" x14ac:dyDescent="0.2">
      <c r="A157" s="600" t="s">
        <v>15</v>
      </c>
      <c r="B157" s="606">
        <f t="shared" si="51"/>
        <v>0</v>
      </c>
      <c r="C157" s="606">
        <f t="shared" si="51"/>
        <v>0</v>
      </c>
      <c r="D157" s="606">
        <f t="shared" si="52"/>
        <v>0</v>
      </c>
      <c r="E157" s="606">
        <f t="shared" si="52"/>
        <v>0</v>
      </c>
      <c r="F157" s="606">
        <f t="shared" si="52"/>
        <v>0</v>
      </c>
      <c r="G157" s="606">
        <f t="shared" si="54"/>
        <v>0</v>
      </c>
      <c r="H157" s="606">
        <f t="shared" si="54"/>
        <v>0</v>
      </c>
      <c r="I157" s="606">
        <f t="shared" si="54"/>
        <v>0</v>
      </c>
      <c r="J157" s="606">
        <f t="shared" si="54"/>
        <v>0</v>
      </c>
      <c r="K157" s="608">
        <f>J157*(1+'LTFP Assumptions'!$K10)</f>
        <v>0</v>
      </c>
      <c r="L157" s="608">
        <f>K157*(1+'LTFP Assumptions'!$K10)</f>
        <v>0</v>
      </c>
      <c r="M157" s="608">
        <f>L157*(1+'LTFP Assumptions'!$K10)</f>
        <v>0</v>
      </c>
      <c r="N157" s="608">
        <f>M157*(1+'LTFP Assumptions'!$K10)</f>
        <v>0</v>
      </c>
      <c r="O157" s="608">
        <f>N157*(1+'LTFP Assumptions'!$K10)</f>
        <v>0</v>
      </c>
      <c r="P157" s="608">
        <f>O157*(1+'LTFP Assumptions'!$K10)</f>
        <v>0</v>
      </c>
    </row>
    <row r="158" spans="1:16" ht="22.5" x14ac:dyDescent="0.2">
      <c r="A158" s="600" t="s">
        <v>18</v>
      </c>
      <c r="B158" s="606">
        <f t="shared" si="51"/>
        <v>0</v>
      </c>
      <c r="C158" s="606">
        <f t="shared" si="51"/>
        <v>0</v>
      </c>
      <c r="D158" s="606">
        <f t="shared" si="52"/>
        <v>0</v>
      </c>
      <c r="E158" s="606">
        <f t="shared" si="52"/>
        <v>0</v>
      </c>
      <c r="F158" s="606">
        <f t="shared" si="52"/>
        <v>0</v>
      </c>
      <c r="G158" s="606">
        <f t="shared" si="54"/>
        <v>0</v>
      </c>
      <c r="H158" s="606">
        <f t="shared" si="54"/>
        <v>0</v>
      </c>
      <c r="I158" s="606">
        <f t="shared" si="54"/>
        <v>0</v>
      </c>
      <c r="J158" s="606">
        <f t="shared" si="54"/>
        <v>0</v>
      </c>
      <c r="K158" s="608">
        <f>K203+K204+K205</f>
        <v>0</v>
      </c>
      <c r="L158" s="608">
        <f t="shared" ref="L158:P158" si="55">L203+L204+L205</f>
        <v>0</v>
      </c>
      <c r="M158" s="608">
        <f t="shared" si="55"/>
        <v>0</v>
      </c>
      <c r="N158" s="608">
        <f t="shared" si="55"/>
        <v>0</v>
      </c>
      <c r="O158" s="608">
        <f t="shared" si="55"/>
        <v>0</v>
      </c>
      <c r="P158" s="608">
        <f t="shared" si="55"/>
        <v>0</v>
      </c>
    </row>
    <row r="159" spans="1:16" ht="11.25" x14ac:dyDescent="0.2">
      <c r="A159" s="1149" t="s">
        <v>1180</v>
      </c>
      <c r="B159" s="606"/>
      <c r="C159" s="606"/>
      <c r="D159" s="606"/>
      <c r="E159" s="606"/>
      <c r="F159" s="606"/>
      <c r="G159" s="606"/>
      <c r="H159" s="606"/>
      <c r="I159" s="606"/>
      <c r="J159" s="606"/>
      <c r="K159" s="608">
        <f>J159*(1+'LTFP Assumptions'!$K12)</f>
        <v>0</v>
      </c>
      <c r="L159" s="608">
        <f>K159*(1+'LTFP Assumptions'!$K12)</f>
        <v>0</v>
      </c>
      <c r="M159" s="608">
        <f>L159*(1+'LTFP Assumptions'!$K12)</f>
        <v>0</v>
      </c>
      <c r="N159" s="608">
        <f>M159*(1+'LTFP Assumptions'!$K12)</f>
        <v>0</v>
      </c>
      <c r="O159" s="608">
        <f>N159*(1+'LTFP Assumptions'!$K12)</f>
        <v>0</v>
      </c>
      <c r="P159" s="608">
        <f>O159*(1+'LTFP Assumptions'!$K12)</f>
        <v>0</v>
      </c>
    </row>
    <row r="160" spans="1:16" ht="11.25" x14ac:dyDescent="0.2">
      <c r="A160" s="607" t="s">
        <v>63</v>
      </c>
      <c r="B160" s="606"/>
      <c r="C160" s="606"/>
      <c r="D160" s="606">
        <f t="shared" ref="D160:J162" si="56">D91</f>
        <v>0</v>
      </c>
      <c r="E160" s="606">
        <f t="shared" si="56"/>
        <v>0</v>
      </c>
      <c r="F160" s="606">
        <f t="shared" si="56"/>
        <v>0</v>
      </c>
      <c r="G160" s="606">
        <f t="shared" si="56"/>
        <v>0</v>
      </c>
      <c r="H160" s="606">
        <f t="shared" si="56"/>
        <v>0</v>
      </c>
      <c r="I160" s="606">
        <f t="shared" si="56"/>
        <v>0</v>
      </c>
      <c r="J160" s="606">
        <f t="shared" si="56"/>
        <v>0</v>
      </c>
    </row>
    <row r="161" spans="1:16" ht="11.25" x14ac:dyDescent="0.2">
      <c r="A161" s="764" t="s">
        <v>74</v>
      </c>
      <c r="B161" s="765">
        <f>+B19</f>
        <v>0</v>
      </c>
      <c r="C161" s="765">
        <f>+C19</f>
        <v>0</v>
      </c>
      <c r="D161" s="606">
        <f t="shared" si="56"/>
        <v>0</v>
      </c>
      <c r="E161" s="606">
        <f t="shared" si="56"/>
        <v>0</v>
      </c>
      <c r="F161" s="606">
        <f t="shared" si="56"/>
        <v>0</v>
      </c>
      <c r="G161" s="606">
        <f t="shared" si="56"/>
        <v>0</v>
      </c>
      <c r="H161" s="606">
        <f t="shared" si="56"/>
        <v>0</v>
      </c>
      <c r="I161" s="606">
        <f t="shared" si="56"/>
        <v>0</v>
      </c>
      <c r="J161" s="606">
        <f t="shared" si="56"/>
        <v>0</v>
      </c>
      <c r="K161" s="765">
        <f t="shared" ref="K161:P162" si="57">+K19</f>
        <v>0</v>
      </c>
      <c r="L161" s="765">
        <f t="shared" si="57"/>
        <v>0</v>
      </c>
      <c r="M161" s="765">
        <f t="shared" si="57"/>
        <v>0</v>
      </c>
      <c r="N161" s="765">
        <f t="shared" si="57"/>
        <v>0</v>
      </c>
      <c r="O161" s="765">
        <f t="shared" si="57"/>
        <v>0</v>
      </c>
      <c r="P161" s="765">
        <f t="shared" si="57"/>
        <v>0</v>
      </c>
    </row>
    <row r="162" spans="1:16" ht="11.25" x14ac:dyDescent="0.2">
      <c r="A162" s="758" t="s">
        <v>1047</v>
      </c>
      <c r="B162" s="765"/>
      <c r="C162" s="765"/>
      <c r="D162" s="606">
        <f t="shared" si="56"/>
        <v>0</v>
      </c>
      <c r="E162" s="606">
        <f t="shared" si="56"/>
        <v>0</v>
      </c>
      <c r="F162" s="606">
        <f t="shared" si="56"/>
        <v>0</v>
      </c>
      <c r="G162" s="606">
        <f t="shared" si="56"/>
        <v>0</v>
      </c>
      <c r="H162" s="606">
        <f t="shared" si="56"/>
        <v>0</v>
      </c>
      <c r="I162" s="606">
        <f t="shared" si="56"/>
        <v>0</v>
      </c>
      <c r="J162" s="606">
        <f t="shared" si="56"/>
        <v>0</v>
      </c>
      <c r="K162" s="765">
        <f t="shared" si="57"/>
        <v>0</v>
      </c>
      <c r="L162" s="765">
        <f t="shared" si="57"/>
        <v>0</v>
      </c>
      <c r="M162" s="765">
        <f t="shared" si="57"/>
        <v>0</v>
      </c>
      <c r="N162" s="765">
        <f t="shared" si="57"/>
        <v>0</v>
      </c>
      <c r="O162" s="765">
        <f t="shared" si="57"/>
        <v>0</v>
      </c>
      <c r="P162" s="765">
        <f t="shared" si="57"/>
        <v>0</v>
      </c>
    </row>
    <row r="163" spans="1:16" ht="11.25" x14ac:dyDescent="0.2">
      <c r="A163" s="604" t="s">
        <v>64</v>
      </c>
      <c r="B163" s="766">
        <f>SUM(B153:B161)</f>
        <v>0</v>
      </c>
      <c r="C163" s="766">
        <f>SUM(C153:C161)</f>
        <v>0</v>
      </c>
      <c r="D163" s="767">
        <f t="shared" ref="D163:P163" si="58">SUM(D153:D162)</f>
        <v>0</v>
      </c>
      <c r="E163" s="767">
        <f t="shared" si="58"/>
        <v>1259</v>
      </c>
      <c r="F163" s="767">
        <f t="shared" si="58"/>
        <v>3052.3029999999999</v>
      </c>
      <c r="G163" s="767">
        <f t="shared" si="58"/>
        <v>3203.3</v>
      </c>
      <c r="H163" s="767">
        <f t="shared" si="58"/>
        <v>3097.5430000000001</v>
      </c>
      <c r="I163" s="767">
        <f t="shared" si="58"/>
        <v>3174.7330000000002</v>
      </c>
      <c r="J163" s="767">
        <f t="shared" si="58"/>
        <v>3254.1529999999998</v>
      </c>
      <c r="K163" s="767">
        <f t="shared" si="58"/>
        <v>3383.7007799999997</v>
      </c>
      <c r="L163" s="767">
        <f t="shared" si="58"/>
        <v>3449.0255147999997</v>
      </c>
      <c r="M163" s="767">
        <f t="shared" si="58"/>
        <v>3516.2527037760001</v>
      </c>
      <c r="N163" s="767">
        <f t="shared" si="58"/>
        <v>3585.4431346720799</v>
      </c>
      <c r="O163" s="767">
        <f t="shared" si="58"/>
        <v>3656.6596875420651</v>
      </c>
      <c r="P163" s="767">
        <f t="shared" si="58"/>
        <v>3729.9674106681668</v>
      </c>
    </row>
    <row r="166" spans="1:16" x14ac:dyDescent="0.2">
      <c r="A166" s="604" t="s">
        <v>65</v>
      </c>
    </row>
    <row r="167" spans="1:16" x14ac:dyDescent="0.2">
      <c r="A167" s="600" t="s">
        <v>25</v>
      </c>
      <c r="B167" s="606">
        <f>+B23</f>
        <v>0</v>
      </c>
      <c r="C167" s="606">
        <f>+C23</f>
        <v>0</v>
      </c>
      <c r="D167" s="606">
        <f t="shared" ref="D167:J174" si="59">D98</f>
        <v>0</v>
      </c>
      <c r="E167" s="606">
        <f t="shared" si="59"/>
        <v>0</v>
      </c>
      <c r="F167" s="606">
        <f t="shared" si="59"/>
        <v>80</v>
      </c>
      <c r="G167" s="606">
        <f t="shared" si="59"/>
        <v>81.424000000000007</v>
      </c>
      <c r="H167" s="606">
        <f t="shared" si="59"/>
        <v>83.866</v>
      </c>
      <c r="I167" s="606">
        <f t="shared" si="59"/>
        <v>86.382000000000005</v>
      </c>
      <c r="J167" s="606">
        <f t="shared" si="59"/>
        <v>88.974000000000004</v>
      </c>
      <c r="K167" s="606">
        <f>J167*(1+'LTFP Assumptions'!$K9)</f>
        <v>91.643219999999999</v>
      </c>
      <c r="L167" s="606">
        <f>K167*(1+'LTFP Assumptions'!$K9)</f>
        <v>94.392516600000008</v>
      </c>
      <c r="M167" s="606">
        <f>L167*(1+'LTFP Assumptions'!$K9)</f>
        <v>97.224292098000006</v>
      </c>
      <c r="N167" s="606">
        <f>M167*(1+'LTFP Assumptions'!$K9)</f>
        <v>100.14102086094</v>
      </c>
      <c r="O167" s="606">
        <f>N167*(1+'LTFP Assumptions'!$K9)</f>
        <v>103.1452514867682</v>
      </c>
      <c r="P167" s="606">
        <f>O167*(1+'LTFP Assumptions'!$K9)</f>
        <v>106.23960903137124</v>
      </c>
    </row>
    <row r="168" spans="1:16" x14ac:dyDescent="0.2">
      <c r="A168" s="600" t="s">
        <v>926</v>
      </c>
      <c r="B168" s="606"/>
      <c r="C168" s="606"/>
      <c r="D168" s="606">
        <f t="shared" si="59"/>
        <v>0</v>
      </c>
      <c r="E168" s="606">
        <f t="shared" si="59"/>
        <v>174</v>
      </c>
      <c r="F168" s="606">
        <f t="shared" si="59"/>
        <v>908.23500000000001</v>
      </c>
      <c r="G168" s="606">
        <f t="shared" si="59"/>
        <v>908.23500000000001</v>
      </c>
      <c r="H168" s="606">
        <f t="shared" si="59"/>
        <v>908.23500000000001</v>
      </c>
      <c r="I168" s="606">
        <f t="shared" si="59"/>
        <v>908.23500000000001</v>
      </c>
      <c r="J168" s="606">
        <f t="shared" si="59"/>
        <v>908.23500000000001</v>
      </c>
      <c r="K168" s="717">
        <f>'Future Fund  Inc Exp Statement'!J168+(('Future Fund  Bal Sheet'!K118+'Future Fund  Bal Sheet'!K124)-('Future Fund  Bal Sheet'!J118+'Future Fund  Bal Sheet'!J124))*'LTFP Assumptions'!$K$18</f>
        <v>908.23500000000001</v>
      </c>
      <c r="L168" s="717">
        <f>'Future Fund  Inc Exp Statement'!K168+(('Future Fund  Bal Sheet'!L118+'Future Fund  Bal Sheet'!L124)-('Future Fund  Bal Sheet'!K118+'Future Fund  Bal Sheet'!K124))*'LTFP Assumptions'!$K$18</f>
        <v>908.23500000000001</v>
      </c>
      <c r="M168" s="717">
        <f>'Future Fund  Inc Exp Statement'!L168+(('Future Fund  Bal Sheet'!M118+'Future Fund  Bal Sheet'!M124)-('Future Fund  Bal Sheet'!L118+'Future Fund  Bal Sheet'!L124))*'LTFP Assumptions'!$K$18</f>
        <v>908.23500000000001</v>
      </c>
      <c r="N168" s="717">
        <f>'Future Fund  Inc Exp Statement'!M168+(('Future Fund  Bal Sheet'!N118+'Future Fund  Bal Sheet'!N124)-('Future Fund  Bal Sheet'!M118+'Future Fund  Bal Sheet'!M124))*'LTFP Assumptions'!$K$18</f>
        <v>908.23500000000001</v>
      </c>
      <c r="O168" s="717">
        <f>'Future Fund  Inc Exp Statement'!N168+(('Future Fund  Bal Sheet'!O118+'Future Fund  Bal Sheet'!O124)-('Future Fund  Bal Sheet'!N118+'Future Fund  Bal Sheet'!N124))*'LTFP Assumptions'!$K$18</f>
        <v>908.23500000000001</v>
      </c>
      <c r="P168" s="717">
        <f>'Future Fund  Inc Exp Statement'!O168+(('Future Fund  Bal Sheet'!P118+'Future Fund  Bal Sheet'!P124)-('Future Fund  Bal Sheet'!O118+'Future Fund  Bal Sheet'!O124))*'LTFP Assumptions'!$K$18</f>
        <v>908.23500000000001</v>
      </c>
    </row>
    <row r="169" spans="1:16" x14ac:dyDescent="0.2">
      <c r="A169" s="600" t="s">
        <v>27</v>
      </c>
      <c r="B169" s="606">
        <f>+B25</f>
        <v>0</v>
      </c>
      <c r="C169" s="606">
        <f>+C25</f>
        <v>0</v>
      </c>
      <c r="D169" s="606">
        <f t="shared" si="59"/>
        <v>0</v>
      </c>
      <c r="E169" s="606">
        <f t="shared" si="59"/>
        <v>332</v>
      </c>
      <c r="F169" s="606">
        <f t="shared" si="59"/>
        <v>577.15</v>
      </c>
      <c r="G169" s="606">
        <f t="shared" si="59"/>
        <v>563.57500000000005</v>
      </c>
      <c r="H169" s="606">
        <f t="shared" si="59"/>
        <v>545.53099999999995</v>
      </c>
      <c r="I169" s="606">
        <f t="shared" si="59"/>
        <v>556.71600000000001</v>
      </c>
      <c r="J169" s="606">
        <f t="shared" si="59"/>
        <v>568.15800000000002</v>
      </c>
      <c r="K169" s="606">
        <f>J169*(1+'LTFP Assumptions'!$K$13)</f>
        <v>579.52116000000001</v>
      </c>
      <c r="L169" s="606">
        <f>K169*(1+'LTFP Assumptions'!$K13)</f>
        <v>591.11158320000004</v>
      </c>
      <c r="M169" s="606">
        <f>L169*(1+'LTFP Assumptions'!$K13)</f>
        <v>602.93381486400006</v>
      </c>
      <c r="N169" s="606">
        <f>M169*(1+'LTFP Assumptions'!$K13)</f>
        <v>614.9924911612801</v>
      </c>
      <c r="O169" s="606">
        <f>N169*(1+'LTFP Assumptions'!$K13)</f>
        <v>627.2923409845057</v>
      </c>
      <c r="P169" s="606">
        <f>O169*(1+'LTFP Assumptions'!$K13)</f>
        <v>639.83818780419585</v>
      </c>
    </row>
    <row r="170" spans="1:16" x14ac:dyDescent="0.2">
      <c r="A170" s="600" t="s">
        <v>1077</v>
      </c>
      <c r="B170" s="606"/>
      <c r="C170" s="606"/>
      <c r="D170" s="606">
        <f t="shared" si="59"/>
        <v>0</v>
      </c>
      <c r="E170" s="606">
        <f t="shared" si="59"/>
        <v>0</v>
      </c>
      <c r="F170" s="606">
        <f t="shared" si="59"/>
        <v>1000</v>
      </c>
      <c r="G170" s="606">
        <f t="shared" si="59"/>
        <v>1100</v>
      </c>
      <c r="H170" s="606">
        <f t="shared" si="59"/>
        <v>1200</v>
      </c>
      <c r="I170" s="606">
        <f t="shared" si="59"/>
        <v>1300</v>
      </c>
      <c r="J170" s="606">
        <f t="shared" si="59"/>
        <v>1400</v>
      </c>
      <c r="K170" s="606">
        <f>J170*(1+'LTFP Assumptions'!$K$13)</f>
        <v>1428</v>
      </c>
      <c r="L170" s="606">
        <f>K170*(1+'LTFP Assumptions'!$K14)</f>
        <v>1456.56</v>
      </c>
      <c r="M170" s="606">
        <f>L170*(1+'LTFP Assumptions'!$K14)</f>
        <v>1485.6912</v>
      </c>
      <c r="N170" s="606">
        <f>M170*(1+'LTFP Assumptions'!$K14)</f>
        <v>1515.4050239999999</v>
      </c>
      <c r="O170" s="606">
        <f>N170*(1+'LTFP Assumptions'!$K14)</f>
        <v>1545.71312448</v>
      </c>
      <c r="P170" s="606">
        <f>O170*(1+'LTFP Assumptions'!$K14)</f>
        <v>1576.6273869696001</v>
      </c>
    </row>
    <row r="171" spans="1:16" x14ac:dyDescent="0.2">
      <c r="A171" s="600" t="s">
        <v>29</v>
      </c>
      <c r="B171" s="606">
        <f>+B27</f>
        <v>0</v>
      </c>
      <c r="C171" s="606">
        <f>+C27</f>
        <v>0</v>
      </c>
      <c r="D171" s="606">
        <f t="shared" si="59"/>
        <v>0</v>
      </c>
      <c r="E171" s="606">
        <f t="shared" si="59"/>
        <v>14</v>
      </c>
      <c r="F171" s="606">
        <f t="shared" si="59"/>
        <v>0</v>
      </c>
      <c r="G171" s="606">
        <f t="shared" si="59"/>
        <v>269.68700000000001</v>
      </c>
      <c r="H171" s="606">
        <f t="shared" si="59"/>
        <v>275.995</v>
      </c>
      <c r="I171" s="606">
        <f t="shared" si="59"/>
        <v>280.65499999999997</v>
      </c>
      <c r="J171" s="606">
        <f t="shared" si="59"/>
        <v>289.06900000000002</v>
      </c>
      <c r="K171" s="606">
        <f>J171*(1+'LTFP Assumptions'!$K16)</f>
        <v>296.295725</v>
      </c>
      <c r="L171" s="606">
        <f>K171*(1+'LTFP Assumptions'!$K16)</f>
        <v>303.703118125</v>
      </c>
      <c r="M171" s="606">
        <f>L171*(1+'LTFP Assumptions'!$K16)</f>
        <v>311.29569607812499</v>
      </c>
      <c r="N171" s="606">
        <f>M171*(1+'LTFP Assumptions'!$K16)</f>
        <v>319.07808848007807</v>
      </c>
      <c r="O171" s="606">
        <f>N171*(1+'LTFP Assumptions'!$K16)</f>
        <v>327.05504069208001</v>
      </c>
      <c r="P171" s="606">
        <f>O171*(1+'LTFP Assumptions'!$K16)</f>
        <v>335.23141670938196</v>
      </c>
    </row>
    <row r="172" spans="1:16" x14ac:dyDescent="0.2">
      <c r="A172" s="600" t="str">
        <f>A103</f>
        <v>Impairment</v>
      </c>
      <c r="B172" s="606"/>
      <c r="C172" s="606"/>
      <c r="D172" s="606">
        <f t="shared" si="59"/>
        <v>0</v>
      </c>
      <c r="E172" s="606">
        <f t="shared" si="59"/>
        <v>0</v>
      </c>
      <c r="F172" s="606">
        <f t="shared" si="59"/>
        <v>0</v>
      </c>
      <c r="G172" s="606">
        <f t="shared" si="59"/>
        <v>0</v>
      </c>
      <c r="H172" s="606">
        <f t="shared" si="59"/>
        <v>0</v>
      </c>
      <c r="I172" s="606">
        <f t="shared" si="59"/>
        <v>0</v>
      </c>
      <c r="J172" s="606">
        <f t="shared" si="59"/>
        <v>0</v>
      </c>
      <c r="K172" s="606">
        <f t="shared" ref="K172:P173" si="60">+K28</f>
        <v>0</v>
      </c>
      <c r="L172" s="606">
        <f t="shared" si="60"/>
        <v>0</v>
      </c>
      <c r="M172" s="606">
        <f t="shared" si="60"/>
        <v>0</v>
      </c>
      <c r="N172" s="606">
        <f t="shared" si="60"/>
        <v>0</v>
      </c>
      <c r="O172" s="606">
        <f t="shared" si="60"/>
        <v>0</v>
      </c>
      <c r="P172" s="606">
        <f t="shared" si="60"/>
        <v>0</v>
      </c>
    </row>
    <row r="173" spans="1:16" x14ac:dyDescent="0.2">
      <c r="A173" s="600" t="str">
        <f>A104</f>
        <v>Net Losses from the disposal of assets</v>
      </c>
      <c r="B173" s="606"/>
      <c r="C173" s="606"/>
      <c r="D173" s="606">
        <f t="shared" si="59"/>
        <v>0</v>
      </c>
      <c r="E173" s="606">
        <f t="shared" si="59"/>
        <v>0</v>
      </c>
      <c r="F173" s="606">
        <f t="shared" si="59"/>
        <v>0</v>
      </c>
      <c r="G173" s="606">
        <f t="shared" si="59"/>
        <v>0</v>
      </c>
      <c r="H173" s="606">
        <f t="shared" si="59"/>
        <v>0</v>
      </c>
      <c r="I173" s="606">
        <f t="shared" si="59"/>
        <v>0</v>
      </c>
      <c r="J173" s="606">
        <f t="shared" si="59"/>
        <v>0</v>
      </c>
      <c r="K173" s="606">
        <f t="shared" si="60"/>
        <v>0</v>
      </c>
      <c r="L173" s="606">
        <f t="shared" si="60"/>
        <v>0</v>
      </c>
      <c r="M173" s="606">
        <f t="shared" si="60"/>
        <v>0</v>
      </c>
      <c r="N173" s="606">
        <f t="shared" si="60"/>
        <v>0</v>
      </c>
      <c r="O173" s="606">
        <f t="shared" si="60"/>
        <v>0</v>
      </c>
      <c r="P173" s="606">
        <f t="shared" si="60"/>
        <v>0</v>
      </c>
    </row>
    <row r="174" spans="1:16" x14ac:dyDescent="0.2">
      <c r="A174" s="614" t="s">
        <v>28</v>
      </c>
      <c r="B174" s="606">
        <f>+B30</f>
        <v>0</v>
      </c>
      <c r="C174" s="606">
        <f>+C30</f>
        <v>0</v>
      </c>
      <c r="D174" s="606">
        <f t="shared" si="59"/>
        <v>0</v>
      </c>
      <c r="E174" s="606">
        <f t="shared" si="59"/>
        <v>2689</v>
      </c>
      <c r="F174" s="606">
        <f t="shared" si="59"/>
        <v>359.04300000000001</v>
      </c>
      <c r="G174" s="606">
        <f t="shared" si="59"/>
        <v>379.6</v>
      </c>
      <c r="H174" s="606">
        <f t="shared" si="59"/>
        <v>379.69600000000003</v>
      </c>
      <c r="I174" s="606">
        <f t="shared" si="59"/>
        <v>387.221</v>
      </c>
      <c r="J174" s="606">
        <f t="shared" si="59"/>
        <v>394.90300000000002</v>
      </c>
      <c r="K174" s="606">
        <f>J174*(1+'LTFP Assumptions'!$K14)</f>
        <v>402.80106000000001</v>
      </c>
      <c r="L174" s="606">
        <f>K174*(1+'LTFP Assumptions'!$K14)</f>
        <v>410.85708120000004</v>
      </c>
      <c r="M174" s="606">
        <f>L174*(1+'LTFP Assumptions'!$K14)</f>
        <v>419.07422282400006</v>
      </c>
      <c r="N174" s="606">
        <f>M174*(1+'LTFP Assumptions'!$K14)</f>
        <v>427.45570728048006</v>
      </c>
      <c r="O174" s="606">
        <f>N174*(1+'LTFP Assumptions'!$K14)</f>
        <v>436.00482142608968</v>
      </c>
      <c r="P174" s="606">
        <f>O174*(1+'LTFP Assumptions'!$K14)</f>
        <v>444.72491785461148</v>
      </c>
    </row>
    <row r="175" spans="1:16" x14ac:dyDescent="0.2">
      <c r="A175" s="604" t="s">
        <v>66</v>
      </c>
      <c r="B175" s="610">
        <f>SUM(B167:B174)</f>
        <v>0</v>
      </c>
      <c r="C175" s="610">
        <f t="shared" ref="C175:P175" si="61">SUM(C167:C174)</f>
        <v>0</v>
      </c>
      <c r="D175" s="610">
        <f t="shared" si="61"/>
        <v>0</v>
      </c>
      <c r="E175" s="610">
        <f t="shared" si="61"/>
        <v>3209</v>
      </c>
      <c r="F175" s="610">
        <f t="shared" si="61"/>
        <v>2924.4280000000003</v>
      </c>
      <c r="G175" s="610">
        <f t="shared" si="61"/>
        <v>3302.5209999999997</v>
      </c>
      <c r="H175" s="610">
        <f t="shared" si="61"/>
        <v>3393.3229999999999</v>
      </c>
      <c r="I175" s="610">
        <f t="shared" si="61"/>
        <v>3519.2090000000003</v>
      </c>
      <c r="J175" s="610">
        <f t="shared" si="61"/>
        <v>3649.3389999999999</v>
      </c>
      <c r="K175" s="610">
        <f t="shared" si="61"/>
        <v>3706.4961649999996</v>
      </c>
      <c r="L175" s="610">
        <f t="shared" si="61"/>
        <v>3764.8592991249998</v>
      </c>
      <c r="M175" s="610">
        <f t="shared" si="61"/>
        <v>3824.454225864125</v>
      </c>
      <c r="N175" s="610">
        <f t="shared" si="61"/>
        <v>3885.307331782778</v>
      </c>
      <c r="O175" s="610">
        <f t="shared" si="61"/>
        <v>3947.4455790694437</v>
      </c>
      <c r="P175" s="610">
        <f t="shared" si="61"/>
        <v>4010.8965183691607</v>
      </c>
    </row>
    <row r="177" spans="1:16" ht="10.8" thickBot="1" x14ac:dyDescent="0.25">
      <c r="A177" s="604" t="s">
        <v>67</v>
      </c>
      <c r="B177" s="636">
        <f t="shared" ref="B177:P177" si="62">+B163-B175</f>
        <v>0</v>
      </c>
      <c r="C177" s="636">
        <f t="shared" si="62"/>
        <v>0</v>
      </c>
      <c r="D177" s="636">
        <f t="shared" si="62"/>
        <v>0</v>
      </c>
      <c r="E177" s="636">
        <f t="shared" si="62"/>
        <v>-1950</v>
      </c>
      <c r="F177" s="636">
        <f t="shared" si="62"/>
        <v>127.87499999999955</v>
      </c>
      <c r="G177" s="636">
        <f t="shared" si="62"/>
        <v>-99.220999999999549</v>
      </c>
      <c r="H177" s="636">
        <f t="shared" si="62"/>
        <v>-295.77999999999975</v>
      </c>
      <c r="I177" s="636">
        <f t="shared" si="62"/>
        <v>-344.47600000000011</v>
      </c>
      <c r="J177" s="636">
        <f t="shared" si="62"/>
        <v>-395.18600000000015</v>
      </c>
      <c r="K177" s="636">
        <f t="shared" si="62"/>
        <v>-322.7953849999999</v>
      </c>
      <c r="L177" s="636">
        <f t="shared" si="62"/>
        <v>-315.83378432500012</v>
      </c>
      <c r="M177" s="636">
        <f t="shared" si="62"/>
        <v>-308.20152208812488</v>
      </c>
      <c r="N177" s="636">
        <f t="shared" si="62"/>
        <v>-299.86419711069811</v>
      </c>
      <c r="O177" s="636">
        <f t="shared" si="62"/>
        <v>-290.78589152737868</v>
      </c>
      <c r="P177" s="636">
        <f t="shared" si="62"/>
        <v>-280.92910770099388</v>
      </c>
    </row>
    <row r="178" spans="1:16" x14ac:dyDescent="0.2">
      <c r="A178" s="616"/>
      <c r="B178" s="621"/>
      <c r="C178" s="621"/>
      <c r="D178" s="621"/>
      <c r="E178" s="621"/>
      <c r="F178" s="621"/>
      <c r="G178" s="621"/>
      <c r="H178" s="621"/>
      <c r="I178" s="621"/>
      <c r="J178" s="621"/>
      <c r="K178" s="621"/>
      <c r="L178" s="621"/>
      <c r="M178" s="621"/>
      <c r="N178" s="621"/>
      <c r="O178" s="621"/>
      <c r="P178" s="621"/>
    </row>
    <row r="179" spans="1:16" x14ac:dyDescent="0.2">
      <c r="A179" s="604" t="s">
        <v>75</v>
      </c>
      <c r="B179" s="621"/>
      <c r="C179" s="621"/>
      <c r="D179" s="621"/>
      <c r="E179" s="621"/>
      <c r="F179" s="621"/>
      <c r="G179" s="621"/>
      <c r="H179" s="621"/>
      <c r="I179" s="621"/>
      <c r="J179" s="621"/>
      <c r="K179" s="621"/>
      <c r="L179" s="621"/>
      <c r="M179" s="621"/>
      <c r="N179" s="621"/>
      <c r="O179" s="621"/>
      <c r="P179" s="621"/>
    </row>
    <row r="180" spans="1:16" x14ac:dyDescent="0.2">
      <c r="A180" s="614" t="s">
        <v>322</v>
      </c>
      <c r="B180" s="617">
        <v>0</v>
      </c>
      <c r="C180" s="617">
        <v>0</v>
      </c>
      <c r="D180" s="617">
        <v>0</v>
      </c>
      <c r="E180" s="617">
        <v>0</v>
      </c>
      <c r="F180" s="617">
        <v>0</v>
      </c>
      <c r="G180" s="617">
        <v>0</v>
      </c>
      <c r="H180" s="617">
        <v>0</v>
      </c>
      <c r="I180" s="617">
        <v>0</v>
      </c>
      <c r="J180" s="617">
        <v>0</v>
      </c>
      <c r="K180" s="617">
        <v>0</v>
      </c>
      <c r="L180" s="617">
        <v>0</v>
      </c>
      <c r="M180" s="617">
        <v>0</v>
      </c>
      <c r="N180" s="617">
        <v>0</v>
      </c>
      <c r="O180" s="617">
        <v>0</v>
      </c>
      <c r="P180" s="617">
        <v>0</v>
      </c>
    </row>
    <row r="181" spans="1:16" x14ac:dyDescent="0.2">
      <c r="B181" s="621"/>
      <c r="C181" s="621"/>
      <c r="D181" s="621"/>
      <c r="E181" s="621"/>
      <c r="F181" s="621"/>
      <c r="G181" s="621"/>
      <c r="H181" s="621"/>
      <c r="I181" s="621"/>
      <c r="J181" s="621"/>
      <c r="K181" s="621"/>
      <c r="L181" s="621"/>
      <c r="M181" s="621"/>
      <c r="N181" s="621"/>
      <c r="O181" s="621"/>
      <c r="P181" s="621"/>
    </row>
    <row r="182" spans="1:16" x14ac:dyDescent="0.2">
      <c r="A182" s="618" t="s">
        <v>76</v>
      </c>
      <c r="B182" s="634">
        <f>+B177+B180</f>
        <v>0</v>
      </c>
      <c r="C182" s="634">
        <f>+C177+C180</f>
        <v>0</v>
      </c>
      <c r="D182" s="634">
        <f>+D177+D180</f>
        <v>0</v>
      </c>
      <c r="E182" s="634">
        <f t="shared" ref="E182:P182" si="63">+E177+E180</f>
        <v>-1950</v>
      </c>
      <c r="F182" s="634">
        <f t="shared" si="63"/>
        <v>127.87499999999955</v>
      </c>
      <c r="G182" s="634">
        <f t="shared" si="63"/>
        <v>-99.220999999999549</v>
      </c>
      <c r="H182" s="634">
        <f t="shared" si="63"/>
        <v>-295.77999999999975</v>
      </c>
      <c r="I182" s="634">
        <f t="shared" si="63"/>
        <v>-344.47600000000011</v>
      </c>
      <c r="J182" s="634">
        <f t="shared" si="63"/>
        <v>-395.18600000000015</v>
      </c>
      <c r="K182" s="634">
        <f t="shared" si="63"/>
        <v>-322.7953849999999</v>
      </c>
      <c r="L182" s="634">
        <f t="shared" si="63"/>
        <v>-315.83378432500012</v>
      </c>
      <c r="M182" s="634">
        <f t="shared" si="63"/>
        <v>-308.20152208812488</v>
      </c>
      <c r="N182" s="634">
        <f t="shared" si="63"/>
        <v>-299.86419711069811</v>
      </c>
      <c r="O182" s="634">
        <f t="shared" si="63"/>
        <v>-290.78589152737868</v>
      </c>
      <c r="P182" s="634">
        <f t="shared" si="63"/>
        <v>-280.92910770099388</v>
      </c>
    </row>
    <row r="183" spans="1:16" x14ac:dyDescent="0.2">
      <c r="B183" s="621"/>
      <c r="C183" s="621"/>
      <c r="D183" s="621"/>
      <c r="E183" s="621"/>
      <c r="F183" s="621"/>
      <c r="G183" s="621"/>
      <c r="H183" s="621"/>
      <c r="I183" s="621"/>
      <c r="J183" s="621"/>
      <c r="K183" s="621"/>
      <c r="L183" s="621"/>
      <c r="M183" s="621"/>
      <c r="N183" s="621"/>
      <c r="O183" s="621"/>
      <c r="P183" s="621"/>
    </row>
    <row r="184" spans="1:16" s="601" customFormat="1" x14ac:dyDescent="0.2">
      <c r="A184" s="733" t="s">
        <v>77</v>
      </c>
      <c r="B184" s="715">
        <f>+B182</f>
        <v>0</v>
      </c>
      <c r="C184" s="734">
        <f>+C179+C182</f>
        <v>0</v>
      </c>
      <c r="D184" s="715">
        <f>+D182</f>
        <v>0</v>
      </c>
      <c r="E184" s="734">
        <f t="shared" ref="E184:P184" si="64">+E179+E182</f>
        <v>-1950</v>
      </c>
      <c r="F184" s="734">
        <f t="shared" si="64"/>
        <v>127.87499999999955</v>
      </c>
      <c r="G184" s="734">
        <f t="shared" si="64"/>
        <v>-99.220999999999549</v>
      </c>
      <c r="H184" s="734">
        <f t="shared" si="64"/>
        <v>-295.77999999999975</v>
      </c>
      <c r="I184" s="734">
        <f t="shared" si="64"/>
        <v>-344.47600000000011</v>
      </c>
      <c r="J184" s="734">
        <f t="shared" si="64"/>
        <v>-395.18600000000015</v>
      </c>
      <c r="K184" s="734">
        <f t="shared" si="64"/>
        <v>-322.7953849999999</v>
      </c>
      <c r="L184" s="734">
        <f t="shared" si="64"/>
        <v>-315.83378432500012</v>
      </c>
      <c r="M184" s="734">
        <f t="shared" si="64"/>
        <v>-308.20152208812488</v>
      </c>
      <c r="N184" s="734">
        <f t="shared" si="64"/>
        <v>-299.86419711069811</v>
      </c>
      <c r="O184" s="734">
        <f t="shared" si="64"/>
        <v>-290.78589152737868</v>
      </c>
      <c r="P184" s="734">
        <f t="shared" si="64"/>
        <v>-280.92910770099388</v>
      </c>
    </row>
    <row r="185" spans="1:16" s="601" customFormat="1" ht="10.5" customHeight="1" thickBot="1" x14ac:dyDescent="0.25">
      <c r="A185" s="739" t="s">
        <v>78</v>
      </c>
      <c r="B185" s="735">
        <v>0</v>
      </c>
      <c r="C185" s="735">
        <v>0</v>
      </c>
      <c r="D185" s="735">
        <v>0</v>
      </c>
      <c r="E185" s="735">
        <v>0</v>
      </c>
      <c r="F185" s="735"/>
      <c r="G185" s="735">
        <v>0</v>
      </c>
      <c r="H185" s="735">
        <v>0</v>
      </c>
      <c r="I185" s="735">
        <v>0</v>
      </c>
      <c r="J185" s="735">
        <v>0</v>
      </c>
      <c r="K185" s="735">
        <v>0</v>
      </c>
      <c r="L185" s="735">
        <v>0</v>
      </c>
      <c r="M185" s="735">
        <v>0</v>
      </c>
      <c r="N185" s="735">
        <v>0</v>
      </c>
      <c r="O185" s="735">
        <v>0</v>
      </c>
      <c r="P185" s="735">
        <v>0</v>
      </c>
    </row>
    <row r="186" spans="1:16" ht="3.75" customHeight="1" thickTop="1" x14ac:dyDescent="0.2">
      <c r="A186" s="726"/>
      <c r="B186" s="714"/>
      <c r="C186" s="714"/>
      <c r="D186" s="710"/>
      <c r="E186" s="710"/>
      <c r="F186" s="710"/>
      <c r="G186" s="710"/>
      <c r="H186" s="710"/>
      <c r="I186" s="710"/>
      <c r="J186" s="710"/>
      <c r="K186" s="710"/>
      <c r="L186" s="710"/>
      <c r="M186" s="710"/>
      <c r="N186" s="710"/>
      <c r="O186" s="710"/>
      <c r="P186" s="710"/>
    </row>
    <row r="187" spans="1:16" ht="31.5" customHeight="1" thickBot="1" x14ac:dyDescent="0.25">
      <c r="A187" s="705" t="s">
        <v>79</v>
      </c>
      <c r="B187" s="736">
        <f>+B182-B160-B162</f>
        <v>0</v>
      </c>
      <c r="C187" s="736">
        <f>+C182-C160-C162</f>
        <v>0</v>
      </c>
      <c r="D187" s="736">
        <f>+D182-D158-D161</f>
        <v>0</v>
      </c>
      <c r="E187" s="736">
        <f t="shared" ref="E187:P187" si="65">+E182-E158-E161</f>
        <v>-1950</v>
      </c>
      <c r="F187" s="736">
        <f t="shared" si="65"/>
        <v>127.87499999999955</v>
      </c>
      <c r="G187" s="736">
        <f t="shared" si="65"/>
        <v>-99.220999999999549</v>
      </c>
      <c r="H187" s="736">
        <f t="shared" si="65"/>
        <v>-295.77999999999975</v>
      </c>
      <c r="I187" s="736">
        <f t="shared" si="65"/>
        <v>-344.47600000000011</v>
      </c>
      <c r="J187" s="736">
        <f t="shared" si="65"/>
        <v>-395.18600000000015</v>
      </c>
      <c r="K187" s="736">
        <f t="shared" si="65"/>
        <v>-322.7953849999999</v>
      </c>
      <c r="L187" s="736">
        <f t="shared" si="65"/>
        <v>-315.83378432500012</v>
      </c>
      <c r="M187" s="736">
        <f t="shared" si="65"/>
        <v>-308.20152208812488</v>
      </c>
      <c r="N187" s="736">
        <f t="shared" si="65"/>
        <v>-299.86419711069811</v>
      </c>
      <c r="O187" s="736">
        <f t="shared" si="65"/>
        <v>-290.78589152737868</v>
      </c>
      <c r="P187" s="736">
        <f t="shared" si="65"/>
        <v>-280.92910770099388</v>
      </c>
    </row>
    <row r="188" spans="1:16" ht="4.5" customHeight="1" thickTop="1" x14ac:dyDescent="0.2">
      <c r="A188" s="705"/>
      <c r="B188" s="734"/>
      <c r="C188" s="734"/>
      <c r="D188" s="734"/>
      <c r="E188" s="734"/>
      <c r="F188" s="734"/>
      <c r="G188" s="734"/>
      <c r="H188" s="734"/>
      <c r="I188" s="734"/>
      <c r="J188" s="734"/>
      <c r="K188" s="734"/>
      <c r="L188" s="734"/>
      <c r="M188" s="734"/>
      <c r="N188" s="734"/>
      <c r="O188" s="734"/>
      <c r="P188" s="734"/>
    </row>
    <row r="189" spans="1:16" x14ac:dyDescent="0.2">
      <c r="A189" s="730" t="s">
        <v>76</v>
      </c>
      <c r="B189" s="732">
        <f t="shared" ref="B189:P189" si="66">B182</f>
        <v>0</v>
      </c>
      <c r="C189" s="732">
        <f t="shared" si="66"/>
        <v>0</v>
      </c>
      <c r="D189" s="732">
        <f t="shared" si="66"/>
        <v>0</v>
      </c>
      <c r="E189" s="732">
        <f t="shared" si="66"/>
        <v>-1950</v>
      </c>
      <c r="F189" s="732">
        <f t="shared" si="66"/>
        <v>127.87499999999955</v>
      </c>
      <c r="G189" s="732">
        <f t="shared" si="66"/>
        <v>-99.220999999999549</v>
      </c>
      <c r="H189" s="732">
        <f t="shared" si="66"/>
        <v>-295.77999999999975</v>
      </c>
      <c r="I189" s="732">
        <f t="shared" si="66"/>
        <v>-344.47600000000011</v>
      </c>
      <c r="J189" s="732">
        <f t="shared" si="66"/>
        <v>-395.18600000000015</v>
      </c>
      <c r="K189" s="732">
        <f t="shared" si="66"/>
        <v>-322.7953849999999</v>
      </c>
      <c r="L189" s="732">
        <f t="shared" si="66"/>
        <v>-315.83378432500012</v>
      </c>
      <c r="M189" s="732">
        <f t="shared" si="66"/>
        <v>-308.20152208812488</v>
      </c>
      <c r="N189" s="732">
        <f t="shared" si="66"/>
        <v>-299.86419711069811</v>
      </c>
      <c r="O189" s="732">
        <f t="shared" si="66"/>
        <v>-290.78589152737868</v>
      </c>
      <c r="P189" s="732">
        <f t="shared" si="66"/>
        <v>-280.92910770099388</v>
      </c>
    </row>
    <row r="190" spans="1:16" ht="9.75" customHeight="1" x14ac:dyDescent="0.2">
      <c r="A190" s="737" t="s">
        <v>1015</v>
      </c>
      <c r="B190" s="734"/>
      <c r="C190" s="734"/>
      <c r="D190" s="734"/>
      <c r="E190" s="734"/>
      <c r="F190" s="734"/>
      <c r="G190" s="734"/>
      <c r="H190" s="734"/>
      <c r="I190" s="734"/>
      <c r="J190" s="734"/>
      <c r="K190" s="734"/>
      <c r="L190" s="734"/>
      <c r="M190" s="734"/>
      <c r="N190" s="734"/>
      <c r="O190" s="734"/>
      <c r="P190" s="734"/>
    </row>
    <row r="191" spans="1:16" x14ac:dyDescent="0.2">
      <c r="A191" s="705" t="s">
        <v>1014</v>
      </c>
      <c r="B191" s="734"/>
      <c r="C191" s="734"/>
      <c r="D191" s="734">
        <f>D47</f>
        <v>0</v>
      </c>
      <c r="E191" s="734"/>
      <c r="F191" s="734"/>
      <c r="G191" s="734"/>
      <c r="H191" s="734"/>
      <c r="I191" s="734"/>
      <c r="J191" s="734"/>
      <c r="K191" s="734"/>
      <c r="L191" s="734"/>
      <c r="M191" s="734"/>
      <c r="N191" s="734"/>
      <c r="O191" s="734"/>
      <c r="P191" s="734"/>
    </row>
    <row r="192" spans="1:16" ht="1.5" customHeight="1" x14ac:dyDescent="0.2">
      <c r="A192" s="705"/>
      <c r="B192" s="734"/>
      <c r="C192" s="734"/>
      <c r="D192" s="734"/>
      <c r="E192" s="734"/>
      <c r="F192" s="734"/>
      <c r="G192" s="734"/>
      <c r="H192" s="734"/>
      <c r="I192" s="734"/>
      <c r="J192" s="734"/>
      <c r="K192" s="734"/>
      <c r="L192" s="734"/>
      <c r="M192" s="734"/>
      <c r="N192" s="734"/>
      <c r="O192" s="734"/>
      <c r="P192" s="734"/>
    </row>
    <row r="193" spans="1:17" ht="10.8" thickBot="1" x14ac:dyDescent="0.25">
      <c r="A193" s="705" t="s">
        <v>309</v>
      </c>
      <c r="B193" s="738">
        <f t="shared" ref="B193:P193" si="67">SUM(B189:B192)</f>
        <v>0</v>
      </c>
      <c r="C193" s="738">
        <f t="shared" si="67"/>
        <v>0</v>
      </c>
      <c r="D193" s="738">
        <f t="shared" si="67"/>
        <v>0</v>
      </c>
      <c r="E193" s="738">
        <f t="shared" si="67"/>
        <v>-1950</v>
      </c>
      <c r="F193" s="738">
        <f t="shared" si="67"/>
        <v>127.87499999999955</v>
      </c>
      <c r="G193" s="738">
        <f t="shared" si="67"/>
        <v>-99.220999999999549</v>
      </c>
      <c r="H193" s="738">
        <f t="shared" si="67"/>
        <v>-295.77999999999975</v>
      </c>
      <c r="I193" s="738">
        <f t="shared" si="67"/>
        <v>-344.47600000000011</v>
      </c>
      <c r="J193" s="738">
        <f t="shared" si="67"/>
        <v>-395.18600000000015</v>
      </c>
      <c r="K193" s="738">
        <f t="shared" si="67"/>
        <v>-322.7953849999999</v>
      </c>
      <c r="L193" s="738">
        <f t="shared" si="67"/>
        <v>-315.83378432500012</v>
      </c>
      <c r="M193" s="738">
        <f t="shared" si="67"/>
        <v>-308.20152208812488</v>
      </c>
      <c r="N193" s="738">
        <f t="shared" si="67"/>
        <v>-299.86419711069811</v>
      </c>
      <c r="O193" s="738">
        <f t="shared" si="67"/>
        <v>-290.78589152737868</v>
      </c>
      <c r="P193" s="738">
        <f t="shared" si="67"/>
        <v>-280.92910770099388</v>
      </c>
    </row>
    <row r="194" spans="1:17" ht="10.8" thickTop="1" x14ac:dyDescent="0.2">
      <c r="A194" s="616"/>
      <c r="B194" s="621"/>
      <c r="C194" s="621"/>
      <c r="D194" s="621"/>
      <c r="E194" s="621"/>
      <c r="F194" s="621"/>
      <c r="G194" s="621"/>
      <c r="H194" s="621"/>
      <c r="I194" s="621"/>
      <c r="J194" s="621"/>
      <c r="K194" s="621"/>
      <c r="L194" s="621"/>
      <c r="M194" s="621"/>
      <c r="N194" s="621"/>
      <c r="O194" s="621"/>
      <c r="P194" s="621"/>
    </row>
    <row r="195" spans="1:17" ht="11.25" hidden="1" outlineLevel="1" x14ac:dyDescent="0.2">
      <c r="A195" s="604" t="s">
        <v>1081</v>
      </c>
      <c r="B195" s="621"/>
      <c r="C195" s="621"/>
      <c r="D195" s="606">
        <f t="shared" ref="D195:J199" si="68">D126</f>
        <v>0</v>
      </c>
      <c r="E195" s="606">
        <f t="shared" si="68"/>
        <v>0</v>
      </c>
      <c r="F195" s="606">
        <f t="shared" si="68"/>
        <v>10000</v>
      </c>
      <c r="G195" s="606">
        <f t="shared" si="68"/>
        <v>0</v>
      </c>
      <c r="H195" s="606">
        <f t="shared" si="68"/>
        <v>0</v>
      </c>
      <c r="I195" s="606">
        <f t="shared" si="68"/>
        <v>0</v>
      </c>
      <c r="J195" s="606">
        <f t="shared" si="68"/>
        <v>0</v>
      </c>
      <c r="K195" s="606">
        <f>J195*(1+'LTFP Assumptions'!$K$13)</f>
        <v>0</v>
      </c>
      <c r="L195" s="606">
        <f>K195*(1+'LTFP Assumptions'!$K$13)</f>
        <v>0</v>
      </c>
      <c r="M195" s="606">
        <f>L195*(1+'LTFP Assumptions'!$K$13)</f>
        <v>0</v>
      </c>
      <c r="N195" s="606">
        <f>M195*(1+'LTFP Assumptions'!$K$13)</f>
        <v>0</v>
      </c>
      <c r="O195" s="606">
        <f>N195*(1+'LTFP Assumptions'!$K$13)</f>
        <v>0</v>
      </c>
      <c r="P195" s="606">
        <f>O195*(1+'LTFP Assumptions'!$K$13)</f>
        <v>0</v>
      </c>
      <c r="Q195" s="599" t="s">
        <v>32</v>
      </c>
    </row>
    <row r="196" spans="1:17" ht="11.25" hidden="1" outlineLevel="1" x14ac:dyDescent="0.2">
      <c r="A196" s="817" t="s">
        <v>1111</v>
      </c>
      <c r="B196" s="621"/>
      <c r="C196" s="621"/>
      <c r="D196" s="606">
        <f t="shared" si="68"/>
        <v>0</v>
      </c>
      <c r="E196" s="606">
        <f t="shared" si="68"/>
        <v>0</v>
      </c>
      <c r="F196" s="606">
        <f t="shared" si="68"/>
        <v>0</v>
      </c>
      <c r="G196" s="606">
        <f t="shared" si="68"/>
        <v>0</v>
      </c>
      <c r="H196" s="606">
        <f t="shared" si="68"/>
        <v>0</v>
      </c>
      <c r="I196" s="606">
        <f t="shared" si="68"/>
        <v>0</v>
      </c>
      <c r="J196" s="606">
        <f t="shared" si="68"/>
        <v>0</v>
      </c>
      <c r="K196" s="606">
        <f>J196*(1+'LTFP Assumptions'!$K$13)</f>
        <v>0</v>
      </c>
      <c r="L196" s="606">
        <f>K196*(1+'LTFP Assumptions'!$K$13)</f>
        <v>0</v>
      </c>
      <c r="M196" s="606">
        <f>L196*(1+'LTFP Assumptions'!$K$13)</f>
        <v>0</v>
      </c>
      <c r="N196" s="606">
        <f>M196*(1+'LTFP Assumptions'!$K$13)</f>
        <v>0</v>
      </c>
      <c r="O196" s="606">
        <f>N196*(1+'LTFP Assumptions'!$K$13)</f>
        <v>0</v>
      </c>
      <c r="P196" s="606">
        <f>O196*(1+'LTFP Assumptions'!$K$13)</f>
        <v>0</v>
      </c>
    </row>
    <row r="197" spans="1:17" ht="11.25" hidden="1" outlineLevel="1" x14ac:dyDescent="0.2">
      <c r="A197" s="604" t="s">
        <v>1082</v>
      </c>
      <c r="B197" s="621"/>
      <c r="C197" s="621"/>
      <c r="D197" s="606">
        <f t="shared" si="68"/>
        <v>0</v>
      </c>
      <c r="E197" s="606">
        <f t="shared" si="68"/>
        <v>0</v>
      </c>
      <c r="F197" s="606">
        <f t="shared" si="68"/>
        <v>0</v>
      </c>
      <c r="G197" s="606">
        <f t="shared" si="68"/>
        <v>0</v>
      </c>
      <c r="H197" s="606">
        <f t="shared" si="68"/>
        <v>0</v>
      </c>
      <c r="I197" s="606">
        <f t="shared" si="68"/>
        <v>0</v>
      </c>
      <c r="J197" s="606">
        <f t="shared" si="68"/>
        <v>0</v>
      </c>
      <c r="K197" s="606">
        <f>J197*(1+'LTFP Assumptions'!$K$13)</f>
        <v>0</v>
      </c>
      <c r="L197" s="606">
        <f>K197*(1+'LTFP Assumptions'!$K$13)</f>
        <v>0</v>
      </c>
      <c r="M197" s="606">
        <f>L197*(1+'LTFP Assumptions'!$K$13)</f>
        <v>0</v>
      </c>
      <c r="N197" s="606">
        <f>M197*(1+'LTFP Assumptions'!$K$13)</f>
        <v>0</v>
      </c>
      <c r="O197" s="606">
        <f>N197*(1+'LTFP Assumptions'!$K$13)</f>
        <v>0</v>
      </c>
      <c r="P197" s="606">
        <f>O197*(1+'LTFP Assumptions'!$K$13)</f>
        <v>0</v>
      </c>
      <c r="Q197" s="599" t="s">
        <v>32</v>
      </c>
    </row>
    <row r="198" spans="1:17" ht="11.25" hidden="1" outlineLevel="1" x14ac:dyDescent="0.2">
      <c r="A198" s="604" t="s">
        <v>1083</v>
      </c>
      <c r="B198" s="621"/>
      <c r="C198" s="621"/>
      <c r="D198" s="606">
        <f t="shared" si="68"/>
        <v>0</v>
      </c>
      <c r="E198" s="606">
        <f t="shared" si="68"/>
        <v>0</v>
      </c>
      <c r="F198" s="606">
        <f t="shared" si="68"/>
        <v>0</v>
      </c>
      <c r="G198" s="606">
        <f t="shared" si="68"/>
        <v>0</v>
      </c>
      <c r="H198" s="606">
        <f t="shared" si="68"/>
        <v>0</v>
      </c>
      <c r="I198" s="606">
        <f t="shared" si="68"/>
        <v>0</v>
      </c>
      <c r="J198" s="606">
        <f t="shared" si="68"/>
        <v>0</v>
      </c>
      <c r="K198" s="606">
        <f>J198*(1+'LTFP Assumptions'!$K$13)</f>
        <v>0</v>
      </c>
      <c r="L198" s="606">
        <f>K198*(1+'LTFP Assumptions'!$K$13)</f>
        <v>0</v>
      </c>
      <c r="M198" s="606">
        <f>L198*(1+'LTFP Assumptions'!$K$13)</f>
        <v>0</v>
      </c>
      <c r="N198" s="606">
        <f>M198*(1+'LTFP Assumptions'!$K$13)</f>
        <v>0</v>
      </c>
      <c r="O198" s="606">
        <f>N198*(1+'LTFP Assumptions'!$K$13)</f>
        <v>0</v>
      </c>
      <c r="P198" s="606">
        <f>O198*(1+'LTFP Assumptions'!$K$13)</f>
        <v>0</v>
      </c>
    </row>
    <row r="199" spans="1:17" ht="11.25" hidden="1" outlineLevel="1" x14ac:dyDescent="0.2">
      <c r="A199" s="604" t="s">
        <v>1089</v>
      </c>
      <c r="B199" s="621"/>
      <c r="C199" s="621"/>
      <c r="D199" s="606">
        <f t="shared" si="68"/>
        <v>0</v>
      </c>
      <c r="E199" s="606">
        <f t="shared" si="68"/>
        <v>0</v>
      </c>
      <c r="F199" s="606">
        <f t="shared" si="68"/>
        <v>127.875</v>
      </c>
      <c r="G199" s="606">
        <f t="shared" si="68"/>
        <v>0</v>
      </c>
      <c r="H199" s="606">
        <f t="shared" si="68"/>
        <v>1500</v>
      </c>
      <c r="I199" s="606">
        <f t="shared" si="68"/>
        <v>0</v>
      </c>
      <c r="J199" s="606">
        <f t="shared" si="68"/>
        <v>0</v>
      </c>
      <c r="K199" s="606">
        <f>J199*(1+'LTFP Assumptions'!$K$13)</f>
        <v>0</v>
      </c>
      <c r="L199" s="606">
        <f>K199*(1+'LTFP Assumptions'!$K$13)</f>
        <v>0</v>
      </c>
      <c r="M199" s="606">
        <f>L199*(1+'LTFP Assumptions'!$K$13)</f>
        <v>0</v>
      </c>
      <c r="N199" s="606">
        <f>M199*(1+'LTFP Assumptions'!$K$13)</f>
        <v>0</v>
      </c>
      <c r="O199" s="606">
        <f>N199*(1+'LTFP Assumptions'!$K$13)</f>
        <v>0</v>
      </c>
      <c r="P199" s="606">
        <f>O199*(1+'LTFP Assumptions'!$K$13)</f>
        <v>0</v>
      </c>
    </row>
    <row r="200" spans="1:17" ht="11.25" hidden="1" outlineLevel="1" x14ac:dyDescent="0.2">
      <c r="A200" s="604"/>
      <c r="B200" s="621"/>
      <c r="C200" s="621"/>
      <c r="D200" s="771">
        <f>SUM(D195:D199)</f>
        <v>0</v>
      </c>
      <c r="E200" s="771">
        <f t="shared" ref="E200:P200" si="69">SUM(E195:E199)</f>
        <v>0</v>
      </c>
      <c r="F200" s="771">
        <f t="shared" si="69"/>
        <v>10127.875</v>
      </c>
      <c r="G200" s="771">
        <f t="shared" si="69"/>
        <v>0</v>
      </c>
      <c r="H200" s="771">
        <f t="shared" si="69"/>
        <v>1500</v>
      </c>
      <c r="I200" s="771">
        <f t="shared" si="69"/>
        <v>0</v>
      </c>
      <c r="J200" s="771">
        <f t="shared" si="69"/>
        <v>0</v>
      </c>
      <c r="K200" s="771">
        <f t="shared" si="69"/>
        <v>0</v>
      </c>
      <c r="L200" s="771">
        <f t="shared" si="69"/>
        <v>0</v>
      </c>
      <c r="M200" s="771">
        <f t="shared" si="69"/>
        <v>0</v>
      </c>
      <c r="N200" s="771">
        <f t="shared" si="69"/>
        <v>0</v>
      </c>
      <c r="O200" s="771">
        <f t="shared" si="69"/>
        <v>0</v>
      </c>
      <c r="P200" s="771">
        <f t="shared" si="69"/>
        <v>0</v>
      </c>
    </row>
    <row r="201" spans="1:17" s="608" customFormat="1" ht="11.25" hidden="1" outlineLevel="1" x14ac:dyDescent="0.2">
      <c r="A201" s="623" t="s">
        <v>1084</v>
      </c>
      <c r="B201" s="621"/>
      <c r="C201" s="621"/>
      <c r="D201" s="621"/>
      <c r="E201" s="621"/>
      <c r="F201" s="621"/>
      <c r="G201" s="621"/>
      <c r="H201" s="621"/>
      <c r="I201" s="621"/>
      <c r="J201" s="621"/>
      <c r="K201" s="621"/>
      <c r="L201" s="621"/>
      <c r="M201" s="621"/>
      <c r="N201" s="621"/>
      <c r="O201" s="621"/>
      <c r="P201" s="621"/>
    </row>
    <row r="202" spans="1:17" ht="11.25" hidden="1" outlineLevel="1" x14ac:dyDescent="0.2">
      <c r="A202" s="604" t="s">
        <v>931</v>
      </c>
      <c r="B202" s="621"/>
      <c r="C202" s="621"/>
      <c r="D202" s="606">
        <f t="shared" ref="D202:J205" si="70">D133</f>
        <v>0</v>
      </c>
      <c r="E202" s="606">
        <f t="shared" si="70"/>
        <v>0</v>
      </c>
      <c r="F202" s="606">
        <f t="shared" si="70"/>
        <v>127.875</v>
      </c>
      <c r="G202" s="606">
        <f t="shared" si="70"/>
        <v>0.77900000000000003</v>
      </c>
      <c r="H202" s="606">
        <f t="shared" si="70"/>
        <v>-71.78</v>
      </c>
      <c r="I202" s="606">
        <f t="shared" si="70"/>
        <v>-20.475999999999999</v>
      </c>
      <c r="J202" s="606">
        <f t="shared" si="70"/>
        <v>28.814</v>
      </c>
      <c r="K202" s="621">
        <f>K187</f>
        <v>-322.7953849999999</v>
      </c>
      <c r="L202" s="621">
        <f t="shared" ref="L202:P202" si="71">L187</f>
        <v>-315.83378432500012</v>
      </c>
      <c r="M202" s="621">
        <f t="shared" si="71"/>
        <v>-308.20152208812488</v>
      </c>
      <c r="N202" s="621">
        <f t="shared" si="71"/>
        <v>-299.86419711069811</v>
      </c>
      <c r="O202" s="621">
        <f t="shared" si="71"/>
        <v>-290.78589152737868</v>
      </c>
      <c r="P202" s="621">
        <f t="shared" si="71"/>
        <v>-280.92910770099388</v>
      </c>
    </row>
    <row r="203" spans="1:17" ht="11.25" hidden="1" outlineLevel="1" x14ac:dyDescent="0.2">
      <c r="A203" s="604" t="s">
        <v>244</v>
      </c>
      <c r="B203" s="621"/>
      <c r="C203" s="621"/>
      <c r="D203" s="606">
        <f t="shared" si="70"/>
        <v>0</v>
      </c>
      <c r="E203" s="606">
        <f t="shared" si="70"/>
        <v>0</v>
      </c>
      <c r="F203" s="606">
        <f t="shared" si="70"/>
        <v>0</v>
      </c>
      <c r="G203" s="606">
        <f t="shared" si="70"/>
        <v>0</v>
      </c>
      <c r="H203" s="606">
        <f t="shared" si="70"/>
        <v>0</v>
      </c>
      <c r="I203" s="606">
        <f t="shared" si="70"/>
        <v>0</v>
      </c>
      <c r="J203" s="606">
        <f t="shared" si="70"/>
        <v>0</v>
      </c>
      <c r="K203" s="606">
        <f>J203*(1+'LTFP Assumptions'!$K$13)</f>
        <v>0</v>
      </c>
      <c r="L203" s="606">
        <f>K203*(1+'LTFP Assumptions'!$K$13)</f>
        <v>0</v>
      </c>
      <c r="M203" s="606">
        <f>L203*(1+'LTFP Assumptions'!$K$13)</f>
        <v>0</v>
      </c>
      <c r="N203" s="606">
        <f>M203*(1+'LTFP Assumptions'!$K$13)</f>
        <v>0</v>
      </c>
      <c r="O203" s="606">
        <f>N203*(1+'LTFP Assumptions'!$K$13)</f>
        <v>0</v>
      </c>
      <c r="P203" s="606">
        <f>O203*(1+'LTFP Assumptions'!$K$13)</f>
        <v>0</v>
      </c>
    </row>
    <row r="204" spans="1:17" ht="11.25" hidden="1" outlineLevel="1" x14ac:dyDescent="0.2">
      <c r="A204" s="604" t="s">
        <v>1085</v>
      </c>
      <c r="B204" s="621"/>
      <c r="C204" s="621"/>
      <c r="D204" s="606">
        <f t="shared" si="70"/>
        <v>0</v>
      </c>
      <c r="E204" s="606">
        <f t="shared" si="70"/>
        <v>0</v>
      </c>
      <c r="F204" s="606">
        <f t="shared" si="70"/>
        <v>0</v>
      </c>
      <c r="G204" s="606">
        <f t="shared" si="70"/>
        <v>0</v>
      </c>
      <c r="H204" s="606">
        <f t="shared" si="70"/>
        <v>0</v>
      </c>
      <c r="I204" s="606">
        <f t="shared" si="70"/>
        <v>0</v>
      </c>
      <c r="J204" s="606">
        <f t="shared" si="70"/>
        <v>0</v>
      </c>
      <c r="K204" s="606">
        <f>J204*(1+'LTFP Assumptions'!$K$13)</f>
        <v>0</v>
      </c>
      <c r="L204" s="606">
        <f>K204*(1+'LTFP Assumptions'!$K$13)</f>
        <v>0</v>
      </c>
      <c r="M204" s="606">
        <f>L204*(1+'LTFP Assumptions'!$K$13)</f>
        <v>0</v>
      </c>
      <c r="N204" s="606">
        <f>M204*(1+'LTFP Assumptions'!$K$13)</f>
        <v>0</v>
      </c>
      <c r="O204" s="606">
        <f>N204*(1+'LTFP Assumptions'!$K$13)</f>
        <v>0</v>
      </c>
      <c r="P204" s="606">
        <f>O204*(1+'LTFP Assumptions'!$K$13)</f>
        <v>0</v>
      </c>
    </row>
    <row r="205" spans="1:17" ht="11.25" hidden="1" outlineLevel="1" x14ac:dyDescent="0.2">
      <c r="A205" s="604" t="s">
        <v>1086</v>
      </c>
      <c r="B205" s="621"/>
      <c r="C205" s="621"/>
      <c r="D205" s="606">
        <f t="shared" si="70"/>
        <v>0</v>
      </c>
      <c r="E205" s="606">
        <f t="shared" si="70"/>
        <v>0</v>
      </c>
      <c r="F205" s="606">
        <f t="shared" si="70"/>
        <v>0</v>
      </c>
      <c r="G205" s="606">
        <f t="shared" si="70"/>
        <v>0</v>
      </c>
      <c r="H205" s="606">
        <f t="shared" si="70"/>
        <v>0</v>
      </c>
      <c r="I205" s="606">
        <f t="shared" si="70"/>
        <v>0</v>
      </c>
      <c r="J205" s="606">
        <f t="shared" si="70"/>
        <v>0</v>
      </c>
      <c r="K205" s="606">
        <f>J205*(1+'LTFP Assumptions'!$K$13)</f>
        <v>0</v>
      </c>
      <c r="L205" s="606">
        <f>K205*(1+'LTFP Assumptions'!$K$13)</f>
        <v>0</v>
      </c>
      <c r="M205" s="606">
        <f>L205*(1+'LTFP Assumptions'!$K$13)</f>
        <v>0</v>
      </c>
      <c r="N205" s="606">
        <f>M205*(1+'LTFP Assumptions'!$K$13)</f>
        <v>0</v>
      </c>
      <c r="O205" s="606">
        <f>N205*(1+'LTFP Assumptions'!$K$13)</f>
        <v>0</v>
      </c>
      <c r="P205" s="606">
        <f>O205*(1+'LTFP Assumptions'!$K$13)</f>
        <v>0</v>
      </c>
    </row>
    <row r="206" spans="1:17" ht="11.25" hidden="1" outlineLevel="1" x14ac:dyDescent="0.2">
      <c r="A206" s="604" t="s">
        <v>33</v>
      </c>
      <c r="B206" s="621">
        <f>+B171</f>
        <v>0</v>
      </c>
      <c r="C206" s="621">
        <f>C171</f>
        <v>0</v>
      </c>
      <c r="D206" s="621">
        <f>D171</f>
        <v>0</v>
      </c>
      <c r="E206" s="621">
        <f>E62</f>
        <v>0</v>
      </c>
      <c r="F206" s="621">
        <f>F62</f>
        <v>0</v>
      </c>
      <c r="G206" s="621">
        <f t="shared" ref="G206:P206" si="72">G171</f>
        <v>269.68700000000001</v>
      </c>
      <c r="H206" s="621">
        <f t="shared" si="72"/>
        <v>275.995</v>
      </c>
      <c r="I206" s="621">
        <f t="shared" si="72"/>
        <v>280.65499999999997</v>
      </c>
      <c r="J206" s="621">
        <f t="shared" si="72"/>
        <v>289.06900000000002</v>
      </c>
      <c r="K206" s="621">
        <f t="shared" si="72"/>
        <v>296.295725</v>
      </c>
      <c r="L206" s="621">
        <f t="shared" si="72"/>
        <v>303.703118125</v>
      </c>
      <c r="M206" s="621">
        <f t="shared" si="72"/>
        <v>311.29569607812499</v>
      </c>
      <c r="N206" s="621">
        <f t="shared" si="72"/>
        <v>319.07808848007807</v>
      </c>
      <c r="O206" s="621">
        <f t="shared" si="72"/>
        <v>327.05504069208001</v>
      </c>
      <c r="P206" s="621">
        <f t="shared" si="72"/>
        <v>335.23141670938196</v>
      </c>
    </row>
    <row r="207" spans="1:17" ht="11.25" hidden="1" outlineLevel="1" x14ac:dyDescent="0.2">
      <c r="A207" s="604" t="s">
        <v>22</v>
      </c>
      <c r="B207" s="621"/>
      <c r="C207" s="621"/>
      <c r="D207" s="606">
        <f t="shared" ref="D207:J209" si="73">D138</f>
        <v>0</v>
      </c>
      <c r="E207" s="606">
        <f t="shared" si="73"/>
        <v>0</v>
      </c>
      <c r="F207" s="606">
        <f t="shared" si="73"/>
        <v>0</v>
      </c>
      <c r="G207" s="606">
        <f t="shared" si="73"/>
        <v>0</v>
      </c>
      <c r="H207" s="606">
        <f t="shared" si="73"/>
        <v>0</v>
      </c>
      <c r="I207" s="606">
        <f t="shared" si="73"/>
        <v>0</v>
      </c>
      <c r="J207" s="606">
        <f t="shared" si="73"/>
        <v>0</v>
      </c>
      <c r="K207" s="606">
        <f>J207*(1+'LTFP Assumptions'!$K$13)</f>
        <v>0</v>
      </c>
      <c r="L207" s="606">
        <f>K207*(1+'LTFP Assumptions'!$K$13)</f>
        <v>0</v>
      </c>
      <c r="M207" s="606">
        <f>L207*(1+'LTFP Assumptions'!$K$13)</f>
        <v>0</v>
      </c>
      <c r="N207" s="606">
        <f>M207*(1+'LTFP Assumptions'!$K$13)</f>
        <v>0</v>
      </c>
      <c r="O207" s="606">
        <f>N207*(1+'LTFP Assumptions'!$K$13)</f>
        <v>0</v>
      </c>
      <c r="P207" s="606">
        <f>O207*(1+'LTFP Assumptions'!$K$13)</f>
        <v>0</v>
      </c>
    </row>
    <row r="208" spans="1:17" ht="11.25" hidden="1" outlineLevel="1" x14ac:dyDescent="0.2">
      <c r="A208" s="604" t="s">
        <v>1087</v>
      </c>
      <c r="B208" s="621"/>
      <c r="C208" s="621"/>
      <c r="D208" s="606">
        <f t="shared" si="73"/>
        <v>0</v>
      </c>
      <c r="E208" s="606">
        <f t="shared" si="73"/>
        <v>0</v>
      </c>
      <c r="F208" s="606">
        <f t="shared" si="73"/>
        <v>10000</v>
      </c>
      <c r="G208" s="606">
        <f t="shared" si="73"/>
        <v>0</v>
      </c>
      <c r="H208" s="606">
        <f t="shared" si="73"/>
        <v>0</v>
      </c>
      <c r="I208" s="606">
        <f t="shared" si="73"/>
        <v>0</v>
      </c>
      <c r="J208" s="606">
        <f t="shared" si="73"/>
        <v>0</v>
      </c>
      <c r="K208" s="606">
        <f>J208*(1+'LTFP Assumptions'!$K$13)</f>
        <v>0</v>
      </c>
      <c r="L208" s="606">
        <f>K208*(1+'LTFP Assumptions'!$K$13)</f>
        <v>0</v>
      </c>
      <c r="M208" s="606">
        <f>L208*(1+'LTFP Assumptions'!$K$13)</f>
        <v>0</v>
      </c>
      <c r="N208" s="606">
        <f>M208*(1+'LTFP Assumptions'!$K$13)</f>
        <v>0</v>
      </c>
      <c r="O208" s="606">
        <f>N208*(1+'LTFP Assumptions'!$K$13)</f>
        <v>0</v>
      </c>
      <c r="P208" s="606">
        <f>O208*(1+'LTFP Assumptions'!$K$13)</f>
        <v>0</v>
      </c>
    </row>
    <row r="209" spans="1:16" ht="11.25" hidden="1" outlineLevel="1" x14ac:dyDescent="0.2">
      <c r="A209" s="604" t="s">
        <v>1344</v>
      </c>
      <c r="B209" s="621"/>
      <c r="C209" s="621"/>
      <c r="D209" s="606">
        <f t="shared" si="73"/>
        <v>0</v>
      </c>
      <c r="E209" s="606">
        <f t="shared" si="73"/>
        <v>0</v>
      </c>
      <c r="F209" s="606">
        <f t="shared" si="73"/>
        <v>0</v>
      </c>
      <c r="G209" s="606">
        <f t="shared" si="73"/>
        <v>0</v>
      </c>
      <c r="H209" s="606">
        <f t="shared" si="73"/>
        <v>1500</v>
      </c>
      <c r="I209" s="606">
        <f t="shared" si="73"/>
        <v>0</v>
      </c>
      <c r="J209" s="606">
        <f t="shared" si="73"/>
        <v>0</v>
      </c>
      <c r="K209" s="606">
        <f>J209*(1+'LTFP Assumptions'!$K$13)</f>
        <v>0</v>
      </c>
      <c r="L209" s="606">
        <f>K209*(1+'LTFP Assumptions'!$K$13)</f>
        <v>0</v>
      </c>
      <c r="M209" s="606">
        <f>L209*(1+'LTFP Assumptions'!$K$13)</f>
        <v>0</v>
      </c>
      <c r="N209" s="606">
        <f>M209*(1+'LTFP Assumptions'!$K$13)</f>
        <v>0</v>
      </c>
      <c r="O209" s="606">
        <f>N209*(1+'LTFP Assumptions'!$K$13)</f>
        <v>0</v>
      </c>
      <c r="P209" s="606">
        <f>O209*(1+'LTFP Assumptions'!$K$13)</f>
        <v>0</v>
      </c>
    </row>
    <row r="210" spans="1:16" ht="11.25" hidden="1" outlineLevel="1" x14ac:dyDescent="0.2">
      <c r="A210" s="604"/>
      <c r="B210" s="621"/>
      <c r="C210" s="621"/>
      <c r="D210" s="771">
        <f t="shared" ref="D210:P210" si="74">SUM(D202:D209)</f>
        <v>0</v>
      </c>
      <c r="E210" s="771">
        <f t="shared" si="74"/>
        <v>0</v>
      </c>
      <c r="F210" s="771">
        <f t="shared" si="74"/>
        <v>10127.875</v>
      </c>
      <c r="G210" s="771">
        <f t="shared" si="74"/>
        <v>270.46600000000001</v>
      </c>
      <c r="H210" s="771">
        <f t="shared" si="74"/>
        <v>1704.2149999999999</v>
      </c>
      <c r="I210" s="771">
        <f t="shared" si="74"/>
        <v>260.17899999999997</v>
      </c>
      <c r="J210" s="771">
        <f t="shared" si="74"/>
        <v>317.88300000000004</v>
      </c>
      <c r="K210" s="771">
        <f t="shared" si="74"/>
        <v>-26.499659999999892</v>
      </c>
      <c r="L210" s="771">
        <f t="shared" si="74"/>
        <v>-12.130666200000121</v>
      </c>
      <c r="M210" s="771">
        <f t="shared" si="74"/>
        <v>3.0941739900001153</v>
      </c>
      <c r="N210" s="771">
        <f t="shared" si="74"/>
        <v>19.213891369379951</v>
      </c>
      <c r="O210" s="771">
        <f t="shared" si="74"/>
        <v>36.269149164701332</v>
      </c>
      <c r="P210" s="771">
        <f t="shared" si="74"/>
        <v>54.302309008388079</v>
      </c>
    </row>
    <row r="211" spans="1:16" ht="11.25" hidden="1" outlineLevel="1" x14ac:dyDescent="0.2">
      <c r="A211" s="599"/>
      <c r="B211" s="621"/>
      <c r="C211" s="621"/>
      <c r="D211" s="622"/>
      <c r="E211" s="622"/>
      <c r="F211" s="622"/>
      <c r="G211" s="622"/>
      <c r="H211" s="622"/>
      <c r="I211" s="622"/>
      <c r="J211" s="624"/>
      <c r="K211" s="624"/>
      <c r="L211" s="624"/>
      <c r="M211" s="624"/>
      <c r="N211" s="624"/>
      <c r="O211" s="624"/>
      <c r="P211" s="624"/>
    </row>
    <row r="212" spans="1:16" ht="11.25" hidden="1" outlineLevel="1" x14ac:dyDescent="0.2">
      <c r="A212" s="604"/>
      <c r="B212" s="621"/>
      <c r="C212" s="621"/>
      <c r="D212" s="621"/>
      <c r="E212" s="621"/>
      <c r="F212" s="621"/>
      <c r="G212" s="621"/>
      <c r="H212" s="621"/>
      <c r="I212" s="621"/>
      <c r="J212" s="621"/>
      <c r="K212" s="621"/>
      <c r="L212" s="621"/>
      <c r="M212" s="621"/>
      <c r="N212" s="621"/>
      <c r="O212" s="621"/>
      <c r="P212" s="621"/>
    </row>
    <row r="213" spans="1:16" ht="11.25" hidden="1" outlineLevel="1" x14ac:dyDescent="0.2">
      <c r="A213" s="604" t="s">
        <v>34</v>
      </c>
      <c r="B213" s="621">
        <f>+B182+SUM(B195:B212)</f>
        <v>0</v>
      </c>
      <c r="C213" s="621">
        <f>+C182+SUM(C195:C212)</f>
        <v>0</v>
      </c>
      <c r="D213" s="625">
        <f>D210-D200</f>
        <v>0</v>
      </c>
      <c r="E213" s="625">
        <f t="shared" ref="E213:P213" si="75">E210-E200</f>
        <v>0</v>
      </c>
      <c r="F213" s="625">
        <f t="shared" si="75"/>
        <v>0</v>
      </c>
      <c r="G213" s="625">
        <f t="shared" si="75"/>
        <v>270.46600000000001</v>
      </c>
      <c r="H213" s="625">
        <f t="shared" si="75"/>
        <v>204.21499999999992</v>
      </c>
      <c r="I213" s="625">
        <f t="shared" si="75"/>
        <v>260.17899999999997</v>
      </c>
      <c r="J213" s="625">
        <f t="shared" si="75"/>
        <v>317.88300000000004</v>
      </c>
      <c r="K213" s="625">
        <f t="shared" si="75"/>
        <v>-26.499659999999892</v>
      </c>
      <c r="L213" s="625">
        <f t="shared" si="75"/>
        <v>-12.130666200000121</v>
      </c>
      <c r="M213" s="625">
        <f t="shared" si="75"/>
        <v>3.0941739900001153</v>
      </c>
      <c r="N213" s="625">
        <f t="shared" si="75"/>
        <v>19.213891369379951</v>
      </c>
      <c r="O213" s="625">
        <f t="shared" si="75"/>
        <v>36.269149164701332</v>
      </c>
      <c r="P213" s="625">
        <f t="shared" si="75"/>
        <v>54.302309008388079</v>
      </c>
    </row>
    <row r="214" spans="1:16" ht="11.25" hidden="1" outlineLevel="1" x14ac:dyDescent="0.2">
      <c r="A214" s="600" t="s">
        <v>451</v>
      </c>
      <c r="C214" s="606">
        <f>B215</f>
        <v>0</v>
      </c>
      <c r="D214" s="606">
        <f t="shared" ref="D214:E214" si="76">C215</f>
        <v>0</v>
      </c>
      <c r="E214" s="606">
        <f t="shared" si="76"/>
        <v>0</v>
      </c>
      <c r="F214" s="606">
        <v>0</v>
      </c>
      <c r="G214" s="606">
        <f t="shared" ref="G214:P214" si="77">F215</f>
        <v>0</v>
      </c>
      <c r="H214" s="606">
        <f t="shared" si="77"/>
        <v>270.46600000000001</v>
      </c>
      <c r="I214" s="606">
        <f t="shared" si="77"/>
        <v>474.68099999999993</v>
      </c>
      <c r="J214" s="606">
        <f t="shared" si="77"/>
        <v>734.8599999999999</v>
      </c>
      <c r="K214" s="606">
        <f t="shared" si="77"/>
        <v>1052.7429999999999</v>
      </c>
      <c r="L214" s="606">
        <f t="shared" si="77"/>
        <v>1026.24334</v>
      </c>
      <c r="M214" s="606">
        <f t="shared" si="77"/>
        <v>1014.1126737999998</v>
      </c>
      <c r="N214" s="606">
        <f t="shared" si="77"/>
        <v>1017.20684779</v>
      </c>
      <c r="O214" s="606">
        <f t="shared" si="77"/>
        <v>1036.42073915938</v>
      </c>
      <c r="P214" s="606">
        <f t="shared" si="77"/>
        <v>1072.6898883240813</v>
      </c>
    </row>
    <row r="215" spans="1:16" ht="11.25" hidden="1" outlineLevel="1" x14ac:dyDescent="0.2">
      <c r="A215" s="620" t="s">
        <v>452</v>
      </c>
      <c r="B215" s="626"/>
      <c r="C215" s="627">
        <f>SUM(C213:C214)</f>
        <v>0</v>
      </c>
      <c r="D215" s="627">
        <f t="shared" ref="D215:P215" si="78">SUM(D213:D214)</f>
        <v>0</v>
      </c>
      <c r="E215" s="627">
        <f t="shared" si="78"/>
        <v>0</v>
      </c>
      <c r="F215" s="627">
        <f t="shared" si="78"/>
        <v>0</v>
      </c>
      <c r="G215" s="627">
        <f t="shared" si="78"/>
        <v>270.46600000000001</v>
      </c>
      <c r="H215" s="627">
        <f t="shared" si="78"/>
        <v>474.68099999999993</v>
      </c>
      <c r="I215" s="627">
        <f t="shared" si="78"/>
        <v>734.8599999999999</v>
      </c>
      <c r="J215" s="627">
        <f t="shared" si="78"/>
        <v>1052.7429999999999</v>
      </c>
      <c r="K215" s="627">
        <f t="shared" si="78"/>
        <v>1026.24334</v>
      </c>
      <c r="L215" s="627">
        <f t="shared" si="78"/>
        <v>1014.1126737999998</v>
      </c>
      <c r="M215" s="627">
        <f t="shared" si="78"/>
        <v>1017.20684779</v>
      </c>
      <c r="N215" s="627">
        <f t="shared" si="78"/>
        <v>1036.42073915938</v>
      </c>
      <c r="O215" s="627">
        <f t="shared" si="78"/>
        <v>1072.6898883240813</v>
      </c>
      <c r="P215" s="627">
        <f t="shared" si="78"/>
        <v>1126.9921973324695</v>
      </c>
    </row>
    <row r="216" spans="1:16" collapsed="1" x14ac:dyDescent="0.2"/>
  </sheetData>
  <pageMargins left="0.74803149606299213" right="0.74803149606299213" top="0.6692913385826772" bottom="0.6692913385826772" header="0.51181102362204722" footer="0.51181102362204722"/>
  <pageSetup paperSize="9" scale="89" fitToHeight="0" orientation="landscape" r:id="rId1"/>
  <headerFooter alignWithMargins="0"/>
  <rowBreaks count="2" manualBreakCount="2">
    <brk id="50" max="16383" man="1"/>
    <brk id="147" max="16383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R159"/>
  <sheetViews>
    <sheetView zoomScaleNormal="100" workbookViewId="0">
      <pane xSplit="3" ySplit="3" topLeftCell="D30" activePane="bottomRight" state="frozen"/>
      <selection pane="topRight" activeCell="D1" sqref="D1"/>
      <selection pane="bottomLeft" activeCell="A3" sqref="A3"/>
      <selection pane="bottomRight" activeCell="A117" sqref="A117:XFD117"/>
    </sheetView>
  </sheetViews>
  <sheetFormatPr defaultColWidth="9.109375" defaultRowHeight="12" outlineLevelRow="1" outlineLevelCol="1" x14ac:dyDescent="0.25"/>
  <cols>
    <col min="1" max="1" width="38.88671875" style="639" customWidth="1"/>
    <col min="2" max="2" width="16.44140625" style="639" hidden="1" customWidth="1" outlineLevel="1"/>
    <col min="3" max="3" width="12.109375" style="639" hidden="1" customWidth="1" outlineLevel="1"/>
    <col min="4" max="4" width="13.109375" style="639" hidden="1" customWidth="1" outlineLevel="1" collapsed="1"/>
    <col min="5" max="5" width="10.33203125" style="639" hidden="1" customWidth="1" outlineLevel="1"/>
    <col min="6" max="6" width="9.88671875" style="639" bestFit="1" customWidth="1" collapsed="1"/>
    <col min="7" max="16" width="9.88671875" style="639" bestFit="1" customWidth="1"/>
    <col min="17" max="16384" width="9.109375" style="639"/>
  </cols>
  <sheetData>
    <row r="1" spans="1:16" ht="12.75" x14ac:dyDescent="0.2">
      <c r="A1" s="1091" t="s">
        <v>1364</v>
      </c>
    </row>
    <row r="2" spans="1:16" s="637" customFormat="1" x14ac:dyDescent="0.2">
      <c r="A2" s="585" t="s">
        <v>1110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16" x14ac:dyDescent="0.2">
      <c r="A3" s="585" t="s">
        <v>73</v>
      </c>
      <c r="B3" s="638" t="s">
        <v>68</v>
      </c>
      <c r="C3" s="586" t="s">
        <v>0</v>
      </c>
      <c r="D3" s="586" t="s">
        <v>1</v>
      </c>
      <c r="E3" s="586" t="s">
        <v>2</v>
      </c>
      <c r="F3" s="586" t="s">
        <v>3</v>
      </c>
      <c r="G3" s="586" t="s">
        <v>4</v>
      </c>
      <c r="H3" s="586" t="s">
        <v>5</v>
      </c>
      <c r="I3" s="586" t="s">
        <v>6</v>
      </c>
      <c r="J3" s="586" t="s">
        <v>7</v>
      </c>
      <c r="K3" s="586" t="s">
        <v>8</v>
      </c>
      <c r="L3" s="586" t="s">
        <v>9</v>
      </c>
      <c r="M3" s="586" t="s">
        <v>514</v>
      </c>
      <c r="N3" s="586" t="s">
        <v>515</v>
      </c>
      <c r="O3" s="586" t="s">
        <v>904</v>
      </c>
      <c r="P3" s="586" t="s">
        <v>1046</v>
      </c>
    </row>
    <row r="5" spans="1:16" x14ac:dyDescent="0.2">
      <c r="A5" s="592" t="s">
        <v>82</v>
      </c>
    </row>
    <row r="6" spans="1:16" x14ac:dyDescent="0.2">
      <c r="A6" s="640" t="s">
        <v>83</v>
      </c>
      <c r="B6" s="590"/>
      <c r="C6" s="590"/>
      <c r="D6" s="590" t="s">
        <v>516</v>
      </c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</row>
    <row r="7" spans="1:16" x14ac:dyDescent="0.2">
      <c r="A7" s="639" t="s">
        <v>11</v>
      </c>
      <c r="B7" s="594"/>
      <c r="C7" s="594"/>
      <c r="D7" s="594"/>
      <c r="E7" s="594"/>
      <c r="F7" s="594">
        <f>+'Future Fund  Inc Exp Statement'!F11</f>
        <v>0</v>
      </c>
      <c r="G7" s="594">
        <f>+'Future Fund  Inc Exp Statement'!G11</f>
        <v>0</v>
      </c>
      <c r="H7" s="594">
        <f>+'Future Fund  Inc Exp Statement'!H11</f>
        <v>0</v>
      </c>
      <c r="I7" s="594">
        <f>+'Future Fund  Inc Exp Statement'!I11</f>
        <v>0</v>
      </c>
      <c r="J7" s="594">
        <f>+'Future Fund  Inc Exp Statement'!J11</f>
        <v>0</v>
      </c>
      <c r="K7" s="594">
        <f>+'Future Fund  Inc Exp Statement'!K11</f>
        <v>0</v>
      </c>
      <c r="L7" s="594">
        <f>+'Future Fund  Inc Exp Statement'!L11</f>
        <v>0</v>
      </c>
      <c r="M7" s="594">
        <f>+'Future Fund  Inc Exp Statement'!M11</f>
        <v>0</v>
      </c>
      <c r="N7" s="594">
        <f>+'Future Fund  Inc Exp Statement'!N11</f>
        <v>0</v>
      </c>
      <c r="O7" s="594">
        <f>+'Future Fund  Inc Exp Statement'!O11</f>
        <v>0</v>
      </c>
      <c r="P7" s="594">
        <f>+'Future Fund  Inc Exp Statement'!P11</f>
        <v>0</v>
      </c>
    </row>
    <row r="8" spans="1:16" x14ac:dyDescent="0.2">
      <c r="A8" s="639" t="s">
        <v>12</v>
      </c>
      <c r="B8" s="594"/>
      <c r="C8" s="594"/>
      <c r="D8" s="594"/>
      <c r="E8" s="594"/>
      <c r="F8" s="594">
        <f>+'Future Fund  Inc Exp Statement'!F12</f>
        <v>3052.3029999999999</v>
      </c>
      <c r="G8" s="594">
        <f>+'Future Fund  Inc Exp Statement'!G12</f>
        <v>3203.3</v>
      </c>
      <c r="H8" s="594">
        <f>+'Future Fund  Inc Exp Statement'!H12</f>
        <v>3283</v>
      </c>
      <c r="I8" s="594">
        <f>+'Future Fund  Inc Exp Statement'!I12</f>
        <v>3348.66</v>
      </c>
      <c r="J8" s="594">
        <f>+'Future Fund  Inc Exp Statement'!J12</f>
        <v>3415.6332000000002</v>
      </c>
      <c r="K8" s="594">
        <f>+'Future Fund  Inc Exp Statement'!K12</f>
        <v>3483.9458640000003</v>
      </c>
      <c r="L8" s="594">
        <f>+'Future Fund  Inc Exp Statement'!L12</f>
        <v>3553.6247812800002</v>
      </c>
      <c r="M8" s="594">
        <f>+'Future Fund  Inc Exp Statement'!M12</f>
        <v>3624.6972769056001</v>
      </c>
      <c r="N8" s="594">
        <f>+'Future Fund  Inc Exp Statement'!N12</f>
        <v>3697.1912224437124</v>
      </c>
      <c r="O8" s="594">
        <f>+'Future Fund  Inc Exp Statement'!O12</f>
        <v>3771.1350468925866</v>
      </c>
      <c r="P8" s="594">
        <f>+'Future Fund  Inc Exp Statement'!P12</f>
        <v>3846.5577478304385</v>
      </c>
    </row>
    <row r="9" spans="1:16" x14ac:dyDescent="0.2">
      <c r="A9" s="639" t="s">
        <v>84</v>
      </c>
      <c r="B9" s="594"/>
      <c r="C9" s="594"/>
      <c r="D9" s="594"/>
      <c r="E9" s="594"/>
      <c r="F9" s="594">
        <f>+'Future Fund  Inc Exp Statement'!F13</f>
        <v>0</v>
      </c>
      <c r="G9" s="594">
        <f>+'Future Fund  Inc Exp Statement'!G13</f>
        <v>0</v>
      </c>
      <c r="H9" s="594">
        <f>+'Future Fund  Inc Exp Statement'!H13</f>
        <v>0</v>
      </c>
      <c r="I9" s="594">
        <f>+'Future Fund  Inc Exp Statement'!I13</f>
        <v>0</v>
      </c>
      <c r="J9" s="594">
        <f>+'Future Fund  Inc Exp Statement'!J13</f>
        <v>0</v>
      </c>
      <c r="K9" s="594">
        <f>+'Future Fund  Inc Exp Statement'!K13</f>
        <v>25.299288000000008</v>
      </c>
      <c r="L9" s="594">
        <f>+'Future Fund  Inc Exp Statement'!L13</f>
        <v>29.261076480000025</v>
      </c>
      <c r="M9" s="594">
        <f>+'Future Fund  Inc Exp Statement'!M13</f>
        <v>34.130263550400045</v>
      </c>
      <c r="N9" s="594">
        <f>+'Future Fund  Inc Exp Statement'!N13</f>
        <v>39.957023977200024</v>
      </c>
      <c r="O9" s="594">
        <f>+'Future Fund  Inc Exp Statement'!O13</f>
        <v>46.793784101928523</v>
      </c>
      <c r="P9" s="594">
        <f>+'Future Fund  Inc Exp Statement'!P13</f>
        <v>54.69531580661458</v>
      </c>
    </row>
    <row r="10" spans="1:16" x14ac:dyDescent="0.2">
      <c r="A10" s="639" t="s">
        <v>85</v>
      </c>
      <c r="B10" s="594"/>
      <c r="C10" s="594"/>
      <c r="D10" s="594"/>
      <c r="E10" s="594"/>
      <c r="F10" s="594">
        <f>+'Future Fund  Inc Exp Statement'!F15+'Future Fund  Inc Exp Statement'!F16</f>
        <v>0</v>
      </c>
      <c r="G10" s="594">
        <f>+'Future Fund  Inc Exp Statement'!G15+'Future Fund  Inc Exp Statement'!G16</f>
        <v>0</v>
      </c>
      <c r="H10" s="594">
        <f>+'Future Fund  Inc Exp Statement'!H15+'Future Fund  Inc Exp Statement'!H16</f>
        <v>0</v>
      </c>
      <c r="I10" s="594">
        <f>+'Future Fund  Inc Exp Statement'!I15+'Future Fund  Inc Exp Statement'!I16</f>
        <v>0</v>
      </c>
      <c r="J10" s="594">
        <f>+'Future Fund  Inc Exp Statement'!J15+'Future Fund  Inc Exp Statement'!J16</f>
        <v>0</v>
      </c>
      <c r="K10" s="594">
        <f>+'Future Fund  Inc Exp Statement'!K15+'Future Fund  Inc Exp Statement'!K16</f>
        <v>0</v>
      </c>
      <c r="L10" s="594">
        <f>+'Future Fund  Inc Exp Statement'!L15+'Future Fund  Inc Exp Statement'!L16</f>
        <v>0</v>
      </c>
      <c r="M10" s="594">
        <f>+'Future Fund  Inc Exp Statement'!M15+'Future Fund  Inc Exp Statement'!M16</f>
        <v>0</v>
      </c>
      <c r="N10" s="594">
        <f>+'Future Fund  Inc Exp Statement'!N15+'Future Fund  Inc Exp Statement'!N16</f>
        <v>0</v>
      </c>
      <c r="O10" s="594">
        <f>+'Future Fund  Inc Exp Statement'!O15+'Future Fund  Inc Exp Statement'!O16</f>
        <v>0</v>
      </c>
      <c r="P10" s="594">
        <f>+'Future Fund  Inc Exp Statement'!P15+'Future Fund  Inc Exp Statement'!P16</f>
        <v>0</v>
      </c>
    </row>
    <row r="11" spans="1:16" hidden="1" outlineLevel="1" x14ac:dyDescent="0.2">
      <c r="A11" s="639" t="s">
        <v>86</v>
      </c>
      <c r="B11" s="594"/>
      <c r="C11" s="594"/>
      <c r="D11" s="594"/>
      <c r="E11" s="594"/>
      <c r="F11" s="594">
        <v>0</v>
      </c>
      <c r="G11" s="594">
        <v>0</v>
      </c>
      <c r="H11" s="594">
        <v>0</v>
      </c>
      <c r="I11" s="594">
        <v>0</v>
      </c>
      <c r="J11" s="594">
        <v>0</v>
      </c>
      <c r="K11" s="594">
        <v>0</v>
      </c>
      <c r="L11" s="594">
        <v>0</v>
      </c>
      <c r="M11" s="594">
        <v>0</v>
      </c>
      <c r="N11" s="594">
        <v>0</v>
      </c>
      <c r="O11" s="594">
        <v>0</v>
      </c>
      <c r="P11" s="594">
        <v>0</v>
      </c>
    </row>
    <row r="12" spans="1:16" collapsed="1" x14ac:dyDescent="0.2">
      <c r="A12" s="639" t="s">
        <v>41</v>
      </c>
      <c r="B12" s="594"/>
      <c r="C12" s="594"/>
      <c r="D12" s="594"/>
      <c r="E12" s="594"/>
      <c r="F12" s="594">
        <f>+'Future Fund  Inc Exp Statement'!F14</f>
        <v>0</v>
      </c>
      <c r="G12" s="594">
        <f>+'Future Fund  Inc Exp Statement'!G14</f>
        <v>0</v>
      </c>
      <c r="H12" s="594">
        <f>+'Future Fund  Inc Exp Statement'!H14</f>
        <v>0</v>
      </c>
      <c r="I12" s="594">
        <f>+'Future Fund  Inc Exp Statement'!I14</f>
        <v>0</v>
      </c>
      <c r="J12" s="594">
        <f>+'Future Fund  Inc Exp Statement'!J14</f>
        <v>0</v>
      </c>
      <c r="K12" s="594">
        <f>+'Future Fund  Inc Exp Statement'!K14</f>
        <v>0</v>
      </c>
      <c r="L12" s="594">
        <f>+'Future Fund  Inc Exp Statement'!L14</f>
        <v>0</v>
      </c>
      <c r="M12" s="594">
        <f>+'Future Fund  Inc Exp Statement'!M14</f>
        <v>0</v>
      </c>
      <c r="N12" s="594">
        <f>+'Future Fund  Inc Exp Statement'!N14</f>
        <v>0</v>
      </c>
      <c r="O12" s="594">
        <f>+'Future Fund  Inc Exp Statement'!O14</f>
        <v>0</v>
      </c>
      <c r="P12" s="594">
        <f>+'Future Fund  Inc Exp Statement'!P14</f>
        <v>0</v>
      </c>
    </row>
    <row r="13" spans="1:16" ht="6" customHeight="1" x14ac:dyDescent="0.2">
      <c r="B13" s="594"/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4"/>
      <c r="O13" s="594"/>
      <c r="P13" s="594"/>
    </row>
    <row r="14" spans="1:16" x14ac:dyDescent="0.2">
      <c r="A14" s="640" t="s">
        <v>87</v>
      </c>
      <c r="B14" s="594"/>
      <c r="C14" s="594"/>
      <c r="D14" s="594"/>
      <c r="E14" s="594"/>
      <c r="F14" s="594"/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">
      <c r="A15" s="639" t="s">
        <v>25</v>
      </c>
      <c r="B15" s="594"/>
      <c r="C15" s="594"/>
      <c r="D15" s="594"/>
      <c r="E15" s="594"/>
      <c r="F15" s="594">
        <f>-'Future Fund  Inc Exp Statement'!F23</f>
        <v>-80</v>
      </c>
      <c r="G15" s="594">
        <f>-'Future Fund  Inc Exp Statement'!G23</f>
        <v>-81.424000000000007</v>
      </c>
      <c r="H15" s="594">
        <f>-'Future Fund  Inc Exp Statement'!H23</f>
        <v>-83.866</v>
      </c>
      <c r="I15" s="594">
        <f>-'Future Fund  Inc Exp Statement'!I23</f>
        <v>-86.382000000000005</v>
      </c>
      <c r="J15" s="594">
        <f>-'Future Fund  Inc Exp Statement'!J23</f>
        <v>-88.974000000000004</v>
      </c>
      <c r="K15" s="594">
        <f>-'Future Fund  Inc Exp Statement'!K23</f>
        <v>-91.643219999999999</v>
      </c>
      <c r="L15" s="594">
        <f>-'Future Fund  Inc Exp Statement'!L23</f>
        <v>-94.392516600000008</v>
      </c>
      <c r="M15" s="594">
        <f>-'Future Fund  Inc Exp Statement'!M23</f>
        <v>-97.224292098000006</v>
      </c>
      <c r="N15" s="594">
        <f>-'Future Fund  Inc Exp Statement'!N23</f>
        <v>-100.14102086094</v>
      </c>
      <c r="O15" s="594">
        <f>-'Future Fund  Inc Exp Statement'!O23</f>
        <v>-103.1452514867682</v>
      </c>
      <c r="P15" s="594">
        <f>-'Future Fund  Inc Exp Statement'!P23</f>
        <v>-106.23960903137124</v>
      </c>
    </row>
    <row r="16" spans="1:16" x14ac:dyDescent="0.2">
      <c r="A16" s="639" t="s">
        <v>27</v>
      </c>
      <c r="B16" s="594"/>
      <c r="C16" s="594"/>
      <c r="D16" s="594"/>
      <c r="E16" s="594"/>
      <c r="F16" s="594">
        <f>-'Future Fund  Inc Exp Statement'!F25-'Future Fund  Inc Exp Statement'!F26</f>
        <v>-1577.15</v>
      </c>
      <c r="G16" s="594">
        <f>-'Future Fund  Inc Exp Statement'!G25-'Future Fund  Inc Exp Statement'!G26</f>
        <v>-1663.575</v>
      </c>
      <c r="H16" s="594">
        <f>-'Future Fund  Inc Exp Statement'!H25-'Future Fund  Inc Exp Statement'!H26</f>
        <v>-1745.5309999999999</v>
      </c>
      <c r="I16" s="594">
        <f>-'Future Fund  Inc Exp Statement'!I25-'Future Fund  Inc Exp Statement'!I26</f>
        <v>-1856.7159999999999</v>
      </c>
      <c r="J16" s="594">
        <f>-'Future Fund  Inc Exp Statement'!J25-'Future Fund  Inc Exp Statement'!J26</f>
        <v>-1968.1579999999999</v>
      </c>
      <c r="K16" s="594">
        <f>-'Future Fund  Inc Exp Statement'!K25-'Future Fund  Inc Exp Statement'!K26</f>
        <v>-2007.52116</v>
      </c>
      <c r="L16" s="594">
        <f>-'Future Fund  Inc Exp Statement'!L25-'Future Fund  Inc Exp Statement'!L26</f>
        <v>-2047.6715832</v>
      </c>
      <c r="M16" s="594">
        <f>-'Future Fund  Inc Exp Statement'!M25-'Future Fund  Inc Exp Statement'!M26</f>
        <v>-2088.6250148640001</v>
      </c>
      <c r="N16" s="594">
        <f>-'Future Fund  Inc Exp Statement'!N25-'Future Fund  Inc Exp Statement'!N26</f>
        <v>-2130.3975151612799</v>
      </c>
      <c r="O16" s="594">
        <f>-'Future Fund  Inc Exp Statement'!O25-'Future Fund  Inc Exp Statement'!O26</f>
        <v>-2173.0054654645055</v>
      </c>
      <c r="P16" s="594">
        <f>-'Future Fund  Inc Exp Statement'!P25-'Future Fund  Inc Exp Statement'!P26</f>
        <v>-2216.4655747737961</v>
      </c>
    </row>
    <row r="17" spans="1:18" x14ac:dyDescent="0.2">
      <c r="A17" s="639" t="s">
        <v>926</v>
      </c>
      <c r="B17" s="594"/>
      <c r="C17" s="594"/>
      <c r="D17" s="594"/>
      <c r="E17" s="594"/>
      <c r="F17" s="594">
        <f>-'Future Fund  Inc Exp Statement'!F24</f>
        <v>-908.23500000000001</v>
      </c>
      <c r="G17" s="594">
        <f>-'Future Fund  Inc Exp Statement'!G24</f>
        <v>-908.23500000000001</v>
      </c>
      <c r="H17" s="594">
        <f>-'Future Fund  Inc Exp Statement'!H24</f>
        <v>-908.23500000000001</v>
      </c>
      <c r="I17" s="594">
        <f>-'Future Fund  Inc Exp Statement'!I24</f>
        <v>-908.23500000000001</v>
      </c>
      <c r="J17" s="594">
        <f>-'Future Fund  Inc Exp Statement'!J24</f>
        <v>-908.23500000000001</v>
      </c>
      <c r="K17" s="594">
        <f>-'Future Fund  Inc Exp Statement'!K24</f>
        <v>-908.23500000000001</v>
      </c>
      <c r="L17" s="594">
        <f>-'Future Fund  Inc Exp Statement'!L24</f>
        <v>-908.23500000000001</v>
      </c>
      <c r="M17" s="594">
        <f>-'Future Fund  Inc Exp Statement'!M24</f>
        <v>-908.23500000000001</v>
      </c>
      <c r="N17" s="594">
        <f>-'Future Fund  Inc Exp Statement'!N24</f>
        <v>-908.23500000000001</v>
      </c>
      <c r="O17" s="594">
        <f>-'Future Fund  Inc Exp Statement'!O24</f>
        <v>-908.23500000000001</v>
      </c>
      <c r="P17" s="594">
        <f>-'Future Fund  Inc Exp Statement'!P24</f>
        <v>-908.23500000000001</v>
      </c>
    </row>
    <row r="18" spans="1:18" hidden="1" outlineLevel="1" x14ac:dyDescent="0.2">
      <c r="A18" s="639" t="s">
        <v>88</v>
      </c>
      <c r="B18" s="594"/>
      <c r="C18" s="594"/>
      <c r="D18" s="594"/>
      <c r="E18" s="594"/>
      <c r="F18" s="594">
        <v>0</v>
      </c>
      <c r="G18" s="594">
        <v>0</v>
      </c>
      <c r="H18" s="594">
        <v>0</v>
      </c>
      <c r="I18" s="594">
        <v>0</v>
      </c>
      <c r="J18" s="594">
        <v>0</v>
      </c>
      <c r="K18" s="594">
        <v>0</v>
      </c>
      <c r="L18" s="594">
        <v>0</v>
      </c>
      <c r="M18" s="594">
        <v>0</v>
      </c>
      <c r="N18" s="594">
        <v>0</v>
      </c>
      <c r="O18" s="594">
        <v>0</v>
      </c>
      <c r="P18" s="594">
        <v>0</v>
      </c>
    </row>
    <row r="19" spans="1:18" collapsed="1" x14ac:dyDescent="0.2">
      <c r="A19" s="641" t="s">
        <v>41</v>
      </c>
      <c r="B19" s="591"/>
      <c r="C19" s="591"/>
      <c r="D19" s="591"/>
      <c r="E19" s="591"/>
      <c r="F19" s="591">
        <f>-'Future Fund  Inc Exp Statement'!F30</f>
        <v>-359.04300000000001</v>
      </c>
      <c r="G19" s="591">
        <f>-'Future Fund  Inc Exp Statement'!G30</f>
        <v>-379.6</v>
      </c>
      <c r="H19" s="591">
        <f>-'Future Fund  Inc Exp Statement'!H30</f>
        <v>-379.69600000000003</v>
      </c>
      <c r="I19" s="591">
        <f>-'Future Fund  Inc Exp Statement'!I30</f>
        <v>-387.221</v>
      </c>
      <c r="J19" s="591">
        <f>-'Future Fund  Inc Exp Statement'!J30</f>
        <v>-394.90300000000002</v>
      </c>
      <c r="K19" s="591">
        <f>-'Future Fund  Inc Exp Statement'!K30</f>
        <v>-402.80106000000001</v>
      </c>
      <c r="L19" s="591">
        <f>-'Future Fund  Inc Exp Statement'!L30</f>
        <v>-410.85708120000004</v>
      </c>
      <c r="M19" s="591">
        <f>-'Future Fund  Inc Exp Statement'!M30</f>
        <v>-419.07422282400006</v>
      </c>
      <c r="N19" s="591">
        <f>-'Future Fund  Inc Exp Statement'!N30</f>
        <v>-427.45570728048006</v>
      </c>
      <c r="O19" s="591">
        <f>-'Future Fund  Inc Exp Statement'!O30</f>
        <v>-436.00482142608968</v>
      </c>
      <c r="P19" s="591">
        <f>-'Future Fund  Inc Exp Statement'!P30</f>
        <v>-444.72491785461148</v>
      </c>
    </row>
    <row r="20" spans="1:18" s="644" customFormat="1" x14ac:dyDescent="0.2">
      <c r="A20" s="642" t="s">
        <v>89</v>
      </c>
      <c r="B20" s="643">
        <f>SUM(B7:B19)</f>
        <v>0</v>
      </c>
      <c r="C20" s="643">
        <f t="shared" ref="C20:P20" si="0">SUM(C7:C19)</f>
        <v>0</v>
      </c>
      <c r="D20" s="643">
        <f t="shared" si="0"/>
        <v>0</v>
      </c>
      <c r="E20" s="643">
        <f t="shared" si="0"/>
        <v>0</v>
      </c>
      <c r="F20" s="643">
        <f t="shared" si="0"/>
        <v>127.87499999999977</v>
      </c>
      <c r="G20" s="643">
        <f t="shared" si="0"/>
        <v>170.46600000000012</v>
      </c>
      <c r="H20" s="643">
        <f t="shared" si="0"/>
        <v>165.67200000000003</v>
      </c>
      <c r="I20" s="643">
        <f t="shared" si="0"/>
        <v>110.10599999999988</v>
      </c>
      <c r="J20" s="643">
        <f t="shared" si="0"/>
        <v>55.36320000000012</v>
      </c>
      <c r="K20" s="643">
        <f t="shared" si="0"/>
        <v>99.044712000000459</v>
      </c>
      <c r="L20" s="643">
        <f t="shared" si="0"/>
        <v>121.72967676000042</v>
      </c>
      <c r="M20" s="643">
        <f t="shared" si="0"/>
        <v>145.66901066999952</v>
      </c>
      <c r="N20" s="643">
        <f t="shared" si="0"/>
        <v>170.91900311821257</v>
      </c>
      <c r="O20" s="643">
        <f t="shared" si="0"/>
        <v>197.53829261715151</v>
      </c>
      <c r="P20" s="643">
        <f t="shared" si="0"/>
        <v>225.58796197727395</v>
      </c>
    </row>
    <row r="21" spans="1:18" x14ac:dyDescent="0.2">
      <c r="B21" s="590"/>
      <c r="C21" s="590"/>
      <c r="D21" s="590"/>
      <c r="E21" s="590"/>
      <c r="F21" s="590"/>
      <c r="G21" s="590"/>
      <c r="H21" s="590"/>
      <c r="I21" s="590"/>
      <c r="J21" s="590"/>
      <c r="K21" s="590"/>
      <c r="L21" s="590"/>
      <c r="M21" s="590"/>
      <c r="N21" s="590"/>
      <c r="O21" s="590"/>
      <c r="P21" s="590"/>
    </row>
    <row r="22" spans="1:18" x14ac:dyDescent="0.2">
      <c r="A22" s="592" t="s">
        <v>90</v>
      </c>
      <c r="B22" s="590"/>
      <c r="C22" s="590"/>
      <c r="D22" s="590"/>
      <c r="E22" s="590"/>
      <c r="F22" s="590"/>
      <c r="G22" s="590"/>
      <c r="H22" s="590"/>
      <c r="I22" s="590"/>
      <c r="J22" s="590"/>
      <c r="K22" s="590"/>
      <c r="L22" s="590"/>
      <c r="M22" s="590"/>
      <c r="N22" s="590"/>
      <c r="O22" s="590"/>
      <c r="P22" s="590"/>
    </row>
    <row r="23" spans="1:18" x14ac:dyDescent="0.2">
      <c r="A23" s="640" t="s">
        <v>83</v>
      </c>
      <c r="B23" s="590"/>
      <c r="C23" s="590"/>
      <c r="D23" s="590"/>
      <c r="E23" s="590"/>
      <c r="F23" s="590"/>
      <c r="G23" s="590"/>
      <c r="H23" s="590"/>
      <c r="I23" s="590"/>
      <c r="J23" s="590"/>
      <c r="K23" s="590"/>
      <c r="L23" s="590"/>
      <c r="M23" s="590"/>
      <c r="N23" s="590"/>
      <c r="O23" s="590"/>
      <c r="P23" s="590"/>
    </row>
    <row r="24" spans="1:18" x14ac:dyDescent="0.2">
      <c r="A24" s="639" t="s">
        <v>431</v>
      </c>
      <c r="B24" s="594"/>
      <c r="C24" s="594"/>
      <c r="D24" s="594"/>
      <c r="E24" s="594"/>
      <c r="F24" s="594">
        <f>'Future Fund  Inc Exp Statement'!F63</f>
        <v>0</v>
      </c>
      <c r="G24" s="594">
        <f>'Future Fund  Inc Exp Statement'!G63</f>
        <v>0</v>
      </c>
      <c r="H24" s="594">
        <f>'Future Fund  Inc Exp Statement'!H63</f>
        <v>0</v>
      </c>
      <c r="I24" s="594">
        <f>'Future Fund  Inc Exp Statement'!I63</f>
        <v>0</v>
      </c>
      <c r="J24" s="594">
        <f>'Future Fund  Inc Exp Statement'!J63</f>
        <v>0</v>
      </c>
      <c r="K24" s="594">
        <f>'Future Fund  Inc Exp Statement'!K63</f>
        <v>0</v>
      </c>
      <c r="L24" s="594">
        <f>'Future Fund  Inc Exp Statement'!L63</f>
        <v>0</v>
      </c>
      <c r="M24" s="594">
        <f>'Future Fund  Inc Exp Statement'!M63</f>
        <v>0</v>
      </c>
      <c r="N24" s="594">
        <f>'Future Fund  Inc Exp Statement'!N63</f>
        <v>0</v>
      </c>
      <c r="O24" s="594">
        <f>'Future Fund  Inc Exp Statement'!O63</f>
        <v>0</v>
      </c>
      <c r="P24" s="594">
        <f>'Future Fund  Inc Exp Statement'!P63</f>
        <v>0</v>
      </c>
      <c r="R24" s="639" t="s">
        <v>1036</v>
      </c>
    </row>
    <row r="25" spans="1:18" x14ac:dyDescent="0.2">
      <c r="A25" s="639" t="s">
        <v>1052</v>
      </c>
      <c r="B25" s="594"/>
      <c r="C25" s="594"/>
      <c r="D25" s="594"/>
      <c r="E25" s="594"/>
      <c r="F25" s="594"/>
      <c r="G25" s="594"/>
      <c r="H25" s="594"/>
      <c r="I25" s="594"/>
      <c r="J25" s="594"/>
      <c r="K25" s="594"/>
      <c r="L25" s="594"/>
      <c r="M25" s="594"/>
      <c r="N25" s="594"/>
      <c r="O25" s="594"/>
      <c r="P25" s="594"/>
    </row>
    <row r="26" spans="1:18" x14ac:dyDescent="0.2">
      <c r="A26" s="639" t="s">
        <v>91</v>
      </c>
      <c r="B26" s="594"/>
      <c r="C26" s="594"/>
      <c r="D26" s="594"/>
      <c r="E26" s="594"/>
      <c r="F26" s="594">
        <v>0</v>
      </c>
      <c r="G26" s="594">
        <v>0</v>
      </c>
      <c r="H26" s="594">
        <v>0</v>
      </c>
      <c r="I26" s="594">
        <v>0</v>
      </c>
      <c r="J26" s="594">
        <v>0</v>
      </c>
      <c r="K26" s="594">
        <v>0</v>
      </c>
      <c r="L26" s="594">
        <v>0</v>
      </c>
      <c r="M26" s="594">
        <v>0</v>
      </c>
      <c r="N26" s="594">
        <v>0</v>
      </c>
      <c r="O26" s="594">
        <v>0</v>
      </c>
      <c r="P26" s="594">
        <v>0</v>
      </c>
    </row>
    <row r="27" spans="1:18" x14ac:dyDescent="0.2">
      <c r="A27" s="639" t="s">
        <v>92</v>
      </c>
      <c r="B27" s="594"/>
      <c r="C27" s="594"/>
      <c r="D27" s="594"/>
      <c r="E27" s="594"/>
      <c r="F27" s="594">
        <f>'Future Fund  Inc Exp Statement'!F65</f>
        <v>0</v>
      </c>
      <c r="G27" s="594">
        <f>'Future Fund  Inc Exp Statement'!G65</f>
        <v>0</v>
      </c>
      <c r="H27" s="594">
        <f>'Future Fund  Inc Exp Statement'!H65</f>
        <v>0</v>
      </c>
      <c r="I27" s="594">
        <f>'Future Fund  Inc Exp Statement'!I65</f>
        <v>0</v>
      </c>
      <c r="J27" s="594">
        <f>'Future Fund  Inc Exp Statement'!J65</f>
        <v>0</v>
      </c>
      <c r="K27" s="594">
        <f>'Future Fund  Inc Exp Statement'!K65</f>
        <v>0</v>
      </c>
      <c r="L27" s="594">
        <f>'Future Fund  Inc Exp Statement'!L65</f>
        <v>0</v>
      </c>
      <c r="M27" s="594">
        <f>'Future Fund  Inc Exp Statement'!M65</f>
        <v>0</v>
      </c>
      <c r="N27" s="594">
        <f>'Future Fund  Inc Exp Statement'!N65</f>
        <v>0</v>
      </c>
      <c r="O27" s="594">
        <f>'Future Fund  Inc Exp Statement'!O65</f>
        <v>0</v>
      </c>
      <c r="P27" s="594">
        <f>'Future Fund  Inc Exp Statement'!P65</f>
        <v>0</v>
      </c>
    </row>
    <row r="28" spans="1:18" ht="5.25" customHeight="1" x14ac:dyDescent="0.2"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594"/>
    </row>
    <row r="29" spans="1:18" x14ac:dyDescent="0.2">
      <c r="A29" s="640" t="s">
        <v>87</v>
      </c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P29" s="594"/>
    </row>
    <row r="30" spans="1:18" x14ac:dyDescent="0.2">
      <c r="A30" s="639" t="s">
        <v>93</v>
      </c>
      <c r="B30" s="594"/>
      <c r="C30" s="594"/>
      <c r="D30" s="594"/>
      <c r="E30" s="594"/>
      <c r="F30" s="594">
        <f>-'Future Fund  Inc Exp Statement'!F55</f>
        <v>-127.875</v>
      </c>
      <c r="G30" s="594">
        <f>-'Future Fund  Inc Exp Statement'!G55</f>
        <v>0</v>
      </c>
      <c r="H30" s="594">
        <f>-'Future Fund  Inc Exp Statement'!H55</f>
        <v>0</v>
      </c>
      <c r="I30" s="594">
        <f>-'Future Fund  Inc Exp Statement'!I55</f>
        <v>0</v>
      </c>
      <c r="J30" s="594">
        <f>-'Future Fund  Inc Exp Statement'!J55</f>
        <v>0</v>
      </c>
      <c r="K30" s="594">
        <f>-'Future Fund  Inc Exp Statement'!K55</f>
        <v>0</v>
      </c>
      <c r="L30" s="594">
        <f>-'Future Fund  Inc Exp Statement'!L55</f>
        <v>0</v>
      </c>
      <c r="M30" s="594">
        <f>-'Future Fund  Inc Exp Statement'!M55</f>
        <v>0</v>
      </c>
      <c r="N30" s="594">
        <f>-'Future Fund  Inc Exp Statement'!N55</f>
        <v>0</v>
      </c>
      <c r="O30" s="594">
        <f>-'Future Fund  Inc Exp Statement'!O55</f>
        <v>0</v>
      </c>
      <c r="P30" s="594">
        <f>-'Future Fund  Inc Exp Statement'!P55</f>
        <v>0</v>
      </c>
      <c r="R30" s="639" t="s">
        <v>1036</v>
      </c>
    </row>
    <row r="31" spans="1:18" x14ac:dyDescent="0.2">
      <c r="A31" s="639" t="s">
        <v>1053</v>
      </c>
      <c r="B31" s="594"/>
      <c r="C31" s="594"/>
      <c r="D31" s="594"/>
      <c r="E31" s="594"/>
      <c r="F31" s="594">
        <f>-'Future Fund  Inc Exp Statement'!F52</f>
        <v>-10000</v>
      </c>
      <c r="G31" s="594">
        <f>-'Future Fund  Inc Exp Statement'!G52</f>
        <v>0</v>
      </c>
      <c r="H31" s="594">
        <f>-'Future Fund  Inc Exp Statement'!H52</f>
        <v>0</v>
      </c>
      <c r="I31" s="594">
        <f>-'Future Fund  Inc Exp Statement'!I52</f>
        <v>0</v>
      </c>
      <c r="J31" s="594">
        <f>-'Future Fund  Inc Exp Statement'!J52</f>
        <v>0</v>
      </c>
      <c r="K31" s="594">
        <f>-'Future Fund  Inc Exp Statement'!K52</f>
        <v>0</v>
      </c>
      <c r="L31" s="594">
        <f>-'Future Fund  Inc Exp Statement'!L52</f>
        <v>0</v>
      </c>
      <c r="M31" s="594">
        <f>-'Future Fund  Inc Exp Statement'!M52</f>
        <v>0</v>
      </c>
      <c r="N31" s="594">
        <f>-'Future Fund  Inc Exp Statement'!N52</f>
        <v>0</v>
      </c>
      <c r="O31" s="594">
        <f>-'Future Fund  Inc Exp Statement'!O52</f>
        <v>0</v>
      </c>
      <c r="P31" s="594">
        <f>-'Future Fund  Inc Exp Statement'!P52</f>
        <v>0</v>
      </c>
    </row>
    <row r="32" spans="1:18" x14ac:dyDescent="0.2">
      <c r="A32" s="639" t="s">
        <v>94</v>
      </c>
      <c r="B32" s="594"/>
      <c r="C32" s="594"/>
      <c r="D32" s="594"/>
      <c r="E32" s="594"/>
      <c r="F32" s="816">
        <f>-SUM('Future Fund  Inc Exp Statement'!F51:'Future Fund  Inc Exp Statement'!F53)-F31-F33</f>
        <v>0</v>
      </c>
      <c r="G32" s="816">
        <f>-SUM('Future Fund  Inc Exp Statement'!G51:'Future Fund  Inc Exp Statement'!G53)-G31-G33</f>
        <v>0</v>
      </c>
      <c r="H32" s="816">
        <f>-SUM('Future Fund  Inc Exp Statement'!H51:'Future Fund  Inc Exp Statement'!H53)-H31-H33</f>
        <v>0</v>
      </c>
      <c r="I32" s="816">
        <f>-SUM('Future Fund  Inc Exp Statement'!I51:'Future Fund  Inc Exp Statement'!I53)-I31-I33</f>
        <v>0</v>
      </c>
      <c r="J32" s="816">
        <f>-SUM('Future Fund  Inc Exp Statement'!J51:'Future Fund  Inc Exp Statement'!J53)-J31-J33</f>
        <v>0</v>
      </c>
      <c r="K32" s="816">
        <f>-SUM('Future Fund  Inc Exp Statement'!K51:'Future Fund  Inc Exp Statement'!K53)-K31-K33</f>
        <v>0</v>
      </c>
      <c r="L32" s="816">
        <f>-SUM('Future Fund  Inc Exp Statement'!L51:'Future Fund  Inc Exp Statement'!L53)-L31-L33</f>
        <v>0</v>
      </c>
      <c r="M32" s="816">
        <f>-SUM('Future Fund  Inc Exp Statement'!M51:'Future Fund  Inc Exp Statement'!M53)-M31-M33</f>
        <v>0</v>
      </c>
      <c r="N32" s="816">
        <f>-SUM('Future Fund  Inc Exp Statement'!N51:'Future Fund  Inc Exp Statement'!N53)-N31-N33</f>
        <v>0</v>
      </c>
      <c r="O32" s="816">
        <f>-SUM('Future Fund  Inc Exp Statement'!O51:'Future Fund  Inc Exp Statement'!O53)-O31-O33</f>
        <v>0</v>
      </c>
      <c r="P32" s="816">
        <f>-SUM('Future Fund  Inc Exp Statement'!P51:'Future Fund  Inc Exp Statement'!P53)-P31-P33</f>
        <v>0</v>
      </c>
    </row>
    <row r="33" spans="1:18" x14ac:dyDescent="0.2">
      <c r="A33" s="641" t="s">
        <v>95</v>
      </c>
      <c r="B33" s="591"/>
      <c r="C33" s="591"/>
      <c r="D33" s="591"/>
      <c r="E33" s="591"/>
      <c r="F33" s="591">
        <v>0</v>
      </c>
      <c r="G33" s="591">
        <v>0</v>
      </c>
      <c r="H33" s="591">
        <v>0</v>
      </c>
      <c r="I33" s="591">
        <v>0</v>
      </c>
      <c r="J33" s="591">
        <v>0</v>
      </c>
      <c r="K33" s="591">
        <v>0</v>
      </c>
      <c r="L33" s="591">
        <v>0</v>
      </c>
      <c r="M33" s="591">
        <v>0</v>
      </c>
      <c r="N33" s="591">
        <v>0</v>
      </c>
      <c r="O33" s="591">
        <v>0</v>
      </c>
      <c r="P33" s="591">
        <f>O33</f>
        <v>0</v>
      </c>
    </row>
    <row r="34" spans="1:18" s="644" customFormat="1" x14ac:dyDescent="0.2">
      <c r="A34" s="642" t="s">
        <v>110</v>
      </c>
      <c r="B34" s="593">
        <f>SUM(B24:B33)</f>
        <v>0</v>
      </c>
      <c r="C34" s="593">
        <f t="shared" ref="C34:P34" si="1">SUM(C24:C33)</f>
        <v>0</v>
      </c>
      <c r="D34" s="593">
        <f t="shared" si="1"/>
        <v>0</v>
      </c>
      <c r="E34" s="593">
        <f t="shared" si="1"/>
        <v>0</v>
      </c>
      <c r="F34" s="593">
        <f t="shared" si="1"/>
        <v>-10127.875</v>
      </c>
      <c r="G34" s="593">
        <f t="shared" si="1"/>
        <v>0</v>
      </c>
      <c r="H34" s="593">
        <f t="shared" si="1"/>
        <v>0</v>
      </c>
      <c r="I34" s="593">
        <f t="shared" si="1"/>
        <v>0</v>
      </c>
      <c r="J34" s="593">
        <f t="shared" si="1"/>
        <v>0</v>
      </c>
      <c r="K34" s="593">
        <f t="shared" si="1"/>
        <v>0</v>
      </c>
      <c r="L34" s="593">
        <f t="shared" si="1"/>
        <v>0</v>
      </c>
      <c r="M34" s="593">
        <f t="shared" si="1"/>
        <v>0</v>
      </c>
      <c r="N34" s="593">
        <f t="shared" si="1"/>
        <v>0</v>
      </c>
      <c r="O34" s="593">
        <f t="shared" si="1"/>
        <v>0</v>
      </c>
      <c r="P34" s="593">
        <f t="shared" si="1"/>
        <v>0</v>
      </c>
    </row>
    <row r="35" spans="1:18" ht="9" customHeight="1" x14ac:dyDescent="0.2">
      <c r="B35" s="594"/>
      <c r="C35" s="594"/>
      <c r="D35" s="594"/>
      <c r="E35" s="594"/>
      <c r="F35" s="594"/>
      <c r="G35" s="594"/>
      <c r="H35" s="594"/>
      <c r="I35" s="594"/>
      <c r="J35" s="594"/>
      <c r="K35" s="594"/>
      <c r="L35" s="594"/>
      <c r="M35" s="594"/>
      <c r="N35" s="594"/>
      <c r="O35" s="594"/>
      <c r="P35" s="594"/>
    </row>
    <row r="36" spans="1:18" x14ac:dyDescent="0.2">
      <c r="A36" s="592" t="s">
        <v>1054</v>
      </c>
      <c r="B36" s="590"/>
      <c r="C36" s="590"/>
      <c r="D36" s="590"/>
      <c r="E36" s="590"/>
      <c r="F36" s="590"/>
      <c r="G36" s="590"/>
      <c r="H36" s="590"/>
      <c r="I36" s="590"/>
      <c r="J36" s="590"/>
      <c r="K36" s="590"/>
      <c r="L36" s="590"/>
      <c r="M36" s="590"/>
      <c r="N36" s="590"/>
      <c r="O36" s="590"/>
      <c r="P36" s="590"/>
    </row>
    <row r="37" spans="1:18" x14ac:dyDescent="0.2">
      <c r="A37" s="640" t="s">
        <v>83</v>
      </c>
      <c r="B37" s="590"/>
      <c r="C37" s="590"/>
      <c r="D37" s="590"/>
      <c r="E37" s="590"/>
      <c r="F37" s="590"/>
      <c r="G37" s="590"/>
      <c r="H37" s="590"/>
      <c r="I37" s="590"/>
      <c r="J37" s="590"/>
      <c r="K37" s="590"/>
      <c r="L37" s="590"/>
      <c r="M37" s="590"/>
      <c r="N37" s="590"/>
      <c r="O37" s="590"/>
      <c r="P37" s="590"/>
    </row>
    <row r="38" spans="1:18" x14ac:dyDescent="0.2">
      <c r="A38" s="639" t="s">
        <v>1055</v>
      </c>
      <c r="B38" s="594"/>
      <c r="C38" s="594"/>
      <c r="D38" s="594"/>
      <c r="E38" s="594"/>
      <c r="F38" s="594">
        <f>'Future Fund  Inc Exp Statement'!F64</f>
        <v>10000</v>
      </c>
      <c r="G38" s="594">
        <f>'Future Fund  Inc Exp Statement'!G64</f>
        <v>0</v>
      </c>
      <c r="H38" s="594">
        <f>'Future Fund  Inc Exp Statement'!H64</f>
        <v>0</v>
      </c>
      <c r="I38" s="594">
        <f>'Future Fund  Inc Exp Statement'!I64</f>
        <v>0</v>
      </c>
      <c r="J38" s="594">
        <f>'Future Fund  Inc Exp Statement'!J64</f>
        <v>0</v>
      </c>
      <c r="K38" s="594">
        <f>'Future Fund  Inc Exp Statement'!K64</f>
        <v>0</v>
      </c>
      <c r="L38" s="594">
        <f>'Future Fund  Inc Exp Statement'!L64</f>
        <v>0</v>
      </c>
      <c r="M38" s="594">
        <f>'Future Fund  Inc Exp Statement'!M64</f>
        <v>0</v>
      </c>
      <c r="N38" s="594">
        <f>'Future Fund  Inc Exp Statement'!N64</f>
        <v>0</v>
      </c>
      <c r="O38" s="594">
        <f>'Future Fund  Inc Exp Statement'!O64</f>
        <v>0</v>
      </c>
      <c r="P38" s="594">
        <f>'Future Fund  Inc Exp Statement'!P64</f>
        <v>0</v>
      </c>
      <c r="R38" s="639" t="s">
        <v>1036</v>
      </c>
    </row>
    <row r="39" spans="1:18" ht="5.25" customHeight="1" x14ac:dyDescent="0.2">
      <c r="B39" s="594"/>
      <c r="C39" s="594"/>
      <c r="D39" s="594"/>
      <c r="E39" s="594"/>
      <c r="F39" s="594"/>
      <c r="G39" s="594"/>
      <c r="H39" s="594"/>
      <c r="I39" s="594"/>
      <c r="J39" s="594"/>
      <c r="K39" s="594"/>
      <c r="L39" s="594"/>
      <c r="M39" s="594"/>
      <c r="N39" s="594"/>
      <c r="O39" s="594"/>
      <c r="P39" s="594"/>
    </row>
    <row r="40" spans="1:18" x14ac:dyDescent="0.2">
      <c r="A40" s="640" t="s">
        <v>87</v>
      </c>
      <c r="B40" s="594"/>
      <c r="C40" s="594"/>
      <c r="D40" s="594"/>
      <c r="E40" s="594"/>
      <c r="F40" s="594"/>
      <c r="G40" s="594"/>
      <c r="H40" s="594"/>
      <c r="I40" s="594"/>
      <c r="J40" s="594"/>
      <c r="K40" s="594"/>
      <c r="L40" s="594"/>
      <c r="M40" s="594"/>
      <c r="N40" s="594"/>
      <c r="O40" s="594"/>
      <c r="P40" s="594"/>
    </row>
    <row r="41" spans="1:18" x14ac:dyDescent="0.2">
      <c r="A41" s="639" t="s">
        <v>1056</v>
      </c>
      <c r="B41" s="594"/>
      <c r="C41" s="594"/>
      <c r="D41" s="594"/>
      <c r="E41" s="594"/>
      <c r="F41" s="594">
        <f>-'Future Fund  Inc Exp Statement'!F54</f>
        <v>0</v>
      </c>
      <c r="G41" s="594">
        <f>-'Future Fund  Inc Exp Statement'!G54</f>
        <v>0</v>
      </c>
      <c r="H41" s="594">
        <f>-'Future Fund  Inc Exp Statement'!H54</f>
        <v>0</v>
      </c>
      <c r="I41" s="594">
        <f>-'Future Fund  Inc Exp Statement'!I54</f>
        <v>0</v>
      </c>
      <c r="J41" s="594">
        <f>-'Future Fund  Inc Exp Statement'!J54</f>
        <v>0</v>
      </c>
      <c r="K41" s="594">
        <f>-'Future Fund  Inc Exp Statement'!K54</f>
        <v>0</v>
      </c>
      <c r="L41" s="594">
        <f>-'Future Fund  Inc Exp Statement'!L54</f>
        <v>0</v>
      </c>
      <c r="M41" s="594">
        <f>-'Future Fund  Inc Exp Statement'!M54</f>
        <v>0</v>
      </c>
      <c r="N41" s="594">
        <f>-'Future Fund  Inc Exp Statement'!N54</f>
        <v>0</v>
      </c>
      <c r="O41" s="594">
        <f>-'Future Fund  Inc Exp Statement'!O54</f>
        <v>0</v>
      </c>
      <c r="P41" s="594">
        <f>-'Future Fund  Inc Exp Statement'!P54</f>
        <v>0</v>
      </c>
      <c r="R41" s="639" t="s">
        <v>1036</v>
      </c>
    </row>
    <row r="42" spans="1:18" s="644" customFormat="1" x14ac:dyDescent="0.2">
      <c r="A42" s="770" t="s">
        <v>110</v>
      </c>
      <c r="B42" s="772">
        <f t="shared" ref="B42:P42" si="2">SUM(B38:B41)</f>
        <v>0</v>
      </c>
      <c r="C42" s="772">
        <f t="shared" si="2"/>
        <v>0</v>
      </c>
      <c r="D42" s="772">
        <f t="shared" si="2"/>
        <v>0</v>
      </c>
      <c r="E42" s="772">
        <f t="shared" si="2"/>
        <v>0</v>
      </c>
      <c r="F42" s="772">
        <f t="shared" si="2"/>
        <v>10000</v>
      </c>
      <c r="G42" s="772">
        <f t="shared" si="2"/>
        <v>0</v>
      </c>
      <c r="H42" s="772">
        <f t="shared" si="2"/>
        <v>0</v>
      </c>
      <c r="I42" s="772">
        <f t="shared" si="2"/>
        <v>0</v>
      </c>
      <c r="J42" s="772">
        <f t="shared" si="2"/>
        <v>0</v>
      </c>
      <c r="K42" s="772">
        <f t="shared" si="2"/>
        <v>0</v>
      </c>
      <c r="L42" s="772">
        <f t="shared" si="2"/>
        <v>0</v>
      </c>
      <c r="M42" s="772">
        <f t="shared" si="2"/>
        <v>0</v>
      </c>
      <c r="N42" s="772">
        <f t="shared" si="2"/>
        <v>0</v>
      </c>
      <c r="O42" s="772">
        <f t="shared" si="2"/>
        <v>0</v>
      </c>
      <c r="P42" s="772">
        <f t="shared" si="2"/>
        <v>0</v>
      </c>
    </row>
    <row r="43" spans="1:18" ht="3.75" customHeight="1" x14ac:dyDescent="0.2">
      <c r="B43" s="594"/>
      <c r="C43" s="594"/>
      <c r="D43" s="594"/>
      <c r="E43" s="594"/>
      <c r="F43" s="594"/>
      <c r="G43" s="594"/>
      <c r="H43" s="594"/>
      <c r="I43" s="594"/>
      <c r="J43" s="594"/>
      <c r="K43" s="594"/>
      <c r="L43" s="594"/>
      <c r="M43" s="594"/>
      <c r="N43" s="594"/>
      <c r="O43" s="594"/>
      <c r="P43" s="594"/>
    </row>
    <row r="44" spans="1:18" x14ac:dyDescent="0.2">
      <c r="A44" s="592" t="s">
        <v>321</v>
      </c>
      <c r="B44" s="594">
        <f>+B20+B34</f>
        <v>0</v>
      </c>
      <c r="C44" s="594">
        <f>+C20+C34</f>
        <v>0</v>
      </c>
      <c r="D44" s="594">
        <f>+D20+D34+D42</f>
        <v>0</v>
      </c>
      <c r="E44" s="594">
        <f t="shared" ref="E44:P44" si="3">+E20+E34+E42</f>
        <v>0</v>
      </c>
      <c r="F44" s="594">
        <f t="shared" si="3"/>
        <v>0</v>
      </c>
      <c r="G44" s="594">
        <f t="shared" si="3"/>
        <v>170.46600000000012</v>
      </c>
      <c r="H44" s="594">
        <f t="shared" si="3"/>
        <v>165.67200000000003</v>
      </c>
      <c r="I44" s="594">
        <f t="shared" si="3"/>
        <v>110.10599999999988</v>
      </c>
      <c r="J44" s="594">
        <f t="shared" si="3"/>
        <v>55.36320000000012</v>
      </c>
      <c r="K44" s="594">
        <f t="shared" si="3"/>
        <v>99.044712000000459</v>
      </c>
      <c r="L44" s="594">
        <f t="shared" si="3"/>
        <v>121.72967676000042</v>
      </c>
      <c r="M44" s="594">
        <f t="shared" si="3"/>
        <v>145.66901066999952</v>
      </c>
      <c r="N44" s="594">
        <f t="shared" si="3"/>
        <v>170.91900311821257</v>
      </c>
      <c r="O44" s="594">
        <f t="shared" si="3"/>
        <v>197.53829261715151</v>
      </c>
      <c r="P44" s="594">
        <f t="shared" si="3"/>
        <v>225.58796197727395</v>
      </c>
    </row>
    <row r="45" spans="1:18" ht="3.75" customHeight="1" x14ac:dyDescent="0.2">
      <c r="A45" s="644"/>
      <c r="B45" s="594"/>
      <c r="C45" s="594"/>
      <c r="D45" s="594"/>
      <c r="E45" s="594"/>
      <c r="F45" s="594"/>
      <c r="G45" s="594"/>
      <c r="H45" s="594"/>
      <c r="I45" s="594"/>
      <c r="J45" s="594"/>
      <c r="K45" s="594"/>
      <c r="L45" s="594"/>
      <c r="M45" s="594"/>
      <c r="N45" s="594"/>
      <c r="O45" s="594"/>
      <c r="P45" s="594"/>
    </row>
    <row r="46" spans="1:18" x14ac:dyDescent="0.2">
      <c r="A46" s="592" t="s">
        <v>96</v>
      </c>
      <c r="B46" s="594"/>
      <c r="C46" s="594">
        <f>+B48</f>
        <v>0</v>
      </c>
      <c r="D46" s="594"/>
      <c r="E46" s="594">
        <f t="shared" ref="E46:P46" si="4">+D48</f>
        <v>0</v>
      </c>
      <c r="F46" s="594">
        <f t="shared" si="4"/>
        <v>0</v>
      </c>
      <c r="G46" s="594">
        <f t="shared" si="4"/>
        <v>0</v>
      </c>
      <c r="H46" s="594">
        <f t="shared" si="4"/>
        <v>170.46600000000012</v>
      </c>
      <c r="I46" s="594">
        <f t="shared" si="4"/>
        <v>336.13800000000015</v>
      </c>
      <c r="J46" s="594">
        <f t="shared" si="4"/>
        <v>446.24400000000003</v>
      </c>
      <c r="K46" s="594">
        <f t="shared" si="4"/>
        <v>501.60720000000015</v>
      </c>
      <c r="L46" s="594">
        <f t="shared" si="4"/>
        <v>600.65191200000061</v>
      </c>
      <c r="M46" s="594">
        <f t="shared" si="4"/>
        <v>722.38158876000102</v>
      </c>
      <c r="N46" s="594">
        <f t="shared" si="4"/>
        <v>868.0505994300006</v>
      </c>
      <c r="O46" s="594">
        <f t="shared" si="4"/>
        <v>1038.9696025482131</v>
      </c>
      <c r="P46" s="594">
        <f t="shared" si="4"/>
        <v>1236.5078951653645</v>
      </c>
    </row>
    <row r="47" spans="1:18" ht="4.5" customHeight="1" x14ac:dyDescent="0.2">
      <c r="B47" s="594"/>
      <c r="C47" s="594"/>
      <c r="D47" s="594"/>
      <c r="E47" s="594"/>
      <c r="F47" s="594"/>
      <c r="G47" s="594"/>
      <c r="H47" s="594"/>
      <c r="I47" s="594"/>
      <c r="J47" s="594"/>
      <c r="K47" s="594"/>
      <c r="L47" s="594"/>
      <c r="M47" s="594"/>
      <c r="N47" s="594"/>
      <c r="O47" s="594"/>
      <c r="P47" s="594"/>
    </row>
    <row r="48" spans="1:18" s="592" customFormat="1" ht="12.75" thickBot="1" x14ac:dyDescent="0.25">
      <c r="A48" s="592" t="s">
        <v>97</v>
      </c>
      <c r="B48" s="645">
        <f>+B44+B46</f>
        <v>0</v>
      </c>
      <c r="C48" s="645">
        <f t="shared" ref="C48:P48" si="5">+C44+C46</f>
        <v>0</v>
      </c>
      <c r="D48" s="645">
        <f t="shared" si="5"/>
        <v>0</v>
      </c>
      <c r="E48" s="645">
        <f t="shared" si="5"/>
        <v>0</v>
      </c>
      <c r="F48" s="645">
        <f t="shared" si="5"/>
        <v>0</v>
      </c>
      <c r="G48" s="645">
        <f t="shared" si="5"/>
        <v>170.46600000000012</v>
      </c>
      <c r="H48" s="645">
        <f t="shared" si="5"/>
        <v>336.13800000000015</v>
      </c>
      <c r="I48" s="645">
        <f t="shared" si="5"/>
        <v>446.24400000000003</v>
      </c>
      <c r="J48" s="645">
        <f t="shared" si="5"/>
        <v>501.60720000000015</v>
      </c>
      <c r="K48" s="645">
        <f t="shared" si="5"/>
        <v>600.65191200000061</v>
      </c>
      <c r="L48" s="645">
        <f t="shared" si="5"/>
        <v>722.38158876000102</v>
      </c>
      <c r="M48" s="645">
        <f t="shared" si="5"/>
        <v>868.0505994300006</v>
      </c>
      <c r="N48" s="645">
        <f t="shared" si="5"/>
        <v>1038.9696025482131</v>
      </c>
      <c r="O48" s="645">
        <f t="shared" si="5"/>
        <v>1236.5078951653645</v>
      </c>
      <c r="P48" s="645">
        <f t="shared" si="5"/>
        <v>1462.0958571426386</v>
      </c>
    </row>
    <row r="49" spans="1:16" ht="4.5" customHeight="1" x14ac:dyDescent="0.2"/>
    <row r="50" spans="1:16" x14ac:dyDescent="0.2">
      <c r="A50" s="639" t="s">
        <v>98</v>
      </c>
      <c r="B50" s="590"/>
      <c r="C50" s="590">
        <f>B50-C30-C24</f>
        <v>0</v>
      </c>
      <c r="D50" s="590"/>
      <c r="E50" s="590">
        <f>'Future Fund  Bal Sheet'!E8+'Future Fund  Bal Sheet'!E15</f>
        <v>3</v>
      </c>
      <c r="F50" s="590">
        <f t="shared" ref="F50:P50" si="6">E50-F30-F24</f>
        <v>130.875</v>
      </c>
      <c r="G50" s="590">
        <f t="shared" si="6"/>
        <v>130.875</v>
      </c>
      <c r="H50" s="590">
        <f t="shared" si="6"/>
        <v>130.875</v>
      </c>
      <c r="I50" s="590">
        <f t="shared" si="6"/>
        <v>130.875</v>
      </c>
      <c r="J50" s="590">
        <f t="shared" si="6"/>
        <v>130.875</v>
      </c>
      <c r="K50" s="590">
        <f t="shared" si="6"/>
        <v>130.875</v>
      </c>
      <c r="L50" s="590">
        <f t="shared" si="6"/>
        <v>130.875</v>
      </c>
      <c r="M50" s="590">
        <f t="shared" si="6"/>
        <v>130.875</v>
      </c>
      <c r="N50" s="590">
        <f t="shared" si="6"/>
        <v>130.875</v>
      </c>
      <c r="O50" s="590">
        <f t="shared" si="6"/>
        <v>130.875</v>
      </c>
      <c r="P50" s="590">
        <f t="shared" si="6"/>
        <v>130.875</v>
      </c>
    </row>
    <row r="51" spans="1:16" ht="3.75" customHeight="1" x14ac:dyDescent="0.2">
      <c r="B51" s="590"/>
      <c r="C51" s="590"/>
      <c r="D51" s="590"/>
      <c r="E51" s="590"/>
      <c r="F51" s="590"/>
      <c r="G51" s="590"/>
      <c r="H51" s="590"/>
      <c r="I51" s="590"/>
      <c r="J51" s="590"/>
      <c r="K51" s="590"/>
      <c r="L51" s="590"/>
      <c r="M51" s="590"/>
      <c r="N51" s="590"/>
      <c r="O51" s="590"/>
      <c r="P51" s="590"/>
    </row>
    <row r="52" spans="1:16" s="644" customFormat="1" ht="12.75" thickBot="1" x14ac:dyDescent="0.25">
      <c r="A52" s="592" t="s">
        <v>99</v>
      </c>
      <c r="B52" s="646">
        <f>+B48+B50</f>
        <v>0</v>
      </c>
      <c r="C52" s="646">
        <f t="shared" ref="C52:P52" si="7">+C48+C50</f>
        <v>0</v>
      </c>
      <c r="D52" s="646">
        <f t="shared" si="7"/>
        <v>0</v>
      </c>
      <c r="E52" s="646">
        <f t="shared" si="7"/>
        <v>3</v>
      </c>
      <c r="F52" s="646">
        <f t="shared" si="7"/>
        <v>130.875</v>
      </c>
      <c r="G52" s="646">
        <f t="shared" si="7"/>
        <v>301.34100000000012</v>
      </c>
      <c r="H52" s="646">
        <f t="shared" si="7"/>
        <v>467.01300000000015</v>
      </c>
      <c r="I52" s="646">
        <f t="shared" si="7"/>
        <v>577.11900000000003</v>
      </c>
      <c r="J52" s="646">
        <f t="shared" si="7"/>
        <v>632.48220000000015</v>
      </c>
      <c r="K52" s="646">
        <f t="shared" si="7"/>
        <v>731.52691200000061</v>
      </c>
      <c r="L52" s="646">
        <f t="shared" si="7"/>
        <v>853.25658876000102</v>
      </c>
      <c r="M52" s="646">
        <f t="shared" si="7"/>
        <v>998.9255994300006</v>
      </c>
      <c r="N52" s="646">
        <f t="shared" si="7"/>
        <v>1169.8446025482131</v>
      </c>
      <c r="O52" s="646">
        <f t="shared" si="7"/>
        <v>1367.3828951653645</v>
      </c>
      <c r="P52" s="646">
        <f t="shared" si="7"/>
        <v>1592.9708571426386</v>
      </c>
    </row>
    <row r="53" spans="1:16" ht="12.75" thickTop="1" x14ac:dyDescent="0.2">
      <c r="B53" s="590"/>
      <c r="C53" s="590"/>
      <c r="D53" s="590"/>
      <c r="E53" s="590"/>
      <c r="F53" s="590"/>
      <c r="G53" s="590"/>
      <c r="H53" s="590"/>
      <c r="I53" s="590"/>
      <c r="J53" s="590"/>
      <c r="K53" s="590"/>
      <c r="L53" s="590"/>
      <c r="M53" s="590"/>
      <c r="N53" s="590"/>
      <c r="O53" s="590"/>
      <c r="P53" s="590"/>
    </row>
    <row r="54" spans="1:16" ht="12.75" x14ac:dyDescent="0.2">
      <c r="A54" s="1091" t="s">
        <v>1364</v>
      </c>
      <c r="B54" s="590"/>
      <c r="C54" s="590"/>
      <c r="D54" s="590"/>
      <c r="E54" s="590"/>
      <c r="F54" s="590"/>
      <c r="G54" s="590"/>
      <c r="H54" s="590"/>
      <c r="I54" s="590"/>
      <c r="J54" s="590"/>
      <c r="K54" s="590"/>
      <c r="L54" s="590"/>
      <c r="M54" s="590"/>
      <c r="N54" s="590"/>
      <c r="O54" s="590"/>
      <c r="P54" s="590"/>
    </row>
    <row r="55" spans="1:16" x14ac:dyDescent="0.2">
      <c r="A55" s="596" t="s">
        <v>1068</v>
      </c>
      <c r="B55" s="586" t="s">
        <v>69</v>
      </c>
      <c r="C55" s="586" t="s">
        <v>69</v>
      </c>
      <c r="D55" s="586" t="str">
        <f t="shared" ref="D55:P55" si="8">D2</f>
        <v>Actual</v>
      </c>
      <c r="E55" s="586" t="str">
        <f t="shared" si="8"/>
        <v>Actual</v>
      </c>
      <c r="F55" s="586" t="str">
        <f t="shared" si="8"/>
        <v>Budget</v>
      </c>
      <c r="G55" s="586" t="str">
        <f t="shared" si="8"/>
        <v>Budget</v>
      </c>
      <c r="H55" s="586" t="str">
        <f t="shared" si="8"/>
        <v>Projected</v>
      </c>
      <c r="I55" s="586" t="str">
        <f t="shared" si="8"/>
        <v>Projected</v>
      </c>
      <c r="J55" s="586" t="str">
        <f t="shared" si="8"/>
        <v>Projected</v>
      </c>
      <c r="K55" s="586" t="str">
        <f t="shared" si="8"/>
        <v>Projected</v>
      </c>
      <c r="L55" s="586" t="str">
        <f t="shared" si="8"/>
        <v>Projected</v>
      </c>
      <c r="M55" s="586" t="str">
        <f t="shared" si="8"/>
        <v>Projected</v>
      </c>
      <c r="N55" s="586" t="str">
        <f t="shared" si="8"/>
        <v>Projected</v>
      </c>
      <c r="O55" s="586" t="str">
        <f t="shared" si="8"/>
        <v>Projected</v>
      </c>
      <c r="P55" s="586" t="str">
        <f t="shared" si="8"/>
        <v>Projected</v>
      </c>
    </row>
    <row r="56" spans="1:16" x14ac:dyDescent="0.2">
      <c r="A56" s="585" t="s">
        <v>73</v>
      </c>
      <c r="B56" s="638" t="s">
        <v>68</v>
      </c>
      <c r="C56" s="586" t="s">
        <v>0</v>
      </c>
      <c r="D56" s="586" t="s">
        <v>1</v>
      </c>
      <c r="E56" s="586" t="s">
        <v>2</v>
      </c>
      <c r="F56" s="586" t="s">
        <v>3</v>
      </c>
      <c r="G56" s="586" t="s">
        <v>4</v>
      </c>
      <c r="H56" s="586" t="s">
        <v>5</v>
      </c>
      <c r="I56" s="586" t="s">
        <v>6</v>
      </c>
      <c r="J56" s="586" t="s">
        <v>7</v>
      </c>
      <c r="K56" s="586" t="s">
        <v>8</v>
      </c>
      <c r="L56" s="586" t="s">
        <v>9</v>
      </c>
      <c r="M56" s="586" t="s">
        <v>514</v>
      </c>
      <c r="N56" s="586" t="s">
        <v>515</v>
      </c>
      <c r="O56" s="586" t="s">
        <v>904</v>
      </c>
      <c r="P56" s="586" t="s">
        <v>1046</v>
      </c>
    </row>
    <row r="58" spans="1:16" x14ac:dyDescent="0.2">
      <c r="A58" s="592" t="s">
        <v>82</v>
      </c>
    </row>
    <row r="59" spans="1:16" x14ac:dyDescent="0.2">
      <c r="A59" s="640" t="s">
        <v>83</v>
      </c>
      <c r="B59" s="590"/>
      <c r="C59" s="590"/>
      <c r="D59" s="590"/>
      <c r="E59" s="590"/>
      <c r="F59" s="590"/>
      <c r="G59" s="590"/>
      <c r="H59" s="590"/>
      <c r="I59" s="590"/>
      <c r="J59" s="590"/>
      <c r="K59" s="590"/>
      <c r="L59" s="590"/>
      <c r="M59" s="590"/>
      <c r="N59" s="590"/>
      <c r="O59" s="590"/>
      <c r="P59" s="590"/>
    </row>
    <row r="60" spans="1:16" x14ac:dyDescent="0.2">
      <c r="A60" s="639" t="s">
        <v>11</v>
      </c>
      <c r="B60" s="594"/>
      <c r="C60" s="594">
        <f t="shared" ref="C60:E65" si="9">C7</f>
        <v>0</v>
      </c>
      <c r="D60" s="594">
        <f t="shared" si="9"/>
        <v>0</v>
      </c>
      <c r="E60" s="594">
        <f t="shared" si="9"/>
        <v>0</v>
      </c>
      <c r="F60" s="594">
        <f>+'Future Fund  Inc Exp Statement'!F84</f>
        <v>0</v>
      </c>
      <c r="G60" s="594">
        <f>+'Future Fund  Inc Exp Statement'!G84</f>
        <v>0</v>
      </c>
      <c r="H60" s="594">
        <f>+'Future Fund  Inc Exp Statement'!H84</f>
        <v>0</v>
      </c>
      <c r="I60" s="594">
        <f>+'Future Fund  Inc Exp Statement'!I84</f>
        <v>0</v>
      </c>
      <c r="J60" s="594">
        <f>+'Future Fund  Inc Exp Statement'!J84</f>
        <v>0</v>
      </c>
      <c r="K60" s="594">
        <f>+'Future Fund  Inc Exp Statement'!K84</f>
        <v>0</v>
      </c>
      <c r="L60" s="594">
        <f>+'Future Fund  Inc Exp Statement'!L84</f>
        <v>0</v>
      </c>
      <c r="M60" s="594">
        <f>+'Future Fund  Inc Exp Statement'!M84</f>
        <v>0</v>
      </c>
      <c r="N60" s="594">
        <f>+'Future Fund  Inc Exp Statement'!N84</f>
        <v>0</v>
      </c>
      <c r="O60" s="594">
        <f>+'Future Fund  Inc Exp Statement'!O84</f>
        <v>0</v>
      </c>
      <c r="P60" s="594">
        <f>+'Future Fund  Inc Exp Statement'!P84</f>
        <v>0</v>
      </c>
    </row>
    <row r="61" spans="1:16" x14ac:dyDescent="0.2">
      <c r="A61" s="639" t="s">
        <v>12</v>
      </c>
      <c r="B61" s="594"/>
      <c r="C61" s="594">
        <f t="shared" si="9"/>
        <v>0</v>
      </c>
      <c r="D61" s="594">
        <f t="shared" si="9"/>
        <v>0</v>
      </c>
      <c r="E61" s="594">
        <f t="shared" si="9"/>
        <v>0</v>
      </c>
      <c r="F61" s="594">
        <f>+'Future Fund  Inc Exp Statement'!F85</f>
        <v>3052.3029999999999</v>
      </c>
      <c r="G61" s="594">
        <f>+'Future Fund  Inc Exp Statement'!G85</f>
        <v>3203.3</v>
      </c>
      <c r="H61" s="594">
        <f>+'Future Fund  Inc Exp Statement'!H85</f>
        <v>3097.5430000000001</v>
      </c>
      <c r="I61" s="594">
        <f>+'Future Fund  Inc Exp Statement'!I85</f>
        <v>3174.7330000000002</v>
      </c>
      <c r="J61" s="594">
        <f>+'Future Fund  Inc Exp Statement'!J85</f>
        <v>3254.1529999999998</v>
      </c>
      <c r="K61" s="594">
        <f>+'Future Fund  Inc Exp Statement'!K85</f>
        <v>3319.2360599999997</v>
      </c>
      <c r="L61" s="594">
        <f>+'Future Fund  Inc Exp Statement'!L85</f>
        <v>3385.6207811999998</v>
      </c>
      <c r="M61" s="594">
        <f>+'Future Fund  Inc Exp Statement'!M85</f>
        <v>3453.333196824</v>
      </c>
      <c r="N61" s="594">
        <f>+'Future Fund  Inc Exp Statement'!N85</f>
        <v>3522.3998607604799</v>
      </c>
      <c r="O61" s="594">
        <f>+'Future Fund  Inc Exp Statement'!O85</f>
        <v>3592.8478579756897</v>
      </c>
      <c r="P61" s="594">
        <f>+'Future Fund  Inc Exp Statement'!P85</f>
        <v>3664.7048151352037</v>
      </c>
    </row>
    <row r="62" spans="1:16" x14ac:dyDescent="0.2">
      <c r="A62" s="639" t="s">
        <v>84</v>
      </c>
      <c r="B62" s="594"/>
      <c r="C62" s="594">
        <f t="shared" si="9"/>
        <v>0</v>
      </c>
      <c r="D62" s="594">
        <f t="shared" si="9"/>
        <v>0</v>
      </c>
      <c r="E62" s="594">
        <f t="shared" si="9"/>
        <v>0</v>
      </c>
      <c r="F62" s="594">
        <f>+'Future Fund  Inc Exp Statement'!F86</f>
        <v>0</v>
      </c>
      <c r="G62" s="594">
        <f>+'Future Fund  Inc Exp Statement'!G86</f>
        <v>0</v>
      </c>
      <c r="H62" s="594">
        <f>+'Future Fund  Inc Exp Statement'!H86</f>
        <v>0</v>
      </c>
      <c r="I62" s="594">
        <f>+'Future Fund  Inc Exp Statement'!I86</f>
        <v>0</v>
      </c>
      <c r="J62" s="594">
        <f>+'Future Fund  Inc Exp Statement'!J86</f>
        <v>0</v>
      </c>
      <c r="K62" s="594">
        <f>+'Future Fund  Inc Exp Statement'!K86</f>
        <v>64.464720000000014</v>
      </c>
      <c r="L62" s="594">
        <f>+'Future Fund  Inc Exp Statement'!L86</f>
        <v>63.4047336</v>
      </c>
      <c r="M62" s="594">
        <f>+'Future Fund  Inc Exp Statement'!M86</f>
        <v>62.919506951999985</v>
      </c>
      <c r="N62" s="594">
        <f>+'Future Fund  Inc Exp Statement'!N86</f>
        <v>63.043273911599975</v>
      </c>
      <c r="O62" s="594">
        <f>+'Future Fund  Inc Exp Statement'!O86</f>
        <v>63.811829566375167</v>
      </c>
      <c r="P62" s="594">
        <f>+'Future Fund  Inc Exp Statement'!P86</f>
        <v>65.262595532963218</v>
      </c>
    </row>
    <row r="63" spans="1:16" x14ac:dyDescent="0.2">
      <c r="A63" s="639" t="s">
        <v>85</v>
      </c>
      <c r="B63" s="594"/>
      <c r="C63" s="594">
        <f t="shared" si="9"/>
        <v>0</v>
      </c>
      <c r="D63" s="594">
        <f t="shared" si="9"/>
        <v>0</v>
      </c>
      <c r="E63" s="594">
        <f t="shared" si="9"/>
        <v>0</v>
      </c>
      <c r="F63" s="594">
        <f>+'Future Fund  Inc Exp Statement'!F88+'Future Fund  Inc Exp Statement'!F89</f>
        <v>0</v>
      </c>
      <c r="G63" s="594">
        <f>+'Future Fund  Inc Exp Statement'!G88+'Future Fund  Inc Exp Statement'!G89</f>
        <v>0</v>
      </c>
      <c r="H63" s="594">
        <f>+'Future Fund  Inc Exp Statement'!H88+'Future Fund  Inc Exp Statement'!H89</f>
        <v>0</v>
      </c>
      <c r="I63" s="594">
        <f>+'Future Fund  Inc Exp Statement'!I88+'Future Fund  Inc Exp Statement'!I89</f>
        <v>0</v>
      </c>
      <c r="J63" s="594">
        <f>+'Future Fund  Inc Exp Statement'!J88+'Future Fund  Inc Exp Statement'!J89</f>
        <v>0</v>
      </c>
      <c r="K63" s="594">
        <f>+'Future Fund  Inc Exp Statement'!K88+'Future Fund  Inc Exp Statement'!K89</f>
        <v>0</v>
      </c>
      <c r="L63" s="594">
        <f>+'Future Fund  Inc Exp Statement'!L88+'Future Fund  Inc Exp Statement'!L89</f>
        <v>0</v>
      </c>
      <c r="M63" s="594">
        <f>+'Future Fund  Inc Exp Statement'!M88+'Future Fund  Inc Exp Statement'!M89</f>
        <v>0</v>
      </c>
      <c r="N63" s="594">
        <f>+'Future Fund  Inc Exp Statement'!N88+'Future Fund  Inc Exp Statement'!N89</f>
        <v>0</v>
      </c>
      <c r="O63" s="594">
        <f>+'Future Fund  Inc Exp Statement'!O88+'Future Fund  Inc Exp Statement'!O89</f>
        <v>0</v>
      </c>
      <c r="P63" s="594">
        <f>+'Future Fund  Inc Exp Statement'!P88+'Future Fund  Inc Exp Statement'!P89</f>
        <v>0</v>
      </c>
    </row>
    <row r="64" spans="1:16" ht="12.75" hidden="1" customHeight="1" outlineLevel="1" x14ac:dyDescent="0.2">
      <c r="A64" s="639" t="s">
        <v>86</v>
      </c>
      <c r="B64" s="594"/>
      <c r="C64" s="594">
        <f t="shared" si="9"/>
        <v>0</v>
      </c>
      <c r="D64" s="594">
        <f t="shared" si="9"/>
        <v>0</v>
      </c>
      <c r="E64" s="594">
        <f t="shared" si="9"/>
        <v>0</v>
      </c>
      <c r="F64" s="594">
        <v>0</v>
      </c>
      <c r="G64" s="594">
        <v>0</v>
      </c>
      <c r="H64" s="594">
        <v>0</v>
      </c>
      <c r="I64" s="594">
        <v>0</v>
      </c>
      <c r="J64" s="594">
        <v>0</v>
      </c>
      <c r="K64" s="594">
        <v>0</v>
      </c>
      <c r="L64" s="594">
        <v>0</v>
      </c>
      <c r="M64" s="594">
        <v>0</v>
      </c>
      <c r="N64" s="594">
        <v>0</v>
      </c>
      <c r="O64" s="594">
        <v>0</v>
      </c>
      <c r="P64" s="594">
        <v>0</v>
      </c>
    </row>
    <row r="65" spans="1:16" collapsed="1" x14ac:dyDescent="0.2">
      <c r="A65" s="639" t="s">
        <v>41</v>
      </c>
      <c r="B65" s="594"/>
      <c r="C65" s="594">
        <f t="shared" si="9"/>
        <v>0</v>
      </c>
      <c r="D65" s="594">
        <f t="shared" si="9"/>
        <v>0</v>
      </c>
      <c r="E65" s="594">
        <f t="shared" si="9"/>
        <v>0</v>
      </c>
      <c r="F65" s="594">
        <f>+'Future Fund  Inc Exp Statement'!F87</f>
        <v>0</v>
      </c>
      <c r="G65" s="594">
        <f>+'Future Fund  Inc Exp Statement'!G87</f>
        <v>0</v>
      </c>
      <c r="H65" s="594">
        <f>+'Future Fund  Inc Exp Statement'!H87</f>
        <v>0</v>
      </c>
      <c r="I65" s="594">
        <f>+'Future Fund  Inc Exp Statement'!I87</f>
        <v>0</v>
      </c>
      <c r="J65" s="594">
        <f>+'Future Fund  Inc Exp Statement'!J87</f>
        <v>0</v>
      </c>
      <c r="K65" s="594">
        <f>+'Future Fund  Inc Exp Statement'!K87</f>
        <v>0</v>
      </c>
      <c r="L65" s="594">
        <f>+'Future Fund  Inc Exp Statement'!L87</f>
        <v>0</v>
      </c>
      <c r="M65" s="594">
        <f>+'Future Fund  Inc Exp Statement'!M87</f>
        <v>0</v>
      </c>
      <c r="N65" s="594">
        <f>+'Future Fund  Inc Exp Statement'!N87</f>
        <v>0</v>
      </c>
      <c r="O65" s="594">
        <f>+'Future Fund  Inc Exp Statement'!O87</f>
        <v>0</v>
      </c>
      <c r="P65" s="594">
        <f>+'Future Fund  Inc Exp Statement'!P87</f>
        <v>0</v>
      </c>
    </row>
    <row r="66" spans="1:16" x14ac:dyDescent="0.2">
      <c r="B66" s="594"/>
      <c r="C66" s="594"/>
      <c r="D66" s="594"/>
      <c r="E66" s="594"/>
      <c r="F66" s="594"/>
      <c r="G66" s="594"/>
      <c r="H66" s="594"/>
      <c r="I66" s="594"/>
      <c r="J66" s="594"/>
      <c r="K66" s="594"/>
      <c r="L66" s="594"/>
      <c r="M66" s="594"/>
      <c r="N66" s="594"/>
      <c r="O66" s="594"/>
      <c r="P66" s="594"/>
    </row>
    <row r="67" spans="1:16" x14ac:dyDescent="0.2">
      <c r="A67" s="640" t="s">
        <v>87</v>
      </c>
      <c r="B67" s="594"/>
      <c r="C67" s="594"/>
      <c r="D67" s="594"/>
      <c r="E67" s="594"/>
      <c r="F67" s="594"/>
      <c r="G67" s="594"/>
      <c r="H67" s="594"/>
      <c r="I67" s="594"/>
      <c r="J67" s="594"/>
      <c r="K67" s="594"/>
      <c r="L67" s="594"/>
      <c r="M67" s="594"/>
      <c r="N67" s="594"/>
      <c r="O67" s="594"/>
      <c r="P67" s="594"/>
    </row>
    <row r="68" spans="1:16" x14ac:dyDescent="0.2">
      <c r="A68" s="639" t="s">
        <v>25</v>
      </c>
      <c r="B68" s="594"/>
      <c r="C68" s="594">
        <f t="shared" ref="C68:E70" si="10">C15</f>
        <v>0</v>
      </c>
      <c r="D68" s="594">
        <f t="shared" si="10"/>
        <v>0</v>
      </c>
      <c r="E68" s="594">
        <f t="shared" si="10"/>
        <v>0</v>
      </c>
      <c r="F68" s="594">
        <f>-'Future Fund  Inc Exp Statement'!F98</f>
        <v>-80</v>
      </c>
      <c r="G68" s="594">
        <f>-'Future Fund  Inc Exp Statement'!G98</f>
        <v>-81.424000000000007</v>
      </c>
      <c r="H68" s="594">
        <f>-'Future Fund  Inc Exp Statement'!H98</f>
        <v>-83.866</v>
      </c>
      <c r="I68" s="594">
        <f>-'Future Fund  Inc Exp Statement'!I98</f>
        <v>-86.382000000000005</v>
      </c>
      <c r="J68" s="594">
        <f>-'Future Fund  Inc Exp Statement'!J98</f>
        <v>-88.974000000000004</v>
      </c>
      <c r="K68" s="594">
        <f>-'Future Fund  Inc Exp Statement'!K98</f>
        <v>-91.643219999999999</v>
      </c>
      <c r="L68" s="594">
        <f>-'Future Fund  Inc Exp Statement'!L98</f>
        <v>-94.392516600000008</v>
      </c>
      <c r="M68" s="594">
        <f>-'Future Fund  Inc Exp Statement'!M98</f>
        <v>-97.224292098000006</v>
      </c>
      <c r="N68" s="594">
        <f>-'Future Fund  Inc Exp Statement'!N98</f>
        <v>-100.14102086094</v>
      </c>
      <c r="O68" s="594">
        <f>-'Future Fund  Inc Exp Statement'!O98</f>
        <v>-103.1452514867682</v>
      </c>
      <c r="P68" s="594">
        <f>-'Future Fund  Inc Exp Statement'!P98</f>
        <v>-106.23960903137124</v>
      </c>
    </row>
    <row r="69" spans="1:16" x14ac:dyDescent="0.2">
      <c r="A69" s="639" t="s">
        <v>27</v>
      </c>
      <c r="B69" s="594"/>
      <c r="C69" s="594">
        <f t="shared" si="10"/>
        <v>0</v>
      </c>
      <c r="D69" s="594">
        <f t="shared" si="10"/>
        <v>0</v>
      </c>
      <c r="E69" s="594">
        <f t="shared" si="10"/>
        <v>0</v>
      </c>
      <c r="F69" s="594">
        <f>-'Future Fund  Inc Exp Statement'!F100-'Future Fund  Inc Exp Statement'!F101</f>
        <v>-1577.15</v>
      </c>
      <c r="G69" s="594">
        <f>-'Future Fund  Inc Exp Statement'!G100-'Future Fund  Inc Exp Statement'!G101</f>
        <v>-1663.575</v>
      </c>
      <c r="H69" s="594">
        <f>-'Future Fund  Inc Exp Statement'!H100-'Future Fund  Inc Exp Statement'!H101</f>
        <v>-1745.5309999999999</v>
      </c>
      <c r="I69" s="594">
        <f>-'Future Fund  Inc Exp Statement'!I100-'Future Fund  Inc Exp Statement'!I101</f>
        <v>-1856.7159999999999</v>
      </c>
      <c r="J69" s="594">
        <f>-'Future Fund  Inc Exp Statement'!J100-'Future Fund  Inc Exp Statement'!J101</f>
        <v>-1968.1579999999999</v>
      </c>
      <c r="K69" s="594">
        <f>-'Future Fund  Inc Exp Statement'!K100-'Future Fund  Inc Exp Statement'!K101</f>
        <v>-2007.52116</v>
      </c>
      <c r="L69" s="594">
        <f>-'Future Fund  Inc Exp Statement'!L100-'Future Fund  Inc Exp Statement'!L101</f>
        <v>-2047.6715832</v>
      </c>
      <c r="M69" s="594">
        <f>-'Future Fund  Inc Exp Statement'!M100-'Future Fund  Inc Exp Statement'!M101</f>
        <v>-2088.6250148640001</v>
      </c>
      <c r="N69" s="594">
        <f>-'Future Fund  Inc Exp Statement'!N100-'Future Fund  Inc Exp Statement'!N101</f>
        <v>-2130.3975151612799</v>
      </c>
      <c r="O69" s="594">
        <f>-'Future Fund  Inc Exp Statement'!O100-'Future Fund  Inc Exp Statement'!O101</f>
        <v>-2173.0054654645055</v>
      </c>
      <c r="P69" s="594">
        <f>-'Future Fund  Inc Exp Statement'!P100-'Future Fund  Inc Exp Statement'!P101</f>
        <v>-2216.4655747737961</v>
      </c>
    </row>
    <row r="70" spans="1:16" x14ac:dyDescent="0.2">
      <c r="A70" s="639" t="s">
        <v>926</v>
      </c>
      <c r="B70" s="594"/>
      <c r="C70" s="594"/>
      <c r="D70" s="594">
        <f>D17</f>
        <v>0</v>
      </c>
      <c r="E70" s="594">
        <f t="shared" si="10"/>
        <v>0</v>
      </c>
      <c r="F70" s="594">
        <f>-'Future Fund  Inc Exp Statement'!F99</f>
        <v>-908.23500000000001</v>
      </c>
      <c r="G70" s="594">
        <f>-'Future Fund  Inc Exp Statement'!G99</f>
        <v>-908.23500000000001</v>
      </c>
      <c r="H70" s="594">
        <f>-'Future Fund  Inc Exp Statement'!H99</f>
        <v>-908.23500000000001</v>
      </c>
      <c r="I70" s="594">
        <f>-'Future Fund  Inc Exp Statement'!I99</f>
        <v>-908.23500000000001</v>
      </c>
      <c r="J70" s="594">
        <f>-'Future Fund  Inc Exp Statement'!J99</f>
        <v>-908.23500000000001</v>
      </c>
      <c r="K70" s="594">
        <f>-'Future Fund  Inc Exp Statement'!K99</f>
        <v>-908.23500000000001</v>
      </c>
      <c r="L70" s="594">
        <f>-'Future Fund  Inc Exp Statement'!L99</f>
        <v>-908.23500000000001</v>
      </c>
      <c r="M70" s="594">
        <f>-'Future Fund  Inc Exp Statement'!M99</f>
        <v>-908.23500000000001</v>
      </c>
      <c r="N70" s="594">
        <f>-'Future Fund  Inc Exp Statement'!N99</f>
        <v>-908.23500000000001</v>
      </c>
      <c r="O70" s="594">
        <f>-'Future Fund  Inc Exp Statement'!O99</f>
        <v>-908.23500000000001</v>
      </c>
      <c r="P70" s="594">
        <f>-'Future Fund  Inc Exp Statement'!P99</f>
        <v>-908.23500000000001</v>
      </c>
    </row>
    <row r="71" spans="1:16" hidden="1" outlineLevel="1" x14ac:dyDescent="0.2">
      <c r="A71" s="639" t="s">
        <v>88</v>
      </c>
      <c r="B71" s="594"/>
      <c r="C71" s="594">
        <f>C18</f>
        <v>0</v>
      </c>
      <c r="D71" s="594">
        <f>D18</f>
        <v>0</v>
      </c>
      <c r="E71" s="594">
        <f>E18</f>
        <v>0</v>
      </c>
      <c r="F71" s="594">
        <v>0</v>
      </c>
      <c r="G71" s="594">
        <v>0</v>
      </c>
      <c r="H71" s="594">
        <v>0</v>
      </c>
      <c r="I71" s="594">
        <v>0</v>
      </c>
      <c r="J71" s="594">
        <v>0</v>
      </c>
      <c r="K71" s="594">
        <v>0</v>
      </c>
      <c r="L71" s="594">
        <v>0</v>
      </c>
      <c r="M71" s="594">
        <v>0</v>
      </c>
      <c r="N71" s="594">
        <v>0</v>
      </c>
      <c r="O71" s="594">
        <v>0</v>
      </c>
      <c r="P71" s="594">
        <v>0</v>
      </c>
    </row>
    <row r="72" spans="1:16" collapsed="1" x14ac:dyDescent="0.2">
      <c r="A72" s="641" t="s">
        <v>41</v>
      </c>
      <c r="B72" s="591"/>
      <c r="C72" s="594">
        <f>C19</f>
        <v>0</v>
      </c>
      <c r="D72" s="594">
        <f>D19</f>
        <v>0</v>
      </c>
      <c r="E72" s="594">
        <f>E19</f>
        <v>0</v>
      </c>
      <c r="F72" s="591">
        <f>-'Future Fund  Inc Exp Statement'!F105</f>
        <v>-359.04300000000001</v>
      </c>
      <c r="G72" s="591">
        <f>-'Future Fund  Inc Exp Statement'!G105</f>
        <v>-379.6</v>
      </c>
      <c r="H72" s="591">
        <f>-'Future Fund  Inc Exp Statement'!H105</f>
        <v>-379.69600000000003</v>
      </c>
      <c r="I72" s="591">
        <f>-'Future Fund  Inc Exp Statement'!I105</f>
        <v>-387.221</v>
      </c>
      <c r="J72" s="591">
        <f>-'Future Fund  Inc Exp Statement'!J105</f>
        <v>-394.90300000000002</v>
      </c>
      <c r="K72" s="591">
        <f>-'Future Fund  Inc Exp Statement'!K105</f>
        <v>-402.80106000000001</v>
      </c>
      <c r="L72" s="591">
        <f>-'Future Fund  Inc Exp Statement'!L105</f>
        <v>-410.85708120000004</v>
      </c>
      <c r="M72" s="591">
        <f>-'Future Fund  Inc Exp Statement'!M105</f>
        <v>-419.07422282400006</v>
      </c>
      <c r="N72" s="591">
        <f>-'Future Fund  Inc Exp Statement'!N105</f>
        <v>-427.45570728048006</v>
      </c>
      <c r="O72" s="591">
        <f>-'Future Fund  Inc Exp Statement'!O105</f>
        <v>-436.00482142608968</v>
      </c>
      <c r="P72" s="591">
        <f>-'Future Fund  Inc Exp Statement'!P105</f>
        <v>-444.72491785461148</v>
      </c>
    </row>
    <row r="73" spans="1:16" x14ac:dyDescent="0.2">
      <c r="A73" s="642" t="s">
        <v>89</v>
      </c>
      <c r="B73" s="643">
        <f>SUM(B60:B72)</f>
        <v>0</v>
      </c>
      <c r="C73" s="643">
        <f t="shared" ref="C73:P73" si="11">SUM(C60:C72)</f>
        <v>0</v>
      </c>
      <c r="D73" s="643">
        <f t="shared" si="11"/>
        <v>0</v>
      </c>
      <c r="E73" s="643">
        <f t="shared" si="11"/>
        <v>0</v>
      </c>
      <c r="F73" s="643">
        <f t="shared" si="11"/>
        <v>127.87499999999977</v>
      </c>
      <c r="G73" s="643">
        <f t="shared" si="11"/>
        <v>170.46600000000012</v>
      </c>
      <c r="H73" s="643">
        <f t="shared" si="11"/>
        <v>-19.784999999999854</v>
      </c>
      <c r="I73" s="643">
        <f t="shared" si="11"/>
        <v>-63.820999999999799</v>
      </c>
      <c r="J73" s="643">
        <f t="shared" si="11"/>
        <v>-106.1170000000003</v>
      </c>
      <c r="K73" s="647">
        <f t="shared" si="11"/>
        <v>-26.49966000000029</v>
      </c>
      <c r="L73" s="647">
        <f t="shared" si="11"/>
        <v>-12.130666200000292</v>
      </c>
      <c r="M73" s="647">
        <f t="shared" si="11"/>
        <v>3.0941739899996605</v>
      </c>
      <c r="N73" s="647">
        <f t="shared" si="11"/>
        <v>19.213891369379894</v>
      </c>
      <c r="O73" s="647">
        <f t="shared" si="11"/>
        <v>36.26914916470156</v>
      </c>
      <c r="P73" s="647">
        <f t="shared" si="11"/>
        <v>54.302309008387851</v>
      </c>
    </row>
    <row r="74" spans="1:16" x14ac:dyDescent="0.2">
      <c r="B74" s="590"/>
      <c r="C74" s="590"/>
      <c r="D74" s="590"/>
      <c r="E74" s="590"/>
      <c r="F74" s="590"/>
      <c r="G74" s="590"/>
      <c r="H74" s="590"/>
      <c r="I74" s="590"/>
      <c r="J74" s="590"/>
      <c r="K74" s="590"/>
      <c r="L74" s="590"/>
      <c r="M74" s="590"/>
      <c r="N74" s="590"/>
      <c r="O74" s="590"/>
      <c r="P74" s="590"/>
    </row>
    <row r="75" spans="1:16" x14ac:dyDescent="0.25">
      <c r="A75" s="592" t="s">
        <v>90</v>
      </c>
      <c r="B75" s="590"/>
      <c r="C75" s="590"/>
      <c r="D75" s="590"/>
      <c r="E75" s="590"/>
      <c r="F75" s="590"/>
      <c r="G75" s="590"/>
      <c r="H75" s="590"/>
      <c r="I75" s="590"/>
      <c r="J75" s="590"/>
      <c r="K75" s="590"/>
      <c r="L75" s="590"/>
      <c r="M75" s="590"/>
      <c r="N75" s="590"/>
      <c r="O75" s="590"/>
      <c r="P75" s="590"/>
    </row>
    <row r="76" spans="1:16" x14ac:dyDescent="0.25">
      <c r="A76" s="640" t="s">
        <v>83</v>
      </c>
      <c r="B76" s="590"/>
      <c r="C76" s="590"/>
      <c r="D76" s="590"/>
      <c r="E76" s="590"/>
      <c r="F76" s="590"/>
      <c r="G76" s="590"/>
      <c r="H76" s="590"/>
      <c r="I76" s="590"/>
      <c r="J76" s="590"/>
      <c r="K76" s="590"/>
      <c r="L76" s="590"/>
      <c r="M76" s="590"/>
      <c r="N76" s="590"/>
      <c r="O76" s="590"/>
      <c r="P76" s="590"/>
    </row>
    <row r="77" spans="1:16" x14ac:dyDescent="0.25">
      <c r="A77" s="639" t="s">
        <v>431</v>
      </c>
      <c r="B77" s="590"/>
      <c r="C77" s="590">
        <f>C24</f>
        <v>0</v>
      </c>
      <c r="D77" s="590">
        <f>D24</f>
        <v>0</v>
      </c>
      <c r="E77" s="590">
        <f>E24</f>
        <v>0</v>
      </c>
      <c r="F77" s="1539">
        <f>'Future Fund  Inc Exp Statement'!F138</f>
        <v>0</v>
      </c>
      <c r="G77" s="1539">
        <f>'Future Fund  Inc Exp Statement'!G138</f>
        <v>0</v>
      </c>
      <c r="H77" s="1539">
        <f>'Future Fund  Inc Exp Statement'!H138</f>
        <v>0</v>
      </c>
      <c r="I77" s="1539">
        <f>'Future Fund  Inc Exp Statement'!I138</f>
        <v>0</v>
      </c>
      <c r="J77" s="1539">
        <f>'Future Fund  Inc Exp Statement'!J138</f>
        <v>0</v>
      </c>
      <c r="K77" s="1539">
        <f>'Future Fund  Inc Exp Statement'!K138</f>
        <v>0</v>
      </c>
      <c r="L77" s="1539">
        <f>'Future Fund  Inc Exp Statement'!L138</f>
        <v>0</v>
      </c>
      <c r="M77" s="1539">
        <f>'Future Fund  Inc Exp Statement'!M138</f>
        <v>0</v>
      </c>
      <c r="N77" s="1539">
        <f>'Future Fund  Inc Exp Statement'!N138</f>
        <v>0</v>
      </c>
      <c r="O77" s="1539">
        <f>'Future Fund  Inc Exp Statement'!O138</f>
        <v>0</v>
      </c>
      <c r="P77" s="1539">
        <f>'Future Fund  Inc Exp Statement'!P138</f>
        <v>0</v>
      </c>
    </row>
    <row r="78" spans="1:16" x14ac:dyDescent="0.25">
      <c r="A78" s="590" t="str">
        <f>A25</f>
        <v>Sale of Investment Property</v>
      </c>
      <c r="B78" s="590"/>
      <c r="C78" s="590"/>
      <c r="D78" s="590">
        <f>D25</f>
        <v>0</v>
      </c>
      <c r="E78" s="590">
        <f t="shared" ref="E78:F78" si="12">E25</f>
        <v>0</v>
      </c>
      <c r="F78" s="1539">
        <f t="shared" si="12"/>
        <v>0</v>
      </c>
      <c r="G78" s="1539">
        <f t="shared" ref="G78:P78" si="13">G25</f>
        <v>0</v>
      </c>
      <c r="H78" s="1539">
        <v>1500</v>
      </c>
      <c r="I78" s="1539">
        <f t="shared" si="13"/>
        <v>0</v>
      </c>
      <c r="J78" s="1539">
        <f t="shared" si="13"/>
        <v>0</v>
      </c>
      <c r="K78" s="1539">
        <f t="shared" si="13"/>
        <v>0</v>
      </c>
      <c r="L78" s="1539">
        <f t="shared" si="13"/>
        <v>0</v>
      </c>
      <c r="M78" s="1539">
        <f t="shared" si="13"/>
        <v>0</v>
      </c>
      <c r="N78" s="1539">
        <f t="shared" si="13"/>
        <v>0</v>
      </c>
      <c r="O78" s="1539">
        <f t="shared" si="13"/>
        <v>0</v>
      </c>
      <c r="P78" s="1539">
        <f t="shared" si="13"/>
        <v>0</v>
      </c>
    </row>
    <row r="79" spans="1:16" x14ac:dyDescent="0.25">
      <c r="A79" s="639" t="s">
        <v>91</v>
      </c>
      <c r="B79" s="594"/>
      <c r="C79" s="590">
        <f>C26</f>
        <v>0</v>
      </c>
      <c r="D79" s="590">
        <f>D26</f>
        <v>0</v>
      </c>
      <c r="E79" s="590">
        <f>E26</f>
        <v>0</v>
      </c>
      <c r="F79" s="816">
        <v>0</v>
      </c>
      <c r="G79" s="816">
        <v>0</v>
      </c>
      <c r="H79" s="816">
        <v>0</v>
      </c>
      <c r="I79" s="816">
        <v>0</v>
      </c>
      <c r="J79" s="816">
        <v>0</v>
      </c>
      <c r="K79" s="816">
        <v>0</v>
      </c>
      <c r="L79" s="816">
        <v>0</v>
      </c>
      <c r="M79" s="816">
        <v>0</v>
      </c>
      <c r="N79" s="816">
        <v>0</v>
      </c>
      <c r="O79" s="816">
        <v>0</v>
      </c>
      <c r="P79" s="816">
        <v>0</v>
      </c>
    </row>
    <row r="80" spans="1:16" x14ac:dyDescent="0.25">
      <c r="A80" s="639" t="s">
        <v>92</v>
      </c>
      <c r="B80" s="594"/>
      <c r="C80" s="590">
        <f>C27</f>
        <v>0</v>
      </c>
      <c r="D80" s="590">
        <f>D27</f>
        <v>0</v>
      </c>
      <c r="E80" s="590">
        <f>E27</f>
        <v>0</v>
      </c>
      <c r="F80" s="816">
        <f>'Future Fund  Inc Exp Statement'!F140</f>
        <v>0</v>
      </c>
      <c r="G80" s="816">
        <f>'Future Fund  Inc Exp Statement'!G140</f>
        <v>0</v>
      </c>
      <c r="H80" s="816">
        <f>'Future Fund  Inc Exp Statement'!H140-H79-H78</f>
        <v>0</v>
      </c>
      <c r="I80" s="816">
        <f>'Future Fund  Inc Exp Statement'!I140-I79-I78</f>
        <v>0</v>
      </c>
      <c r="J80" s="816">
        <f>'Future Fund  Inc Exp Statement'!J140-J79-J78</f>
        <v>0</v>
      </c>
      <c r="K80" s="816">
        <f>'Future Fund  Inc Exp Statement'!K140-K79-K78</f>
        <v>0</v>
      </c>
      <c r="L80" s="816">
        <f>'Future Fund  Inc Exp Statement'!L140-L79-L78</f>
        <v>0</v>
      </c>
      <c r="M80" s="816">
        <f>'Future Fund  Inc Exp Statement'!M140-M79-M78</f>
        <v>0</v>
      </c>
      <c r="N80" s="816">
        <f>'Future Fund  Inc Exp Statement'!N140-N79-N78</f>
        <v>0</v>
      </c>
      <c r="O80" s="816">
        <f>'Future Fund  Inc Exp Statement'!O140-O79-O78</f>
        <v>0</v>
      </c>
      <c r="P80" s="816">
        <f>'Future Fund  Inc Exp Statement'!P140-P79-P78</f>
        <v>0</v>
      </c>
    </row>
    <row r="81" spans="1:16" x14ac:dyDescent="0.25">
      <c r="B81" s="594"/>
      <c r="C81" s="594"/>
      <c r="D81" s="594"/>
      <c r="E81" s="594"/>
      <c r="F81" s="816"/>
      <c r="G81" s="816"/>
      <c r="H81" s="816"/>
      <c r="I81" s="816"/>
      <c r="J81" s="816"/>
      <c r="K81" s="816"/>
      <c r="L81" s="816"/>
      <c r="M81" s="816"/>
      <c r="N81" s="816"/>
      <c r="O81" s="816"/>
      <c r="P81" s="816"/>
    </row>
    <row r="82" spans="1:16" x14ac:dyDescent="0.25">
      <c r="A82" s="640" t="s">
        <v>87</v>
      </c>
      <c r="B82" s="594"/>
      <c r="C82" s="594"/>
      <c r="D82" s="594"/>
      <c r="E82" s="594"/>
      <c r="F82" s="816"/>
      <c r="G82" s="816"/>
      <c r="H82" s="816"/>
      <c r="I82" s="816"/>
      <c r="J82" s="816"/>
      <c r="K82" s="816"/>
      <c r="L82" s="816"/>
      <c r="M82" s="816"/>
      <c r="N82" s="816"/>
      <c r="O82" s="816"/>
      <c r="P82" s="816"/>
    </row>
    <row r="83" spans="1:16" x14ac:dyDescent="0.25">
      <c r="A83" s="639" t="s">
        <v>93</v>
      </c>
      <c r="B83" s="594"/>
      <c r="C83" s="648">
        <f>C30</f>
        <v>0</v>
      </c>
      <c r="D83" s="648">
        <f>D30</f>
        <v>0</v>
      </c>
      <c r="E83" s="648">
        <f>E30</f>
        <v>0</v>
      </c>
      <c r="F83" s="816">
        <f>-'Future Fund  Inc Exp Statement'!F130</f>
        <v>-127.875</v>
      </c>
      <c r="G83" s="816">
        <f>-'Future Fund  Inc Exp Statement'!G130</f>
        <v>0</v>
      </c>
      <c r="H83" s="816">
        <f>-'Future Fund  Inc Exp Statement'!H130</f>
        <v>-1500</v>
      </c>
      <c r="I83" s="816">
        <f>-'Future Fund  Inc Exp Statement'!I130</f>
        <v>0</v>
      </c>
      <c r="J83" s="816">
        <f>-'Future Fund  Inc Exp Statement'!J130</f>
        <v>0</v>
      </c>
      <c r="K83" s="816">
        <f>-'Future Fund  Inc Exp Statement'!K130</f>
        <v>0</v>
      </c>
      <c r="L83" s="816">
        <f>-'Future Fund  Inc Exp Statement'!L130</f>
        <v>0</v>
      </c>
      <c r="M83" s="816">
        <f>-'Future Fund  Inc Exp Statement'!M130</f>
        <v>0</v>
      </c>
      <c r="N83" s="816">
        <f>-'Future Fund  Inc Exp Statement'!N130</f>
        <v>0</v>
      </c>
      <c r="O83" s="816">
        <f>-'Future Fund  Inc Exp Statement'!O130</f>
        <v>0</v>
      </c>
      <c r="P83" s="816">
        <f>-'Future Fund  Inc Exp Statement'!P130</f>
        <v>0</v>
      </c>
    </row>
    <row r="84" spans="1:16" x14ac:dyDescent="0.25">
      <c r="A84" s="648" t="str">
        <f>A31</f>
        <v>Purchase of Investment Property</v>
      </c>
      <c r="B84" s="594"/>
      <c r="C84" s="648"/>
      <c r="D84" s="648">
        <f>D31</f>
        <v>0</v>
      </c>
      <c r="E84" s="648">
        <f t="shared" ref="E84" si="14">E31</f>
        <v>0</v>
      </c>
      <c r="F84" s="1539">
        <f>-'Future Fund  Inc Exp Statement'!F127</f>
        <v>0</v>
      </c>
      <c r="G84" s="1539">
        <f>-'GF &amp; FF  Inc Exp Statement'!G127</f>
        <v>0</v>
      </c>
      <c r="H84" s="1539">
        <f>-'GF &amp; FF  Inc Exp Statement'!H127</f>
        <v>0</v>
      </c>
      <c r="I84" s="1539">
        <f>-'GF &amp; FF  Inc Exp Statement'!I127</f>
        <v>0</v>
      </c>
      <c r="J84" s="1539">
        <f>-'GF &amp; FF  Inc Exp Statement'!J127</f>
        <v>0</v>
      </c>
      <c r="K84" s="1539">
        <f>-'GF &amp; FF  Inc Exp Statement'!K127</f>
        <v>0</v>
      </c>
      <c r="L84" s="1539">
        <f>-'GF &amp; FF  Inc Exp Statement'!L127</f>
        <v>0</v>
      </c>
      <c r="M84" s="1539">
        <f>-'GF &amp; FF  Inc Exp Statement'!M127</f>
        <v>0</v>
      </c>
      <c r="N84" s="1539">
        <f>-'GF &amp; FF  Inc Exp Statement'!N127</f>
        <v>0</v>
      </c>
      <c r="O84" s="1539">
        <f>-'GF &amp; FF  Inc Exp Statement'!O127</f>
        <v>0</v>
      </c>
      <c r="P84" s="1539">
        <f>-'GF &amp; FF  Inc Exp Statement'!P127</f>
        <v>0</v>
      </c>
    </row>
    <row r="85" spans="1:16" x14ac:dyDescent="0.25">
      <c r="A85" s="639" t="s">
        <v>94</v>
      </c>
      <c r="B85" s="594"/>
      <c r="C85" s="648">
        <f>C32</f>
        <v>0</v>
      </c>
      <c r="D85" s="648">
        <f>D32</f>
        <v>0</v>
      </c>
      <c r="E85" s="648">
        <f>E32</f>
        <v>0</v>
      </c>
      <c r="F85" s="816">
        <f>-SUM('Future Fund  Inc Exp Statement'!F126:'Future Fund  Inc Exp Statement'!F128)-F84-F86</f>
        <v>-10000</v>
      </c>
      <c r="G85" s="816">
        <f>-SUM('Future Fund  Inc Exp Statement'!G126:'Future Fund  Inc Exp Statement'!G128)-G84-G86</f>
        <v>0</v>
      </c>
      <c r="H85" s="816">
        <f>-SUM('Future Fund  Inc Exp Statement'!H126:'Future Fund  Inc Exp Statement'!H128)-H84-H86</f>
        <v>0</v>
      </c>
      <c r="I85" s="816">
        <f>-SUM('Future Fund  Inc Exp Statement'!I126:'Future Fund  Inc Exp Statement'!I128)-I84-I86</f>
        <v>0</v>
      </c>
      <c r="J85" s="816">
        <f>-SUM('Future Fund  Inc Exp Statement'!J126:'Future Fund  Inc Exp Statement'!J128)-J84-J86</f>
        <v>0</v>
      </c>
      <c r="K85" s="816">
        <f>-SUM('Future Fund  Inc Exp Statement'!K126:'Future Fund  Inc Exp Statement'!K128)-K84-K86</f>
        <v>0</v>
      </c>
      <c r="L85" s="816">
        <f>-SUM('Future Fund  Inc Exp Statement'!L126:'Future Fund  Inc Exp Statement'!L128)-L84-L86</f>
        <v>0</v>
      </c>
      <c r="M85" s="816">
        <f>-SUM('Future Fund  Inc Exp Statement'!M126:'Future Fund  Inc Exp Statement'!M128)-M84-M86</f>
        <v>0</v>
      </c>
      <c r="N85" s="816">
        <f>-SUM('Future Fund  Inc Exp Statement'!N126:'Future Fund  Inc Exp Statement'!N128)-N84-N86</f>
        <v>0</v>
      </c>
      <c r="O85" s="816">
        <f>-SUM('Future Fund  Inc Exp Statement'!O126:'Future Fund  Inc Exp Statement'!O128)-O84-O86</f>
        <v>0</v>
      </c>
      <c r="P85" s="816">
        <f>-SUM('Future Fund  Inc Exp Statement'!P126:'Future Fund  Inc Exp Statement'!P128)-P84-P86</f>
        <v>0</v>
      </c>
    </row>
    <row r="86" spans="1:16" x14ac:dyDescent="0.25">
      <c r="A86" s="641" t="s">
        <v>95</v>
      </c>
      <c r="B86" s="591"/>
      <c r="C86" s="649">
        <f>C33</f>
        <v>0</v>
      </c>
      <c r="D86" s="648">
        <f>D33</f>
        <v>0</v>
      </c>
      <c r="E86" s="648">
        <f t="shared" ref="E86:P86" si="15">E33</f>
        <v>0</v>
      </c>
      <c r="F86" s="1539">
        <f t="shared" si="15"/>
        <v>0</v>
      </c>
      <c r="G86" s="1539">
        <f t="shared" si="15"/>
        <v>0</v>
      </c>
      <c r="H86" s="1539">
        <f t="shared" si="15"/>
        <v>0</v>
      </c>
      <c r="I86" s="1539">
        <f t="shared" si="15"/>
        <v>0</v>
      </c>
      <c r="J86" s="1539">
        <f t="shared" si="15"/>
        <v>0</v>
      </c>
      <c r="K86" s="1539">
        <f t="shared" si="15"/>
        <v>0</v>
      </c>
      <c r="L86" s="1539">
        <f t="shared" si="15"/>
        <v>0</v>
      </c>
      <c r="M86" s="1539">
        <f t="shared" si="15"/>
        <v>0</v>
      </c>
      <c r="N86" s="1539">
        <f t="shared" si="15"/>
        <v>0</v>
      </c>
      <c r="O86" s="1539">
        <f t="shared" si="15"/>
        <v>0</v>
      </c>
      <c r="P86" s="1539">
        <f t="shared" si="15"/>
        <v>0</v>
      </c>
    </row>
    <row r="87" spans="1:16" x14ac:dyDescent="0.25">
      <c r="A87" s="642" t="s">
        <v>110</v>
      </c>
      <c r="B87" s="593">
        <f>SUM(B77:B86)</f>
        <v>0</v>
      </c>
      <c r="C87" s="593">
        <f t="shared" ref="C87:P87" si="16">SUM(C77:C86)</f>
        <v>0</v>
      </c>
      <c r="D87" s="772">
        <f t="shared" si="16"/>
        <v>0</v>
      </c>
      <c r="E87" s="772">
        <f t="shared" si="16"/>
        <v>0</v>
      </c>
      <c r="F87" s="772">
        <f t="shared" si="16"/>
        <v>-10127.875</v>
      </c>
      <c r="G87" s="772">
        <f t="shared" si="16"/>
        <v>0</v>
      </c>
      <c r="H87" s="772">
        <f t="shared" si="16"/>
        <v>0</v>
      </c>
      <c r="I87" s="772">
        <f t="shared" si="16"/>
        <v>0</v>
      </c>
      <c r="J87" s="772">
        <f t="shared" si="16"/>
        <v>0</v>
      </c>
      <c r="K87" s="772">
        <f t="shared" si="16"/>
        <v>0</v>
      </c>
      <c r="L87" s="772">
        <f t="shared" si="16"/>
        <v>0</v>
      </c>
      <c r="M87" s="772">
        <f t="shared" si="16"/>
        <v>0</v>
      </c>
      <c r="N87" s="772">
        <f t="shared" si="16"/>
        <v>0</v>
      </c>
      <c r="O87" s="772">
        <f t="shared" si="16"/>
        <v>0</v>
      </c>
      <c r="P87" s="772">
        <f t="shared" si="16"/>
        <v>0</v>
      </c>
    </row>
    <row r="88" spans="1:16" ht="7.5" customHeight="1" x14ac:dyDescent="0.25">
      <c r="B88" s="594"/>
      <c r="C88" s="594"/>
      <c r="D88" s="594"/>
      <c r="E88" s="594"/>
      <c r="F88" s="594"/>
      <c r="G88" s="594"/>
      <c r="H88" s="594"/>
      <c r="I88" s="594"/>
      <c r="J88" s="594"/>
      <c r="K88" s="594"/>
      <c r="L88" s="594"/>
      <c r="M88" s="594"/>
      <c r="N88" s="594"/>
      <c r="O88" s="594"/>
      <c r="P88" s="594"/>
    </row>
    <row r="89" spans="1:16" x14ac:dyDescent="0.25">
      <c r="A89" s="592" t="s">
        <v>1054</v>
      </c>
      <c r="B89" s="590"/>
      <c r="C89" s="590"/>
      <c r="D89" s="590"/>
      <c r="E89" s="590"/>
      <c r="F89" s="590"/>
      <c r="G89" s="590"/>
      <c r="H89" s="590"/>
      <c r="I89" s="590"/>
      <c r="J89" s="590"/>
      <c r="K89" s="590"/>
      <c r="L89" s="590"/>
      <c r="M89" s="590"/>
      <c r="N89" s="590"/>
      <c r="O89" s="590"/>
      <c r="P89" s="590"/>
    </row>
    <row r="90" spans="1:16" x14ac:dyDescent="0.25">
      <c r="A90" s="640" t="s">
        <v>83</v>
      </c>
      <c r="B90" s="590"/>
      <c r="C90" s="590"/>
      <c r="D90" s="590"/>
      <c r="E90" s="590"/>
      <c r="F90" s="590"/>
      <c r="G90" s="590"/>
      <c r="H90" s="590"/>
      <c r="I90" s="590"/>
      <c r="J90" s="590"/>
      <c r="K90" s="590"/>
      <c r="L90" s="590"/>
      <c r="M90" s="590"/>
      <c r="N90" s="590"/>
      <c r="O90" s="590"/>
      <c r="P90" s="590"/>
    </row>
    <row r="91" spans="1:16" x14ac:dyDescent="0.25">
      <c r="A91" s="639" t="s">
        <v>1055</v>
      </c>
      <c r="B91" s="594"/>
      <c r="C91" s="594"/>
      <c r="D91" s="594">
        <f>D38</f>
        <v>0</v>
      </c>
      <c r="E91" s="594">
        <f t="shared" ref="E91" si="17">E38</f>
        <v>0</v>
      </c>
      <c r="F91" s="594">
        <f>'Future Fund  Inc Exp Statement'!F139</f>
        <v>10000</v>
      </c>
      <c r="G91" s="594">
        <f>'Future Fund  Inc Exp Statement'!G139</f>
        <v>0</v>
      </c>
      <c r="H91" s="594">
        <f>'Future Fund  Inc Exp Statement'!H139</f>
        <v>0</v>
      </c>
      <c r="I91" s="594">
        <f>'Future Fund  Inc Exp Statement'!I139</f>
        <v>0</v>
      </c>
      <c r="J91" s="594">
        <f>'Future Fund  Inc Exp Statement'!J139</f>
        <v>0</v>
      </c>
      <c r="K91" s="594">
        <f>'Future Fund  Inc Exp Statement'!K139</f>
        <v>0</v>
      </c>
      <c r="L91" s="594">
        <f>'Future Fund  Inc Exp Statement'!L139</f>
        <v>0</v>
      </c>
      <c r="M91" s="594">
        <f>'Future Fund  Inc Exp Statement'!M139</f>
        <v>0</v>
      </c>
      <c r="N91" s="594">
        <f>'Future Fund  Inc Exp Statement'!N139</f>
        <v>0</v>
      </c>
      <c r="O91" s="594">
        <f>'Future Fund  Inc Exp Statement'!O139</f>
        <v>0</v>
      </c>
      <c r="P91" s="594">
        <f>'Future Fund  Inc Exp Statement'!P139</f>
        <v>0</v>
      </c>
    </row>
    <row r="92" spans="1:16" ht="5.25" customHeight="1" x14ac:dyDescent="0.25">
      <c r="B92" s="594"/>
      <c r="C92" s="594"/>
      <c r="D92" s="594"/>
      <c r="E92" s="594"/>
      <c r="F92" s="594"/>
      <c r="G92" s="594"/>
      <c r="H92" s="594"/>
      <c r="I92" s="594"/>
      <c r="J92" s="594"/>
      <c r="K92" s="594"/>
      <c r="L92" s="594"/>
      <c r="M92" s="594"/>
      <c r="N92" s="594"/>
      <c r="O92" s="594"/>
      <c r="P92" s="594"/>
    </row>
    <row r="93" spans="1:16" x14ac:dyDescent="0.25">
      <c r="A93" s="640" t="s">
        <v>87</v>
      </c>
      <c r="B93" s="594"/>
      <c r="C93" s="594"/>
      <c r="D93" s="594"/>
      <c r="E93" s="594"/>
      <c r="F93" s="594"/>
      <c r="G93" s="594"/>
      <c r="H93" s="594"/>
      <c r="I93" s="594"/>
      <c r="J93" s="594"/>
      <c r="K93" s="594"/>
      <c r="L93" s="594"/>
      <c r="M93" s="594"/>
      <c r="N93" s="594"/>
      <c r="O93" s="594"/>
      <c r="P93" s="594"/>
    </row>
    <row r="94" spans="1:16" x14ac:dyDescent="0.25">
      <c r="A94" s="639" t="s">
        <v>1056</v>
      </c>
      <c r="B94" s="594"/>
      <c r="C94" s="594"/>
      <c r="D94" s="594">
        <f>D41</f>
        <v>0</v>
      </c>
      <c r="E94" s="594">
        <f t="shared" ref="E94" si="18">E41</f>
        <v>0</v>
      </c>
      <c r="F94" s="594">
        <f>-'Future Fund  Inc Exp Statement'!F129</f>
        <v>0</v>
      </c>
      <c r="G94" s="594">
        <f>-'Future Fund  Inc Exp Statement'!G129</f>
        <v>0</v>
      </c>
      <c r="H94" s="594">
        <f>-'Future Fund  Inc Exp Statement'!H129</f>
        <v>0</v>
      </c>
      <c r="I94" s="594">
        <f>-'Future Fund  Inc Exp Statement'!I129</f>
        <v>0</v>
      </c>
      <c r="J94" s="594">
        <f>-'Future Fund  Inc Exp Statement'!J129</f>
        <v>0</v>
      </c>
      <c r="K94" s="594">
        <f>-'Future Fund  Inc Exp Statement'!K129</f>
        <v>0</v>
      </c>
      <c r="L94" s="594">
        <f>-'Future Fund  Inc Exp Statement'!L129</f>
        <v>0</v>
      </c>
      <c r="M94" s="594">
        <f>-'Future Fund  Inc Exp Statement'!M129</f>
        <v>0</v>
      </c>
      <c r="N94" s="594">
        <f>-'Future Fund  Inc Exp Statement'!N129</f>
        <v>0</v>
      </c>
      <c r="O94" s="594">
        <f>-'Future Fund  Inc Exp Statement'!O129</f>
        <v>0</v>
      </c>
      <c r="P94" s="594">
        <f>-'Future Fund  Inc Exp Statement'!P129</f>
        <v>0</v>
      </c>
    </row>
    <row r="95" spans="1:16" s="644" customFormat="1" x14ac:dyDescent="0.25">
      <c r="A95" s="770" t="s">
        <v>110</v>
      </c>
      <c r="B95" s="772">
        <f t="shared" ref="B95:P95" si="19">SUM(B91:B94)</f>
        <v>0</v>
      </c>
      <c r="C95" s="772">
        <f t="shared" si="19"/>
        <v>0</v>
      </c>
      <c r="D95" s="772">
        <f t="shared" si="19"/>
        <v>0</v>
      </c>
      <c r="E95" s="772">
        <f t="shared" si="19"/>
        <v>0</v>
      </c>
      <c r="F95" s="772">
        <f t="shared" si="19"/>
        <v>10000</v>
      </c>
      <c r="G95" s="772">
        <f t="shared" si="19"/>
        <v>0</v>
      </c>
      <c r="H95" s="772">
        <f t="shared" si="19"/>
        <v>0</v>
      </c>
      <c r="I95" s="772">
        <f t="shared" si="19"/>
        <v>0</v>
      </c>
      <c r="J95" s="772">
        <f t="shared" si="19"/>
        <v>0</v>
      </c>
      <c r="K95" s="772">
        <f t="shared" si="19"/>
        <v>0</v>
      </c>
      <c r="L95" s="772">
        <f t="shared" si="19"/>
        <v>0</v>
      </c>
      <c r="M95" s="772">
        <f t="shared" si="19"/>
        <v>0</v>
      </c>
      <c r="N95" s="772">
        <f t="shared" si="19"/>
        <v>0</v>
      </c>
      <c r="O95" s="772">
        <f t="shared" si="19"/>
        <v>0</v>
      </c>
      <c r="P95" s="772">
        <f t="shared" si="19"/>
        <v>0</v>
      </c>
    </row>
    <row r="96" spans="1:16" ht="3.75" customHeight="1" x14ac:dyDescent="0.25">
      <c r="B96" s="594"/>
      <c r="C96" s="594"/>
      <c r="D96" s="594"/>
      <c r="E96" s="594"/>
      <c r="F96" s="594"/>
      <c r="G96" s="594"/>
      <c r="H96" s="594"/>
      <c r="I96" s="594"/>
      <c r="J96" s="594"/>
      <c r="K96" s="594"/>
      <c r="L96" s="594"/>
      <c r="M96" s="594"/>
      <c r="N96" s="594"/>
      <c r="O96" s="594"/>
      <c r="P96" s="594"/>
    </row>
    <row r="97" spans="1:16" x14ac:dyDescent="0.25">
      <c r="A97" s="592" t="s">
        <v>321</v>
      </c>
      <c r="B97" s="594">
        <f>+B73+B87</f>
        <v>0</v>
      </c>
      <c r="C97" s="594">
        <f>+C73+C87</f>
        <v>0</v>
      </c>
      <c r="D97" s="594">
        <f>+D73+D87+D95</f>
        <v>0</v>
      </c>
      <c r="E97" s="594">
        <f t="shared" ref="E97:P97" si="20">+E73+E87+E95</f>
        <v>0</v>
      </c>
      <c r="F97" s="594">
        <f t="shared" si="20"/>
        <v>0</v>
      </c>
      <c r="G97" s="594">
        <f t="shared" si="20"/>
        <v>170.46600000000012</v>
      </c>
      <c r="H97" s="594">
        <f t="shared" si="20"/>
        <v>-19.784999999999854</v>
      </c>
      <c r="I97" s="594">
        <f t="shared" si="20"/>
        <v>-63.820999999999799</v>
      </c>
      <c r="J97" s="594">
        <f t="shared" si="20"/>
        <v>-106.1170000000003</v>
      </c>
      <c r="K97" s="594">
        <f t="shared" si="20"/>
        <v>-26.49966000000029</v>
      </c>
      <c r="L97" s="594">
        <f t="shared" si="20"/>
        <v>-12.130666200000292</v>
      </c>
      <c r="M97" s="594">
        <f t="shared" si="20"/>
        <v>3.0941739899996605</v>
      </c>
      <c r="N97" s="594">
        <f t="shared" si="20"/>
        <v>19.213891369379894</v>
      </c>
      <c r="O97" s="594">
        <f t="shared" si="20"/>
        <v>36.26914916470156</v>
      </c>
      <c r="P97" s="594">
        <f t="shared" si="20"/>
        <v>54.302309008387851</v>
      </c>
    </row>
    <row r="98" spans="1:16" ht="6" customHeight="1" x14ac:dyDescent="0.25">
      <c r="A98" s="644"/>
      <c r="B98" s="594"/>
      <c r="C98" s="594"/>
      <c r="D98" s="594"/>
      <c r="E98" s="594"/>
      <c r="F98" s="594"/>
      <c r="G98" s="594"/>
      <c r="H98" s="594"/>
      <c r="I98" s="594"/>
      <c r="J98" s="594"/>
      <c r="K98" s="594"/>
      <c r="L98" s="594"/>
      <c r="M98" s="594"/>
      <c r="N98" s="594"/>
      <c r="O98" s="594"/>
      <c r="P98" s="594"/>
    </row>
    <row r="99" spans="1:16" x14ac:dyDescent="0.25">
      <c r="A99" s="592" t="s">
        <v>96</v>
      </c>
      <c r="B99" s="594"/>
      <c r="C99" s="594">
        <f>+B101</f>
        <v>0</v>
      </c>
      <c r="D99" s="594">
        <f>D46</f>
        <v>0</v>
      </c>
      <c r="E99" s="594">
        <f t="shared" ref="E99:P99" si="21">+D101</f>
        <v>0</v>
      </c>
      <c r="F99" s="594">
        <f t="shared" si="21"/>
        <v>0</v>
      </c>
      <c r="G99" s="594">
        <f t="shared" si="21"/>
        <v>0</v>
      </c>
      <c r="H99" s="594">
        <f t="shared" si="21"/>
        <v>170.46600000000012</v>
      </c>
      <c r="I99" s="594">
        <f t="shared" si="21"/>
        <v>150.68100000000027</v>
      </c>
      <c r="J99" s="594">
        <f t="shared" si="21"/>
        <v>86.860000000000468</v>
      </c>
      <c r="K99" s="594">
        <f t="shared" si="21"/>
        <v>-19.256999999999834</v>
      </c>
      <c r="L99" s="594">
        <f t="shared" si="21"/>
        <v>-45.756660000000124</v>
      </c>
      <c r="M99" s="594">
        <f t="shared" si="21"/>
        <v>-57.887326200000416</v>
      </c>
      <c r="N99" s="594">
        <f t="shared" si="21"/>
        <v>-54.793152210000756</v>
      </c>
      <c r="O99" s="594">
        <f t="shared" si="21"/>
        <v>-35.579260840620861</v>
      </c>
      <c r="P99" s="594">
        <f t="shared" si="21"/>
        <v>0.68988832408069811</v>
      </c>
    </row>
    <row r="100" spans="1:16" x14ac:dyDescent="0.25">
      <c r="B100" s="594"/>
      <c r="C100" s="594"/>
      <c r="D100" s="594"/>
      <c r="E100" s="594"/>
      <c r="F100" s="594"/>
      <c r="G100" s="594"/>
      <c r="H100" s="594"/>
      <c r="I100" s="594"/>
      <c r="J100" s="594"/>
      <c r="K100" s="594"/>
      <c r="L100" s="594"/>
      <c r="M100" s="594"/>
      <c r="N100" s="594"/>
      <c r="O100" s="594"/>
      <c r="P100" s="594"/>
    </row>
    <row r="101" spans="1:16" ht="12.6" thickBot="1" x14ac:dyDescent="0.3">
      <c r="A101" s="592" t="s">
        <v>97</v>
      </c>
      <c r="B101" s="645">
        <f>+B97+B99</f>
        <v>0</v>
      </c>
      <c r="C101" s="645">
        <f t="shared" ref="C101:P101" si="22">+C97+C99</f>
        <v>0</v>
      </c>
      <c r="D101" s="645">
        <f t="shared" si="22"/>
        <v>0</v>
      </c>
      <c r="E101" s="650">
        <f t="shared" si="22"/>
        <v>0</v>
      </c>
      <c r="F101" s="650">
        <f t="shared" si="22"/>
        <v>0</v>
      </c>
      <c r="G101" s="650">
        <f t="shared" si="22"/>
        <v>170.46600000000012</v>
      </c>
      <c r="H101" s="650">
        <f t="shared" si="22"/>
        <v>150.68100000000027</v>
      </c>
      <c r="I101" s="650">
        <f t="shared" si="22"/>
        <v>86.860000000000468</v>
      </c>
      <c r="J101" s="650">
        <f t="shared" si="22"/>
        <v>-19.256999999999834</v>
      </c>
      <c r="K101" s="650">
        <f t="shared" si="22"/>
        <v>-45.756660000000124</v>
      </c>
      <c r="L101" s="650">
        <f t="shared" si="22"/>
        <v>-57.887326200000416</v>
      </c>
      <c r="M101" s="650">
        <f t="shared" si="22"/>
        <v>-54.793152210000756</v>
      </c>
      <c r="N101" s="650">
        <f t="shared" si="22"/>
        <v>-35.579260840620861</v>
      </c>
      <c r="O101" s="650">
        <f t="shared" si="22"/>
        <v>0.68988832408069811</v>
      </c>
      <c r="P101" s="650">
        <f t="shared" si="22"/>
        <v>54.99219733246855</v>
      </c>
    </row>
    <row r="102" spans="1:16" ht="4.5" customHeight="1" x14ac:dyDescent="0.25"/>
    <row r="103" spans="1:16" x14ac:dyDescent="0.25">
      <c r="A103" s="639" t="s">
        <v>98</v>
      </c>
      <c r="B103" s="590"/>
      <c r="C103" s="590">
        <f>B103-C83-C77</f>
        <v>0</v>
      </c>
      <c r="D103" s="590">
        <f>D50</f>
        <v>0</v>
      </c>
      <c r="E103" s="590">
        <f>'Future Fund  Bal Sheet'!E54+'Future Fund  Bal Sheet'!E61</f>
        <v>3</v>
      </c>
      <c r="F103" s="590">
        <f t="shared" ref="F103:P103" si="23">E103-F83-F77</f>
        <v>130.875</v>
      </c>
      <c r="G103" s="590">
        <f t="shared" si="23"/>
        <v>130.875</v>
      </c>
      <c r="H103" s="590">
        <f t="shared" si="23"/>
        <v>1630.875</v>
      </c>
      <c r="I103" s="590">
        <f t="shared" si="23"/>
        <v>1630.875</v>
      </c>
      <c r="J103" s="590">
        <f t="shared" si="23"/>
        <v>1630.875</v>
      </c>
      <c r="K103" s="590">
        <f t="shared" si="23"/>
        <v>1630.875</v>
      </c>
      <c r="L103" s="590">
        <f t="shared" si="23"/>
        <v>1630.875</v>
      </c>
      <c r="M103" s="590">
        <f t="shared" si="23"/>
        <v>1630.875</v>
      </c>
      <c r="N103" s="590">
        <f t="shared" si="23"/>
        <v>1630.875</v>
      </c>
      <c r="O103" s="590">
        <f t="shared" si="23"/>
        <v>1630.875</v>
      </c>
      <c r="P103" s="590">
        <f t="shared" si="23"/>
        <v>1630.875</v>
      </c>
    </row>
    <row r="104" spans="1:16" ht="6" customHeight="1" x14ac:dyDescent="0.25">
      <c r="B104" s="590"/>
      <c r="C104" s="590"/>
      <c r="D104" s="590"/>
      <c r="E104" s="590"/>
      <c r="F104" s="590"/>
      <c r="G104" s="590"/>
      <c r="H104" s="590"/>
      <c r="I104" s="590"/>
      <c r="J104" s="590"/>
      <c r="K104" s="590"/>
      <c r="L104" s="590"/>
      <c r="M104" s="590"/>
      <c r="N104" s="590"/>
      <c r="O104" s="590"/>
      <c r="P104" s="590"/>
    </row>
    <row r="105" spans="1:16" ht="12.6" thickBot="1" x14ac:dyDescent="0.3">
      <c r="A105" s="592" t="s">
        <v>99</v>
      </c>
      <c r="B105" s="646">
        <f>+B101+B103</f>
        <v>0</v>
      </c>
      <c r="C105" s="646">
        <f t="shared" ref="C105:P105" si="24">+C101+C103</f>
        <v>0</v>
      </c>
      <c r="D105" s="646">
        <f t="shared" si="24"/>
        <v>0</v>
      </c>
      <c r="E105" s="646">
        <f t="shared" si="24"/>
        <v>3</v>
      </c>
      <c r="F105" s="646">
        <f t="shared" si="24"/>
        <v>130.875</v>
      </c>
      <c r="G105" s="646">
        <f t="shared" si="24"/>
        <v>301.34100000000012</v>
      </c>
      <c r="H105" s="646">
        <f t="shared" si="24"/>
        <v>1781.5560000000003</v>
      </c>
      <c r="I105" s="646">
        <f t="shared" si="24"/>
        <v>1717.7350000000006</v>
      </c>
      <c r="J105" s="595">
        <f t="shared" si="24"/>
        <v>1611.6180000000002</v>
      </c>
      <c r="K105" s="595">
        <f t="shared" si="24"/>
        <v>1585.11834</v>
      </c>
      <c r="L105" s="595">
        <f t="shared" si="24"/>
        <v>1572.9876737999996</v>
      </c>
      <c r="M105" s="595">
        <f t="shared" si="24"/>
        <v>1576.0818477899993</v>
      </c>
      <c r="N105" s="595">
        <f t="shared" si="24"/>
        <v>1595.2957391593791</v>
      </c>
      <c r="O105" s="595">
        <f t="shared" si="24"/>
        <v>1631.5648883240806</v>
      </c>
      <c r="P105" s="595">
        <f t="shared" si="24"/>
        <v>1685.8671973324685</v>
      </c>
    </row>
    <row r="106" spans="1:16" ht="12.6" thickTop="1" x14ac:dyDescent="0.25"/>
    <row r="107" spans="1:16" ht="13.8" x14ac:dyDescent="0.3">
      <c r="A107" s="1091" t="s">
        <v>1364</v>
      </c>
    </row>
    <row r="108" spans="1:16" x14ac:dyDescent="0.25">
      <c r="A108" s="597" t="s">
        <v>1067</v>
      </c>
      <c r="B108" s="586" t="s">
        <v>69</v>
      </c>
      <c r="C108" s="586" t="s">
        <v>69</v>
      </c>
      <c r="D108" s="586" t="str">
        <f t="shared" ref="D108:P108" si="25">D55</f>
        <v>Actual</v>
      </c>
      <c r="E108" s="586" t="str">
        <f t="shared" si="25"/>
        <v>Actual</v>
      </c>
      <c r="F108" s="586" t="str">
        <f t="shared" si="25"/>
        <v>Budget</v>
      </c>
      <c r="G108" s="586" t="str">
        <f t="shared" si="25"/>
        <v>Budget</v>
      </c>
      <c r="H108" s="586" t="str">
        <f t="shared" si="25"/>
        <v>Projected</v>
      </c>
      <c r="I108" s="586" t="str">
        <f t="shared" si="25"/>
        <v>Projected</v>
      </c>
      <c r="J108" s="586" t="str">
        <f t="shared" si="25"/>
        <v>Projected</v>
      </c>
      <c r="K108" s="586" t="str">
        <f t="shared" si="25"/>
        <v>Projected</v>
      </c>
      <c r="L108" s="586" t="str">
        <f t="shared" si="25"/>
        <v>Projected</v>
      </c>
      <c r="M108" s="586" t="str">
        <f t="shared" si="25"/>
        <v>Projected</v>
      </c>
      <c r="N108" s="586" t="str">
        <f t="shared" si="25"/>
        <v>Projected</v>
      </c>
      <c r="O108" s="586" t="str">
        <f t="shared" si="25"/>
        <v>Projected</v>
      </c>
      <c r="P108" s="586" t="str">
        <f t="shared" si="25"/>
        <v>Projected</v>
      </c>
    </row>
    <row r="109" spans="1:16" x14ac:dyDescent="0.25">
      <c r="A109" s="585" t="s">
        <v>73</v>
      </c>
      <c r="B109" s="638" t="s">
        <v>68</v>
      </c>
      <c r="C109" s="586" t="s">
        <v>0</v>
      </c>
      <c r="D109" s="586" t="s">
        <v>1</v>
      </c>
      <c r="E109" s="586" t="s">
        <v>2</v>
      </c>
      <c r="F109" s="586" t="s">
        <v>3</v>
      </c>
      <c r="G109" s="586" t="s">
        <v>4</v>
      </c>
      <c r="H109" s="586" t="s">
        <v>5</v>
      </c>
      <c r="I109" s="586" t="s">
        <v>6</v>
      </c>
      <c r="J109" s="586" t="s">
        <v>7</v>
      </c>
      <c r="K109" s="586" t="s">
        <v>8</v>
      </c>
      <c r="L109" s="586" t="s">
        <v>9</v>
      </c>
      <c r="M109" s="586" t="s">
        <v>514</v>
      </c>
      <c r="N109" s="586" t="s">
        <v>515</v>
      </c>
      <c r="O109" s="586" t="s">
        <v>904</v>
      </c>
      <c r="P109" s="586" t="s">
        <v>1046</v>
      </c>
    </row>
    <row r="111" spans="1:16" x14ac:dyDescent="0.25">
      <c r="A111" s="592" t="s">
        <v>82</v>
      </c>
    </row>
    <row r="112" spans="1:16" x14ac:dyDescent="0.25">
      <c r="A112" s="640" t="s">
        <v>83</v>
      </c>
      <c r="B112" s="590"/>
      <c r="C112" s="590"/>
      <c r="D112" s="590"/>
      <c r="E112" s="590"/>
      <c r="F112" s="590"/>
      <c r="G112" s="590"/>
      <c r="H112" s="590"/>
      <c r="I112" s="590"/>
      <c r="J112" s="590"/>
      <c r="K112" s="590"/>
      <c r="L112" s="590"/>
      <c r="M112" s="590"/>
      <c r="N112" s="590"/>
      <c r="O112" s="590"/>
      <c r="P112" s="590"/>
    </row>
    <row r="113" spans="1:16" x14ac:dyDescent="0.25">
      <c r="A113" s="639" t="s">
        <v>11</v>
      </c>
      <c r="B113" s="594"/>
      <c r="C113" s="594">
        <f t="shared" ref="C113:E118" si="26">C60</f>
        <v>0</v>
      </c>
      <c r="D113" s="594">
        <f t="shared" si="26"/>
        <v>0</v>
      </c>
      <c r="E113" s="594">
        <f t="shared" si="26"/>
        <v>0</v>
      </c>
      <c r="F113" s="594">
        <f>+'Future Fund  Inc Exp Statement'!F153</f>
        <v>0</v>
      </c>
      <c r="G113" s="594">
        <f>+'Future Fund  Inc Exp Statement'!G153</f>
        <v>0</v>
      </c>
      <c r="H113" s="594">
        <f>+'Future Fund  Inc Exp Statement'!H153</f>
        <v>0</v>
      </c>
      <c r="I113" s="594">
        <f>+'Future Fund  Inc Exp Statement'!I153</f>
        <v>0</v>
      </c>
      <c r="J113" s="594">
        <f>+'Future Fund  Inc Exp Statement'!J153</f>
        <v>0</v>
      </c>
      <c r="K113" s="594">
        <f>+'Future Fund  Inc Exp Statement'!K153</f>
        <v>0</v>
      </c>
      <c r="L113" s="594">
        <f>+'Future Fund  Inc Exp Statement'!L153</f>
        <v>0</v>
      </c>
      <c r="M113" s="594">
        <f>+'Future Fund  Inc Exp Statement'!M153</f>
        <v>0</v>
      </c>
      <c r="N113" s="594">
        <f>+'Future Fund  Inc Exp Statement'!N153</f>
        <v>0</v>
      </c>
      <c r="O113" s="594">
        <f>+'Future Fund  Inc Exp Statement'!O153</f>
        <v>0</v>
      </c>
      <c r="P113" s="594">
        <f>+'Future Fund  Inc Exp Statement'!P153</f>
        <v>0</v>
      </c>
    </row>
    <row r="114" spans="1:16" x14ac:dyDescent="0.25">
      <c r="A114" s="639" t="s">
        <v>12</v>
      </c>
      <c r="B114" s="594"/>
      <c r="C114" s="594">
        <f t="shared" si="26"/>
        <v>0</v>
      </c>
      <c r="D114" s="594">
        <f t="shared" si="26"/>
        <v>0</v>
      </c>
      <c r="E114" s="594">
        <f t="shared" si="26"/>
        <v>0</v>
      </c>
      <c r="F114" s="594">
        <f>+'Future Fund  Inc Exp Statement'!F154</f>
        <v>3052.3029999999999</v>
      </c>
      <c r="G114" s="594">
        <f>+'Future Fund  Inc Exp Statement'!G154</f>
        <v>3203.3</v>
      </c>
      <c r="H114" s="594">
        <f>+'Future Fund  Inc Exp Statement'!H154</f>
        <v>3097.5430000000001</v>
      </c>
      <c r="I114" s="594">
        <f>+'Future Fund  Inc Exp Statement'!I154</f>
        <v>3174.7330000000002</v>
      </c>
      <c r="J114" s="594">
        <f>+'Future Fund  Inc Exp Statement'!J154</f>
        <v>3254.1529999999998</v>
      </c>
      <c r="K114" s="594">
        <f>+'Future Fund  Inc Exp Statement'!K154</f>
        <v>3319.2360599999997</v>
      </c>
      <c r="L114" s="594">
        <f>+'Future Fund  Inc Exp Statement'!L154</f>
        <v>3385.6207811999998</v>
      </c>
      <c r="M114" s="594">
        <f>+'Future Fund  Inc Exp Statement'!M154</f>
        <v>3453.333196824</v>
      </c>
      <c r="N114" s="594">
        <f>+'Future Fund  Inc Exp Statement'!N154</f>
        <v>3522.3998607604799</v>
      </c>
      <c r="O114" s="594">
        <f>+'Future Fund  Inc Exp Statement'!O154</f>
        <v>3592.8478579756897</v>
      </c>
      <c r="P114" s="594">
        <f>+'Future Fund  Inc Exp Statement'!P154</f>
        <v>3664.7048151352037</v>
      </c>
    </row>
    <row r="115" spans="1:16" x14ac:dyDescent="0.25">
      <c r="A115" s="639" t="s">
        <v>84</v>
      </c>
      <c r="B115" s="594"/>
      <c r="C115" s="594">
        <f t="shared" si="26"/>
        <v>0</v>
      </c>
      <c r="D115" s="594">
        <f t="shared" si="26"/>
        <v>0</v>
      </c>
      <c r="E115" s="594">
        <f t="shared" si="26"/>
        <v>0</v>
      </c>
      <c r="F115" s="594">
        <f>+'Future Fund  Inc Exp Statement'!F155</f>
        <v>0</v>
      </c>
      <c r="G115" s="594">
        <f>+'Future Fund  Inc Exp Statement'!G155</f>
        <v>0</v>
      </c>
      <c r="H115" s="594">
        <f>+'Future Fund  Inc Exp Statement'!H155</f>
        <v>0</v>
      </c>
      <c r="I115" s="594">
        <f>+'Future Fund  Inc Exp Statement'!I155</f>
        <v>0</v>
      </c>
      <c r="J115" s="594">
        <f>+'Future Fund  Inc Exp Statement'!J155</f>
        <v>0</v>
      </c>
      <c r="K115" s="594">
        <f>+'Future Fund  Inc Exp Statement'!K155</f>
        <v>64.464720000000014</v>
      </c>
      <c r="L115" s="594">
        <f>+'Future Fund  Inc Exp Statement'!L155</f>
        <v>63.4047336</v>
      </c>
      <c r="M115" s="594">
        <f>+'Future Fund  Inc Exp Statement'!M155</f>
        <v>62.919506951999985</v>
      </c>
      <c r="N115" s="594">
        <f>+'Future Fund  Inc Exp Statement'!N155</f>
        <v>63.043273911599975</v>
      </c>
      <c r="O115" s="594">
        <f>+'Future Fund  Inc Exp Statement'!O155</f>
        <v>63.811829566375167</v>
      </c>
      <c r="P115" s="594">
        <f>+'Future Fund  Inc Exp Statement'!P155</f>
        <v>65.262595532963218</v>
      </c>
    </row>
    <row r="116" spans="1:16" x14ac:dyDescent="0.25">
      <c r="A116" s="639" t="s">
        <v>85</v>
      </c>
      <c r="B116" s="594"/>
      <c r="C116" s="594">
        <f t="shared" si="26"/>
        <v>0</v>
      </c>
      <c r="D116" s="594">
        <f t="shared" si="26"/>
        <v>0</v>
      </c>
      <c r="E116" s="594">
        <f t="shared" si="26"/>
        <v>0</v>
      </c>
      <c r="F116" s="594">
        <f>+'Future Fund  Inc Exp Statement'!F157+'Future Fund  Inc Exp Statement'!F158</f>
        <v>0</v>
      </c>
      <c r="G116" s="594">
        <f>+'Future Fund  Inc Exp Statement'!G157+'Future Fund  Inc Exp Statement'!G158</f>
        <v>0</v>
      </c>
      <c r="H116" s="594">
        <f>+'Future Fund  Inc Exp Statement'!H157+'Future Fund  Inc Exp Statement'!H158</f>
        <v>0</v>
      </c>
      <c r="I116" s="594">
        <f>+'Future Fund  Inc Exp Statement'!I157+'Future Fund  Inc Exp Statement'!I158</f>
        <v>0</v>
      </c>
      <c r="J116" s="594">
        <f>+'Future Fund  Inc Exp Statement'!J157+'Future Fund  Inc Exp Statement'!J158</f>
        <v>0</v>
      </c>
      <c r="K116" s="594">
        <f>+'Future Fund  Inc Exp Statement'!K157+'Future Fund  Inc Exp Statement'!K158</f>
        <v>0</v>
      </c>
      <c r="L116" s="594">
        <f>+'Future Fund  Inc Exp Statement'!L157+'Future Fund  Inc Exp Statement'!L158</f>
        <v>0</v>
      </c>
      <c r="M116" s="594">
        <f>+'Future Fund  Inc Exp Statement'!M157+'Future Fund  Inc Exp Statement'!M158</f>
        <v>0</v>
      </c>
      <c r="N116" s="594">
        <f>+'Future Fund  Inc Exp Statement'!N157+'Future Fund  Inc Exp Statement'!N158</f>
        <v>0</v>
      </c>
      <c r="O116" s="594">
        <f>+'Future Fund  Inc Exp Statement'!O157+'Future Fund  Inc Exp Statement'!O158</f>
        <v>0</v>
      </c>
      <c r="P116" s="594">
        <f>+'Future Fund  Inc Exp Statement'!P157+'Future Fund  Inc Exp Statement'!P158</f>
        <v>0</v>
      </c>
    </row>
    <row r="117" spans="1:16" hidden="1" outlineLevel="1" x14ac:dyDescent="0.2">
      <c r="A117" s="639" t="s">
        <v>86</v>
      </c>
      <c r="B117" s="594"/>
      <c r="C117" s="594">
        <f t="shared" si="26"/>
        <v>0</v>
      </c>
      <c r="D117" s="594">
        <f t="shared" si="26"/>
        <v>0</v>
      </c>
      <c r="E117" s="594">
        <f t="shared" si="26"/>
        <v>0</v>
      </c>
      <c r="F117" s="594">
        <v>0</v>
      </c>
      <c r="G117" s="594">
        <v>0</v>
      </c>
      <c r="H117" s="594">
        <v>0</v>
      </c>
      <c r="I117" s="594">
        <v>0</v>
      </c>
      <c r="J117" s="594">
        <v>0</v>
      </c>
      <c r="K117" s="594">
        <v>0</v>
      </c>
      <c r="L117" s="594">
        <v>0</v>
      </c>
      <c r="M117" s="594">
        <v>0</v>
      </c>
      <c r="N117" s="594">
        <v>0</v>
      </c>
      <c r="O117" s="594">
        <v>0</v>
      </c>
      <c r="P117" s="594">
        <v>0</v>
      </c>
    </row>
    <row r="118" spans="1:16" collapsed="1" x14ac:dyDescent="0.25">
      <c r="A118" s="639" t="s">
        <v>41</v>
      </c>
      <c r="B118" s="594"/>
      <c r="C118" s="594">
        <f t="shared" si="26"/>
        <v>0</v>
      </c>
      <c r="D118" s="594">
        <f t="shared" si="26"/>
        <v>0</v>
      </c>
      <c r="E118" s="594">
        <f t="shared" si="26"/>
        <v>0</v>
      </c>
      <c r="F118" s="594">
        <f>+'Future Fund  Inc Exp Statement'!F156</f>
        <v>0</v>
      </c>
      <c r="G118" s="594">
        <f>+'Future Fund  Inc Exp Statement'!G156</f>
        <v>0</v>
      </c>
      <c r="H118" s="594">
        <f>+'Future Fund  Inc Exp Statement'!H156</f>
        <v>0</v>
      </c>
      <c r="I118" s="594">
        <f>+'Future Fund  Inc Exp Statement'!I156</f>
        <v>0</v>
      </c>
      <c r="J118" s="594">
        <f>+'Future Fund  Inc Exp Statement'!J156</f>
        <v>0</v>
      </c>
      <c r="K118" s="594">
        <f>+'Future Fund  Inc Exp Statement'!K156</f>
        <v>0</v>
      </c>
      <c r="L118" s="594">
        <f>+'Future Fund  Inc Exp Statement'!L156</f>
        <v>0</v>
      </c>
      <c r="M118" s="594">
        <f>+'Future Fund  Inc Exp Statement'!M156</f>
        <v>0</v>
      </c>
      <c r="N118" s="594">
        <f>+'Future Fund  Inc Exp Statement'!N156</f>
        <v>0</v>
      </c>
      <c r="O118" s="594">
        <f>+'Future Fund  Inc Exp Statement'!O156</f>
        <v>0</v>
      </c>
      <c r="P118" s="594">
        <f>+'Future Fund  Inc Exp Statement'!P156</f>
        <v>0</v>
      </c>
    </row>
    <row r="119" spans="1:16" x14ac:dyDescent="0.25"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</row>
    <row r="120" spans="1:16" x14ac:dyDescent="0.25">
      <c r="A120" s="640" t="s">
        <v>87</v>
      </c>
      <c r="B120" s="594"/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</row>
    <row r="121" spans="1:16" x14ac:dyDescent="0.25">
      <c r="A121" s="639" t="s">
        <v>25</v>
      </c>
      <c r="B121" s="594"/>
      <c r="C121" s="594">
        <f t="shared" ref="C121:E123" si="27">C68</f>
        <v>0</v>
      </c>
      <c r="D121" s="594">
        <f t="shared" si="27"/>
        <v>0</v>
      </c>
      <c r="E121" s="594">
        <f t="shared" si="27"/>
        <v>0</v>
      </c>
      <c r="F121" s="594">
        <f>-'Future Fund  Inc Exp Statement'!F167</f>
        <v>-80</v>
      </c>
      <c r="G121" s="594">
        <f>-'Future Fund  Inc Exp Statement'!G167</f>
        <v>-81.424000000000007</v>
      </c>
      <c r="H121" s="594">
        <f>-'Future Fund  Inc Exp Statement'!H167</f>
        <v>-83.866</v>
      </c>
      <c r="I121" s="594">
        <f>-'Future Fund  Inc Exp Statement'!I167</f>
        <v>-86.382000000000005</v>
      </c>
      <c r="J121" s="594">
        <f>-'Future Fund  Inc Exp Statement'!J167</f>
        <v>-88.974000000000004</v>
      </c>
      <c r="K121" s="594">
        <f>-'Future Fund  Inc Exp Statement'!K167</f>
        <v>-91.643219999999999</v>
      </c>
      <c r="L121" s="594">
        <f>-'Future Fund  Inc Exp Statement'!L167</f>
        <v>-94.392516600000008</v>
      </c>
      <c r="M121" s="594">
        <f>-'Future Fund  Inc Exp Statement'!M167</f>
        <v>-97.224292098000006</v>
      </c>
      <c r="N121" s="594">
        <f>-'Future Fund  Inc Exp Statement'!N167</f>
        <v>-100.14102086094</v>
      </c>
      <c r="O121" s="594">
        <f>-'Future Fund  Inc Exp Statement'!O167</f>
        <v>-103.1452514867682</v>
      </c>
      <c r="P121" s="594">
        <f>-'Future Fund  Inc Exp Statement'!P167</f>
        <v>-106.23960903137124</v>
      </c>
    </row>
    <row r="122" spans="1:16" x14ac:dyDescent="0.25">
      <c r="A122" s="639" t="s">
        <v>27</v>
      </c>
      <c r="B122" s="594"/>
      <c r="C122" s="594">
        <f t="shared" si="27"/>
        <v>0</v>
      </c>
      <c r="D122" s="594">
        <f t="shared" si="27"/>
        <v>0</v>
      </c>
      <c r="E122" s="594">
        <f t="shared" si="27"/>
        <v>0</v>
      </c>
      <c r="F122" s="594">
        <f>-'Future Fund  Inc Exp Statement'!F169-'Future Fund  Inc Exp Statement'!F170</f>
        <v>-1577.15</v>
      </c>
      <c r="G122" s="594">
        <f>-'Future Fund  Inc Exp Statement'!G169-'Future Fund  Inc Exp Statement'!G170</f>
        <v>-1663.575</v>
      </c>
      <c r="H122" s="594">
        <f>-'Future Fund  Inc Exp Statement'!H169-'Future Fund  Inc Exp Statement'!H170</f>
        <v>-1745.5309999999999</v>
      </c>
      <c r="I122" s="594">
        <f>-'Future Fund  Inc Exp Statement'!I169-'Future Fund  Inc Exp Statement'!I170</f>
        <v>-1856.7159999999999</v>
      </c>
      <c r="J122" s="594">
        <f>-'Future Fund  Inc Exp Statement'!J169-'Future Fund  Inc Exp Statement'!J170</f>
        <v>-1968.1579999999999</v>
      </c>
      <c r="K122" s="594">
        <f>-'Future Fund  Inc Exp Statement'!K169-'Future Fund  Inc Exp Statement'!K170</f>
        <v>-2007.52116</v>
      </c>
      <c r="L122" s="594">
        <f>-'Future Fund  Inc Exp Statement'!L169-'Future Fund  Inc Exp Statement'!L170</f>
        <v>-2047.6715832</v>
      </c>
      <c r="M122" s="594">
        <f>-'Future Fund  Inc Exp Statement'!M169-'Future Fund  Inc Exp Statement'!M170</f>
        <v>-2088.6250148640001</v>
      </c>
      <c r="N122" s="594">
        <f>-'Future Fund  Inc Exp Statement'!N169-'Future Fund  Inc Exp Statement'!N170</f>
        <v>-2130.3975151612799</v>
      </c>
      <c r="O122" s="594">
        <f>-'Future Fund  Inc Exp Statement'!O169-'Future Fund  Inc Exp Statement'!O170</f>
        <v>-2173.0054654645055</v>
      </c>
      <c r="P122" s="594">
        <f>-'Future Fund  Inc Exp Statement'!P169-'Future Fund  Inc Exp Statement'!P170</f>
        <v>-2216.4655747737961</v>
      </c>
    </row>
    <row r="123" spans="1:16" x14ac:dyDescent="0.25">
      <c r="A123" s="639" t="s">
        <v>926</v>
      </c>
      <c r="B123" s="594"/>
      <c r="C123" s="594"/>
      <c r="D123" s="594">
        <f>D70</f>
        <v>0</v>
      </c>
      <c r="E123" s="594">
        <f t="shared" si="27"/>
        <v>0</v>
      </c>
      <c r="F123" s="594">
        <f>-'Future Fund  Inc Exp Statement'!F168</f>
        <v>-908.23500000000001</v>
      </c>
      <c r="G123" s="594">
        <f>-'Future Fund  Inc Exp Statement'!G168</f>
        <v>-908.23500000000001</v>
      </c>
      <c r="H123" s="594">
        <f>-'Future Fund  Inc Exp Statement'!H168</f>
        <v>-908.23500000000001</v>
      </c>
      <c r="I123" s="594">
        <f>-'Future Fund  Inc Exp Statement'!I168</f>
        <v>-908.23500000000001</v>
      </c>
      <c r="J123" s="594">
        <f>-'Future Fund  Inc Exp Statement'!J168</f>
        <v>-908.23500000000001</v>
      </c>
      <c r="K123" s="594">
        <f>-'Future Fund  Inc Exp Statement'!K168</f>
        <v>-908.23500000000001</v>
      </c>
      <c r="L123" s="594">
        <f>-'Future Fund  Inc Exp Statement'!L168</f>
        <v>-908.23500000000001</v>
      </c>
      <c r="M123" s="594">
        <f>-'Future Fund  Inc Exp Statement'!M168</f>
        <v>-908.23500000000001</v>
      </c>
      <c r="N123" s="594">
        <f>-'Future Fund  Inc Exp Statement'!N168</f>
        <v>-908.23500000000001</v>
      </c>
      <c r="O123" s="594">
        <f>-'Future Fund  Inc Exp Statement'!O168</f>
        <v>-908.23500000000001</v>
      </c>
      <c r="P123" s="594">
        <f>-'Future Fund  Inc Exp Statement'!P168</f>
        <v>-908.23500000000001</v>
      </c>
    </row>
    <row r="124" spans="1:16" hidden="1" outlineLevel="1" x14ac:dyDescent="0.2">
      <c r="A124" s="639" t="s">
        <v>88</v>
      </c>
      <c r="B124" s="594"/>
      <c r="C124" s="594">
        <f>C71</f>
        <v>0</v>
      </c>
      <c r="D124" s="594">
        <f>D71</f>
        <v>0</v>
      </c>
      <c r="E124" s="594">
        <f>E71</f>
        <v>0</v>
      </c>
      <c r="F124" s="594">
        <v>0</v>
      </c>
      <c r="G124" s="594">
        <v>0</v>
      </c>
      <c r="H124" s="594">
        <v>0</v>
      </c>
      <c r="I124" s="594">
        <v>0</v>
      </c>
      <c r="J124" s="594">
        <v>0</v>
      </c>
      <c r="K124" s="594">
        <v>0</v>
      </c>
      <c r="L124" s="594">
        <v>0</v>
      </c>
      <c r="M124" s="594">
        <v>0</v>
      </c>
      <c r="N124" s="594">
        <v>0</v>
      </c>
      <c r="O124" s="594">
        <v>0</v>
      </c>
      <c r="P124" s="594">
        <v>0</v>
      </c>
    </row>
    <row r="125" spans="1:16" collapsed="1" x14ac:dyDescent="0.25">
      <c r="A125" s="641" t="s">
        <v>41</v>
      </c>
      <c r="B125" s="591"/>
      <c r="C125" s="594">
        <f>C72</f>
        <v>0</v>
      </c>
      <c r="D125" s="594">
        <f>D72</f>
        <v>0</v>
      </c>
      <c r="E125" s="594">
        <f>E72</f>
        <v>0</v>
      </c>
      <c r="F125" s="591">
        <f>-'Future Fund  Inc Exp Statement'!F174</f>
        <v>-359.04300000000001</v>
      </c>
      <c r="G125" s="591">
        <f>-'Future Fund  Inc Exp Statement'!G174</f>
        <v>-379.6</v>
      </c>
      <c r="H125" s="591">
        <f>-'Future Fund  Inc Exp Statement'!H174</f>
        <v>-379.69600000000003</v>
      </c>
      <c r="I125" s="591">
        <f>-'Future Fund  Inc Exp Statement'!I174</f>
        <v>-387.221</v>
      </c>
      <c r="J125" s="591">
        <f>-'Future Fund  Inc Exp Statement'!J174</f>
        <v>-394.90300000000002</v>
      </c>
      <c r="K125" s="591">
        <f>-'Future Fund  Inc Exp Statement'!K174</f>
        <v>-402.80106000000001</v>
      </c>
      <c r="L125" s="591">
        <f>-'Future Fund  Inc Exp Statement'!L174</f>
        <v>-410.85708120000004</v>
      </c>
      <c r="M125" s="591">
        <f>-'Future Fund  Inc Exp Statement'!M174</f>
        <v>-419.07422282400006</v>
      </c>
      <c r="N125" s="591">
        <f>-'Future Fund  Inc Exp Statement'!N174</f>
        <v>-427.45570728048006</v>
      </c>
      <c r="O125" s="591">
        <f>-'Future Fund  Inc Exp Statement'!O174</f>
        <v>-436.00482142608968</v>
      </c>
      <c r="P125" s="591">
        <f>-'Future Fund  Inc Exp Statement'!P174</f>
        <v>-444.72491785461148</v>
      </c>
    </row>
    <row r="126" spans="1:16" x14ac:dyDescent="0.25">
      <c r="A126" s="642" t="s">
        <v>89</v>
      </c>
      <c r="B126" s="643">
        <f>SUM(B113:B125)</f>
        <v>0</v>
      </c>
      <c r="C126" s="643">
        <f t="shared" ref="C126:P126" si="28">SUM(C113:C125)</f>
        <v>0</v>
      </c>
      <c r="D126" s="643">
        <f t="shared" si="28"/>
        <v>0</v>
      </c>
      <c r="E126" s="643">
        <f t="shared" si="28"/>
        <v>0</v>
      </c>
      <c r="F126" s="643">
        <f t="shared" si="28"/>
        <v>127.87499999999977</v>
      </c>
      <c r="G126" s="643">
        <f t="shared" si="28"/>
        <v>170.46600000000012</v>
      </c>
      <c r="H126" s="643">
        <f t="shared" si="28"/>
        <v>-19.784999999999854</v>
      </c>
      <c r="I126" s="643">
        <f t="shared" si="28"/>
        <v>-63.820999999999799</v>
      </c>
      <c r="J126" s="643">
        <f t="shared" si="28"/>
        <v>-106.1170000000003</v>
      </c>
      <c r="K126" s="643">
        <f t="shared" si="28"/>
        <v>-26.49966000000029</v>
      </c>
      <c r="L126" s="643">
        <f t="shared" si="28"/>
        <v>-12.130666200000292</v>
      </c>
      <c r="M126" s="643">
        <f t="shared" si="28"/>
        <v>3.0941739899996605</v>
      </c>
      <c r="N126" s="643">
        <f t="shared" si="28"/>
        <v>19.213891369379894</v>
      </c>
      <c r="O126" s="643">
        <f t="shared" si="28"/>
        <v>36.26914916470156</v>
      </c>
      <c r="P126" s="643">
        <f t="shared" si="28"/>
        <v>54.302309008387851</v>
      </c>
    </row>
    <row r="127" spans="1:16" x14ac:dyDescent="0.25">
      <c r="B127" s="590"/>
      <c r="C127" s="590"/>
      <c r="D127" s="590"/>
      <c r="E127" s="590"/>
      <c r="F127" s="590"/>
      <c r="G127" s="590"/>
      <c r="H127" s="590"/>
      <c r="I127" s="590"/>
      <c r="J127" s="590"/>
      <c r="K127" s="590"/>
      <c r="L127" s="590"/>
      <c r="M127" s="590"/>
      <c r="N127" s="590"/>
      <c r="O127" s="590"/>
      <c r="P127" s="590"/>
    </row>
    <row r="128" spans="1:16" x14ac:dyDescent="0.25">
      <c r="A128" s="592" t="s">
        <v>90</v>
      </c>
      <c r="B128" s="590"/>
      <c r="C128" s="590"/>
      <c r="D128" s="590"/>
      <c r="E128" s="590"/>
      <c r="F128" s="590"/>
      <c r="G128" s="590"/>
      <c r="H128" s="590"/>
      <c r="I128" s="590"/>
      <c r="J128" s="590"/>
      <c r="K128" s="590"/>
      <c r="L128" s="590"/>
      <c r="M128" s="590"/>
      <c r="N128" s="590"/>
      <c r="O128" s="590"/>
      <c r="P128" s="590"/>
    </row>
    <row r="129" spans="1:16" x14ac:dyDescent="0.25">
      <c r="A129" s="640" t="s">
        <v>83</v>
      </c>
      <c r="B129" s="590"/>
      <c r="C129" s="590"/>
      <c r="D129" s="590"/>
      <c r="E129" s="590"/>
      <c r="F129" s="590"/>
      <c r="G129" s="590"/>
      <c r="H129" s="590"/>
      <c r="I129" s="590"/>
      <c r="J129" s="590"/>
      <c r="K129" s="590"/>
      <c r="L129" s="590"/>
      <c r="M129" s="590"/>
      <c r="N129" s="590"/>
      <c r="O129" s="590"/>
      <c r="P129" s="590"/>
    </row>
    <row r="130" spans="1:16" x14ac:dyDescent="0.25">
      <c r="A130" s="639" t="s">
        <v>431</v>
      </c>
      <c r="B130" s="590"/>
      <c r="C130" s="590">
        <f>C77</f>
        <v>0</v>
      </c>
      <c r="D130" s="594">
        <f>D77</f>
        <v>0</v>
      </c>
      <c r="E130" s="594">
        <f>E77</f>
        <v>0</v>
      </c>
      <c r="F130" s="594">
        <f>'Future Fund  Inc Exp Statement'!F207</f>
        <v>0</v>
      </c>
      <c r="G130" s="594">
        <f>'Future Fund  Inc Exp Statement'!G207</f>
        <v>0</v>
      </c>
      <c r="H130" s="594">
        <f>'Future Fund  Inc Exp Statement'!H207</f>
        <v>0</v>
      </c>
      <c r="I130" s="594">
        <f>'Future Fund  Inc Exp Statement'!I207</f>
        <v>0</v>
      </c>
      <c r="J130" s="594">
        <f>'Future Fund  Inc Exp Statement'!J207</f>
        <v>0</v>
      </c>
      <c r="K130" s="594">
        <f>'Future Fund  Inc Exp Statement'!K207</f>
        <v>0</v>
      </c>
      <c r="L130" s="594">
        <f>'Future Fund  Inc Exp Statement'!L207</f>
        <v>0</v>
      </c>
      <c r="M130" s="594">
        <f>'Future Fund  Inc Exp Statement'!M207</f>
        <v>0</v>
      </c>
      <c r="N130" s="594">
        <f>'Future Fund  Inc Exp Statement'!N207</f>
        <v>0</v>
      </c>
      <c r="O130" s="594">
        <f>'Future Fund  Inc Exp Statement'!O207</f>
        <v>0</v>
      </c>
      <c r="P130" s="594">
        <f>'Future Fund  Inc Exp Statement'!P207</f>
        <v>0</v>
      </c>
    </row>
    <row r="131" spans="1:16" x14ac:dyDescent="0.25">
      <c r="A131" s="594" t="str">
        <f>A78</f>
        <v>Sale of Investment Property</v>
      </c>
      <c r="B131" s="590"/>
      <c r="C131" s="590"/>
      <c r="D131" s="594">
        <f t="shared" ref="D131:P133" si="29">D78</f>
        <v>0</v>
      </c>
      <c r="E131" s="594">
        <f t="shared" si="29"/>
        <v>0</v>
      </c>
      <c r="F131" s="594">
        <f t="shared" si="29"/>
        <v>0</v>
      </c>
      <c r="G131" s="594">
        <f t="shared" si="29"/>
        <v>0</v>
      </c>
      <c r="H131" s="594">
        <f t="shared" si="29"/>
        <v>1500</v>
      </c>
      <c r="I131" s="594">
        <f t="shared" si="29"/>
        <v>0</v>
      </c>
      <c r="J131" s="594">
        <f t="shared" si="29"/>
        <v>0</v>
      </c>
      <c r="K131" s="594">
        <f t="shared" si="29"/>
        <v>0</v>
      </c>
      <c r="L131" s="594">
        <f t="shared" si="29"/>
        <v>0</v>
      </c>
      <c r="M131" s="594">
        <f t="shared" si="29"/>
        <v>0</v>
      </c>
      <c r="N131" s="594">
        <f t="shared" si="29"/>
        <v>0</v>
      </c>
      <c r="O131" s="594">
        <f t="shared" si="29"/>
        <v>0</v>
      </c>
      <c r="P131" s="594">
        <f t="shared" si="29"/>
        <v>0</v>
      </c>
    </row>
    <row r="132" spans="1:16" x14ac:dyDescent="0.25">
      <c r="A132" s="639" t="s">
        <v>91</v>
      </c>
      <c r="B132" s="594"/>
      <c r="C132" s="590">
        <f>C79</f>
        <v>0</v>
      </c>
      <c r="D132" s="594">
        <f t="shared" si="29"/>
        <v>0</v>
      </c>
      <c r="E132" s="594">
        <f t="shared" si="29"/>
        <v>0</v>
      </c>
      <c r="F132" s="594">
        <v>0</v>
      </c>
      <c r="G132" s="594">
        <v>0</v>
      </c>
      <c r="H132" s="594">
        <v>0</v>
      </c>
      <c r="I132" s="594">
        <v>0</v>
      </c>
      <c r="J132" s="594">
        <v>0</v>
      </c>
      <c r="K132" s="594">
        <v>0</v>
      </c>
      <c r="L132" s="594">
        <v>0</v>
      </c>
      <c r="M132" s="594">
        <v>0</v>
      </c>
      <c r="N132" s="594">
        <v>0</v>
      </c>
      <c r="O132" s="594">
        <v>0</v>
      </c>
      <c r="P132" s="594">
        <v>0</v>
      </c>
    </row>
    <row r="133" spans="1:16" x14ac:dyDescent="0.25">
      <c r="A133" s="639" t="s">
        <v>92</v>
      </c>
      <c r="B133" s="594"/>
      <c r="C133" s="590">
        <f>C80</f>
        <v>0</v>
      </c>
      <c r="D133" s="594">
        <f t="shared" si="29"/>
        <v>0</v>
      </c>
      <c r="E133" s="594">
        <f t="shared" si="29"/>
        <v>0</v>
      </c>
      <c r="F133" s="594">
        <f>'Future Fund  Inc Exp Statement'!F209</f>
        <v>0</v>
      </c>
      <c r="G133" s="594">
        <f>'Future Fund  Inc Exp Statement'!G209</f>
        <v>0</v>
      </c>
      <c r="H133" s="594">
        <f>'Future Fund  Inc Exp Statement'!H209-H132-H131</f>
        <v>0</v>
      </c>
      <c r="I133" s="594">
        <f>'Future Fund  Inc Exp Statement'!I209-I132-I131</f>
        <v>0</v>
      </c>
      <c r="J133" s="594">
        <f>'Future Fund  Inc Exp Statement'!J209-J132-J131</f>
        <v>0</v>
      </c>
      <c r="K133" s="594">
        <f>'Future Fund  Inc Exp Statement'!K209-K132-K131</f>
        <v>0</v>
      </c>
      <c r="L133" s="594">
        <f>'Future Fund  Inc Exp Statement'!L209-L132-L131</f>
        <v>0</v>
      </c>
      <c r="M133" s="594">
        <f>'Future Fund  Inc Exp Statement'!M209-M132-M131</f>
        <v>0</v>
      </c>
      <c r="N133" s="594">
        <f>'Future Fund  Inc Exp Statement'!N209-N132-N131</f>
        <v>0</v>
      </c>
      <c r="O133" s="594">
        <f>'Future Fund  Inc Exp Statement'!O209-O132-O131</f>
        <v>0</v>
      </c>
      <c r="P133" s="594">
        <f>'Future Fund  Inc Exp Statement'!P209-P132-P131</f>
        <v>0</v>
      </c>
    </row>
    <row r="134" spans="1:16" x14ac:dyDescent="0.25">
      <c r="B134" s="594"/>
      <c r="C134" s="594"/>
      <c r="D134" s="594"/>
      <c r="E134" s="594"/>
      <c r="F134" s="594"/>
      <c r="G134" s="594"/>
      <c r="H134" s="594"/>
      <c r="I134" s="594"/>
      <c r="J134" s="594"/>
      <c r="K134" s="594"/>
      <c r="L134" s="594"/>
      <c r="M134" s="594"/>
      <c r="N134" s="594"/>
      <c r="O134" s="594"/>
      <c r="P134" s="594"/>
    </row>
    <row r="135" spans="1:16" x14ac:dyDescent="0.25">
      <c r="A135" s="640" t="s">
        <v>87</v>
      </c>
      <c r="B135" s="594"/>
      <c r="C135" s="594"/>
      <c r="D135" s="594"/>
      <c r="E135" s="594"/>
      <c r="F135" s="594"/>
      <c r="G135" s="594"/>
      <c r="H135" s="594"/>
      <c r="I135" s="594"/>
      <c r="J135" s="594"/>
      <c r="K135" s="594"/>
      <c r="L135" s="594"/>
      <c r="M135" s="594"/>
      <c r="N135" s="594"/>
      <c r="O135" s="594"/>
      <c r="P135" s="594"/>
    </row>
    <row r="136" spans="1:16" x14ac:dyDescent="0.25">
      <c r="A136" s="639" t="s">
        <v>93</v>
      </c>
      <c r="B136" s="594"/>
      <c r="C136" s="594">
        <f>C83</f>
        <v>0</v>
      </c>
      <c r="D136" s="594">
        <f>D83</f>
        <v>0</v>
      </c>
      <c r="E136" s="594">
        <f>E83</f>
        <v>0</v>
      </c>
      <c r="F136" s="594">
        <f>-'Future Fund  Inc Exp Statement'!F199</f>
        <v>-127.875</v>
      </c>
      <c r="G136" s="594">
        <f>-'Future Fund  Inc Exp Statement'!G199</f>
        <v>0</v>
      </c>
      <c r="H136" s="594">
        <f>-'Future Fund  Inc Exp Statement'!H199</f>
        <v>-1500</v>
      </c>
      <c r="I136" s="594">
        <f>-'Future Fund  Inc Exp Statement'!I199</f>
        <v>0</v>
      </c>
      <c r="J136" s="594">
        <f>-'Future Fund  Inc Exp Statement'!J199</f>
        <v>0</v>
      </c>
      <c r="K136" s="594">
        <f>-'Future Fund  Inc Exp Statement'!K199</f>
        <v>0</v>
      </c>
      <c r="L136" s="594">
        <f>-'Future Fund  Inc Exp Statement'!L199</f>
        <v>0</v>
      </c>
      <c r="M136" s="594">
        <f>-'Future Fund  Inc Exp Statement'!M199</f>
        <v>0</v>
      </c>
      <c r="N136" s="594">
        <f>-'Future Fund  Inc Exp Statement'!N199</f>
        <v>0</v>
      </c>
      <c r="O136" s="594">
        <f>-'Future Fund  Inc Exp Statement'!O199</f>
        <v>0</v>
      </c>
      <c r="P136" s="594">
        <f>-'Future Fund  Inc Exp Statement'!P199</f>
        <v>0</v>
      </c>
    </row>
    <row r="137" spans="1:16" x14ac:dyDescent="0.25">
      <c r="A137" s="594" t="str">
        <f>A84</f>
        <v>Purchase of Investment Property</v>
      </c>
      <c r="B137" s="594"/>
      <c r="C137" s="594"/>
      <c r="D137" s="594">
        <f>D84</f>
        <v>0</v>
      </c>
      <c r="E137" s="594">
        <f t="shared" ref="E137" si="30">E84</f>
        <v>0</v>
      </c>
      <c r="F137" s="594">
        <f>-'Future Fund  Inc Exp Statement'!F196</f>
        <v>0</v>
      </c>
      <c r="G137" s="594">
        <f>-'Future Fund  Inc Exp Statement'!G196</f>
        <v>0</v>
      </c>
      <c r="H137" s="594">
        <f>-'Future Fund  Inc Exp Statement'!H196</f>
        <v>0</v>
      </c>
      <c r="I137" s="594">
        <f>-'Future Fund  Inc Exp Statement'!I196</f>
        <v>0</v>
      </c>
      <c r="J137" s="594">
        <f>-'Future Fund  Inc Exp Statement'!J196</f>
        <v>0</v>
      </c>
      <c r="K137" s="594">
        <f>-'Future Fund  Inc Exp Statement'!K196</f>
        <v>0</v>
      </c>
      <c r="L137" s="594">
        <f>-'Future Fund  Inc Exp Statement'!L196</f>
        <v>0</v>
      </c>
      <c r="M137" s="594">
        <f>-'Future Fund  Inc Exp Statement'!M196</f>
        <v>0</v>
      </c>
      <c r="N137" s="594">
        <f>-'Future Fund  Inc Exp Statement'!N196</f>
        <v>0</v>
      </c>
      <c r="O137" s="594">
        <f>-'Future Fund  Inc Exp Statement'!O196</f>
        <v>0</v>
      </c>
      <c r="P137" s="594">
        <f>-'Future Fund  Inc Exp Statement'!P196</f>
        <v>0</v>
      </c>
    </row>
    <row r="138" spans="1:16" x14ac:dyDescent="0.25">
      <c r="A138" s="639" t="s">
        <v>94</v>
      </c>
      <c r="B138" s="594"/>
      <c r="C138" s="594">
        <f>C85</f>
        <v>0</v>
      </c>
      <c r="D138" s="594">
        <f>D85</f>
        <v>0</v>
      </c>
      <c r="E138" s="594">
        <f>E85</f>
        <v>0</v>
      </c>
      <c r="F138" s="594">
        <f>-SUM('Future Fund  Inc Exp Statement'!F195:'Future Fund  Inc Exp Statement'!F197)-F137-F139</f>
        <v>-10000</v>
      </c>
      <c r="G138" s="594">
        <f>-SUM('Future Fund  Inc Exp Statement'!G195:'Future Fund  Inc Exp Statement'!G197)-G137-G139</f>
        <v>0</v>
      </c>
      <c r="H138" s="594">
        <f>-SUM('Future Fund  Inc Exp Statement'!H195:'Future Fund  Inc Exp Statement'!H197)-H137-H139</f>
        <v>0</v>
      </c>
      <c r="I138" s="594">
        <f>-SUM('Future Fund  Inc Exp Statement'!I195:'Future Fund  Inc Exp Statement'!I197)-I137-I139</f>
        <v>0</v>
      </c>
      <c r="J138" s="594">
        <f>-SUM('Future Fund  Inc Exp Statement'!J195:'Future Fund  Inc Exp Statement'!J197)-J137-J139</f>
        <v>0</v>
      </c>
      <c r="K138" s="594">
        <f>-SUM('Future Fund  Inc Exp Statement'!K195:'Future Fund  Inc Exp Statement'!K197)-K137-K139</f>
        <v>0</v>
      </c>
      <c r="L138" s="594">
        <f>-SUM('Future Fund  Inc Exp Statement'!L195:'Future Fund  Inc Exp Statement'!L197)-L137-L139</f>
        <v>0</v>
      </c>
      <c r="M138" s="594">
        <f>-SUM('Future Fund  Inc Exp Statement'!M195:'Future Fund  Inc Exp Statement'!M197)-M137-M139</f>
        <v>0</v>
      </c>
      <c r="N138" s="594">
        <f>-SUM('Future Fund  Inc Exp Statement'!N195:'Future Fund  Inc Exp Statement'!N197)-N137-N139</f>
        <v>0</v>
      </c>
      <c r="O138" s="594">
        <f>-SUM('Future Fund  Inc Exp Statement'!O195:'Future Fund  Inc Exp Statement'!O197)-O137-O139</f>
        <v>0</v>
      </c>
      <c r="P138" s="594">
        <f>-SUM('Future Fund  Inc Exp Statement'!P195:'Future Fund  Inc Exp Statement'!P197)-P137-P139</f>
        <v>0</v>
      </c>
    </row>
    <row r="139" spans="1:16" x14ac:dyDescent="0.25">
      <c r="A139" s="641" t="s">
        <v>95</v>
      </c>
      <c r="B139" s="591"/>
      <c r="C139" s="591">
        <f>C86</f>
        <v>0</v>
      </c>
      <c r="D139" s="591">
        <f>D86</f>
        <v>0</v>
      </c>
      <c r="E139" s="591">
        <f>E86</f>
        <v>0</v>
      </c>
      <c r="F139" s="591">
        <f t="shared" ref="F139:P139" si="31">F86</f>
        <v>0</v>
      </c>
      <c r="G139" s="591">
        <f t="shared" si="31"/>
        <v>0</v>
      </c>
      <c r="H139" s="591">
        <f t="shared" si="31"/>
        <v>0</v>
      </c>
      <c r="I139" s="591">
        <f t="shared" si="31"/>
        <v>0</v>
      </c>
      <c r="J139" s="591">
        <f t="shared" si="31"/>
        <v>0</v>
      </c>
      <c r="K139" s="591">
        <f t="shared" si="31"/>
        <v>0</v>
      </c>
      <c r="L139" s="591">
        <f t="shared" si="31"/>
        <v>0</v>
      </c>
      <c r="M139" s="591">
        <f t="shared" si="31"/>
        <v>0</v>
      </c>
      <c r="N139" s="591">
        <f t="shared" si="31"/>
        <v>0</v>
      </c>
      <c r="O139" s="591">
        <f t="shared" si="31"/>
        <v>0</v>
      </c>
      <c r="P139" s="591">
        <f t="shared" si="31"/>
        <v>0</v>
      </c>
    </row>
    <row r="140" spans="1:16" x14ac:dyDescent="0.25">
      <c r="A140" s="642" t="s">
        <v>110</v>
      </c>
      <c r="B140" s="593">
        <f>SUM(B130:B139)</f>
        <v>0</v>
      </c>
      <c r="C140" s="593">
        <f t="shared" ref="C140:P140" si="32">SUM(C130:C139)</f>
        <v>0</v>
      </c>
      <c r="D140" s="593">
        <f t="shared" si="32"/>
        <v>0</v>
      </c>
      <c r="E140" s="593">
        <f t="shared" si="32"/>
        <v>0</v>
      </c>
      <c r="F140" s="593">
        <f t="shared" si="32"/>
        <v>-10127.875</v>
      </c>
      <c r="G140" s="593">
        <f t="shared" si="32"/>
        <v>0</v>
      </c>
      <c r="H140" s="593">
        <f t="shared" si="32"/>
        <v>0</v>
      </c>
      <c r="I140" s="593">
        <f t="shared" si="32"/>
        <v>0</v>
      </c>
      <c r="J140" s="593">
        <f t="shared" si="32"/>
        <v>0</v>
      </c>
      <c r="K140" s="593">
        <f t="shared" si="32"/>
        <v>0</v>
      </c>
      <c r="L140" s="593">
        <f t="shared" si="32"/>
        <v>0</v>
      </c>
      <c r="M140" s="593">
        <f t="shared" si="32"/>
        <v>0</v>
      </c>
      <c r="N140" s="593">
        <f t="shared" si="32"/>
        <v>0</v>
      </c>
      <c r="O140" s="593">
        <f t="shared" si="32"/>
        <v>0</v>
      </c>
      <c r="P140" s="593">
        <f t="shared" si="32"/>
        <v>0</v>
      </c>
    </row>
    <row r="141" spans="1:16" x14ac:dyDescent="0.25">
      <c r="B141" s="594"/>
      <c r="C141" s="594"/>
      <c r="D141" s="594"/>
      <c r="E141" s="594"/>
      <c r="F141" s="594"/>
      <c r="G141" s="594"/>
      <c r="H141" s="594"/>
      <c r="I141" s="594"/>
      <c r="J141" s="594"/>
      <c r="K141" s="594"/>
      <c r="L141" s="594"/>
      <c r="M141" s="594"/>
      <c r="N141" s="594"/>
      <c r="O141" s="594"/>
      <c r="P141" s="594"/>
    </row>
    <row r="142" spans="1:16" x14ac:dyDescent="0.25">
      <c r="A142" s="592" t="s">
        <v>1054</v>
      </c>
      <c r="B142" s="590"/>
      <c r="C142" s="590"/>
      <c r="D142" s="590"/>
      <c r="E142" s="590"/>
      <c r="F142" s="590"/>
      <c r="G142" s="590"/>
      <c r="H142" s="590"/>
      <c r="I142" s="590"/>
      <c r="J142" s="590"/>
      <c r="K142" s="590"/>
      <c r="L142" s="590"/>
      <c r="M142" s="590"/>
      <c r="N142" s="590"/>
      <c r="O142" s="590"/>
      <c r="P142" s="590"/>
    </row>
    <row r="143" spans="1:16" x14ac:dyDescent="0.25">
      <c r="A143" s="640" t="s">
        <v>83</v>
      </c>
      <c r="B143" s="590"/>
      <c r="C143" s="590"/>
      <c r="D143" s="590"/>
      <c r="E143" s="590"/>
      <c r="F143" s="590"/>
      <c r="G143" s="590"/>
      <c r="H143" s="590"/>
      <c r="I143" s="590"/>
      <c r="J143" s="590"/>
      <c r="K143" s="590"/>
      <c r="L143" s="590"/>
      <c r="M143" s="590"/>
      <c r="N143" s="590"/>
      <c r="O143" s="590"/>
      <c r="P143" s="590"/>
    </row>
    <row r="144" spans="1:16" x14ac:dyDescent="0.25">
      <c r="A144" s="639" t="s">
        <v>1055</v>
      </c>
      <c r="B144" s="594"/>
      <c r="C144" s="594"/>
      <c r="D144" s="594">
        <f>D38</f>
        <v>0</v>
      </c>
      <c r="E144" s="594">
        <f t="shared" ref="E144" si="33">E38</f>
        <v>0</v>
      </c>
      <c r="F144" s="594">
        <f>'Future Fund  Inc Exp Statement'!F208</f>
        <v>10000</v>
      </c>
      <c r="G144" s="594">
        <f>'Future Fund  Inc Exp Statement'!G208</f>
        <v>0</v>
      </c>
      <c r="H144" s="594">
        <f>'Future Fund  Inc Exp Statement'!H208</f>
        <v>0</v>
      </c>
      <c r="I144" s="594">
        <f>'Future Fund  Inc Exp Statement'!I208</f>
        <v>0</v>
      </c>
      <c r="J144" s="594">
        <f>'Future Fund  Inc Exp Statement'!J208</f>
        <v>0</v>
      </c>
      <c r="K144" s="594">
        <f>'Future Fund  Inc Exp Statement'!K208</f>
        <v>0</v>
      </c>
      <c r="L144" s="594">
        <f>'Future Fund  Inc Exp Statement'!L208</f>
        <v>0</v>
      </c>
      <c r="M144" s="594">
        <f>'Future Fund  Inc Exp Statement'!M208</f>
        <v>0</v>
      </c>
      <c r="N144" s="594">
        <f>'Future Fund  Inc Exp Statement'!N208</f>
        <v>0</v>
      </c>
      <c r="O144" s="594">
        <f>'Future Fund  Inc Exp Statement'!O208</f>
        <v>0</v>
      </c>
      <c r="P144" s="594">
        <f>'Future Fund  Inc Exp Statement'!P208</f>
        <v>0</v>
      </c>
    </row>
    <row r="145" spans="1:16" ht="5.25" customHeight="1" x14ac:dyDescent="0.25">
      <c r="B145" s="594"/>
      <c r="C145" s="594"/>
      <c r="D145" s="594"/>
      <c r="E145" s="594"/>
      <c r="F145" s="594"/>
      <c r="G145" s="594"/>
      <c r="H145" s="594"/>
      <c r="I145" s="594"/>
      <c r="J145" s="594"/>
      <c r="K145" s="594"/>
      <c r="L145" s="594"/>
      <c r="M145" s="594"/>
      <c r="N145" s="594"/>
      <c r="O145" s="594"/>
      <c r="P145" s="594"/>
    </row>
    <row r="146" spans="1:16" x14ac:dyDescent="0.25">
      <c r="A146" s="640" t="s">
        <v>87</v>
      </c>
      <c r="B146" s="594"/>
      <c r="C146" s="594"/>
      <c r="D146" s="594"/>
      <c r="E146" s="594"/>
      <c r="F146" s="594"/>
      <c r="G146" s="594"/>
      <c r="H146" s="594"/>
      <c r="I146" s="594"/>
      <c r="J146" s="594"/>
      <c r="K146" s="594"/>
      <c r="L146" s="594"/>
      <c r="M146" s="594"/>
      <c r="N146" s="594"/>
      <c r="O146" s="594"/>
      <c r="P146" s="594"/>
    </row>
    <row r="147" spans="1:16" x14ac:dyDescent="0.25">
      <c r="A147" s="639" t="s">
        <v>1056</v>
      </c>
      <c r="B147" s="594"/>
      <c r="C147" s="594"/>
      <c r="D147" s="594">
        <f>D41</f>
        <v>0</v>
      </c>
      <c r="E147" s="594">
        <f t="shared" ref="E147" si="34">E41</f>
        <v>0</v>
      </c>
      <c r="F147" s="594">
        <f>-'Future Fund  Inc Exp Statement'!F198</f>
        <v>0</v>
      </c>
      <c r="G147" s="594">
        <f>-'Future Fund  Inc Exp Statement'!G198</f>
        <v>0</v>
      </c>
      <c r="H147" s="594">
        <f>-'Future Fund  Inc Exp Statement'!H198</f>
        <v>0</v>
      </c>
      <c r="I147" s="594">
        <f>-'Future Fund  Inc Exp Statement'!I198</f>
        <v>0</v>
      </c>
      <c r="J147" s="594">
        <f>-'Future Fund  Inc Exp Statement'!J198</f>
        <v>0</v>
      </c>
      <c r="K147" s="594">
        <f>-'Future Fund  Inc Exp Statement'!K198</f>
        <v>0</v>
      </c>
      <c r="L147" s="594">
        <f>-'Future Fund  Inc Exp Statement'!L198</f>
        <v>0</v>
      </c>
      <c r="M147" s="594">
        <f>-'Future Fund  Inc Exp Statement'!M198</f>
        <v>0</v>
      </c>
      <c r="N147" s="594">
        <f>-'Future Fund  Inc Exp Statement'!N198</f>
        <v>0</v>
      </c>
      <c r="O147" s="594">
        <f>-'Future Fund  Inc Exp Statement'!O198</f>
        <v>0</v>
      </c>
      <c r="P147" s="594">
        <f>-'Future Fund  Inc Exp Statement'!P198</f>
        <v>0</v>
      </c>
    </row>
    <row r="148" spans="1:16" s="644" customFormat="1" x14ac:dyDescent="0.25">
      <c r="A148" s="770" t="s">
        <v>110</v>
      </c>
      <c r="B148" s="772">
        <f t="shared" ref="B148:P148" si="35">SUM(B144:B147)</f>
        <v>0</v>
      </c>
      <c r="C148" s="772">
        <f t="shared" si="35"/>
        <v>0</v>
      </c>
      <c r="D148" s="772">
        <f t="shared" si="35"/>
        <v>0</v>
      </c>
      <c r="E148" s="772">
        <f t="shared" si="35"/>
        <v>0</v>
      </c>
      <c r="F148" s="772">
        <f t="shared" si="35"/>
        <v>10000</v>
      </c>
      <c r="G148" s="772">
        <f t="shared" si="35"/>
        <v>0</v>
      </c>
      <c r="H148" s="772">
        <f t="shared" si="35"/>
        <v>0</v>
      </c>
      <c r="I148" s="772">
        <f t="shared" si="35"/>
        <v>0</v>
      </c>
      <c r="J148" s="772">
        <f t="shared" si="35"/>
        <v>0</v>
      </c>
      <c r="K148" s="772">
        <f t="shared" si="35"/>
        <v>0</v>
      </c>
      <c r="L148" s="772">
        <f t="shared" si="35"/>
        <v>0</v>
      </c>
      <c r="M148" s="772">
        <f t="shared" si="35"/>
        <v>0</v>
      </c>
      <c r="N148" s="772">
        <f t="shared" si="35"/>
        <v>0</v>
      </c>
      <c r="O148" s="772">
        <f t="shared" si="35"/>
        <v>0</v>
      </c>
      <c r="P148" s="772">
        <f t="shared" si="35"/>
        <v>0</v>
      </c>
    </row>
    <row r="149" spans="1:16" s="644" customFormat="1" ht="6.75" customHeight="1" x14ac:dyDescent="0.25">
      <c r="A149" s="642"/>
      <c r="B149" s="593"/>
      <c r="C149" s="593"/>
      <c r="D149" s="593"/>
      <c r="E149" s="593"/>
      <c r="F149" s="593"/>
      <c r="G149" s="593"/>
      <c r="H149" s="593"/>
      <c r="I149" s="593"/>
      <c r="J149" s="593"/>
      <c r="K149" s="593"/>
      <c r="L149" s="593"/>
      <c r="M149" s="593"/>
      <c r="N149" s="593"/>
      <c r="O149" s="593"/>
      <c r="P149" s="593"/>
    </row>
    <row r="150" spans="1:16" x14ac:dyDescent="0.25">
      <c r="A150" s="592" t="s">
        <v>321</v>
      </c>
      <c r="B150" s="594">
        <f>+B126+B140</f>
        <v>0</v>
      </c>
      <c r="C150" s="594">
        <f>+C126+C140</f>
        <v>0</v>
      </c>
      <c r="D150" s="594">
        <f>+D126+D140+D148</f>
        <v>0</v>
      </c>
      <c r="E150" s="594">
        <f t="shared" ref="E150:P150" si="36">+E126+E140+E148</f>
        <v>0</v>
      </c>
      <c r="F150" s="594">
        <f t="shared" si="36"/>
        <v>0</v>
      </c>
      <c r="G150" s="594">
        <f t="shared" si="36"/>
        <v>170.46600000000012</v>
      </c>
      <c r="H150" s="594">
        <f t="shared" si="36"/>
        <v>-19.784999999999854</v>
      </c>
      <c r="I150" s="594">
        <f t="shared" si="36"/>
        <v>-63.820999999999799</v>
      </c>
      <c r="J150" s="594">
        <f t="shared" si="36"/>
        <v>-106.1170000000003</v>
      </c>
      <c r="K150" s="594">
        <f t="shared" si="36"/>
        <v>-26.49966000000029</v>
      </c>
      <c r="L150" s="594">
        <f t="shared" si="36"/>
        <v>-12.130666200000292</v>
      </c>
      <c r="M150" s="594">
        <f t="shared" si="36"/>
        <v>3.0941739899996605</v>
      </c>
      <c r="N150" s="594">
        <f t="shared" si="36"/>
        <v>19.213891369379894</v>
      </c>
      <c r="O150" s="594">
        <f t="shared" si="36"/>
        <v>36.26914916470156</v>
      </c>
      <c r="P150" s="594">
        <f t="shared" si="36"/>
        <v>54.302309008387851</v>
      </c>
    </row>
    <row r="151" spans="1:16" ht="4.5" customHeight="1" x14ac:dyDescent="0.25">
      <c r="A151" s="644"/>
      <c r="B151" s="594"/>
      <c r="C151" s="594"/>
      <c r="D151" s="594"/>
      <c r="E151" s="594"/>
      <c r="F151" s="594"/>
      <c r="G151" s="594"/>
      <c r="H151" s="594"/>
      <c r="I151" s="594"/>
      <c r="J151" s="594"/>
      <c r="K151" s="594"/>
      <c r="L151" s="594"/>
      <c r="M151" s="594"/>
      <c r="N151" s="594"/>
      <c r="O151" s="594"/>
      <c r="P151" s="594"/>
    </row>
    <row r="152" spans="1:16" x14ac:dyDescent="0.25">
      <c r="A152" s="592" t="s">
        <v>96</v>
      </c>
      <c r="B152" s="594"/>
      <c r="C152" s="594">
        <f>+B154</f>
        <v>0</v>
      </c>
      <c r="D152" s="594">
        <f t="shared" ref="D152" si="37">D99</f>
        <v>0</v>
      </c>
      <c r="E152" s="594">
        <f t="shared" ref="E152:P152" si="38">+D154</f>
        <v>0</v>
      </c>
      <c r="F152" s="594">
        <f t="shared" si="38"/>
        <v>0</v>
      </c>
      <c r="G152" s="594">
        <f t="shared" si="38"/>
        <v>0</v>
      </c>
      <c r="H152" s="594">
        <f t="shared" si="38"/>
        <v>170.46600000000012</v>
      </c>
      <c r="I152" s="594">
        <f t="shared" si="38"/>
        <v>150.68100000000027</v>
      </c>
      <c r="J152" s="594">
        <f t="shared" si="38"/>
        <v>86.860000000000468</v>
      </c>
      <c r="K152" s="594">
        <f t="shared" si="38"/>
        <v>-19.256999999999834</v>
      </c>
      <c r="L152" s="594">
        <f t="shared" si="38"/>
        <v>-45.756660000000124</v>
      </c>
      <c r="M152" s="594">
        <f t="shared" si="38"/>
        <v>-57.887326200000416</v>
      </c>
      <c r="N152" s="594">
        <f t="shared" si="38"/>
        <v>-54.793152210000756</v>
      </c>
      <c r="O152" s="594">
        <f t="shared" si="38"/>
        <v>-35.579260840620861</v>
      </c>
      <c r="P152" s="594">
        <f t="shared" si="38"/>
        <v>0.68988832408069811</v>
      </c>
    </row>
    <row r="153" spans="1:16" ht="6" customHeight="1" x14ac:dyDescent="0.25">
      <c r="B153" s="594"/>
      <c r="C153" s="594"/>
      <c r="D153" s="594"/>
      <c r="E153" s="594"/>
      <c r="F153" s="594"/>
      <c r="G153" s="594"/>
      <c r="H153" s="594"/>
      <c r="I153" s="594"/>
      <c r="J153" s="594"/>
      <c r="K153" s="594"/>
      <c r="L153" s="594"/>
      <c r="M153" s="594"/>
      <c r="N153" s="594"/>
      <c r="O153" s="594"/>
      <c r="P153" s="594"/>
    </row>
    <row r="154" spans="1:16" ht="12.6" thickBot="1" x14ac:dyDescent="0.3">
      <c r="A154" s="592" t="s">
        <v>97</v>
      </c>
      <c r="B154" s="645">
        <f>+B150+B152</f>
        <v>0</v>
      </c>
      <c r="C154" s="645">
        <f t="shared" ref="C154:P154" si="39">+C150+C152</f>
        <v>0</v>
      </c>
      <c r="D154" s="645">
        <f t="shared" si="39"/>
        <v>0</v>
      </c>
      <c r="E154" s="645">
        <f t="shared" si="39"/>
        <v>0</v>
      </c>
      <c r="F154" s="645">
        <f t="shared" si="39"/>
        <v>0</v>
      </c>
      <c r="G154" s="645">
        <f t="shared" si="39"/>
        <v>170.46600000000012</v>
      </c>
      <c r="H154" s="645">
        <f t="shared" si="39"/>
        <v>150.68100000000027</v>
      </c>
      <c r="I154" s="645">
        <f t="shared" si="39"/>
        <v>86.860000000000468</v>
      </c>
      <c r="J154" s="645">
        <f t="shared" si="39"/>
        <v>-19.256999999999834</v>
      </c>
      <c r="K154" s="651">
        <f t="shared" si="39"/>
        <v>-45.756660000000124</v>
      </c>
      <c r="L154" s="645">
        <f t="shared" si="39"/>
        <v>-57.887326200000416</v>
      </c>
      <c r="M154" s="645">
        <f t="shared" si="39"/>
        <v>-54.793152210000756</v>
      </c>
      <c r="N154" s="645">
        <f t="shared" si="39"/>
        <v>-35.579260840620861</v>
      </c>
      <c r="O154" s="645">
        <f t="shared" si="39"/>
        <v>0.68988832408069811</v>
      </c>
      <c r="P154" s="645">
        <f t="shared" si="39"/>
        <v>54.99219733246855</v>
      </c>
    </row>
    <row r="155" spans="1:16" ht="3.75" customHeight="1" x14ac:dyDescent="0.25"/>
    <row r="156" spans="1:16" x14ac:dyDescent="0.25">
      <c r="A156" s="639" t="s">
        <v>98</v>
      </c>
      <c r="B156" s="590"/>
      <c r="C156" s="590">
        <f>B156-C136-C130</f>
        <v>0</v>
      </c>
      <c r="D156" s="590">
        <f>D103</f>
        <v>0</v>
      </c>
      <c r="E156" s="590">
        <f>'Future Fund  Bal Sheet'!E100+'Future Fund  Bal Sheet'!E107</f>
        <v>3</v>
      </c>
      <c r="F156" s="590">
        <f t="shared" ref="F156:P156" si="40">E156-F136-F130</f>
        <v>130.875</v>
      </c>
      <c r="G156" s="590">
        <f t="shared" si="40"/>
        <v>130.875</v>
      </c>
      <c r="H156" s="590">
        <f t="shared" si="40"/>
        <v>1630.875</v>
      </c>
      <c r="I156" s="590">
        <f t="shared" si="40"/>
        <v>1630.875</v>
      </c>
      <c r="J156" s="590">
        <f t="shared" si="40"/>
        <v>1630.875</v>
      </c>
      <c r="K156" s="590">
        <f t="shared" si="40"/>
        <v>1630.875</v>
      </c>
      <c r="L156" s="590">
        <f t="shared" si="40"/>
        <v>1630.875</v>
      </c>
      <c r="M156" s="590">
        <f t="shared" si="40"/>
        <v>1630.875</v>
      </c>
      <c r="N156" s="590">
        <f t="shared" si="40"/>
        <v>1630.875</v>
      </c>
      <c r="O156" s="590">
        <f t="shared" si="40"/>
        <v>1630.875</v>
      </c>
      <c r="P156" s="590">
        <f t="shared" si="40"/>
        <v>1630.875</v>
      </c>
    </row>
    <row r="157" spans="1:16" ht="5.25" customHeight="1" x14ac:dyDescent="0.25">
      <c r="B157" s="590"/>
      <c r="C157" s="590"/>
      <c r="D157" s="590"/>
      <c r="E157" s="590"/>
      <c r="F157" s="590"/>
      <c r="G157" s="590"/>
      <c r="H157" s="590"/>
      <c r="I157" s="590"/>
      <c r="J157" s="590"/>
      <c r="K157" s="590"/>
      <c r="L157" s="590"/>
      <c r="M157" s="590"/>
      <c r="N157" s="590"/>
      <c r="O157" s="590"/>
      <c r="P157" s="590"/>
    </row>
    <row r="158" spans="1:16" ht="12.6" thickBot="1" x14ac:dyDescent="0.3">
      <c r="A158" s="592" t="s">
        <v>99</v>
      </c>
      <c r="B158" s="646">
        <f>+B154+B156</f>
        <v>0</v>
      </c>
      <c r="C158" s="646">
        <f t="shared" ref="C158:P158" si="41">+C154+C156</f>
        <v>0</v>
      </c>
      <c r="D158" s="646">
        <f t="shared" si="41"/>
        <v>0</v>
      </c>
      <c r="E158" s="646">
        <f t="shared" si="41"/>
        <v>3</v>
      </c>
      <c r="F158" s="646">
        <f t="shared" si="41"/>
        <v>130.875</v>
      </c>
      <c r="G158" s="646">
        <f t="shared" si="41"/>
        <v>301.34100000000012</v>
      </c>
      <c r="H158" s="646">
        <f t="shared" si="41"/>
        <v>1781.5560000000003</v>
      </c>
      <c r="I158" s="646">
        <f t="shared" si="41"/>
        <v>1717.7350000000006</v>
      </c>
      <c r="J158" s="646">
        <f t="shared" si="41"/>
        <v>1611.6180000000002</v>
      </c>
      <c r="K158" s="646">
        <f t="shared" si="41"/>
        <v>1585.11834</v>
      </c>
      <c r="L158" s="646">
        <f t="shared" si="41"/>
        <v>1572.9876737999996</v>
      </c>
      <c r="M158" s="646">
        <f t="shared" si="41"/>
        <v>1576.0818477899993</v>
      </c>
      <c r="N158" s="646">
        <f t="shared" si="41"/>
        <v>1595.2957391593791</v>
      </c>
      <c r="O158" s="646">
        <f t="shared" si="41"/>
        <v>1631.5648883240806</v>
      </c>
      <c r="P158" s="646">
        <f t="shared" si="41"/>
        <v>1685.8671973324685</v>
      </c>
    </row>
    <row r="159" spans="1:16" ht="12.6" thickTop="1" x14ac:dyDescent="0.25"/>
  </sheetData>
  <pageMargins left="0.70866141732283472" right="0.70866141732283472" top="0.74803149606299213" bottom="0.74803149606299213" header="0.31496062992125984" footer="0.31496062992125984"/>
  <pageSetup paperSize="9" scale="88" fitToHeight="0" orientation="landscape" r:id="rId1"/>
  <rowBreaks count="2" manualBreakCount="2">
    <brk id="53" max="16383" man="1"/>
    <brk id="10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R137"/>
  <sheetViews>
    <sheetView workbookViewId="0">
      <pane xSplit="3" ySplit="3" topLeftCell="F79" activePane="bottomRight" state="frozen"/>
      <selection pane="topRight" activeCell="D1" sqref="D1"/>
      <selection pane="bottomLeft" activeCell="A3" sqref="A3"/>
      <selection pane="bottomRight" activeCell="A90" sqref="A90:XFD91"/>
    </sheetView>
  </sheetViews>
  <sheetFormatPr defaultColWidth="9.109375" defaultRowHeight="10.199999999999999" outlineLevelRow="1" outlineLevelCol="1" x14ac:dyDescent="0.2"/>
  <cols>
    <col min="1" max="1" width="31" style="653" customWidth="1"/>
    <col min="2" max="3" width="13.109375" style="653" hidden="1" customWidth="1" outlineLevel="1"/>
    <col min="4" max="4" width="13.109375" style="653" hidden="1" customWidth="1" outlineLevel="1" collapsed="1"/>
    <col min="5" max="5" width="9.88671875" style="653" hidden="1" customWidth="1" outlineLevel="1" collapsed="1"/>
    <col min="6" max="6" width="9.88671875" style="653" bestFit="1" customWidth="1" collapsed="1"/>
    <col min="7" max="16" width="9.88671875" style="653" bestFit="1" customWidth="1"/>
    <col min="17" max="16384" width="9.109375" style="653"/>
  </cols>
  <sheetData>
    <row r="1" spans="1:16" ht="12.75" x14ac:dyDescent="0.2">
      <c r="A1" s="1091" t="s">
        <v>1364</v>
      </c>
    </row>
    <row r="2" spans="1:16" s="660" customFormat="1" ht="12" x14ac:dyDescent="0.2">
      <c r="A2" s="652" t="s">
        <v>1071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16" ht="11.25" x14ac:dyDescent="0.2">
      <c r="A3" s="652" t="s">
        <v>72</v>
      </c>
      <c r="B3" s="741" t="s">
        <v>68</v>
      </c>
      <c r="C3" s="694" t="s">
        <v>0</v>
      </c>
      <c r="D3" s="694" t="s">
        <v>1</v>
      </c>
      <c r="E3" s="694" t="s">
        <v>2</v>
      </c>
      <c r="F3" s="694" t="s">
        <v>3</v>
      </c>
      <c r="G3" s="694" t="s">
        <v>4</v>
      </c>
      <c r="H3" s="694" t="s">
        <v>5</v>
      </c>
      <c r="I3" s="694" t="s">
        <v>6</v>
      </c>
      <c r="J3" s="694" t="s">
        <v>7</v>
      </c>
      <c r="K3" s="694" t="s">
        <v>8</v>
      </c>
      <c r="L3" s="694" t="s">
        <v>9</v>
      </c>
      <c r="M3" s="694" t="s">
        <v>514</v>
      </c>
      <c r="N3" s="694" t="s">
        <v>515</v>
      </c>
      <c r="O3" s="694" t="s">
        <v>904</v>
      </c>
      <c r="P3" s="694" t="s">
        <v>1046</v>
      </c>
    </row>
    <row r="4" spans="1:16" s="664" customFormat="1" ht="11.25" x14ac:dyDescent="0.2">
      <c r="A4" s="661"/>
      <c r="B4" s="662"/>
      <c r="C4" s="662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</row>
    <row r="5" spans="1:16" ht="11.25" x14ac:dyDescent="0.2">
      <c r="A5" s="654" t="s">
        <v>35</v>
      </c>
      <c r="B5" s="608"/>
      <c r="C5" s="608"/>
      <c r="D5" s="608"/>
      <c r="E5" s="608"/>
      <c r="F5" s="608"/>
      <c r="G5" s="608"/>
      <c r="H5" s="608"/>
      <c r="I5" s="608"/>
      <c r="J5" s="608"/>
      <c r="K5" s="608"/>
      <c r="L5" s="608"/>
      <c r="M5" s="608"/>
      <c r="N5" s="608"/>
      <c r="O5" s="608"/>
      <c r="P5" s="608"/>
    </row>
    <row r="6" spans="1:16" ht="11.25" x14ac:dyDescent="0.2">
      <c r="A6" s="654" t="s">
        <v>36</v>
      </c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</row>
    <row r="7" spans="1:16" ht="11.25" x14ac:dyDescent="0.2">
      <c r="A7" s="653" t="s">
        <v>37</v>
      </c>
      <c r="B7" s="608"/>
      <c r="C7" s="608"/>
      <c r="D7" s="608"/>
      <c r="E7" s="608"/>
      <c r="F7" s="608">
        <f>+'Future Fund  Cash Flow'!F48</f>
        <v>0</v>
      </c>
      <c r="G7" s="608">
        <f>+'Future Fund  Cash Flow'!G48</f>
        <v>170.46600000000012</v>
      </c>
      <c r="H7" s="608">
        <f>+'Future Fund  Cash Flow'!H48</f>
        <v>336.13800000000015</v>
      </c>
      <c r="I7" s="608">
        <f>+'Future Fund  Cash Flow'!I48</f>
        <v>446.24400000000003</v>
      </c>
      <c r="J7" s="608">
        <f>+'Future Fund  Cash Flow'!J48</f>
        <v>501.60720000000015</v>
      </c>
      <c r="K7" s="608">
        <f>+'Future Fund  Cash Flow'!K48</f>
        <v>600.65191200000061</v>
      </c>
      <c r="L7" s="608">
        <f>+'Future Fund  Cash Flow'!L48</f>
        <v>722.38158876000102</v>
      </c>
      <c r="M7" s="608">
        <f>+'Future Fund  Cash Flow'!M48</f>
        <v>868.0505994300006</v>
      </c>
      <c r="N7" s="608">
        <f>+'Future Fund  Cash Flow'!N48</f>
        <v>1038.9696025482131</v>
      </c>
      <c r="O7" s="608">
        <f>+'Future Fund  Cash Flow'!O48</f>
        <v>1236.5078951653645</v>
      </c>
      <c r="P7" s="608">
        <f>+'Future Fund  Cash Flow'!P48</f>
        <v>1462.0958571426386</v>
      </c>
    </row>
    <row r="8" spans="1:16" ht="11.25" x14ac:dyDescent="0.2">
      <c r="A8" s="653" t="s">
        <v>38</v>
      </c>
      <c r="B8" s="608"/>
      <c r="C8" s="608"/>
      <c r="D8" s="608"/>
      <c r="E8" s="608"/>
      <c r="F8" s="608">
        <f>+'Future Fund  Cash Flow'!F50-F15</f>
        <v>127.875</v>
      </c>
      <c r="G8" s="608">
        <f>+'Future Fund  Cash Flow'!G50-G15</f>
        <v>127.875</v>
      </c>
      <c r="H8" s="608">
        <f>+'Future Fund  Cash Flow'!H50-H15</f>
        <v>127.875</v>
      </c>
      <c r="I8" s="608">
        <f>+'Future Fund  Cash Flow'!I50-I15</f>
        <v>127.875</v>
      </c>
      <c r="J8" s="608">
        <f>+'Future Fund  Cash Flow'!J50-J15</f>
        <v>127.875</v>
      </c>
      <c r="K8" s="608">
        <f>+'Future Fund  Cash Flow'!K50-K15</f>
        <v>127.875</v>
      </c>
      <c r="L8" s="608">
        <f>+'Future Fund  Cash Flow'!L50-L15</f>
        <v>127.875</v>
      </c>
      <c r="M8" s="608">
        <f>+'Future Fund  Cash Flow'!M50-M15</f>
        <v>127.875</v>
      </c>
      <c r="N8" s="608">
        <f>+'Future Fund  Cash Flow'!N50-N15</f>
        <v>127.875</v>
      </c>
      <c r="O8" s="608">
        <f>+'Future Fund  Cash Flow'!O50-O15</f>
        <v>127.875</v>
      </c>
      <c r="P8" s="608">
        <f>+'Future Fund  Cash Flow'!P50-P15</f>
        <v>127.875</v>
      </c>
    </row>
    <row r="9" spans="1:16" ht="11.25" x14ac:dyDescent="0.2">
      <c r="A9" s="653" t="s">
        <v>39</v>
      </c>
      <c r="B9" s="608"/>
      <c r="C9" s="608"/>
      <c r="D9" s="608"/>
      <c r="E9" s="608"/>
      <c r="F9" s="608">
        <f t="shared" ref="F9:F11" si="0">+E9</f>
        <v>0</v>
      </c>
      <c r="G9" s="608">
        <f t="shared" ref="G9:G11" si="1">+F9</f>
        <v>0</v>
      </c>
      <c r="H9" s="608">
        <f t="shared" ref="H9:H11" si="2">+G9</f>
        <v>0</v>
      </c>
      <c r="I9" s="608">
        <f t="shared" ref="I9:I11" si="3">+H9</f>
        <v>0</v>
      </c>
      <c r="J9" s="608">
        <f t="shared" ref="J9:J11" si="4">+I9</f>
        <v>0</v>
      </c>
      <c r="K9" s="608">
        <f t="shared" ref="K9:K11" si="5">+J9</f>
        <v>0</v>
      </c>
      <c r="L9" s="608">
        <f t="shared" ref="L9:L11" si="6">+K9</f>
        <v>0</v>
      </c>
      <c r="M9" s="608">
        <f t="shared" ref="M9:M11" si="7">+L9</f>
        <v>0</v>
      </c>
      <c r="N9" s="608">
        <f t="shared" ref="N9:N11" si="8">+M9</f>
        <v>0</v>
      </c>
      <c r="O9" s="608">
        <f t="shared" ref="O9:O11" si="9">+N9</f>
        <v>0</v>
      </c>
      <c r="P9" s="608">
        <f t="shared" ref="P9:P11" si="10">+O9</f>
        <v>0</v>
      </c>
    </row>
    <row r="10" spans="1:16" ht="11.25" x14ac:dyDescent="0.2">
      <c r="A10" s="653" t="s">
        <v>40</v>
      </c>
      <c r="B10" s="608"/>
      <c r="C10" s="608"/>
      <c r="D10" s="608"/>
      <c r="E10" s="608">
        <v>1947</v>
      </c>
      <c r="F10" s="608">
        <f t="shared" si="0"/>
        <v>1947</v>
      </c>
      <c r="G10" s="608">
        <f t="shared" si="1"/>
        <v>1947</v>
      </c>
      <c r="H10" s="608">
        <f t="shared" si="2"/>
        <v>1947</v>
      </c>
      <c r="I10" s="608">
        <f t="shared" si="3"/>
        <v>1947</v>
      </c>
      <c r="J10" s="608">
        <f t="shared" si="4"/>
        <v>1947</v>
      </c>
      <c r="K10" s="608">
        <f t="shared" si="5"/>
        <v>1947</v>
      </c>
      <c r="L10" s="608">
        <f t="shared" si="6"/>
        <v>1947</v>
      </c>
      <c r="M10" s="608">
        <f t="shared" si="7"/>
        <v>1947</v>
      </c>
      <c r="N10" s="608">
        <f t="shared" si="8"/>
        <v>1947</v>
      </c>
      <c r="O10" s="608">
        <f t="shared" si="9"/>
        <v>1947</v>
      </c>
      <c r="P10" s="608">
        <f t="shared" si="10"/>
        <v>1947</v>
      </c>
    </row>
    <row r="11" spans="1:16" ht="11.25" x14ac:dyDescent="0.2">
      <c r="A11" s="655" t="s">
        <v>41</v>
      </c>
      <c r="B11" s="615"/>
      <c r="C11" s="608"/>
      <c r="D11" s="608"/>
      <c r="E11" s="608"/>
      <c r="F11" s="608">
        <f t="shared" si="0"/>
        <v>0</v>
      </c>
      <c r="G11" s="608">
        <f t="shared" si="1"/>
        <v>0</v>
      </c>
      <c r="H11" s="608">
        <f t="shared" si="2"/>
        <v>0</v>
      </c>
      <c r="I11" s="608">
        <f t="shared" si="3"/>
        <v>0</v>
      </c>
      <c r="J11" s="608">
        <f t="shared" si="4"/>
        <v>0</v>
      </c>
      <c r="K11" s="608">
        <f t="shared" si="5"/>
        <v>0</v>
      </c>
      <c r="L11" s="608">
        <f t="shared" si="6"/>
        <v>0</v>
      </c>
      <c r="M11" s="608">
        <f t="shared" si="7"/>
        <v>0</v>
      </c>
      <c r="N11" s="608">
        <f t="shared" si="8"/>
        <v>0</v>
      </c>
      <c r="O11" s="608">
        <f t="shared" si="9"/>
        <v>0</v>
      </c>
      <c r="P11" s="608">
        <f t="shared" si="10"/>
        <v>0</v>
      </c>
    </row>
    <row r="12" spans="1:16" s="657" customFormat="1" ht="11.25" x14ac:dyDescent="0.2">
      <c r="A12" s="654" t="s">
        <v>42</v>
      </c>
      <c r="B12" s="656">
        <f>SUM(B7:B11)</f>
        <v>0</v>
      </c>
      <c r="C12" s="656">
        <f t="shared" ref="C12:F12" si="11">SUM(C7:C11)</f>
        <v>0</v>
      </c>
      <c r="D12" s="656">
        <f t="shared" si="11"/>
        <v>0</v>
      </c>
      <c r="E12" s="656">
        <f t="shared" si="11"/>
        <v>1947</v>
      </c>
      <c r="F12" s="656">
        <f t="shared" si="11"/>
        <v>2074.875</v>
      </c>
      <c r="G12" s="656">
        <f t="shared" ref="G12:P12" si="12">SUM(G7:G11)</f>
        <v>2245.3410000000003</v>
      </c>
      <c r="H12" s="656">
        <f t="shared" si="12"/>
        <v>2411.0129999999999</v>
      </c>
      <c r="I12" s="656">
        <f t="shared" si="12"/>
        <v>2521.1190000000001</v>
      </c>
      <c r="J12" s="656">
        <f t="shared" si="12"/>
        <v>2576.4822000000004</v>
      </c>
      <c r="K12" s="656">
        <f t="shared" si="12"/>
        <v>2675.5269120000007</v>
      </c>
      <c r="L12" s="656">
        <f t="shared" si="12"/>
        <v>2797.2565887600013</v>
      </c>
      <c r="M12" s="656">
        <f t="shared" si="12"/>
        <v>2942.9255994300006</v>
      </c>
      <c r="N12" s="656">
        <f t="shared" si="12"/>
        <v>3113.8446025482131</v>
      </c>
      <c r="O12" s="656">
        <f t="shared" si="12"/>
        <v>3311.3828951653645</v>
      </c>
      <c r="P12" s="656">
        <f t="shared" si="12"/>
        <v>3536.9708571426386</v>
      </c>
    </row>
    <row r="13" spans="1:16" ht="11.25" x14ac:dyDescent="0.2">
      <c r="B13" s="608"/>
      <c r="C13" s="608"/>
      <c r="D13" s="608"/>
      <c r="E13" s="608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</row>
    <row r="14" spans="1:16" ht="11.25" x14ac:dyDescent="0.2">
      <c r="A14" s="654" t="s">
        <v>43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</row>
    <row r="15" spans="1:16" ht="11.25" x14ac:dyDescent="0.2">
      <c r="A15" s="763" t="s">
        <v>38</v>
      </c>
      <c r="B15" s="608"/>
      <c r="C15" s="608"/>
      <c r="D15" s="608"/>
      <c r="E15" s="608">
        <v>3</v>
      </c>
      <c r="F15" s="608">
        <f>E15</f>
        <v>3</v>
      </c>
      <c r="G15" s="608">
        <f t="shared" ref="G15:P15" si="13">F15</f>
        <v>3</v>
      </c>
      <c r="H15" s="608">
        <f t="shared" si="13"/>
        <v>3</v>
      </c>
      <c r="I15" s="608">
        <f t="shared" si="13"/>
        <v>3</v>
      </c>
      <c r="J15" s="608">
        <f t="shared" si="13"/>
        <v>3</v>
      </c>
      <c r="K15" s="608">
        <f t="shared" si="13"/>
        <v>3</v>
      </c>
      <c r="L15" s="608">
        <f t="shared" si="13"/>
        <v>3</v>
      </c>
      <c r="M15" s="608">
        <f t="shared" si="13"/>
        <v>3</v>
      </c>
      <c r="N15" s="608">
        <f t="shared" si="13"/>
        <v>3</v>
      </c>
      <c r="O15" s="608">
        <f t="shared" si="13"/>
        <v>3</v>
      </c>
      <c r="P15" s="608">
        <f t="shared" si="13"/>
        <v>3</v>
      </c>
    </row>
    <row r="16" spans="1:16" ht="11.25" x14ac:dyDescent="0.2">
      <c r="A16" s="760" t="s">
        <v>44</v>
      </c>
      <c r="B16" s="608"/>
      <c r="C16" s="608"/>
      <c r="D16" s="608"/>
      <c r="E16" s="608">
        <v>10350</v>
      </c>
      <c r="F16" s="608">
        <f>+E16-'Future Fund  Inc Exp Statement'!F27+SUM('Future Fund  Inc Exp Statement'!F51:F53)-'Future Fund  Inc Exp Statement'!F52+'Future Fund  Cash Flow'!F25-'Future Fund  Inc Exp Statement'!F65</f>
        <v>10350</v>
      </c>
      <c r="G16" s="608">
        <f>+F16-'Future Fund  Inc Exp Statement'!G27+SUM('Future Fund  Inc Exp Statement'!G51:G53)-'Future Fund  Inc Exp Statement'!G52+'Future Fund  Cash Flow'!G25-'Future Fund  Inc Exp Statement'!G65</f>
        <v>10080.313</v>
      </c>
      <c r="H16" s="608">
        <f>+G16-'Future Fund  Inc Exp Statement'!H27+SUM('Future Fund  Inc Exp Statement'!H51:H53)-'Future Fund  Inc Exp Statement'!H52+'Future Fund  Cash Flow'!H25-'Future Fund  Inc Exp Statement'!H65</f>
        <v>9804.3179999999993</v>
      </c>
      <c r="I16" s="608">
        <f>+H16-'Future Fund  Inc Exp Statement'!I27+SUM('Future Fund  Inc Exp Statement'!I51:I53)-'Future Fund  Inc Exp Statement'!I52+'Future Fund  Cash Flow'!I25-'Future Fund  Inc Exp Statement'!I65</f>
        <v>9523.6629999999986</v>
      </c>
      <c r="J16" s="608">
        <f>+I16-'Future Fund  Inc Exp Statement'!J27+SUM('Future Fund  Inc Exp Statement'!J51:J53)-'Future Fund  Inc Exp Statement'!J52+'Future Fund  Cash Flow'!J25-'Future Fund  Inc Exp Statement'!J65</f>
        <v>9234.5939999999991</v>
      </c>
      <c r="K16" s="608">
        <f>+J16-'Future Fund  Inc Exp Statement'!K27+SUM('Future Fund  Inc Exp Statement'!K51:K53)-'Future Fund  Inc Exp Statement'!K52+'Future Fund  Cash Flow'!K25-'Future Fund  Inc Exp Statement'!K65</f>
        <v>8938.2982749999992</v>
      </c>
      <c r="L16" s="608">
        <f>+K16-'Future Fund  Inc Exp Statement'!L27+SUM('Future Fund  Inc Exp Statement'!L51:L53)-'Future Fund  Inc Exp Statement'!L52+'Future Fund  Cash Flow'!L25-'Future Fund  Inc Exp Statement'!L65</f>
        <v>8634.5951568749988</v>
      </c>
      <c r="M16" s="608">
        <f>+L16-'Future Fund  Inc Exp Statement'!M27+SUM('Future Fund  Inc Exp Statement'!M51:M53)-'Future Fund  Inc Exp Statement'!M52+'Future Fund  Cash Flow'!M25-'Future Fund  Inc Exp Statement'!M65</f>
        <v>8323.299460796874</v>
      </c>
      <c r="N16" s="608">
        <f>+M16-'Future Fund  Inc Exp Statement'!N27+SUM('Future Fund  Inc Exp Statement'!N51:N53)-'Future Fund  Inc Exp Statement'!N52+'Future Fund  Cash Flow'!N25-'Future Fund  Inc Exp Statement'!N65</f>
        <v>8004.2213723167961</v>
      </c>
      <c r="O16" s="608">
        <f>+N16-'Future Fund  Inc Exp Statement'!O27+SUM('Future Fund  Inc Exp Statement'!O51:O53)-'Future Fund  Inc Exp Statement'!O52+'Future Fund  Cash Flow'!O25-'Future Fund  Inc Exp Statement'!O65</f>
        <v>7677.1663316247159</v>
      </c>
      <c r="P16" s="608">
        <f>+O16-'Future Fund  Inc Exp Statement'!P27+SUM('Future Fund  Inc Exp Statement'!P51:P53)-'Future Fund  Inc Exp Statement'!P52+'Future Fund  Cash Flow'!P25-'Future Fund  Inc Exp Statement'!P65</f>
        <v>7341.934914915334</v>
      </c>
    </row>
    <row r="17" spans="1:16" ht="11.25" x14ac:dyDescent="0.2">
      <c r="A17" s="760" t="s">
        <v>1050</v>
      </c>
      <c r="B17" s="608"/>
      <c r="C17" s="608"/>
      <c r="D17" s="608"/>
      <c r="E17" s="608"/>
      <c r="F17" s="608">
        <f>E17</f>
        <v>0</v>
      </c>
      <c r="G17" s="608">
        <f t="shared" ref="G17:P17" si="14">F17</f>
        <v>0</v>
      </c>
      <c r="H17" s="608">
        <f t="shared" si="14"/>
        <v>0</v>
      </c>
      <c r="I17" s="608">
        <f t="shared" si="14"/>
        <v>0</v>
      </c>
      <c r="J17" s="608">
        <f t="shared" si="14"/>
        <v>0</v>
      </c>
      <c r="K17" s="608">
        <f t="shared" si="14"/>
        <v>0</v>
      </c>
      <c r="L17" s="608">
        <f t="shared" si="14"/>
        <v>0</v>
      </c>
      <c r="M17" s="608">
        <f t="shared" si="14"/>
        <v>0</v>
      </c>
      <c r="N17" s="608">
        <f t="shared" si="14"/>
        <v>0</v>
      </c>
      <c r="O17" s="608">
        <f t="shared" si="14"/>
        <v>0</v>
      </c>
      <c r="P17" s="608">
        <f t="shared" si="14"/>
        <v>0</v>
      </c>
    </row>
    <row r="18" spans="1:16" s="760" customFormat="1" ht="11.25" x14ac:dyDescent="0.2">
      <c r="A18" s="760" t="s">
        <v>939</v>
      </c>
      <c r="B18" s="608"/>
      <c r="C18" s="608"/>
      <c r="D18" s="608"/>
      <c r="E18" s="608">
        <v>20675</v>
      </c>
      <c r="F18" s="608">
        <f>E18+'Future Fund  Inc Exp Statement'!F52-'Future Fund  Cash Flow'!F25</f>
        <v>30675</v>
      </c>
      <c r="G18" s="608">
        <f>F18+'Future Fund  Inc Exp Statement'!G52-'Future Fund  Cash Flow'!G25</f>
        <v>30675</v>
      </c>
      <c r="H18" s="608">
        <f>G18+'Future Fund  Inc Exp Statement'!H52-'Future Fund  Cash Flow'!H25</f>
        <v>30675</v>
      </c>
      <c r="I18" s="608">
        <f>H18+'Future Fund  Inc Exp Statement'!I52-'Future Fund  Cash Flow'!I25</f>
        <v>30675</v>
      </c>
      <c r="J18" s="608">
        <f>I18+'Future Fund  Inc Exp Statement'!J52-'Future Fund  Cash Flow'!J25</f>
        <v>30675</v>
      </c>
      <c r="K18" s="608">
        <f>J18+'Future Fund  Inc Exp Statement'!K52-'Future Fund  Cash Flow'!K25</f>
        <v>30675</v>
      </c>
      <c r="L18" s="608">
        <f>K18+'Future Fund  Inc Exp Statement'!L52-'Future Fund  Cash Flow'!L25</f>
        <v>30675</v>
      </c>
      <c r="M18" s="608">
        <f>L18+'Future Fund  Inc Exp Statement'!M52-'Future Fund  Cash Flow'!M25</f>
        <v>30675</v>
      </c>
      <c r="N18" s="608">
        <f>M18+'Future Fund  Inc Exp Statement'!N52-'Future Fund  Cash Flow'!N25</f>
        <v>30675</v>
      </c>
      <c r="O18" s="608">
        <f>N18+'Future Fund  Inc Exp Statement'!O52-'Future Fund  Cash Flow'!O25</f>
        <v>30675</v>
      </c>
      <c r="P18" s="608">
        <f>O18+'Future Fund  Inc Exp Statement'!P52-'Future Fund  Cash Flow'!P25</f>
        <v>30675</v>
      </c>
    </row>
    <row r="19" spans="1:16" s="657" customFormat="1" ht="11.25" x14ac:dyDescent="0.2">
      <c r="A19" s="761" t="s">
        <v>45</v>
      </c>
      <c r="B19" s="762">
        <f>SUM(B16)</f>
        <v>0</v>
      </c>
      <c r="C19" s="762">
        <f t="shared" ref="C19" si="15">SUM(C16)</f>
        <v>0</v>
      </c>
      <c r="D19" s="762">
        <f>SUM(D14:D18)</f>
        <v>0</v>
      </c>
      <c r="E19" s="762">
        <f t="shared" ref="E19:P19" si="16">SUM(E14:E18)</f>
        <v>31028</v>
      </c>
      <c r="F19" s="762">
        <f t="shared" si="16"/>
        <v>41028</v>
      </c>
      <c r="G19" s="762">
        <f t="shared" si="16"/>
        <v>40758.313000000002</v>
      </c>
      <c r="H19" s="762">
        <f t="shared" si="16"/>
        <v>40482.317999999999</v>
      </c>
      <c r="I19" s="762">
        <f t="shared" si="16"/>
        <v>40201.663</v>
      </c>
      <c r="J19" s="762">
        <f t="shared" si="16"/>
        <v>39912.593999999997</v>
      </c>
      <c r="K19" s="762">
        <f t="shared" si="16"/>
        <v>39616.298275000001</v>
      </c>
      <c r="L19" s="762">
        <f t="shared" si="16"/>
        <v>39312.595156875002</v>
      </c>
      <c r="M19" s="762">
        <f t="shared" si="16"/>
        <v>39001.299460796872</v>
      </c>
      <c r="N19" s="762">
        <f t="shared" si="16"/>
        <v>38682.221372316795</v>
      </c>
      <c r="O19" s="762">
        <f t="shared" si="16"/>
        <v>38355.166331624714</v>
      </c>
      <c r="P19" s="762">
        <f t="shared" si="16"/>
        <v>38019.934914915335</v>
      </c>
    </row>
    <row r="20" spans="1:16" ht="9" customHeight="1" x14ac:dyDescent="0.2">
      <c r="B20" s="608"/>
      <c r="C20" s="608"/>
      <c r="D20" s="608"/>
      <c r="E20" s="608"/>
      <c r="F20" s="608"/>
      <c r="G20" s="608"/>
      <c r="H20" s="608"/>
      <c r="I20" s="608"/>
      <c r="J20" s="608"/>
      <c r="K20" s="608"/>
      <c r="L20" s="608"/>
      <c r="M20" s="608"/>
      <c r="N20" s="608"/>
      <c r="O20" s="608"/>
      <c r="P20" s="608"/>
    </row>
    <row r="21" spans="1:16" s="657" customFormat="1" ht="12" thickBot="1" x14ac:dyDescent="0.25">
      <c r="A21" s="654" t="s">
        <v>46</v>
      </c>
      <c r="B21" s="665">
        <f>+B12+B19</f>
        <v>0</v>
      </c>
      <c r="C21" s="665">
        <f t="shared" ref="C21:P21" si="17">+C12+C19</f>
        <v>0</v>
      </c>
      <c r="D21" s="665">
        <f t="shared" si="17"/>
        <v>0</v>
      </c>
      <c r="E21" s="665">
        <f t="shared" si="17"/>
        <v>32975</v>
      </c>
      <c r="F21" s="665">
        <f t="shared" si="17"/>
        <v>43102.875</v>
      </c>
      <c r="G21" s="665">
        <f t="shared" si="17"/>
        <v>43003.654000000002</v>
      </c>
      <c r="H21" s="665">
        <f t="shared" si="17"/>
        <v>42893.330999999998</v>
      </c>
      <c r="I21" s="665">
        <f t="shared" si="17"/>
        <v>42722.781999999999</v>
      </c>
      <c r="J21" s="665">
        <f t="shared" si="17"/>
        <v>42489.076199999996</v>
      </c>
      <c r="K21" s="665">
        <f t="shared" si="17"/>
        <v>42291.825187000002</v>
      </c>
      <c r="L21" s="665">
        <f t="shared" si="17"/>
        <v>42109.851745635002</v>
      </c>
      <c r="M21" s="665">
        <f t="shared" si="17"/>
        <v>41944.225060226876</v>
      </c>
      <c r="N21" s="665">
        <f t="shared" si="17"/>
        <v>41796.065974865007</v>
      </c>
      <c r="O21" s="665">
        <f t="shared" si="17"/>
        <v>41666.549226790077</v>
      </c>
      <c r="P21" s="665">
        <f t="shared" si="17"/>
        <v>41556.905772057973</v>
      </c>
    </row>
    <row r="22" spans="1:16" ht="11.25" x14ac:dyDescent="0.2">
      <c r="B22" s="608"/>
      <c r="C22" s="608"/>
      <c r="D22" s="608"/>
      <c r="E22" s="608"/>
      <c r="F22" s="608"/>
      <c r="G22" s="608"/>
      <c r="H22" s="608"/>
      <c r="I22" s="608"/>
      <c r="J22" s="608"/>
      <c r="K22" s="608"/>
      <c r="L22" s="608"/>
      <c r="M22" s="608"/>
      <c r="N22" s="608"/>
      <c r="O22" s="608"/>
      <c r="P22" s="608"/>
    </row>
    <row r="23" spans="1:16" ht="11.25" x14ac:dyDescent="0.2">
      <c r="A23" s="654" t="s">
        <v>47</v>
      </c>
      <c r="B23" s="608"/>
      <c r="C23" s="608"/>
      <c r="D23" s="608"/>
      <c r="E23" s="608"/>
      <c r="F23" s="608"/>
      <c r="G23" s="608"/>
      <c r="H23" s="608"/>
      <c r="I23" s="608"/>
      <c r="J23" s="608"/>
      <c r="K23" s="608"/>
      <c r="L23" s="608"/>
      <c r="M23" s="608"/>
      <c r="N23" s="608"/>
      <c r="O23" s="608"/>
      <c r="P23" s="608"/>
    </row>
    <row r="24" spans="1:16" ht="11.25" x14ac:dyDescent="0.2">
      <c r="A24" s="654" t="s">
        <v>48</v>
      </c>
      <c r="B24" s="608"/>
      <c r="C24" s="608"/>
      <c r="D24" s="608"/>
      <c r="E24" s="608"/>
      <c r="F24" s="608"/>
      <c r="G24" s="608"/>
      <c r="H24" s="608"/>
      <c r="I24" s="608"/>
      <c r="J24" s="608"/>
      <c r="K24" s="608"/>
      <c r="L24" s="608"/>
      <c r="M24" s="608"/>
      <c r="N24" s="608"/>
      <c r="O24" s="608"/>
      <c r="P24" s="608"/>
    </row>
    <row r="25" spans="1:16" ht="11.25" x14ac:dyDescent="0.2">
      <c r="A25" s="666" t="s">
        <v>49</v>
      </c>
      <c r="B25" s="608"/>
      <c r="C25" s="608"/>
      <c r="D25" s="608"/>
      <c r="E25" s="608"/>
      <c r="F25" s="608">
        <f t="shared" ref="F25:P27" si="18">+E25</f>
        <v>0</v>
      </c>
      <c r="G25" s="608">
        <f t="shared" si="18"/>
        <v>0</v>
      </c>
      <c r="H25" s="608">
        <f t="shared" si="18"/>
        <v>0</v>
      </c>
      <c r="I25" s="608">
        <f t="shared" si="18"/>
        <v>0</v>
      </c>
      <c r="J25" s="608">
        <f t="shared" si="18"/>
        <v>0</v>
      </c>
      <c r="K25" s="608">
        <f t="shared" si="18"/>
        <v>0</v>
      </c>
      <c r="L25" s="608">
        <f t="shared" si="18"/>
        <v>0</v>
      </c>
      <c r="M25" s="608">
        <f t="shared" si="18"/>
        <v>0</v>
      </c>
      <c r="N25" s="608">
        <f t="shared" si="18"/>
        <v>0</v>
      </c>
      <c r="O25" s="608">
        <f t="shared" si="18"/>
        <v>0</v>
      </c>
      <c r="P25" s="608">
        <f t="shared" si="18"/>
        <v>0</v>
      </c>
    </row>
    <row r="26" spans="1:16" ht="11.25" x14ac:dyDescent="0.2">
      <c r="A26" s="666" t="s">
        <v>1051</v>
      </c>
      <c r="B26" s="608"/>
      <c r="C26" s="608"/>
      <c r="D26" s="608"/>
      <c r="E26" s="608"/>
      <c r="F26" s="608">
        <f>'Future Fund  Inc Exp Statement'!G54</f>
        <v>0</v>
      </c>
      <c r="G26" s="608">
        <f>'Future Fund  Inc Exp Statement'!H54</f>
        <v>0</v>
      </c>
      <c r="H26" s="608">
        <f>'Future Fund  Inc Exp Statement'!I54</f>
        <v>0</v>
      </c>
      <c r="I26" s="608">
        <f>'Future Fund  Inc Exp Statement'!J54</f>
        <v>0</v>
      </c>
      <c r="J26" s="608">
        <f>'Future Fund  Inc Exp Statement'!K54</f>
        <v>0</v>
      </c>
      <c r="K26" s="608">
        <f>'Future Fund  Inc Exp Statement'!L54</f>
        <v>0</v>
      </c>
      <c r="L26" s="608">
        <f>'Future Fund  Inc Exp Statement'!M54</f>
        <v>0</v>
      </c>
      <c r="M26" s="608">
        <f>'Future Fund  Inc Exp Statement'!N54</f>
        <v>0</v>
      </c>
      <c r="N26" s="608">
        <f>'Future Fund  Inc Exp Statement'!O54</f>
        <v>0</v>
      </c>
      <c r="O26" s="608">
        <f>'Future Fund  Inc Exp Statement'!P54</f>
        <v>0</v>
      </c>
      <c r="P26" s="608">
        <v>0</v>
      </c>
    </row>
    <row r="27" spans="1:16" ht="11.25" x14ac:dyDescent="0.2">
      <c r="A27" s="667" t="s">
        <v>50</v>
      </c>
      <c r="B27" s="615"/>
      <c r="C27" s="608"/>
      <c r="D27" s="608"/>
      <c r="E27" s="608"/>
      <c r="F27" s="608">
        <f t="shared" si="18"/>
        <v>0</v>
      </c>
      <c r="G27" s="608">
        <f t="shared" si="18"/>
        <v>0</v>
      </c>
      <c r="H27" s="608">
        <f t="shared" si="18"/>
        <v>0</v>
      </c>
      <c r="I27" s="608">
        <f t="shared" si="18"/>
        <v>0</v>
      </c>
      <c r="J27" s="608">
        <f t="shared" si="18"/>
        <v>0</v>
      </c>
      <c r="K27" s="608">
        <f t="shared" si="18"/>
        <v>0</v>
      </c>
      <c r="L27" s="608">
        <f t="shared" si="18"/>
        <v>0</v>
      </c>
      <c r="M27" s="608">
        <f t="shared" si="18"/>
        <v>0</v>
      </c>
      <c r="N27" s="608">
        <f t="shared" si="18"/>
        <v>0</v>
      </c>
      <c r="O27" s="608">
        <f t="shared" si="18"/>
        <v>0</v>
      </c>
      <c r="P27" s="608">
        <f t="shared" si="18"/>
        <v>0</v>
      </c>
    </row>
    <row r="28" spans="1:16" s="657" customFormat="1" ht="11.25" x14ac:dyDescent="0.2">
      <c r="A28" s="654" t="s">
        <v>51</v>
      </c>
      <c r="B28" s="656">
        <f>SUM(B25:B27)</f>
        <v>0</v>
      </c>
      <c r="C28" s="656">
        <f t="shared" ref="C28:P28" si="19">SUM(C25:C27)</f>
        <v>0</v>
      </c>
      <c r="D28" s="656">
        <f t="shared" si="19"/>
        <v>0</v>
      </c>
      <c r="E28" s="656">
        <f t="shared" si="19"/>
        <v>0</v>
      </c>
      <c r="F28" s="656">
        <f t="shared" si="19"/>
        <v>0</v>
      </c>
      <c r="G28" s="656">
        <f t="shared" si="19"/>
        <v>0</v>
      </c>
      <c r="H28" s="656">
        <f t="shared" si="19"/>
        <v>0</v>
      </c>
      <c r="I28" s="656">
        <f t="shared" si="19"/>
        <v>0</v>
      </c>
      <c r="J28" s="656">
        <f t="shared" si="19"/>
        <v>0</v>
      </c>
      <c r="K28" s="656">
        <f t="shared" si="19"/>
        <v>0</v>
      </c>
      <c r="L28" s="656">
        <f t="shared" si="19"/>
        <v>0</v>
      </c>
      <c r="M28" s="656">
        <f t="shared" si="19"/>
        <v>0</v>
      </c>
      <c r="N28" s="656">
        <f t="shared" si="19"/>
        <v>0</v>
      </c>
      <c r="O28" s="656">
        <f t="shared" si="19"/>
        <v>0</v>
      </c>
      <c r="P28" s="656">
        <f t="shared" si="19"/>
        <v>0</v>
      </c>
    </row>
    <row r="29" spans="1:16" ht="11.25" x14ac:dyDescent="0.2">
      <c r="B29" s="608"/>
      <c r="C29" s="608"/>
      <c r="D29" s="608"/>
      <c r="E29" s="608"/>
      <c r="F29" s="608"/>
      <c r="G29" s="608"/>
      <c r="H29" s="608"/>
      <c r="I29" s="608"/>
      <c r="J29" s="608"/>
      <c r="K29" s="608"/>
      <c r="L29" s="608"/>
      <c r="M29" s="608"/>
      <c r="N29" s="608"/>
      <c r="O29" s="608"/>
      <c r="P29" s="608"/>
    </row>
    <row r="30" spans="1:16" ht="11.25" x14ac:dyDescent="0.2">
      <c r="A30" s="654" t="s">
        <v>52</v>
      </c>
      <c r="B30" s="608"/>
      <c r="C30" s="608"/>
      <c r="D30" s="608"/>
      <c r="E30" s="608"/>
      <c r="F30" s="608"/>
      <c r="G30" s="608"/>
      <c r="H30" s="608"/>
      <c r="I30" s="608"/>
      <c r="J30" s="608"/>
      <c r="K30" s="608"/>
      <c r="L30" s="608"/>
      <c r="M30" s="608"/>
      <c r="N30" s="608"/>
      <c r="O30" s="608"/>
      <c r="P30" s="608"/>
    </row>
    <row r="31" spans="1:16" ht="11.25" x14ac:dyDescent="0.2">
      <c r="A31" s="653" t="s">
        <v>49</v>
      </c>
      <c r="B31" s="608"/>
      <c r="C31" s="608"/>
      <c r="D31" s="608"/>
      <c r="E31" s="608"/>
      <c r="F31" s="608">
        <f t="shared" ref="F31:P33" si="20">+E31</f>
        <v>0</v>
      </c>
      <c r="G31" s="608">
        <f t="shared" si="20"/>
        <v>0</v>
      </c>
      <c r="H31" s="608">
        <f t="shared" si="20"/>
        <v>0</v>
      </c>
      <c r="I31" s="608">
        <f t="shared" si="20"/>
        <v>0</v>
      </c>
      <c r="J31" s="608">
        <f t="shared" si="20"/>
        <v>0</v>
      </c>
      <c r="K31" s="608">
        <f t="shared" si="20"/>
        <v>0</v>
      </c>
      <c r="L31" s="608">
        <f t="shared" si="20"/>
        <v>0</v>
      </c>
      <c r="M31" s="608">
        <f t="shared" si="20"/>
        <v>0</v>
      </c>
      <c r="N31" s="608">
        <f t="shared" si="20"/>
        <v>0</v>
      </c>
      <c r="O31" s="608">
        <f t="shared" si="20"/>
        <v>0</v>
      </c>
      <c r="P31" s="608">
        <f t="shared" si="20"/>
        <v>0</v>
      </c>
    </row>
    <row r="32" spans="1:16" ht="11.25" x14ac:dyDescent="0.2">
      <c r="A32" s="653" t="s">
        <v>1051</v>
      </c>
      <c r="B32" s="608"/>
      <c r="C32" s="608"/>
      <c r="D32" s="608"/>
      <c r="E32" s="608">
        <v>20056</v>
      </c>
      <c r="F32" s="608">
        <f>E26+E32+'Future Fund  Cash Flow'!F38+'Future Fund  Cash Flow'!F41-'Future Fund  Bal Sheet'!F26</f>
        <v>30056</v>
      </c>
      <c r="G32" s="608">
        <f>F26+F32+'Future Fund  Cash Flow'!G38+'Future Fund  Cash Flow'!G41-'Future Fund  Bal Sheet'!G26</f>
        <v>30056</v>
      </c>
      <c r="H32" s="608">
        <f>G26+G32+'Future Fund  Cash Flow'!H38+'Future Fund  Cash Flow'!H41-'Future Fund  Bal Sheet'!H26</f>
        <v>30056</v>
      </c>
      <c r="I32" s="608">
        <f>H26+H32+'Future Fund  Cash Flow'!I38+'Future Fund  Cash Flow'!I41-'Future Fund  Bal Sheet'!I26</f>
        <v>30056</v>
      </c>
      <c r="J32" s="608">
        <f>I26+I32+'Future Fund  Cash Flow'!J38+'Future Fund  Cash Flow'!J41-'Future Fund  Bal Sheet'!J26</f>
        <v>30056</v>
      </c>
      <c r="K32" s="608">
        <f>J26+J32+'Future Fund  Cash Flow'!K38+'Future Fund  Cash Flow'!K41-'Future Fund  Bal Sheet'!K26</f>
        <v>30056</v>
      </c>
      <c r="L32" s="608">
        <f>K26+K32+'Future Fund  Cash Flow'!L38+'Future Fund  Cash Flow'!L41-'Future Fund  Bal Sheet'!L26</f>
        <v>30056</v>
      </c>
      <c r="M32" s="608">
        <f>L26+L32+'Future Fund  Cash Flow'!M38+'Future Fund  Cash Flow'!M41-'Future Fund  Bal Sheet'!M26</f>
        <v>30056</v>
      </c>
      <c r="N32" s="608">
        <f>M26+M32+'Future Fund  Cash Flow'!N38+'Future Fund  Cash Flow'!N41-'Future Fund  Bal Sheet'!N26</f>
        <v>30056</v>
      </c>
      <c r="O32" s="608">
        <f>N26+N32+'Future Fund  Cash Flow'!O38+'Future Fund  Cash Flow'!O41-'Future Fund  Bal Sheet'!O26</f>
        <v>30056</v>
      </c>
      <c r="P32" s="608">
        <f>O26+O32+'Future Fund  Cash Flow'!P38+'Future Fund  Cash Flow'!P41-'Future Fund  Bal Sheet'!P26</f>
        <v>30056</v>
      </c>
    </row>
    <row r="33" spans="1:16" ht="11.25" x14ac:dyDescent="0.2">
      <c r="A33" s="655" t="s">
        <v>50</v>
      </c>
      <c r="B33" s="615"/>
      <c r="C33" s="608"/>
      <c r="D33" s="608"/>
      <c r="E33" s="608"/>
      <c r="F33" s="608">
        <f t="shared" si="20"/>
        <v>0</v>
      </c>
      <c r="G33" s="608">
        <f t="shared" si="20"/>
        <v>0</v>
      </c>
      <c r="H33" s="608">
        <f t="shared" si="20"/>
        <v>0</v>
      </c>
      <c r="I33" s="608">
        <f t="shared" si="20"/>
        <v>0</v>
      </c>
      <c r="J33" s="608">
        <f t="shared" si="20"/>
        <v>0</v>
      </c>
      <c r="K33" s="608">
        <f t="shared" si="20"/>
        <v>0</v>
      </c>
      <c r="L33" s="608">
        <f t="shared" si="20"/>
        <v>0</v>
      </c>
      <c r="M33" s="608">
        <f t="shared" si="20"/>
        <v>0</v>
      </c>
      <c r="N33" s="608">
        <f t="shared" si="20"/>
        <v>0</v>
      </c>
      <c r="O33" s="608">
        <f t="shared" si="20"/>
        <v>0</v>
      </c>
      <c r="P33" s="608">
        <f t="shared" si="20"/>
        <v>0</v>
      </c>
    </row>
    <row r="34" spans="1:16" s="657" customFormat="1" ht="11.25" x14ac:dyDescent="0.2">
      <c r="A34" s="654" t="s">
        <v>53</v>
      </c>
      <c r="B34" s="656">
        <f>SUM(B31:B33)</f>
        <v>0</v>
      </c>
      <c r="C34" s="656">
        <f t="shared" ref="C34:P34" si="21">SUM(C31:C33)</f>
        <v>0</v>
      </c>
      <c r="D34" s="656">
        <f t="shared" si="21"/>
        <v>0</v>
      </c>
      <c r="E34" s="656">
        <f t="shared" si="21"/>
        <v>20056</v>
      </c>
      <c r="F34" s="656">
        <f t="shared" si="21"/>
        <v>30056</v>
      </c>
      <c r="G34" s="656">
        <f t="shared" si="21"/>
        <v>30056</v>
      </c>
      <c r="H34" s="656">
        <f t="shared" si="21"/>
        <v>30056</v>
      </c>
      <c r="I34" s="656">
        <f t="shared" si="21"/>
        <v>30056</v>
      </c>
      <c r="J34" s="656">
        <f t="shared" si="21"/>
        <v>30056</v>
      </c>
      <c r="K34" s="656">
        <f t="shared" si="21"/>
        <v>30056</v>
      </c>
      <c r="L34" s="656">
        <f t="shared" si="21"/>
        <v>30056</v>
      </c>
      <c r="M34" s="656">
        <f t="shared" si="21"/>
        <v>30056</v>
      </c>
      <c r="N34" s="656">
        <f t="shared" si="21"/>
        <v>30056</v>
      </c>
      <c r="O34" s="656">
        <f t="shared" si="21"/>
        <v>30056</v>
      </c>
      <c r="P34" s="656">
        <f t="shared" si="21"/>
        <v>30056</v>
      </c>
    </row>
    <row r="35" spans="1:16" ht="9" customHeight="1" x14ac:dyDescent="0.2">
      <c r="B35" s="608"/>
      <c r="C35" s="608"/>
      <c r="D35" s="608"/>
      <c r="E35" s="608"/>
      <c r="F35" s="608"/>
      <c r="G35" s="608"/>
      <c r="H35" s="608"/>
      <c r="I35" s="608"/>
      <c r="J35" s="608"/>
      <c r="K35" s="608"/>
      <c r="L35" s="608"/>
      <c r="M35" s="608"/>
      <c r="N35" s="608"/>
      <c r="O35" s="608"/>
      <c r="P35" s="608"/>
    </row>
    <row r="36" spans="1:16" s="657" customFormat="1" ht="12" thickBot="1" x14ac:dyDescent="0.25">
      <c r="A36" s="654" t="s">
        <v>54</v>
      </c>
      <c r="B36" s="665">
        <f>+B28+B34</f>
        <v>0</v>
      </c>
      <c r="C36" s="665">
        <f t="shared" ref="C36:P36" si="22">+C28+C34</f>
        <v>0</v>
      </c>
      <c r="D36" s="665">
        <f t="shared" si="22"/>
        <v>0</v>
      </c>
      <c r="E36" s="665">
        <f t="shared" si="22"/>
        <v>20056</v>
      </c>
      <c r="F36" s="665">
        <f t="shared" si="22"/>
        <v>30056</v>
      </c>
      <c r="G36" s="665">
        <f t="shared" si="22"/>
        <v>30056</v>
      </c>
      <c r="H36" s="665">
        <f t="shared" si="22"/>
        <v>30056</v>
      </c>
      <c r="I36" s="665">
        <f t="shared" si="22"/>
        <v>30056</v>
      </c>
      <c r="J36" s="665">
        <f t="shared" si="22"/>
        <v>30056</v>
      </c>
      <c r="K36" s="665">
        <f t="shared" si="22"/>
        <v>30056</v>
      </c>
      <c r="L36" s="665">
        <f t="shared" si="22"/>
        <v>30056</v>
      </c>
      <c r="M36" s="665">
        <f t="shared" si="22"/>
        <v>30056</v>
      </c>
      <c r="N36" s="665">
        <f t="shared" si="22"/>
        <v>30056</v>
      </c>
      <c r="O36" s="665">
        <f t="shared" si="22"/>
        <v>30056</v>
      </c>
      <c r="P36" s="665">
        <f t="shared" si="22"/>
        <v>30056</v>
      </c>
    </row>
    <row r="37" spans="1:16" s="657" customFormat="1" ht="12" thickBot="1" x14ac:dyDescent="0.25">
      <c r="A37" s="654" t="s">
        <v>55</v>
      </c>
      <c r="B37" s="668">
        <f>+B21-B36</f>
        <v>0</v>
      </c>
      <c r="C37" s="668">
        <f t="shared" ref="C37:P37" si="23">+C21-C36</f>
        <v>0</v>
      </c>
      <c r="D37" s="668">
        <f t="shared" si="23"/>
        <v>0</v>
      </c>
      <c r="E37" s="668">
        <f t="shared" si="23"/>
        <v>12919</v>
      </c>
      <c r="F37" s="668">
        <f t="shared" si="23"/>
        <v>13046.875</v>
      </c>
      <c r="G37" s="668">
        <f t="shared" si="23"/>
        <v>12947.654000000002</v>
      </c>
      <c r="H37" s="668">
        <f t="shared" si="23"/>
        <v>12837.330999999998</v>
      </c>
      <c r="I37" s="668">
        <f t="shared" si="23"/>
        <v>12666.781999999999</v>
      </c>
      <c r="J37" s="668">
        <f t="shared" si="23"/>
        <v>12433.076199999996</v>
      </c>
      <c r="K37" s="668">
        <f t="shared" si="23"/>
        <v>12235.825187000002</v>
      </c>
      <c r="L37" s="668">
        <f t="shared" si="23"/>
        <v>12053.851745635002</v>
      </c>
      <c r="M37" s="668">
        <f t="shared" si="23"/>
        <v>11888.225060226876</v>
      </c>
      <c r="N37" s="668">
        <f t="shared" si="23"/>
        <v>11740.065974865007</v>
      </c>
      <c r="O37" s="668">
        <f t="shared" si="23"/>
        <v>11610.549226790077</v>
      </c>
      <c r="P37" s="668">
        <f t="shared" si="23"/>
        <v>11500.905772057973</v>
      </c>
    </row>
    <row r="38" spans="1:16" ht="12" thickTop="1" x14ac:dyDescent="0.2">
      <c r="B38" s="608"/>
      <c r="C38" s="608"/>
      <c r="D38" s="608"/>
      <c r="E38" s="608"/>
      <c r="F38" s="608"/>
      <c r="G38" s="608"/>
      <c r="H38" s="608"/>
      <c r="I38" s="608"/>
      <c r="J38" s="608"/>
      <c r="K38" s="608"/>
      <c r="L38" s="608"/>
      <c r="M38" s="608"/>
      <c r="N38" s="608"/>
      <c r="O38" s="608"/>
      <c r="P38" s="608"/>
    </row>
    <row r="39" spans="1:16" ht="11.25" x14ac:dyDescent="0.2">
      <c r="A39" s="654" t="s">
        <v>56</v>
      </c>
      <c r="B39" s="608"/>
      <c r="C39" s="608"/>
      <c r="D39" s="608"/>
      <c r="E39" s="608"/>
      <c r="F39" s="608"/>
      <c r="G39" s="608"/>
      <c r="H39" s="608"/>
      <c r="I39" s="608"/>
      <c r="J39" s="608"/>
      <c r="K39" s="608"/>
      <c r="L39" s="608"/>
      <c r="M39" s="608"/>
      <c r="N39" s="608"/>
      <c r="O39" s="608"/>
      <c r="P39" s="608"/>
    </row>
    <row r="40" spans="1:16" ht="11.25" x14ac:dyDescent="0.2">
      <c r="A40" s="653" t="s">
        <v>57</v>
      </c>
      <c r="B40" s="608"/>
      <c r="C40" s="608"/>
      <c r="D40" s="608"/>
      <c r="E40" s="608">
        <f>E37</f>
        <v>12919</v>
      </c>
      <c r="F40" s="608">
        <f>+'Future Fund  Equity Statement'!F13</f>
        <v>13046.875</v>
      </c>
      <c r="G40" s="608">
        <f>+'Future Fund  Equity Statement'!G13</f>
        <v>12947.654</v>
      </c>
      <c r="H40" s="608">
        <f>+'Future Fund  Equity Statement'!H13</f>
        <v>12837.331</v>
      </c>
      <c r="I40" s="608">
        <f>+'Future Fund  Equity Statement'!I13</f>
        <v>12666.781999999999</v>
      </c>
      <c r="J40" s="608">
        <f>+'Future Fund  Equity Statement'!J13</f>
        <v>12433.0762</v>
      </c>
      <c r="K40" s="608">
        <f>+'Future Fund  Equity Statement'!K13</f>
        <v>12235.825187</v>
      </c>
      <c r="L40" s="608">
        <f>+'Future Fund  Equity Statement'!L13</f>
        <v>12053.851745635002</v>
      </c>
      <c r="M40" s="608">
        <f>+'Future Fund  Equity Statement'!M13</f>
        <v>11888.225060226876</v>
      </c>
      <c r="N40" s="608">
        <f>+'Future Fund  Equity Statement'!N13</f>
        <v>11740.065974865011</v>
      </c>
      <c r="O40" s="608">
        <f>+'Future Fund  Equity Statement'!O13</f>
        <v>11610.549226790081</v>
      </c>
      <c r="P40" s="608">
        <f>+'Future Fund  Equity Statement'!P13</f>
        <v>11500.905772057973</v>
      </c>
    </row>
    <row r="41" spans="1:16" ht="12" thickBot="1" x14ac:dyDescent="0.25">
      <c r="A41" s="653" t="s">
        <v>58</v>
      </c>
      <c r="B41" s="669"/>
      <c r="C41" s="669"/>
      <c r="D41" s="669"/>
      <c r="E41" s="669"/>
      <c r="F41" s="669">
        <f>+'Future Fund  Equity Statement'!F22</f>
        <v>0</v>
      </c>
      <c r="G41" s="669">
        <f>+'Future Fund  Equity Statement'!G22</f>
        <v>0</v>
      </c>
      <c r="H41" s="669">
        <f>+'Future Fund  Equity Statement'!H22</f>
        <v>0</v>
      </c>
      <c r="I41" s="669">
        <f>+'Future Fund  Equity Statement'!I22</f>
        <v>0</v>
      </c>
      <c r="J41" s="669">
        <f>+'Future Fund  Equity Statement'!J22</f>
        <v>0</v>
      </c>
      <c r="K41" s="669">
        <f>+'Future Fund  Equity Statement'!K22</f>
        <v>0</v>
      </c>
      <c r="L41" s="669">
        <f>+'Future Fund  Equity Statement'!L22</f>
        <v>0</v>
      </c>
      <c r="M41" s="669">
        <f>+'Future Fund  Equity Statement'!M22</f>
        <v>0</v>
      </c>
      <c r="N41" s="669">
        <f>+'Future Fund  Equity Statement'!N22</f>
        <v>0</v>
      </c>
      <c r="O41" s="669">
        <f>+'Future Fund  Equity Statement'!O22</f>
        <v>0</v>
      </c>
      <c r="P41" s="669">
        <f>+'Future Fund  Equity Statement'!P22</f>
        <v>0</v>
      </c>
    </row>
    <row r="42" spans="1:16" s="657" customFormat="1" ht="12" thickBot="1" x14ac:dyDescent="0.25">
      <c r="A42" s="654" t="s">
        <v>59</v>
      </c>
      <c r="B42" s="668">
        <f>SUM(B40:B41)</f>
        <v>0</v>
      </c>
      <c r="C42" s="668">
        <f t="shared" ref="C42:P42" si="24">SUM(C40:C41)</f>
        <v>0</v>
      </c>
      <c r="D42" s="668">
        <f t="shared" si="24"/>
        <v>0</v>
      </c>
      <c r="E42" s="668">
        <f t="shared" si="24"/>
        <v>12919</v>
      </c>
      <c r="F42" s="668">
        <f t="shared" si="24"/>
        <v>13046.875</v>
      </c>
      <c r="G42" s="668">
        <f t="shared" si="24"/>
        <v>12947.654</v>
      </c>
      <c r="H42" s="668">
        <f t="shared" si="24"/>
        <v>12837.331</v>
      </c>
      <c r="I42" s="668">
        <f t="shared" si="24"/>
        <v>12666.781999999999</v>
      </c>
      <c r="J42" s="668">
        <f t="shared" si="24"/>
        <v>12433.0762</v>
      </c>
      <c r="K42" s="668">
        <f t="shared" si="24"/>
        <v>12235.825187</v>
      </c>
      <c r="L42" s="668">
        <f t="shared" si="24"/>
        <v>12053.851745635002</v>
      </c>
      <c r="M42" s="668">
        <f t="shared" si="24"/>
        <v>11888.225060226876</v>
      </c>
      <c r="N42" s="668">
        <f t="shared" si="24"/>
        <v>11740.065974865011</v>
      </c>
      <c r="O42" s="668">
        <f t="shared" si="24"/>
        <v>11610.549226790081</v>
      </c>
      <c r="P42" s="668">
        <f t="shared" si="24"/>
        <v>11500.905772057973</v>
      </c>
    </row>
    <row r="43" spans="1:16" ht="12" thickTop="1" x14ac:dyDescent="0.2">
      <c r="B43" s="608"/>
      <c r="C43" s="608"/>
      <c r="D43" s="608"/>
      <c r="E43" s="608"/>
      <c r="F43" s="608"/>
      <c r="G43" s="608"/>
      <c r="H43" s="608"/>
      <c r="I43" s="608"/>
      <c r="J43" s="608"/>
      <c r="K43" s="608"/>
      <c r="L43" s="608"/>
      <c r="M43" s="608"/>
      <c r="N43" s="608"/>
      <c r="O43" s="608"/>
      <c r="P43" s="608"/>
    </row>
    <row r="44" spans="1:16" ht="11.25" hidden="1" outlineLevel="1" x14ac:dyDescent="0.2">
      <c r="A44" s="653" t="s">
        <v>111</v>
      </c>
      <c r="B44" s="621">
        <f>+B37-B42</f>
        <v>0</v>
      </c>
      <c r="C44" s="621">
        <f t="shared" ref="C44:P44" si="25">+C37-C42</f>
        <v>0</v>
      </c>
      <c r="D44" s="621">
        <f t="shared" si="25"/>
        <v>0</v>
      </c>
      <c r="E44" s="621">
        <f t="shared" si="25"/>
        <v>0</v>
      </c>
      <c r="F44" s="621">
        <f t="shared" si="25"/>
        <v>0</v>
      </c>
      <c r="G44" s="621">
        <f t="shared" si="25"/>
        <v>0</v>
      </c>
      <c r="H44" s="621">
        <f t="shared" si="25"/>
        <v>0</v>
      </c>
      <c r="I44" s="621">
        <f t="shared" si="25"/>
        <v>0</v>
      </c>
      <c r="J44" s="621">
        <f t="shared" si="25"/>
        <v>0</v>
      </c>
      <c r="K44" s="621">
        <f t="shared" si="25"/>
        <v>0</v>
      </c>
      <c r="L44" s="621">
        <f t="shared" si="25"/>
        <v>0</v>
      </c>
      <c r="M44" s="621">
        <f t="shared" si="25"/>
        <v>0</v>
      </c>
      <c r="N44" s="621">
        <f t="shared" si="25"/>
        <v>0</v>
      </c>
      <c r="O44" s="621">
        <f t="shared" si="25"/>
        <v>0</v>
      </c>
      <c r="P44" s="621">
        <f t="shared" si="25"/>
        <v>0</v>
      </c>
    </row>
    <row r="45" spans="1:16" ht="11.25" hidden="1" outlineLevel="1" x14ac:dyDescent="0.2">
      <c r="A45" s="653" t="s">
        <v>112</v>
      </c>
      <c r="B45" s="621">
        <f>+B42-'GF &amp; FF  Equity Statement'!B33</f>
        <v>0</v>
      </c>
      <c r="C45" s="621">
        <f>+C42-'GF &amp; FF  Equity Statement'!C33</f>
        <v>0</v>
      </c>
      <c r="D45" s="621">
        <f>+D42-'Future Fund  Equity Statement'!D33</f>
        <v>0</v>
      </c>
      <c r="E45" s="621">
        <f>+E42-'Future Fund  Equity Statement'!E33</f>
        <v>0</v>
      </c>
      <c r="F45" s="621">
        <f>+F42-'Future Fund  Equity Statement'!F33</f>
        <v>0</v>
      </c>
      <c r="G45" s="621">
        <f>+G42-'Future Fund  Equity Statement'!G33</f>
        <v>0</v>
      </c>
      <c r="H45" s="621">
        <f>+H42-'Future Fund  Equity Statement'!H33</f>
        <v>0</v>
      </c>
      <c r="I45" s="621">
        <f>+I42-'Future Fund  Equity Statement'!I33</f>
        <v>0</v>
      </c>
      <c r="J45" s="621">
        <f>+J42-'Future Fund  Equity Statement'!J33</f>
        <v>0</v>
      </c>
      <c r="K45" s="621">
        <f>+K42-'Future Fund  Equity Statement'!K33</f>
        <v>0</v>
      </c>
      <c r="L45" s="621">
        <f>+L42-'Future Fund  Equity Statement'!L33</f>
        <v>0</v>
      </c>
      <c r="M45" s="621">
        <f>+M42-'Future Fund  Equity Statement'!M33</f>
        <v>0</v>
      </c>
      <c r="N45" s="621">
        <f>+N42-'Future Fund  Equity Statement'!N33</f>
        <v>0</v>
      </c>
      <c r="O45" s="621">
        <f>+O42-'Future Fund  Equity Statement'!O33</f>
        <v>0</v>
      </c>
      <c r="P45" s="621">
        <f>+P42-'Future Fund  Equity Statement'!P33</f>
        <v>0</v>
      </c>
    </row>
    <row r="46" spans="1:16" ht="11.25" collapsed="1" x14ac:dyDescent="0.2">
      <c r="D46" s="670"/>
      <c r="E46" s="670"/>
      <c r="F46" s="670"/>
      <c r="G46" s="670"/>
      <c r="H46" s="670"/>
      <c r="I46" s="670"/>
      <c r="J46" s="670"/>
      <c r="K46" s="670"/>
      <c r="L46" s="670"/>
      <c r="M46" s="670"/>
      <c r="N46" s="670"/>
      <c r="O46" s="670"/>
      <c r="P46" s="670"/>
    </row>
    <row r="47" spans="1:16" ht="12.75" x14ac:dyDescent="0.2">
      <c r="A47" s="1091" t="s">
        <v>1364</v>
      </c>
    </row>
    <row r="48" spans="1:16" s="660" customFormat="1" ht="12" x14ac:dyDescent="0.2">
      <c r="A48" s="671" t="s">
        <v>1070</v>
      </c>
      <c r="B48" s="586" t="s">
        <v>69</v>
      </c>
      <c r="C48" s="586" t="s">
        <v>69</v>
      </c>
      <c r="D48" s="586" t="s">
        <v>69</v>
      </c>
      <c r="E48" s="586" t="s">
        <v>69</v>
      </c>
      <c r="F48" s="586" t="s">
        <v>70</v>
      </c>
      <c r="G48" s="586" t="s">
        <v>70</v>
      </c>
      <c r="H48" s="586" t="s">
        <v>71</v>
      </c>
      <c r="I48" s="586" t="s">
        <v>71</v>
      </c>
      <c r="J48" s="586" t="s">
        <v>71</v>
      </c>
      <c r="K48" s="586" t="s">
        <v>71</v>
      </c>
      <c r="L48" s="586" t="s">
        <v>71</v>
      </c>
      <c r="M48" s="586" t="s">
        <v>71</v>
      </c>
      <c r="N48" s="586" t="s">
        <v>71</v>
      </c>
      <c r="O48" s="586" t="s">
        <v>71</v>
      </c>
      <c r="P48" s="586" t="s">
        <v>71</v>
      </c>
    </row>
    <row r="49" spans="1:18" ht="11.25" x14ac:dyDescent="0.2">
      <c r="A49" s="652" t="s">
        <v>72</v>
      </c>
      <c r="B49" s="741" t="s">
        <v>68</v>
      </c>
      <c r="C49" s="694" t="s">
        <v>0</v>
      </c>
      <c r="D49" s="694" t="s">
        <v>1</v>
      </c>
      <c r="E49" s="694" t="s">
        <v>2</v>
      </c>
      <c r="F49" s="694" t="s">
        <v>3</v>
      </c>
      <c r="G49" s="694" t="s">
        <v>4</v>
      </c>
      <c r="H49" s="694" t="s">
        <v>5</v>
      </c>
      <c r="I49" s="694" t="s">
        <v>6</v>
      </c>
      <c r="J49" s="694" t="s">
        <v>7</v>
      </c>
      <c r="K49" s="694" t="s">
        <v>8</v>
      </c>
      <c r="L49" s="694" t="s">
        <v>9</v>
      </c>
      <c r="M49" s="694" t="s">
        <v>514</v>
      </c>
      <c r="N49" s="694" t="s">
        <v>515</v>
      </c>
      <c r="O49" s="694" t="s">
        <v>904</v>
      </c>
      <c r="P49" s="694" t="s">
        <v>1046</v>
      </c>
    </row>
    <row r="50" spans="1:18" s="664" customFormat="1" ht="11.25" x14ac:dyDescent="0.2">
      <c r="A50" s="661"/>
      <c r="B50" s="662"/>
      <c r="C50" s="662"/>
      <c r="D50" s="663"/>
      <c r="E50" s="663"/>
      <c r="F50" s="663"/>
      <c r="G50" s="663"/>
      <c r="H50" s="663"/>
      <c r="I50" s="663"/>
      <c r="J50" s="663"/>
      <c r="K50" s="663"/>
      <c r="L50" s="663"/>
      <c r="M50" s="663"/>
      <c r="N50" s="663"/>
      <c r="O50" s="663"/>
      <c r="P50" s="663"/>
    </row>
    <row r="51" spans="1:18" ht="11.25" x14ac:dyDescent="0.2">
      <c r="A51" s="654" t="s">
        <v>35</v>
      </c>
      <c r="B51" s="608"/>
      <c r="C51" s="608"/>
      <c r="D51" s="608"/>
      <c r="E51" s="608"/>
      <c r="F51" s="608"/>
      <c r="G51" s="608"/>
      <c r="H51" s="608"/>
      <c r="I51" s="608"/>
      <c r="J51" s="608"/>
      <c r="K51" s="608"/>
      <c r="L51" s="608"/>
      <c r="M51" s="608"/>
      <c r="N51" s="608"/>
      <c r="O51" s="608"/>
      <c r="P51" s="608"/>
    </row>
    <row r="52" spans="1:18" ht="11.25" x14ac:dyDescent="0.2">
      <c r="A52" s="654" t="s">
        <v>36</v>
      </c>
      <c r="B52" s="608"/>
      <c r="C52" s="608"/>
      <c r="D52" s="608"/>
      <c r="E52" s="608"/>
      <c r="F52" s="608"/>
      <c r="G52" s="608"/>
      <c r="H52" s="608"/>
      <c r="I52" s="608"/>
      <c r="J52" s="608"/>
      <c r="K52" s="608"/>
      <c r="L52" s="608"/>
      <c r="M52" s="608"/>
      <c r="N52" s="608"/>
      <c r="O52" s="608"/>
      <c r="P52" s="608"/>
    </row>
    <row r="53" spans="1:18" ht="11.25" x14ac:dyDescent="0.2">
      <c r="A53" s="653" t="s">
        <v>37</v>
      </c>
      <c r="B53" s="608"/>
      <c r="C53" s="608"/>
      <c r="D53" s="608">
        <f>D7</f>
        <v>0</v>
      </c>
      <c r="E53" s="608">
        <f t="shared" ref="E53:E57" si="26">E7</f>
        <v>0</v>
      </c>
      <c r="F53" s="621">
        <f>+'Future Fund  Cash Flow'!F101</f>
        <v>0</v>
      </c>
      <c r="G53" s="621">
        <f>+'Future Fund  Cash Flow'!G101</f>
        <v>170.46600000000012</v>
      </c>
      <c r="H53" s="621">
        <f>+'Future Fund  Cash Flow'!H101</f>
        <v>150.68100000000027</v>
      </c>
      <c r="I53" s="621">
        <f>+'Future Fund  Cash Flow'!I101</f>
        <v>86.860000000000468</v>
      </c>
      <c r="J53" s="621">
        <f>+'Future Fund  Cash Flow'!J101</f>
        <v>-19.256999999999834</v>
      </c>
      <c r="K53" s="621">
        <f>+'Future Fund  Cash Flow'!K101</f>
        <v>-45.756660000000124</v>
      </c>
      <c r="L53" s="621">
        <f>+'Future Fund  Cash Flow'!L101</f>
        <v>-57.887326200000416</v>
      </c>
      <c r="M53" s="621">
        <f>+'Future Fund  Cash Flow'!M101</f>
        <v>-54.793152210000756</v>
      </c>
      <c r="N53" s="621">
        <f>+'Future Fund  Cash Flow'!N101</f>
        <v>-35.579260840620861</v>
      </c>
      <c r="O53" s="621">
        <f>+'Future Fund  Cash Flow'!O101</f>
        <v>0.68988832408069811</v>
      </c>
      <c r="P53" s="621">
        <f>+'Future Fund  Cash Flow'!P101</f>
        <v>54.99219733246855</v>
      </c>
    </row>
    <row r="54" spans="1:18" ht="11.25" x14ac:dyDescent="0.2">
      <c r="A54" s="653" t="s">
        <v>38</v>
      </c>
      <c r="B54" s="608"/>
      <c r="C54" s="608"/>
      <c r="D54" s="608">
        <f>D8</f>
        <v>0</v>
      </c>
      <c r="E54" s="608">
        <f t="shared" si="26"/>
        <v>0</v>
      </c>
      <c r="F54" s="608">
        <f>+'Future Fund  Cash Flow'!F103-F61</f>
        <v>127.875</v>
      </c>
      <c r="G54" s="608">
        <f>+'Future Fund  Cash Flow'!G103-G61</f>
        <v>127.875</v>
      </c>
      <c r="H54" s="608">
        <f>+'Future Fund  Cash Flow'!H103-H61</f>
        <v>1627.875</v>
      </c>
      <c r="I54" s="608">
        <f>+'Future Fund  Cash Flow'!I103-I61</f>
        <v>1627.875</v>
      </c>
      <c r="J54" s="608">
        <f>+'Future Fund  Cash Flow'!J103-J61</f>
        <v>1627.875</v>
      </c>
      <c r="K54" s="608">
        <f>+'Future Fund  Cash Flow'!K103-K61</f>
        <v>1627.875</v>
      </c>
      <c r="L54" s="608">
        <f>+'Future Fund  Cash Flow'!L103-L61</f>
        <v>1627.875</v>
      </c>
      <c r="M54" s="608">
        <f>+'Future Fund  Cash Flow'!M103-M61</f>
        <v>1627.875</v>
      </c>
      <c r="N54" s="608">
        <f>+'Future Fund  Cash Flow'!N103-N61</f>
        <v>1627.875</v>
      </c>
      <c r="O54" s="608">
        <f>+'Future Fund  Cash Flow'!O103-O61</f>
        <v>1627.875</v>
      </c>
      <c r="P54" s="608">
        <f>+'Future Fund  Cash Flow'!P103-P61</f>
        <v>1627.875</v>
      </c>
    </row>
    <row r="55" spans="1:18" ht="11.25" x14ac:dyDescent="0.2">
      <c r="A55" s="653" t="s">
        <v>39</v>
      </c>
      <c r="B55" s="608"/>
      <c r="C55" s="608"/>
      <c r="D55" s="608">
        <f>D9</f>
        <v>0</v>
      </c>
      <c r="E55" s="608">
        <f t="shared" si="26"/>
        <v>0</v>
      </c>
      <c r="F55" s="608">
        <f t="shared" ref="F55:P57" si="27">+E55</f>
        <v>0</v>
      </c>
      <c r="G55" s="608">
        <f t="shared" si="27"/>
        <v>0</v>
      </c>
      <c r="H55" s="608">
        <f t="shared" si="27"/>
        <v>0</v>
      </c>
      <c r="I55" s="608">
        <f t="shared" si="27"/>
        <v>0</v>
      </c>
      <c r="J55" s="608">
        <f t="shared" si="27"/>
        <v>0</v>
      </c>
      <c r="K55" s="608">
        <f t="shared" si="27"/>
        <v>0</v>
      </c>
      <c r="L55" s="608">
        <f t="shared" si="27"/>
        <v>0</v>
      </c>
      <c r="M55" s="608">
        <f t="shared" si="27"/>
        <v>0</v>
      </c>
      <c r="N55" s="608">
        <f t="shared" si="27"/>
        <v>0</v>
      </c>
      <c r="O55" s="608">
        <f t="shared" si="27"/>
        <v>0</v>
      </c>
      <c r="P55" s="608">
        <f t="shared" si="27"/>
        <v>0</v>
      </c>
    </row>
    <row r="56" spans="1:18" ht="11.25" x14ac:dyDescent="0.2">
      <c r="A56" s="653" t="s">
        <v>40</v>
      </c>
      <c r="B56" s="608"/>
      <c r="C56" s="608"/>
      <c r="D56" s="608">
        <f>D10</f>
        <v>0</v>
      </c>
      <c r="E56" s="608">
        <f t="shared" si="26"/>
        <v>1947</v>
      </c>
      <c r="F56" s="608">
        <f t="shared" si="27"/>
        <v>1947</v>
      </c>
      <c r="G56" s="608">
        <f t="shared" si="27"/>
        <v>1947</v>
      </c>
      <c r="H56" s="608">
        <f t="shared" si="27"/>
        <v>1947</v>
      </c>
      <c r="I56" s="608">
        <f t="shared" si="27"/>
        <v>1947</v>
      </c>
      <c r="J56" s="608">
        <f t="shared" si="27"/>
        <v>1947</v>
      </c>
      <c r="K56" s="608">
        <f t="shared" si="27"/>
        <v>1947</v>
      </c>
      <c r="L56" s="608">
        <f t="shared" si="27"/>
        <v>1947</v>
      </c>
      <c r="M56" s="608">
        <f t="shared" si="27"/>
        <v>1947</v>
      </c>
      <c r="N56" s="608">
        <f t="shared" si="27"/>
        <v>1947</v>
      </c>
      <c r="O56" s="608">
        <f t="shared" si="27"/>
        <v>1947</v>
      </c>
      <c r="P56" s="608">
        <f t="shared" si="27"/>
        <v>1947</v>
      </c>
    </row>
    <row r="57" spans="1:18" ht="11.25" x14ac:dyDescent="0.2">
      <c r="A57" s="655" t="s">
        <v>41</v>
      </c>
      <c r="B57" s="615"/>
      <c r="C57" s="608"/>
      <c r="D57" s="608">
        <f>D11</f>
        <v>0</v>
      </c>
      <c r="E57" s="608">
        <f t="shared" si="26"/>
        <v>0</v>
      </c>
      <c r="F57" s="608">
        <f t="shared" si="27"/>
        <v>0</v>
      </c>
      <c r="G57" s="608">
        <f t="shared" si="27"/>
        <v>0</v>
      </c>
      <c r="H57" s="608">
        <f t="shared" si="27"/>
        <v>0</v>
      </c>
      <c r="I57" s="608">
        <f t="shared" si="27"/>
        <v>0</v>
      </c>
      <c r="J57" s="608">
        <f t="shared" si="27"/>
        <v>0</v>
      </c>
      <c r="K57" s="608">
        <f t="shared" si="27"/>
        <v>0</v>
      </c>
      <c r="L57" s="608">
        <f t="shared" si="27"/>
        <v>0</v>
      </c>
      <c r="M57" s="608">
        <f t="shared" si="27"/>
        <v>0</v>
      </c>
      <c r="N57" s="608">
        <f t="shared" si="27"/>
        <v>0</v>
      </c>
      <c r="O57" s="608">
        <f t="shared" si="27"/>
        <v>0</v>
      </c>
      <c r="P57" s="608">
        <f t="shared" si="27"/>
        <v>0</v>
      </c>
    </row>
    <row r="58" spans="1:18" s="657" customFormat="1" ht="11.25" x14ac:dyDescent="0.2">
      <c r="A58" s="654" t="s">
        <v>42</v>
      </c>
      <c r="B58" s="656">
        <f>SUM(B53:B57)</f>
        <v>0</v>
      </c>
      <c r="C58" s="656">
        <f t="shared" ref="C58:P58" si="28">SUM(C53:C57)</f>
        <v>0</v>
      </c>
      <c r="D58" s="656">
        <f t="shared" si="28"/>
        <v>0</v>
      </c>
      <c r="E58" s="656">
        <f t="shared" si="28"/>
        <v>1947</v>
      </c>
      <c r="F58" s="656">
        <f t="shared" si="28"/>
        <v>2074.875</v>
      </c>
      <c r="G58" s="656">
        <f t="shared" si="28"/>
        <v>2245.3410000000003</v>
      </c>
      <c r="H58" s="656">
        <f t="shared" si="28"/>
        <v>3725.5560000000005</v>
      </c>
      <c r="I58" s="656">
        <f t="shared" si="28"/>
        <v>3661.7350000000006</v>
      </c>
      <c r="J58" s="672">
        <f t="shared" si="28"/>
        <v>3555.6180000000004</v>
      </c>
      <c r="K58" s="672">
        <f t="shared" si="28"/>
        <v>3529.11834</v>
      </c>
      <c r="L58" s="672">
        <f t="shared" si="28"/>
        <v>3516.9876737999994</v>
      </c>
      <c r="M58" s="672">
        <f t="shared" si="28"/>
        <v>3520.0818477899993</v>
      </c>
      <c r="N58" s="672">
        <f t="shared" si="28"/>
        <v>3539.2957391593791</v>
      </c>
      <c r="O58" s="672">
        <f t="shared" si="28"/>
        <v>3575.5648883240806</v>
      </c>
      <c r="P58" s="672">
        <f t="shared" si="28"/>
        <v>3629.8671973324685</v>
      </c>
    </row>
    <row r="59" spans="1:18" ht="11.25" x14ac:dyDescent="0.2">
      <c r="B59" s="608"/>
      <c r="C59" s="608"/>
      <c r="D59" s="608"/>
      <c r="E59" s="608"/>
      <c r="F59" s="608"/>
      <c r="G59" s="608"/>
      <c r="H59" s="608"/>
      <c r="I59" s="608"/>
      <c r="J59" s="608"/>
      <c r="K59" s="608"/>
      <c r="L59" s="608"/>
      <c r="M59" s="608"/>
      <c r="N59" s="608"/>
      <c r="O59" s="608"/>
      <c r="P59" s="608"/>
    </row>
    <row r="60" spans="1:18" ht="11.25" x14ac:dyDescent="0.2">
      <c r="A60" s="654" t="s">
        <v>43</v>
      </c>
      <c r="B60" s="608"/>
      <c r="C60" s="608"/>
      <c r="D60" s="608"/>
      <c r="E60" s="608"/>
      <c r="F60" s="608"/>
      <c r="G60" s="608"/>
      <c r="H60" s="608"/>
      <c r="I60" s="608"/>
      <c r="J60" s="608"/>
      <c r="K60" s="608"/>
      <c r="L60" s="608"/>
      <c r="M60" s="608"/>
      <c r="N60" s="608"/>
      <c r="O60" s="608"/>
      <c r="P60" s="608"/>
    </row>
    <row r="61" spans="1:18" ht="11.25" x14ac:dyDescent="0.2">
      <c r="A61" s="608" t="str">
        <f>A15</f>
        <v>Investments</v>
      </c>
      <c r="B61" s="608"/>
      <c r="C61" s="608"/>
      <c r="D61" s="608">
        <f>D15</f>
        <v>0</v>
      </c>
      <c r="E61" s="608">
        <f t="shared" ref="E61:G62" si="29">E15</f>
        <v>3</v>
      </c>
      <c r="F61" s="608">
        <f t="shared" si="29"/>
        <v>3</v>
      </c>
      <c r="G61" s="608">
        <f t="shared" si="29"/>
        <v>3</v>
      </c>
      <c r="H61" s="608">
        <f>G61</f>
        <v>3</v>
      </c>
      <c r="I61" s="608">
        <f t="shared" ref="I61:P61" si="30">H61</f>
        <v>3</v>
      </c>
      <c r="J61" s="608">
        <f t="shared" si="30"/>
        <v>3</v>
      </c>
      <c r="K61" s="608">
        <f t="shared" si="30"/>
        <v>3</v>
      </c>
      <c r="L61" s="608">
        <f t="shared" si="30"/>
        <v>3</v>
      </c>
      <c r="M61" s="608">
        <f t="shared" si="30"/>
        <v>3</v>
      </c>
      <c r="N61" s="608">
        <f t="shared" si="30"/>
        <v>3</v>
      </c>
      <c r="O61" s="608">
        <f t="shared" si="30"/>
        <v>3</v>
      </c>
      <c r="P61" s="608">
        <f t="shared" si="30"/>
        <v>3</v>
      </c>
      <c r="R61" s="653" t="s">
        <v>1036</v>
      </c>
    </row>
    <row r="62" spans="1:18" ht="11.25" x14ac:dyDescent="0.2">
      <c r="A62" s="760" t="s">
        <v>44</v>
      </c>
      <c r="B62" s="608"/>
      <c r="C62" s="608"/>
      <c r="D62" s="608">
        <f>D16</f>
        <v>0</v>
      </c>
      <c r="E62" s="608">
        <f t="shared" si="29"/>
        <v>10350</v>
      </c>
      <c r="F62" s="608">
        <f>+E62-'Future Fund  Inc Exp Statement'!F102+SUM('Future Fund  Inc Exp Statement'!F126:F128)-'Future Fund  Inc Exp Statement'!F127+'Future Fund  Cash Flow'!F131-'Future Fund  Inc Exp Statement'!F140</f>
        <v>20350</v>
      </c>
      <c r="G62" s="608">
        <f>+F62-'Future Fund  Inc Exp Statement'!G102+SUM('Future Fund  Inc Exp Statement'!G126:G128)-'Future Fund  Inc Exp Statement'!G127+'Future Fund  Cash Flow'!G131-'Future Fund  Inc Exp Statement'!G140</f>
        <v>20080.312999999998</v>
      </c>
      <c r="H62" s="608">
        <f>+G62-'Future Fund  Inc Exp Statement'!H102+SUM('Future Fund  Inc Exp Statement'!H126:H128)-'Future Fund  Inc Exp Statement'!H127+'Future Fund  Cash Flow'!H131-'Future Fund  Inc Exp Statement'!H140</f>
        <v>19804.317999999999</v>
      </c>
      <c r="I62" s="608">
        <f>+H62-'Future Fund  Inc Exp Statement'!I102+SUM('Future Fund  Inc Exp Statement'!I126:I128)-'Future Fund  Inc Exp Statement'!I127+'Future Fund  Cash Flow'!I131-'Future Fund  Inc Exp Statement'!I140</f>
        <v>19523.663</v>
      </c>
      <c r="J62" s="608">
        <f>+I62-'Future Fund  Inc Exp Statement'!J102+SUM('Future Fund  Inc Exp Statement'!J126:J128)-'Future Fund  Inc Exp Statement'!J127+'Future Fund  Cash Flow'!J131-'Future Fund  Inc Exp Statement'!J140</f>
        <v>19234.594000000001</v>
      </c>
      <c r="K62" s="608">
        <f>+J62-'Future Fund  Inc Exp Statement'!K102+SUM('Future Fund  Inc Exp Statement'!K126:K128)-'Future Fund  Inc Exp Statement'!K127+'Future Fund  Cash Flow'!K131-'Future Fund  Inc Exp Statement'!K140</f>
        <v>18938.298275000001</v>
      </c>
      <c r="L62" s="608">
        <f>+K62-'Future Fund  Inc Exp Statement'!L102+SUM('Future Fund  Inc Exp Statement'!L126:L128)-'Future Fund  Inc Exp Statement'!L127+'Future Fund  Cash Flow'!L131-'Future Fund  Inc Exp Statement'!L140</f>
        <v>18634.595156875002</v>
      </c>
      <c r="M62" s="608">
        <f>+L62-'Future Fund  Inc Exp Statement'!M102+SUM('Future Fund  Inc Exp Statement'!M126:M128)-'Future Fund  Inc Exp Statement'!M127+'Future Fund  Cash Flow'!M131-'Future Fund  Inc Exp Statement'!M140</f>
        <v>18323.299460796876</v>
      </c>
      <c r="N62" s="608">
        <f>+M62-'Future Fund  Inc Exp Statement'!N102+SUM('Future Fund  Inc Exp Statement'!N126:N128)-'Future Fund  Inc Exp Statement'!N127+'Future Fund  Cash Flow'!N131-'Future Fund  Inc Exp Statement'!N140</f>
        <v>18004.221372316799</v>
      </c>
      <c r="O62" s="608">
        <f>+N62-'Future Fund  Inc Exp Statement'!O102+SUM('Future Fund  Inc Exp Statement'!O126:O128)-'Future Fund  Inc Exp Statement'!O127+'Future Fund  Cash Flow'!O131-'Future Fund  Inc Exp Statement'!O140</f>
        <v>17677.166331624718</v>
      </c>
      <c r="P62" s="608">
        <f>+O62-'Future Fund  Inc Exp Statement'!P102+SUM('Future Fund  Inc Exp Statement'!P126:P128)-'Future Fund  Inc Exp Statement'!P127+'Future Fund  Cash Flow'!P131-'Future Fund  Inc Exp Statement'!P140</f>
        <v>17341.934914915335</v>
      </c>
    </row>
    <row r="63" spans="1:18" ht="22.5" x14ac:dyDescent="0.2">
      <c r="A63" s="608" t="str">
        <f t="shared" ref="A63:A64" si="31">A17</f>
        <v>Investments accounted for using the equity method</v>
      </c>
      <c r="B63" s="608"/>
      <c r="C63" s="608"/>
      <c r="D63" s="608">
        <f t="shared" ref="D63:P64" si="32">D17</f>
        <v>0</v>
      </c>
      <c r="E63" s="608">
        <f t="shared" si="32"/>
        <v>0</v>
      </c>
      <c r="F63" s="608">
        <f t="shared" si="32"/>
        <v>0</v>
      </c>
      <c r="G63" s="608">
        <f t="shared" si="32"/>
        <v>0</v>
      </c>
      <c r="H63" s="608">
        <f t="shared" si="32"/>
        <v>0</v>
      </c>
      <c r="I63" s="608">
        <f t="shared" si="32"/>
        <v>0</v>
      </c>
      <c r="J63" s="608">
        <f t="shared" si="32"/>
        <v>0</v>
      </c>
      <c r="K63" s="608">
        <f t="shared" si="32"/>
        <v>0</v>
      </c>
      <c r="L63" s="608">
        <f t="shared" si="32"/>
        <v>0</v>
      </c>
      <c r="M63" s="608">
        <f t="shared" si="32"/>
        <v>0</v>
      </c>
      <c r="N63" s="608">
        <f t="shared" si="32"/>
        <v>0</v>
      </c>
      <c r="O63" s="608">
        <f t="shared" si="32"/>
        <v>0</v>
      </c>
      <c r="P63" s="608">
        <f t="shared" si="32"/>
        <v>0</v>
      </c>
    </row>
    <row r="64" spans="1:18" ht="11.25" x14ac:dyDescent="0.2">
      <c r="A64" s="608" t="str">
        <f t="shared" si="31"/>
        <v>Investment Property</v>
      </c>
      <c r="B64" s="608"/>
      <c r="C64" s="608"/>
      <c r="D64" s="608">
        <f t="shared" si="32"/>
        <v>0</v>
      </c>
      <c r="E64" s="608">
        <f t="shared" si="32"/>
        <v>20675</v>
      </c>
      <c r="F64" s="608">
        <f>E64+'Future Fund  Inc Exp Statement'!F127-'Future Fund  Cash Flow'!F78</f>
        <v>20675</v>
      </c>
      <c r="G64" s="608">
        <f>F64+'Future Fund  Inc Exp Statement'!G127-'Future Fund  Cash Flow'!G78</f>
        <v>20675</v>
      </c>
      <c r="H64" s="608">
        <f>G64+'Future Fund  Inc Exp Statement'!H127-'Future Fund  Cash Flow'!H78</f>
        <v>19175</v>
      </c>
      <c r="I64" s="608">
        <f>H64+'Future Fund  Inc Exp Statement'!I127-'Future Fund  Cash Flow'!I78</f>
        <v>19175</v>
      </c>
      <c r="J64" s="608">
        <f>I64+'Future Fund  Inc Exp Statement'!J127-'Future Fund  Cash Flow'!J78</f>
        <v>19175</v>
      </c>
      <c r="K64" s="608">
        <f>J64+'Future Fund  Inc Exp Statement'!K127-'Future Fund  Cash Flow'!K78</f>
        <v>19175</v>
      </c>
      <c r="L64" s="608">
        <f>K64+'Future Fund  Inc Exp Statement'!L127-'Future Fund  Cash Flow'!L78</f>
        <v>19175</v>
      </c>
      <c r="M64" s="608">
        <f>L64+'Future Fund  Inc Exp Statement'!M127-'Future Fund  Cash Flow'!M78</f>
        <v>19175</v>
      </c>
      <c r="N64" s="608">
        <f>M64+'Future Fund  Inc Exp Statement'!N127-'Future Fund  Cash Flow'!N78</f>
        <v>19175</v>
      </c>
      <c r="O64" s="608">
        <f>N64+'Future Fund  Inc Exp Statement'!O127-'Future Fund  Cash Flow'!O78</f>
        <v>19175</v>
      </c>
      <c r="P64" s="608">
        <f>O64+'Future Fund  Inc Exp Statement'!P127-'Future Fund  Cash Flow'!P78</f>
        <v>19175</v>
      </c>
    </row>
    <row r="65" spans="1:16" s="657" customFormat="1" ht="11.25" x14ac:dyDescent="0.2">
      <c r="A65" s="761" t="s">
        <v>45</v>
      </c>
      <c r="B65" s="762">
        <f>SUM(B62)</f>
        <v>0</v>
      </c>
      <c r="C65" s="762">
        <f t="shared" ref="C65" si="33">SUM(C62)</f>
        <v>0</v>
      </c>
      <c r="D65" s="762">
        <f>SUM(D61:D64)</f>
        <v>0</v>
      </c>
      <c r="E65" s="762">
        <f t="shared" ref="E65:P65" si="34">SUM(E61:E64)</f>
        <v>31028</v>
      </c>
      <c r="F65" s="762">
        <f t="shared" si="34"/>
        <v>41028</v>
      </c>
      <c r="G65" s="762">
        <f t="shared" si="34"/>
        <v>40758.312999999995</v>
      </c>
      <c r="H65" s="762">
        <f t="shared" si="34"/>
        <v>38982.317999999999</v>
      </c>
      <c r="I65" s="762">
        <f t="shared" si="34"/>
        <v>38701.663</v>
      </c>
      <c r="J65" s="762">
        <f t="shared" si="34"/>
        <v>38412.593999999997</v>
      </c>
      <c r="K65" s="762">
        <f t="shared" si="34"/>
        <v>38116.298275000001</v>
      </c>
      <c r="L65" s="762">
        <f t="shared" si="34"/>
        <v>37812.595156875002</v>
      </c>
      <c r="M65" s="762">
        <f t="shared" si="34"/>
        <v>37501.299460796872</v>
      </c>
      <c r="N65" s="762">
        <f t="shared" si="34"/>
        <v>37182.221372316795</v>
      </c>
      <c r="O65" s="762">
        <f t="shared" si="34"/>
        <v>36855.166331624714</v>
      </c>
      <c r="P65" s="762">
        <f t="shared" si="34"/>
        <v>36519.934914915335</v>
      </c>
    </row>
    <row r="66" spans="1:16" ht="9" customHeight="1" x14ac:dyDescent="0.2">
      <c r="B66" s="608"/>
      <c r="C66" s="608"/>
      <c r="D66" s="608"/>
      <c r="E66" s="608"/>
      <c r="F66" s="608"/>
      <c r="G66" s="608"/>
      <c r="H66" s="608"/>
      <c r="I66" s="608"/>
      <c r="J66" s="608"/>
      <c r="K66" s="608"/>
      <c r="L66" s="608"/>
      <c r="M66" s="608"/>
      <c r="N66" s="608"/>
      <c r="O66" s="608"/>
      <c r="P66" s="608"/>
    </row>
    <row r="67" spans="1:16" s="657" customFormat="1" ht="12" thickBot="1" x14ac:dyDescent="0.25">
      <c r="A67" s="654" t="s">
        <v>46</v>
      </c>
      <c r="B67" s="665">
        <f>+B58+B65</f>
        <v>0</v>
      </c>
      <c r="C67" s="665">
        <f t="shared" ref="C67:P67" si="35">+C58+C65</f>
        <v>0</v>
      </c>
      <c r="D67" s="665">
        <f t="shared" si="35"/>
        <v>0</v>
      </c>
      <c r="E67" s="665">
        <f t="shared" si="35"/>
        <v>32975</v>
      </c>
      <c r="F67" s="665">
        <f t="shared" si="35"/>
        <v>43102.875</v>
      </c>
      <c r="G67" s="665">
        <f t="shared" si="35"/>
        <v>43003.653999999995</v>
      </c>
      <c r="H67" s="665">
        <f t="shared" si="35"/>
        <v>42707.873999999996</v>
      </c>
      <c r="I67" s="665">
        <f t="shared" si="35"/>
        <v>42363.398000000001</v>
      </c>
      <c r="J67" s="665">
        <f t="shared" si="35"/>
        <v>41968.212</v>
      </c>
      <c r="K67" s="665">
        <f t="shared" si="35"/>
        <v>41645.416615000002</v>
      </c>
      <c r="L67" s="665">
        <f t="shared" si="35"/>
        <v>41329.582830675005</v>
      </c>
      <c r="M67" s="665">
        <f t="shared" si="35"/>
        <v>41021.381308586875</v>
      </c>
      <c r="N67" s="665">
        <f t="shared" si="35"/>
        <v>40721.517111476176</v>
      </c>
      <c r="O67" s="665">
        <f t="shared" si="35"/>
        <v>40430.731219948793</v>
      </c>
      <c r="P67" s="665">
        <f t="shared" si="35"/>
        <v>40149.802112247802</v>
      </c>
    </row>
    <row r="68" spans="1:16" ht="11.25" x14ac:dyDescent="0.2">
      <c r="B68" s="608"/>
      <c r="C68" s="608"/>
      <c r="D68" s="608"/>
      <c r="E68" s="608"/>
      <c r="F68" s="608"/>
      <c r="G68" s="608"/>
      <c r="H68" s="608"/>
      <c r="I68" s="608"/>
      <c r="J68" s="608"/>
      <c r="K68" s="608"/>
      <c r="L68" s="608"/>
      <c r="M68" s="608"/>
      <c r="N68" s="608"/>
      <c r="O68" s="608"/>
      <c r="P68" s="608"/>
    </row>
    <row r="69" spans="1:16" ht="11.25" x14ac:dyDescent="0.2">
      <c r="A69" s="654" t="s">
        <v>47</v>
      </c>
      <c r="B69" s="608"/>
      <c r="C69" s="608"/>
      <c r="D69" s="608"/>
      <c r="E69" s="608"/>
      <c r="F69" s="608"/>
      <c r="G69" s="608"/>
      <c r="H69" s="608"/>
      <c r="I69" s="608"/>
      <c r="J69" s="608"/>
      <c r="K69" s="608"/>
      <c r="L69" s="608"/>
      <c r="M69" s="608"/>
      <c r="N69" s="608"/>
      <c r="O69" s="608"/>
      <c r="P69" s="608"/>
    </row>
    <row r="70" spans="1:16" ht="11.25" x14ac:dyDescent="0.2">
      <c r="A70" s="654" t="s">
        <v>48</v>
      </c>
      <c r="B70" s="608"/>
      <c r="C70" s="608"/>
      <c r="D70" s="608"/>
      <c r="E70" s="608"/>
      <c r="F70" s="608"/>
      <c r="G70" s="608"/>
      <c r="H70" s="608"/>
      <c r="I70" s="608"/>
      <c r="J70" s="608"/>
      <c r="K70" s="608"/>
      <c r="L70" s="608"/>
      <c r="M70" s="608"/>
      <c r="N70" s="608"/>
      <c r="O70" s="608"/>
      <c r="P70" s="608"/>
    </row>
    <row r="71" spans="1:16" ht="11.25" x14ac:dyDescent="0.2">
      <c r="A71" s="666" t="s">
        <v>49</v>
      </c>
      <c r="B71" s="608"/>
      <c r="C71" s="608"/>
      <c r="D71" s="608">
        <f>D25</f>
        <v>0</v>
      </c>
      <c r="E71" s="608">
        <f t="shared" ref="E71:E73" si="36">E25</f>
        <v>0</v>
      </c>
      <c r="F71" s="608">
        <f t="shared" ref="F71:P73" si="37">+E71</f>
        <v>0</v>
      </c>
      <c r="G71" s="608">
        <f t="shared" si="37"/>
        <v>0</v>
      </c>
      <c r="H71" s="608">
        <f t="shared" si="37"/>
        <v>0</v>
      </c>
      <c r="I71" s="608">
        <f t="shared" si="37"/>
        <v>0</v>
      </c>
      <c r="J71" s="608">
        <f t="shared" si="37"/>
        <v>0</v>
      </c>
      <c r="K71" s="608">
        <f t="shared" si="37"/>
        <v>0</v>
      </c>
      <c r="L71" s="608">
        <f t="shared" si="37"/>
        <v>0</v>
      </c>
      <c r="M71" s="608">
        <f t="shared" si="37"/>
        <v>0</v>
      </c>
      <c r="N71" s="608">
        <f t="shared" si="37"/>
        <v>0</v>
      </c>
      <c r="O71" s="608">
        <f t="shared" si="37"/>
        <v>0</v>
      </c>
      <c r="P71" s="608">
        <f t="shared" si="37"/>
        <v>0</v>
      </c>
    </row>
    <row r="72" spans="1:16" ht="11.25" x14ac:dyDescent="0.2">
      <c r="A72" s="666" t="s">
        <v>1051</v>
      </c>
      <c r="B72" s="608"/>
      <c r="C72" s="608"/>
      <c r="D72" s="608">
        <f>D26</f>
        <v>0</v>
      </c>
      <c r="E72" s="608">
        <f t="shared" si="36"/>
        <v>0</v>
      </c>
      <c r="F72" s="608">
        <f>'Future Fund  Inc Exp Statement'!G129</f>
        <v>0</v>
      </c>
      <c r="G72" s="608">
        <f>'Future Fund  Inc Exp Statement'!H129</f>
        <v>0</v>
      </c>
      <c r="H72" s="608">
        <f>'Future Fund  Inc Exp Statement'!I129</f>
        <v>0</v>
      </c>
      <c r="I72" s="608">
        <f>'Future Fund  Inc Exp Statement'!J129</f>
        <v>0</v>
      </c>
      <c r="J72" s="608">
        <f>'Future Fund  Inc Exp Statement'!K129</f>
        <v>0</v>
      </c>
      <c r="K72" s="608">
        <f>'Future Fund  Inc Exp Statement'!L129</f>
        <v>0</v>
      </c>
      <c r="L72" s="608">
        <f>'Future Fund  Inc Exp Statement'!M129</f>
        <v>0</v>
      </c>
      <c r="M72" s="608">
        <f>'Future Fund  Inc Exp Statement'!N129</f>
        <v>0</v>
      </c>
      <c r="N72" s="608">
        <f>'Future Fund  Inc Exp Statement'!O129</f>
        <v>0</v>
      </c>
      <c r="O72" s="608">
        <f>'Future Fund  Inc Exp Statement'!P129</f>
        <v>0</v>
      </c>
      <c r="P72" s="608">
        <v>0</v>
      </c>
    </row>
    <row r="73" spans="1:16" ht="11.25" x14ac:dyDescent="0.2">
      <c r="A73" s="667" t="s">
        <v>50</v>
      </c>
      <c r="B73" s="615"/>
      <c r="C73" s="608"/>
      <c r="D73" s="608">
        <f t="shared" ref="D73" si="38">D27</f>
        <v>0</v>
      </c>
      <c r="E73" s="608">
        <f t="shared" si="36"/>
        <v>0</v>
      </c>
      <c r="F73" s="608">
        <f t="shared" si="37"/>
        <v>0</v>
      </c>
      <c r="G73" s="608">
        <f t="shared" si="37"/>
        <v>0</v>
      </c>
      <c r="H73" s="608">
        <f t="shared" si="37"/>
        <v>0</v>
      </c>
      <c r="I73" s="608">
        <f t="shared" si="37"/>
        <v>0</v>
      </c>
      <c r="J73" s="608">
        <f t="shared" si="37"/>
        <v>0</v>
      </c>
      <c r="K73" s="608">
        <f t="shared" si="37"/>
        <v>0</v>
      </c>
      <c r="L73" s="608">
        <f t="shared" si="37"/>
        <v>0</v>
      </c>
      <c r="M73" s="608">
        <f t="shared" si="37"/>
        <v>0</v>
      </c>
      <c r="N73" s="608">
        <f t="shared" si="37"/>
        <v>0</v>
      </c>
      <c r="O73" s="608">
        <f t="shared" si="37"/>
        <v>0</v>
      </c>
      <c r="P73" s="608">
        <f t="shared" si="37"/>
        <v>0</v>
      </c>
    </row>
    <row r="74" spans="1:16" s="657" customFormat="1" ht="11.25" x14ac:dyDescent="0.2">
      <c r="A74" s="654" t="s">
        <v>51</v>
      </c>
      <c r="B74" s="656">
        <f>SUM(B71:B73)</f>
        <v>0</v>
      </c>
      <c r="C74" s="656">
        <f t="shared" ref="C74:P74" si="39">SUM(C71:C73)</f>
        <v>0</v>
      </c>
      <c r="D74" s="656">
        <f t="shared" si="39"/>
        <v>0</v>
      </c>
      <c r="E74" s="656">
        <f t="shared" si="39"/>
        <v>0</v>
      </c>
      <c r="F74" s="656">
        <f t="shared" si="39"/>
        <v>0</v>
      </c>
      <c r="G74" s="656">
        <f t="shared" si="39"/>
        <v>0</v>
      </c>
      <c r="H74" s="656">
        <f t="shared" si="39"/>
        <v>0</v>
      </c>
      <c r="I74" s="656">
        <f t="shared" si="39"/>
        <v>0</v>
      </c>
      <c r="J74" s="656">
        <f t="shared" si="39"/>
        <v>0</v>
      </c>
      <c r="K74" s="656">
        <f t="shared" si="39"/>
        <v>0</v>
      </c>
      <c r="L74" s="656">
        <f t="shared" si="39"/>
        <v>0</v>
      </c>
      <c r="M74" s="656">
        <f t="shared" si="39"/>
        <v>0</v>
      </c>
      <c r="N74" s="656">
        <f t="shared" si="39"/>
        <v>0</v>
      </c>
      <c r="O74" s="656">
        <f t="shared" si="39"/>
        <v>0</v>
      </c>
      <c r="P74" s="656">
        <f t="shared" si="39"/>
        <v>0</v>
      </c>
    </row>
    <row r="75" spans="1:16" ht="11.25" x14ac:dyDescent="0.2">
      <c r="B75" s="608"/>
      <c r="C75" s="608"/>
      <c r="D75" s="608"/>
      <c r="E75" s="608"/>
      <c r="F75" s="608"/>
      <c r="G75" s="608"/>
      <c r="H75" s="608"/>
      <c r="I75" s="608"/>
      <c r="J75" s="608"/>
      <c r="K75" s="608"/>
      <c r="L75" s="608"/>
      <c r="M75" s="608"/>
      <c r="N75" s="608"/>
      <c r="O75" s="608"/>
      <c r="P75" s="608"/>
    </row>
    <row r="76" spans="1:16" ht="11.25" x14ac:dyDescent="0.2">
      <c r="A76" s="654" t="s">
        <v>52</v>
      </c>
      <c r="B76" s="608"/>
      <c r="C76" s="608"/>
      <c r="D76" s="608"/>
      <c r="E76" s="608"/>
      <c r="F76" s="608"/>
      <c r="G76" s="608"/>
      <c r="H76" s="608"/>
      <c r="I76" s="608"/>
      <c r="J76" s="608"/>
      <c r="K76" s="608"/>
      <c r="L76" s="608"/>
      <c r="M76" s="608"/>
      <c r="N76" s="608"/>
      <c r="O76" s="608"/>
      <c r="P76" s="608"/>
    </row>
    <row r="77" spans="1:16" ht="11.25" x14ac:dyDescent="0.2">
      <c r="A77" s="653" t="s">
        <v>49</v>
      </c>
      <c r="B77" s="608">
        <v>0</v>
      </c>
      <c r="C77" s="608">
        <v>0</v>
      </c>
      <c r="D77" s="608">
        <f>D31</f>
        <v>0</v>
      </c>
      <c r="E77" s="608">
        <f t="shared" ref="E77:E79" si="40">E31</f>
        <v>0</v>
      </c>
      <c r="F77" s="608">
        <f t="shared" ref="F77:P79" si="41">+E77</f>
        <v>0</v>
      </c>
      <c r="G77" s="608">
        <f t="shared" si="41"/>
        <v>0</v>
      </c>
      <c r="H77" s="608">
        <f t="shared" si="41"/>
        <v>0</v>
      </c>
      <c r="I77" s="608">
        <f t="shared" si="41"/>
        <v>0</v>
      </c>
      <c r="J77" s="608">
        <f t="shared" si="41"/>
        <v>0</v>
      </c>
      <c r="K77" s="608">
        <f t="shared" si="41"/>
        <v>0</v>
      </c>
      <c r="L77" s="608">
        <f t="shared" si="41"/>
        <v>0</v>
      </c>
      <c r="M77" s="608">
        <f t="shared" si="41"/>
        <v>0</v>
      </c>
      <c r="N77" s="608">
        <f t="shared" si="41"/>
        <v>0</v>
      </c>
      <c r="O77" s="608">
        <f t="shared" si="41"/>
        <v>0</v>
      </c>
      <c r="P77" s="608">
        <f t="shared" si="41"/>
        <v>0</v>
      </c>
    </row>
    <row r="78" spans="1:16" ht="11.25" x14ac:dyDescent="0.2">
      <c r="A78" s="653" t="s">
        <v>1051</v>
      </c>
      <c r="B78" s="608"/>
      <c r="C78" s="608"/>
      <c r="D78" s="608">
        <f>D32</f>
        <v>0</v>
      </c>
      <c r="E78" s="608">
        <f t="shared" si="40"/>
        <v>20056</v>
      </c>
      <c r="F78" s="608">
        <f>E72+E78+'Future Fund  Cash Flow'!F144+'Future Fund  Cash Flow'!F147-F72</f>
        <v>30056</v>
      </c>
      <c r="G78" s="608">
        <f>F72+F78+'Future Fund  Cash Flow'!G144+'Future Fund  Cash Flow'!G147-G72</f>
        <v>30056</v>
      </c>
      <c r="H78" s="608">
        <f>G72+G78+'Future Fund  Cash Flow'!H144+'Future Fund  Cash Flow'!H147-H72</f>
        <v>30056</v>
      </c>
      <c r="I78" s="608">
        <f>H72+H78+'Future Fund  Cash Flow'!I144+'Future Fund  Cash Flow'!I147-I72</f>
        <v>30056</v>
      </c>
      <c r="J78" s="608">
        <f>I72+I78+'Future Fund  Cash Flow'!J144+'Future Fund  Cash Flow'!J147-J72</f>
        <v>30056</v>
      </c>
      <c r="K78" s="608">
        <f>J72+J78+'Future Fund  Cash Flow'!K144+'Future Fund  Cash Flow'!K147-K72</f>
        <v>30056</v>
      </c>
      <c r="L78" s="608">
        <f>K72+K78+'Future Fund  Cash Flow'!L144+'Future Fund  Cash Flow'!L147-L72</f>
        <v>30056</v>
      </c>
      <c r="M78" s="608">
        <f>L72+L78+'Future Fund  Cash Flow'!M144+'Future Fund  Cash Flow'!M147-M72</f>
        <v>30056</v>
      </c>
      <c r="N78" s="608">
        <f>M72+M78+'Future Fund  Cash Flow'!N144+'Future Fund  Cash Flow'!N147-N72</f>
        <v>30056</v>
      </c>
      <c r="O78" s="608">
        <f>N72+N78+'Future Fund  Cash Flow'!O144+'Future Fund  Cash Flow'!O147-O72</f>
        <v>30056</v>
      </c>
      <c r="P78" s="608">
        <f>O72+O78+'Future Fund  Cash Flow'!P144+'Future Fund  Cash Flow'!P147-P72</f>
        <v>30056</v>
      </c>
    </row>
    <row r="79" spans="1:16" ht="11.25" x14ac:dyDescent="0.2">
      <c r="A79" s="655" t="s">
        <v>50</v>
      </c>
      <c r="B79" s="615"/>
      <c r="C79" s="608"/>
      <c r="D79" s="608">
        <f t="shared" ref="D79" si="42">D33</f>
        <v>0</v>
      </c>
      <c r="E79" s="608">
        <f t="shared" si="40"/>
        <v>0</v>
      </c>
      <c r="F79" s="608">
        <f t="shared" si="41"/>
        <v>0</v>
      </c>
      <c r="G79" s="608">
        <f t="shared" si="41"/>
        <v>0</v>
      </c>
      <c r="H79" s="608">
        <f t="shared" si="41"/>
        <v>0</v>
      </c>
      <c r="I79" s="608">
        <f t="shared" si="41"/>
        <v>0</v>
      </c>
      <c r="J79" s="608">
        <f t="shared" si="41"/>
        <v>0</v>
      </c>
      <c r="K79" s="608">
        <f t="shared" si="41"/>
        <v>0</v>
      </c>
      <c r="L79" s="608">
        <f t="shared" si="41"/>
        <v>0</v>
      </c>
      <c r="M79" s="608">
        <f t="shared" si="41"/>
        <v>0</v>
      </c>
      <c r="N79" s="608">
        <f t="shared" si="41"/>
        <v>0</v>
      </c>
      <c r="O79" s="608">
        <f t="shared" si="41"/>
        <v>0</v>
      </c>
      <c r="P79" s="608">
        <f t="shared" si="41"/>
        <v>0</v>
      </c>
    </row>
    <row r="80" spans="1:16" s="657" customFormat="1" ht="11.25" x14ac:dyDescent="0.2">
      <c r="A80" s="654" t="s">
        <v>53</v>
      </c>
      <c r="B80" s="656">
        <f>SUM(B77:B79)</f>
        <v>0</v>
      </c>
      <c r="C80" s="656">
        <f t="shared" ref="C80:P80" si="43">SUM(C77:C79)</f>
        <v>0</v>
      </c>
      <c r="D80" s="656">
        <f t="shared" si="43"/>
        <v>0</v>
      </c>
      <c r="E80" s="656">
        <f t="shared" si="43"/>
        <v>20056</v>
      </c>
      <c r="F80" s="656">
        <f t="shared" si="43"/>
        <v>30056</v>
      </c>
      <c r="G80" s="656">
        <f t="shared" si="43"/>
        <v>30056</v>
      </c>
      <c r="H80" s="656">
        <f t="shared" si="43"/>
        <v>30056</v>
      </c>
      <c r="I80" s="656">
        <f t="shared" si="43"/>
        <v>30056</v>
      </c>
      <c r="J80" s="656">
        <f t="shared" si="43"/>
        <v>30056</v>
      </c>
      <c r="K80" s="656">
        <f t="shared" si="43"/>
        <v>30056</v>
      </c>
      <c r="L80" s="656">
        <f t="shared" si="43"/>
        <v>30056</v>
      </c>
      <c r="M80" s="656">
        <f t="shared" si="43"/>
        <v>30056</v>
      </c>
      <c r="N80" s="656">
        <f t="shared" si="43"/>
        <v>30056</v>
      </c>
      <c r="O80" s="656">
        <f t="shared" si="43"/>
        <v>30056</v>
      </c>
      <c r="P80" s="656">
        <f t="shared" si="43"/>
        <v>30056</v>
      </c>
    </row>
    <row r="81" spans="1:16" ht="9" customHeight="1" x14ac:dyDescent="0.2">
      <c r="B81" s="608"/>
      <c r="C81" s="608"/>
      <c r="D81" s="608"/>
      <c r="E81" s="608"/>
      <c r="F81" s="608"/>
      <c r="G81" s="608"/>
      <c r="H81" s="608"/>
      <c r="I81" s="608"/>
      <c r="J81" s="608"/>
      <c r="K81" s="608"/>
      <c r="L81" s="608"/>
      <c r="M81" s="608"/>
      <c r="N81" s="608"/>
      <c r="O81" s="608"/>
      <c r="P81" s="608"/>
    </row>
    <row r="82" spans="1:16" s="657" customFormat="1" ht="12" thickBot="1" x14ac:dyDescent="0.25">
      <c r="A82" s="654" t="s">
        <v>54</v>
      </c>
      <c r="B82" s="665">
        <f>+B74+B80</f>
        <v>0</v>
      </c>
      <c r="C82" s="665">
        <f t="shared" ref="C82:P82" si="44">+C74+C80</f>
        <v>0</v>
      </c>
      <c r="D82" s="665">
        <f t="shared" si="44"/>
        <v>0</v>
      </c>
      <c r="E82" s="665">
        <f t="shared" si="44"/>
        <v>20056</v>
      </c>
      <c r="F82" s="665">
        <f t="shared" si="44"/>
        <v>30056</v>
      </c>
      <c r="G82" s="665">
        <f t="shared" si="44"/>
        <v>30056</v>
      </c>
      <c r="H82" s="665">
        <f t="shared" si="44"/>
        <v>30056</v>
      </c>
      <c r="I82" s="665">
        <f t="shared" si="44"/>
        <v>30056</v>
      </c>
      <c r="J82" s="665">
        <f t="shared" si="44"/>
        <v>30056</v>
      </c>
      <c r="K82" s="665">
        <f t="shared" si="44"/>
        <v>30056</v>
      </c>
      <c r="L82" s="665">
        <f t="shared" si="44"/>
        <v>30056</v>
      </c>
      <c r="M82" s="665">
        <f t="shared" si="44"/>
        <v>30056</v>
      </c>
      <c r="N82" s="665">
        <f t="shared" si="44"/>
        <v>30056</v>
      </c>
      <c r="O82" s="665">
        <f t="shared" si="44"/>
        <v>30056</v>
      </c>
      <c r="P82" s="665">
        <f t="shared" si="44"/>
        <v>30056</v>
      </c>
    </row>
    <row r="83" spans="1:16" s="657" customFormat="1" ht="12" thickBot="1" x14ac:dyDescent="0.25">
      <c r="A83" s="654" t="s">
        <v>55</v>
      </c>
      <c r="B83" s="668">
        <f>+B67-B82</f>
        <v>0</v>
      </c>
      <c r="C83" s="668">
        <f t="shared" ref="C83:P83" si="45">+C67-C82</f>
        <v>0</v>
      </c>
      <c r="D83" s="668">
        <f t="shared" si="45"/>
        <v>0</v>
      </c>
      <c r="E83" s="668">
        <f t="shared" si="45"/>
        <v>12919</v>
      </c>
      <c r="F83" s="668">
        <f t="shared" si="45"/>
        <v>13046.875</v>
      </c>
      <c r="G83" s="668">
        <f t="shared" si="45"/>
        <v>12947.653999999995</v>
      </c>
      <c r="H83" s="668">
        <f t="shared" si="45"/>
        <v>12651.873999999996</v>
      </c>
      <c r="I83" s="668">
        <f t="shared" si="45"/>
        <v>12307.398000000001</v>
      </c>
      <c r="J83" s="668">
        <f t="shared" si="45"/>
        <v>11912.212</v>
      </c>
      <c r="K83" s="668">
        <f t="shared" si="45"/>
        <v>11589.416615000002</v>
      </c>
      <c r="L83" s="668">
        <f t="shared" si="45"/>
        <v>11273.582830675005</v>
      </c>
      <c r="M83" s="668">
        <f t="shared" si="45"/>
        <v>10965.381308586875</v>
      </c>
      <c r="N83" s="668">
        <f t="shared" si="45"/>
        <v>10665.517111476176</v>
      </c>
      <c r="O83" s="668">
        <f t="shared" si="45"/>
        <v>10374.731219948793</v>
      </c>
      <c r="P83" s="668">
        <f t="shared" si="45"/>
        <v>10093.802112247802</v>
      </c>
    </row>
    <row r="84" spans="1:16" ht="12" thickTop="1" x14ac:dyDescent="0.2">
      <c r="B84" s="608"/>
      <c r="C84" s="608"/>
      <c r="D84" s="608"/>
      <c r="E84" s="608"/>
      <c r="F84" s="608"/>
      <c r="G84" s="608"/>
      <c r="H84" s="608"/>
      <c r="I84" s="608"/>
      <c r="J84" s="608"/>
      <c r="K84" s="608"/>
      <c r="L84" s="608"/>
      <c r="M84" s="608"/>
      <c r="N84" s="608"/>
      <c r="O84" s="608"/>
      <c r="P84" s="608"/>
    </row>
    <row r="85" spans="1:16" ht="11.25" x14ac:dyDescent="0.2">
      <c r="A85" s="654" t="s">
        <v>56</v>
      </c>
      <c r="B85" s="608"/>
      <c r="C85" s="608"/>
      <c r="D85" s="608"/>
      <c r="E85" s="608"/>
      <c r="F85" s="608"/>
      <c r="G85" s="608"/>
      <c r="H85" s="608"/>
      <c r="I85" s="608"/>
      <c r="J85" s="608"/>
      <c r="K85" s="608"/>
      <c r="L85" s="608"/>
      <c r="M85" s="608"/>
      <c r="N85" s="608"/>
      <c r="O85" s="608"/>
      <c r="P85" s="608"/>
    </row>
    <row r="86" spans="1:16" ht="11.25" x14ac:dyDescent="0.2">
      <c r="A86" s="653" t="s">
        <v>57</v>
      </c>
      <c r="B86" s="608"/>
      <c r="C86" s="608"/>
      <c r="D86" s="608">
        <f>D40</f>
        <v>0</v>
      </c>
      <c r="E86" s="608">
        <f>+'Future Fund  Equity Statement'!E47</f>
        <v>12919</v>
      </c>
      <c r="F86" s="608">
        <f>+'Future Fund  Equity Statement'!F47</f>
        <v>13046.875</v>
      </c>
      <c r="G86" s="608">
        <f>+'Future Fund  Equity Statement'!G47</f>
        <v>12947.654</v>
      </c>
      <c r="H86" s="608">
        <f>+'Future Fund  Equity Statement'!H47</f>
        <v>12651.874</v>
      </c>
      <c r="I86" s="608">
        <f>+'Future Fund  Equity Statement'!I47</f>
        <v>12307.397999999999</v>
      </c>
      <c r="J86" s="608">
        <f>+'Future Fund  Equity Statement'!J47</f>
        <v>11912.212</v>
      </c>
      <c r="K86" s="608">
        <f>+'Future Fund  Equity Statement'!K47</f>
        <v>11589.416615</v>
      </c>
      <c r="L86" s="608">
        <f>+'Future Fund  Equity Statement'!L47</f>
        <v>11273.582830675001</v>
      </c>
      <c r="M86" s="608">
        <f>+'Future Fund  Equity Statement'!M47</f>
        <v>10965.381308586875</v>
      </c>
      <c r="N86" s="608">
        <f>+'Future Fund  Equity Statement'!N47</f>
        <v>10665.517111476176</v>
      </c>
      <c r="O86" s="608">
        <f>+'Future Fund  Equity Statement'!O47</f>
        <v>10374.731219948797</v>
      </c>
      <c r="P86" s="608">
        <f>+'Future Fund  Equity Statement'!P47</f>
        <v>10093.802112247802</v>
      </c>
    </row>
    <row r="87" spans="1:16" ht="12" thickBot="1" x14ac:dyDescent="0.25">
      <c r="A87" s="653" t="s">
        <v>58</v>
      </c>
      <c r="B87" s="669"/>
      <c r="C87" s="669"/>
      <c r="D87" s="608">
        <f>D41</f>
        <v>0</v>
      </c>
      <c r="E87" s="669">
        <f>+'Future Fund  Equity Statement'!E56</f>
        <v>0</v>
      </c>
      <c r="F87" s="669">
        <f>+'Future Fund  Equity Statement'!F56</f>
        <v>0</v>
      </c>
      <c r="G87" s="669">
        <f>+'Future Fund  Equity Statement'!G56</f>
        <v>0</v>
      </c>
      <c r="H87" s="669">
        <f>+'Future Fund  Equity Statement'!H56</f>
        <v>0</v>
      </c>
      <c r="I87" s="669">
        <f>+'Future Fund  Equity Statement'!I56</f>
        <v>0</v>
      </c>
      <c r="J87" s="669">
        <f>+'Future Fund  Equity Statement'!J56</f>
        <v>0</v>
      </c>
      <c r="K87" s="669">
        <f>+'Future Fund  Equity Statement'!K56</f>
        <v>0</v>
      </c>
      <c r="L87" s="669">
        <f>+'Future Fund  Equity Statement'!L56</f>
        <v>0</v>
      </c>
      <c r="M87" s="669">
        <f>+'Future Fund  Equity Statement'!M56</f>
        <v>0</v>
      </c>
      <c r="N87" s="669">
        <f>+'Future Fund  Equity Statement'!N56</f>
        <v>0</v>
      </c>
      <c r="O87" s="669">
        <f>+'Future Fund  Equity Statement'!O56</f>
        <v>0</v>
      </c>
      <c r="P87" s="669">
        <f>+'Future Fund  Equity Statement'!P56</f>
        <v>0</v>
      </c>
    </row>
    <row r="88" spans="1:16" s="657" customFormat="1" ht="12" thickBot="1" x14ac:dyDescent="0.25">
      <c r="A88" s="654" t="s">
        <v>59</v>
      </c>
      <c r="B88" s="668">
        <f>SUM(B86:B87)</f>
        <v>0</v>
      </c>
      <c r="C88" s="668">
        <f t="shared" ref="C88:P88" si="46">SUM(C86:C87)</f>
        <v>0</v>
      </c>
      <c r="D88" s="668">
        <f t="shared" si="46"/>
        <v>0</v>
      </c>
      <c r="E88" s="668">
        <f t="shared" si="46"/>
        <v>12919</v>
      </c>
      <c r="F88" s="668">
        <f t="shared" si="46"/>
        <v>13046.875</v>
      </c>
      <c r="G88" s="668">
        <f t="shared" si="46"/>
        <v>12947.654</v>
      </c>
      <c r="H88" s="668">
        <f t="shared" si="46"/>
        <v>12651.874</v>
      </c>
      <c r="I88" s="668">
        <f t="shared" si="46"/>
        <v>12307.397999999999</v>
      </c>
      <c r="J88" s="668">
        <f t="shared" si="46"/>
        <v>11912.212</v>
      </c>
      <c r="K88" s="668">
        <f t="shared" si="46"/>
        <v>11589.416615</v>
      </c>
      <c r="L88" s="668">
        <f t="shared" si="46"/>
        <v>11273.582830675001</v>
      </c>
      <c r="M88" s="668">
        <f t="shared" si="46"/>
        <v>10965.381308586875</v>
      </c>
      <c r="N88" s="668">
        <f t="shared" si="46"/>
        <v>10665.517111476176</v>
      </c>
      <c r="O88" s="668">
        <f t="shared" si="46"/>
        <v>10374.731219948797</v>
      </c>
      <c r="P88" s="668">
        <f t="shared" si="46"/>
        <v>10093.802112247802</v>
      </c>
    </row>
    <row r="89" spans="1:16" ht="12" thickTop="1" x14ac:dyDescent="0.2">
      <c r="B89" s="608"/>
      <c r="C89" s="608"/>
      <c r="D89" s="608"/>
      <c r="E89" s="608"/>
      <c r="F89" s="608"/>
      <c r="G89" s="608"/>
      <c r="H89" s="608"/>
      <c r="I89" s="608"/>
      <c r="J89" s="608"/>
      <c r="K89" s="608"/>
      <c r="L89" s="608"/>
      <c r="M89" s="608"/>
      <c r="N89" s="608"/>
      <c r="O89" s="608"/>
      <c r="P89" s="608"/>
    </row>
    <row r="90" spans="1:16" ht="11.25" hidden="1" outlineLevel="1" x14ac:dyDescent="0.2">
      <c r="A90" s="653" t="s">
        <v>111</v>
      </c>
      <c r="B90" s="621">
        <f>+B83-B88</f>
        <v>0</v>
      </c>
      <c r="C90" s="621">
        <f t="shared" ref="C90:P90" si="47">+C83-C88</f>
        <v>0</v>
      </c>
      <c r="D90" s="621">
        <f t="shared" si="47"/>
        <v>0</v>
      </c>
      <c r="E90" s="621">
        <f t="shared" si="47"/>
        <v>0</v>
      </c>
      <c r="F90" s="621">
        <f t="shared" si="47"/>
        <v>0</v>
      </c>
      <c r="G90" s="621">
        <f t="shared" si="47"/>
        <v>0</v>
      </c>
      <c r="H90" s="621">
        <f t="shared" si="47"/>
        <v>0</v>
      </c>
      <c r="I90" s="621">
        <f t="shared" si="47"/>
        <v>0</v>
      </c>
      <c r="J90" s="621">
        <f t="shared" si="47"/>
        <v>0</v>
      </c>
      <c r="K90" s="621">
        <f t="shared" si="47"/>
        <v>0</v>
      </c>
      <c r="L90" s="621">
        <f t="shared" si="47"/>
        <v>0</v>
      </c>
      <c r="M90" s="621">
        <f t="shared" si="47"/>
        <v>0</v>
      </c>
      <c r="N90" s="621">
        <f t="shared" si="47"/>
        <v>0</v>
      </c>
      <c r="O90" s="621">
        <f t="shared" si="47"/>
        <v>0</v>
      </c>
      <c r="P90" s="621">
        <f t="shared" si="47"/>
        <v>0</v>
      </c>
    </row>
    <row r="91" spans="1:16" ht="11.25" hidden="1" outlineLevel="1" x14ac:dyDescent="0.2">
      <c r="A91" s="653" t="s">
        <v>112</v>
      </c>
      <c r="B91" s="621">
        <f>+B88-'GF &amp; FF  Equity Statement'!B67</f>
        <v>0</v>
      </c>
      <c r="C91" s="621">
        <f>+C88-'GF &amp; FF  Equity Statement'!C67</f>
        <v>0</v>
      </c>
      <c r="D91" s="621">
        <f>+D88-'Future Fund  Equity Statement'!D67</f>
        <v>0</v>
      </c>
      <c r="E91" s="621">
        <f>+E88-'Future Fund  Equity Statement'!E67</f>
        <v>0</v>
      </c>
      <c r="F91" s="621">
        <f>+F88-'Future Fund  Equity Statement'!F67</f>
        <v>0</v>
      </c>
      <c r="G91" s="621">
        <f>+G88-'Future Fund  Equity Statement'!G67</f>
        <v>0</v>
      </c>
      <c r="H91" s="621">
        <f>+H88-'Future Fund  Equity Statement'!H67</f>
        <v>0</v>
      </c>
      <c r="I91" s="621">
        <f>+I88-'Future Fund  Equity Statement'!I67</f>
        <v>0</v>
      </c>
      <c r="J91" s="621">
        <f>+J88-'Future Fund  Equity Statement'!J67</f>
        <v>0</v>
      </c>
      <c r="K91" s="621">
        <f>+K88-'Future Fund  Equity Statement'!K67</f>
        <v>0</v>
      </c>
      <c r="L91" s="621">
        <f>+L88-'Future Fund  Equity Statement'!L67</f>
        <v>0</v>
      </c>
      <c r="M91" s="621">
        <f>+M88-'Future Fund  Equity Statement'!M67</f>
        <v>0</v>
      </c>
      <c r="N91" s="621">
        <f>+N88-'Future Fund  Equity Statement'!N67</f>
        <v>0</v>
      </c>
      <c r="O91" s="621">
        <f>+O88-'Future Fund  Equity Statement'!O67</f>
        <v>0</v>
      </c>
      <c r="P91" s="621">
        <f>+P88-'Future Fund  Equity Statement'!P67</f>
        <v>0</v>
      </c>
    </row>
    <row r="92" spans="1:16" ht="11.25" collapsed="1" x14ac:dyDescent="0.2"/>
    <row r="93" spans="1:16" ht="12.75" x14ac:dyDescent="0.2">
      <c r="A93" s="1091" t="s">
        <v>1364</v>
      </c>
    </row>
    <row r="94" spans="1:16" ht="12" x14ac:dyDescent="0.2">
      <c r="A94" s="673" t="s">
        <v>1069</v>
      </c>
      <c r="B94" s="586" t="s">
        <v>69</v>
      </c>
      <c r="C94" s="586" t="s">
        <v>69</v>
      </c>
      <c r="D94" s="586" t="s">
        <v>69</v>
      </c>
      <c r="E94" s="586" t="s">
        <v>69</v>
      </c>
      <c r="F94" s="586" t="s">
        <v>70</v>
      </c>
      <c r="G94" s="586" t="s">
        <v>70</v>
      </c>
      <c r="H94" s="586" t="s">
        <v>71</v>
      </c>
      <c r="I94" s="586" t="s">
        <v>71</v>
      </c>
      <c r="J94" s="586" t="s">
        <v>71</v>
      </c>
      <c r="K94" s="586" t="s">
        <v>71</v>
      </c>
      <c r="L94" s="586" t="s">
        <v>71</v>
      </c>
      <c r="M94" s="586" t="s">
        <v>71</v>
      </c>
      <c r="N94" s="586" t="s">
        <v>71</v>
      </c>
      <c r="O94" s="586" t="s">
        <v>71</v>
      </c>
      <c r="P94" s="586" t="s">
        <v>71</v>
      </c>
    </row>
    <row r="95" spans="1:16" ht="11.25" x14ac:dyDescent="0.2">
      <c r="A95" s="652" t="s">
        <v>72</v>
      </c>
      <c r="B95" s="741" t="s">
        <v>68</v>
      </c>
      <c r="C95" s="694" t="s">
        <v>0</v>
      </c>
      <c r="D95" s="694" t="s">
        <v>1</v>
      </c>
      <c r="E95" s="694" t="s">
        <v>2</v>
      </c>
      <c r="F95" s="694" t="s">
        <v>3</v>
      </c>
      <c r="G95" s="694" t="s">
        <v>4</v>
      </c>
      <c r="H95" s="694" t="s">
        <v>5</v>
      </c>
      <c r="I95" s="694" t="s">
        <v>6</v>
      </c>
      <c r="J95" s="694" t="s">
        <v>7</v>
      </c>
      <c r="K95" s="694" t="s">
        <v>8</v>
      </c>
      <c r="L95" s="694" t="s">
        <v>9</v>
      </c>
      <c r="M95" s="694" t="s">
        <v>514</v>
      </c>
      <c r="N95" s="694" t="s">
        <v>515</v>
      </c>
      <c r="O95" s="694" t="s">
        <v>904</v>
      </c>
      <c r="P95" s="694" t="s">
        <v>1046</v>
      </c>
    </row>
    <row r="96" spans="1:16" ht="11.25" x14ac:dyDescent="0.2">
      <c r="A96" s="661"/>
      <c r="B96" s="662"/>
      <c r="C96" s="662"/>
      <c r="D96" s="663"/>
      <c r="E96" s="663"/>
      <c r="F96" s="663"/>
      <c r="G96" s="663"/>
      <c r="H96" s="663"/>
      <c r="I96" s="663"/>
      <c r="J96" s="663"/>
      <c r="K96" s="663"/>
      <c r="L96" s="663"/>
      <c r="M96" s="663"/>
      <c r="N96" s="663"/>
      <c r="O96" s="663"/>
      <c r="P96" s="663"/>
    </row>
    <row r="97" spans="1:16" ht="11.25" x14ac:dyDescent="0.2">
      <c r="A97" s="654" t="s">
        <v>35</v>
      </c>
      <c r="B97" s="608"/>
      <c r="C97" s="608"/>
      <c r="D97" s="608"/>
      <c r="E97" s="608"/>
      <c r="F97" s="608"/>
      <c r="G97" s="608"/>
      <c r="H97" s="608"/>
      <c r="I97" s="608"/>
      <c r="J97" s="608"/>
      <c r="K97" s="608"/>
      <c r="L97" s="608"/>
      <c r="M97" s="608"/>
      <c r="N97" s="608"/>
      <c r="O97" s="608"/>
      <c r="P97" s="608"/>
    </row>
    <row r="98" spans="1:16" ht="11.25" x14ac:dyDescent="0.2">
      <c r="A98" s="654" t="s">
        <v>36</v>
      </c>
      <c r="B98" s="608"/>
      <c r="C98" s="608"/>
      <c r="D98" s="608"/>
      <c r="E98" s="608"/>
      <c r="F98" s="608"/>
      <c r="G98" s="608"/>
      <c r="H98" s="608"/>
      <c r="I98" s="608"/>
      <c r="J98" s="608"/>
      <c r="K98" s="608"/>
      <c r="L98" s="608"/>
      <c r="M98" s="608"/>
      <c r="N98" s="608"/>
      <c r="O98" s="608"/>
      <c r="P98" s="608"/>
    </row>
    <row r="99" spans="1:16" ht="11.25" x14ac:dyDescent="0.2">
      <c r="A99" s="653" t="s">
        <v>37</v>
      </c>
      <c r="B99" s="608"/>
      <c r="C99" s="608"/>
      <c r="D99" s="608">
        <f>D53</f>
        <v>0</v>
      </c>
      <c r="E99" s="608">
        <f t="shared" ref="E99:E103" si="48">E53</f>
        <v>0</v>
      </c>
      <c r="F99" s="608">
        <f>+'Future Fund  Cash Flow'!F154</f>
        <v>0</v>
      </c>
      <c r="G99" s="608">
        <f>+'Future Fund  Cash Flow'!G154</f>
        <v>170.46600000000012</v>
      </c>
      <c r="H99" s="608">
        <f>+'Future Fund  Cash Flow'!H154</f>
        <v>150.68100000000027</v>
      </c>
      <c r="I99" s="608">
        <f>+'Future Fund  Cash Flow'!I154</f>
        <v>86.860000000000468</v>
      </c>
      <c r="J99" s="608">
        <f>+'Future Fund  Cash Flow'!J154</f>
        <v>-19.256999999999834</v>
      </c>
      <c r="K99" s="608">
        <f>+'Future Fund  Cash Flow'!K154</f>
        <v>-45.756660000000124</v>
      </c>
      <c r="L99" s="608">
        <f>+'Future Fund  Cash Flow'!L154</f>
        <v>-57.887326200000416</v>
      </c>
      <c r="M99" s="608">
        <f>+'Future Fund  Cash Flow'!M154</f>
        <v>-54.793152210000756</v>
      </c>
      <c r="N99" s="608">
        <f>+'Future Fund  Cash Flow'!N154</f>
        <v>-35.579260840620861</v>
      </c>
      <c r="O99" s="608">
        <f>+'Future Fund  Cash Flow'!O154</f>
        <v>0.68988832408069811</v>
      </c>
      <c r="P99" s="608">
        <f>+'Future Fund  Cash Flow'!P154</f>
        <v>54.99219733246855</v>
      </c>
    </row>
    <row r="100" spans="1:16" ht="11.25" x14ac:dyDescent="0.2">
      <c r="A100" s="653" t="s">
        <v>38</v>
      </c>
      <c r="B100" s="608"/>
      <c r="C100" s="608"/>
      <c r="D100" s="608">
        <f>D54</f>
        <v>0</v>
      </c>
      <c r="E100" s="608">
        <f t="shared" si="48"/>
        <v>0</v>
      </c>
      <c r="F100" s="608">
        <f>+'Future Fund  Cash Flow'!F156-F107</f>
        <v>127.875</v>
      </c>
      <c r="G100" s="608">
        <f>+'Future Fund  Cash Flow'!G156-G107</f>
        <v>127.875</v>
      </c>
      <c r="H100" s="608">
        <f>+'Future Fund  Cash Flow'!H156-H107</f>
        <v>1627.875</v>
      </c>
      <c r="I100" s="608">
        <f>+'Future Fund  Cash Flow'!I156-I107</f>
        <v>1627.875</v>
      </c>
      <c r="J100" s="608">
        <f>+'Future Fund  Cash Flow'!J156-J107</f>
        <v>1627.875</v>
      </c>
      <c r="K100" s="608">
        <f>+'Future Fund  Cash Flow'!K156-K107</f>
        <v>1627.875</v>
      </c>
      <c r="L100" s="608">
        <f>+'Future Fund  Cash Flow'!L156-L107</f>
        <v>1627.875</v>
      </c>
      <c r="M100" s="608">
        <f>+'Future Fund  Cash Flow'!M156-M107</f>
        <v>1627.875</v>
      </c>
      <c r="N100" s="608">
        <f>+'Future Fund  Cash Flow'!N156-N107</f>
        <v>1627.875</v>
      </c>
      <c r="O100" s="608">
        <f>+'Future Fund  Cash Flow'!O156-O107</f>
        <v>1627.875</v>
      </c>
      <c r="P100" s="608">
        <f>+'Future Fund  Cash Flow'!P156-P107</f>
        <v>1627.875</v>
      </c>
    </row>
    <row r="101" spans="1:16" ht="11.25" x14ac:dyDescent="0.2">
      <c r="A101" s="653" t="s">
        <v>39</v>
      </c>
      <c r="B101" s="608"/>
      <c r="C101" s="608"/>
      <c r="D101" s="608">
        <f>D55</f>
        <v>0</v>
      </c>
      <c r="E101" s="608">
        <f t="shared" si="48"/>
        <v>0</v>
      </c>
      <c r="F101" s="608">
        <f t="shared" ref="F101:P103" si="49">+E101</f>
        <v>0</v>
      </c>
      <c r="G101" s="608">
        <f t="shared" si="49"/>
        <v>0</v>
      </c>
      <c r="H101" s="608">
        <f t="shared" si="49"/>
        <v>0</v>
      </c>
      <c r="I101" s="608">
        <f t="shared" si="49"/>
        <v>0</v>
      </c>
      <c r="J101" s="608">
        <f t="shared" si="49"/>
        <v>0</v>
      </c>
      <c r="K101" s="608">
        <f t="shared" si="49"/>
        <v>0</v>
      </c>
      <c r="L101" s="608">
        <f t="shared" si="49"/>
        <v>0</v>
      </c>
      <c r="M101" s="608">
        <f t="shared" si="49"/>
        <v>0</v>
      </c>
      <c r="N101" s="608">
        <f t="shared" si="49"/>
        <v>0</v>
      </c>
      <c r="O101" s="608">
        <f t="shared" si="49"/>
        <v>0</v>
      </c>
      <c r="P101" s="608">
        <f t="shared" si="49"/>
        <v>0</v>
      </c>
    </row>
    <row r="102" spans="1:16" ht="11.25" x14ac:dyDescent="0.2">
      <c r="A102" s="653" t="s">
        <v>40</v>
      </c>
      <c r="B102" s="608"/>
      <c r="C102" s="608"/>
      <c r="D102" s="608">
        <f>D56</f>
        <v>0</v>
      </c>
      <c r="E102" s="608">
        <f t="shared" si="48"/>
        <v>1947</v>
      </c>
      <c r="F102" s="608">
        <f t="shared" si="49"/>
        <v>1947</v>
      </c>
      <c r="G102" s="608">
        <f t="shared" si="49"/>
        <v>1947</v>
      </c>
      <c r="H102" s="608">
        <f t="shared" si="49"/>
        <v>1947</v>
      </c>
      <c r="I102" s="608">
        <f t="shared" si="49"/>
        <v>1947</v>
      </c>
      <c r="J102" s="608">
        <f t="shared" si="49"/>
        <v>1947</v>
      </c>
      <c r="K102" s="608">
        <f t="shared" si="49"/>
        <v>1947</v>
      </c>
      <c r="L102" s="608">
        <f t="shared" si="49"/>
        <v>1947</v>
      </c>
      <c r="M102" s="608">
        <f t="shared" si="49"/>
        <v>1947</v>
      </c>
      <c r="N102" s="608">
        <f t="shared" si="49"/>
        <v>1947</v>
      </c>
      <c r="O102" s="608">
        <f t="shared" si="49"/>
        <v>1947</v>
      </c>
      <c r="P102" s="608">
        <f t="shared" si="49"/>
        <v>1947</v>
      </c>
    </row>
    <row r="103" spans="1:16" ht="11.25" x14ac:dyDescent="0.2">
      <c r="A103" s="655" t="s">
        <v>41</v>
      </c>
      <c r="B103" s="615"/>
      <c r="C103" s="608"/>
      <c r="D103" s="608">
        <f>D57</f>
        <v>0</v>
      </c>
      <c r="E103" s="608">
        <f t="shared" si="48"/>
        <v>0</v>
      </c>
      <c r="F103" s="608">
        <f t="shared" si="49"/>
        <v>0</v>
      </c>
      <c r="G103" s="608">
        <f t="shared" si="49"/>
        <v>0</v>
      </c>
      <c r="H103" s="608">
        <f t="shared" si="49"/>
        <v>0</v>
      </c>
      <c r="I103" s="608">
        <f t="shared" si="49"/>
        <v>0</v>
      </c>
      <c r="J103" s="608">
        <f t="shared" si="49"/>
        <v>0</v>
      </c>
      <c r="K103" s="608">
        <f t="shared" si="49"/>
        <v>0</v>
      </c>
      <c r="L103" s="608">
        <f t="shared" si="49"/>
        <v>0</v>
      </c>
      <c r="M103" s="608">
        <f t="shared" si="49"/>
        <v>0</v>
      </c>
      <c r="N103" s="608">
        <f t="shared" si="49"/>
        <v>0</v>
      </c>
      <c r="O103" s="608">
        <f t="shared" si="49"/>
        <v>0</v>
      </c>
      <c r="P103" s="608">
        <f t="shared" si="49"/>
        <v>0</v>
      </c>
    </row>
    <row r="104" spans="1:16" ht="11.25" x14ac:dyDescent="0.2">
      <c r="A104" s="654" t="s">
        <v>42</v>
      </c>
      <c r="B104" s="656">
        <f>SUM(B99:B103)</f>
        <v>0</v>
      </c>
      <c r="C104" s="656">
        <f t="shared" ref="C104:P104" si="50">SUM(C99:C103)</f>
        <v>0</v>
      </c>
      <c r="D104" s="656">
        <f t="shared" si="50"/>
        <v>0</v>
      </c>
      <c r="E104" s="656">
        <f t="shared" si="50"/>
        <v>1947</v>
      </c>
      <c r="F104" s="656">
        <f t="shared" si="50"/>
        <v>2074.875</v>
      </c>
      <c r="G104" s="656">
        <f t="shared" si="50"/>
        <v>2245.3410000000003</v>
      </c>
      <c r="H104" s="656">
        <f t="shared" si="50"/>
        <v>3725.5560000000005</v>
      </c>
      <c r="I104" s="656">
        <f t="shared" si="50"/>
        <v>3661.7350000000006</v>
      </c>
      <c r="J104" s="656">
        <f t="shared" si="50"/>
        <v>3555.6180000000004</v>
      </c>
      <c r="K104" s="656">
        <f t="shared" si="50"/>
        <v>3529.11834</v>
      </c>
      <c r="L104" s="656">
        <f t="shared" si="50"/>
        <v>3516.9876737999994</v>
      </c>
      <c r="M104" s="656">
        <f t="shared" si="50"/>
        <v>3520.0818477899993</v>
      </c>
      <c r="N104" s="656">
        <f t="shared" si="50"/>
        <v>3539.2957391593791</v>
      </c>
      <c r="O104" s="656">
        <f t="shared" si="50"/>
        <v>3575.5648883240806</v>
      </c>
      <c r="P104" s="656">
        <f t="shared" si="50"/>
        <v>3629.8671973324685</v>
      </c>
    </row>
    <row r="105" spans="1:16" ht="11.25" x14ac:dyDescent="0.2">
      <c r="B105" s="608"/>
      <c r="C105" s="608"/>
      <c r="D105" s="608"/>
      <c r="E105" s="608"/>
      <c r="F105" s="608"/>
      <c r="G105" s="608"/>
      <c r="H105" s="608"/>
      <c r="I105" s="608"/>
      <c r="J105" s="608"/>
      <c r="K105" s="608"/>
      <c r="L105" s="608"/>
      <c r="M105" s="608"/>
      <c r="N105" s="608"/>
      <c r="O105" s="608"/>
      <c r="P105" s="608"/>
    </row>
    <row r="106" spans="1:16" ht="11.25" x14ac:dyDescent="0.2">
      <c r="A106" s="654" t="s">
        <v>43</v>
      </c>
      <c r="B106" s="608"/>
      <c r="C106" s="608"/>
      <c r="D106" s="608"/>
      <c r="E106" s="608"/>
      <c r="F106" s="608"/>
      <c r="G106" s="608"/>
      <c r="H106" s="608"/>
      <c r="I106" s="608"/>
      <c r="J106" s="608"/>
      <c r="K106" s="608"/>
      <c r="L106" s="608"/>
      <c r="M106" s="608"/>
      <c r="N106" s="608"/>
      <c r="O106" s="608"/>
      <c r="P106" s="608"/>
    </row>
    <row r="107" spans="1:16" ht="11.25" x14ac:dyDescent="0.2">
      <c r="A107" s="608" t="str">
        <f>A61</f>
        <v>Investments</v>
      </c>
      <c r="B107" s="608"/>
      <c r="C107" s="608"/>
      <c r="D107" s="608">
        <f>D61</f>
        <v>0</v>
      </c>
      <c r="E107" s="608">
        <f t="shared" ref="E107:E110" si="51">E61</f>
        <v>3</v>
      </c>
      <c r="F107" s="608">
        <f>E107</f>
        <v>3</v>
      </c>
      <c r="G107" s="608">
        <f t="shared" ref="G107:P107" si="52">F107</f>
        <v>3</v>
      </c>
      <c r="H107" s="608">
        <f t="shared" si="52"/>
        <v>3</v>
      </c>
      <c r="I107" s="608">
        <f t="shared" si="52"/>
        <v>3</v>
      </c>
      <c r="J107" s="608">
        <f t="shared" si="52"/>
        <v>3</v>
      </c>
      <c r="K107" s="608">
        <f t="shared" si="52"/>
        <v>3</v>
      </c>
      <c r="L107" s="608">
        <f t="shared" si="52"/>
        <v>3</v>
      </c>
      <c r="M107" s="608">
        <f t="shared" si="52"/>
        <v>3</v>
      </c>
      <c r="N107" s="608">
        <f t="shared" si="52"/>
        <v>3</v>
      </c>
      <c r="O107" s="608">
        <f t="shared" si="52"/>
        <v>3</v>
      </c>
      <c r="P107" s="608">
        <f t="shared" si="52"/>
        <v>3</v>
      </c>
    </row>
    <row r="108" spans="1:16" ht="11.25" x14ac:dyDescent="0.2">
      <c r="A108" s="760" t="s">
        <v>44</v>
      </c>
      <c r="B108" s="608"/>
      <c r="C108" s="608"/>
      <c r="D108" s="608">
        <f>D62</f>
        <v>0</v>
      </c>
      <c r="E108" s="608">
        <f t="shared" si="51"/>
        <v>10350</v>
      </c>
      <c r="F108" s="608">
        <f>+E108-'Future Fund  Inc Exp Statement'!F171+SUM('Future Fund  Inc Exp Statement'!F195:F197)-'Future Fund  Inc Exp Statement'!F196+'Future Fund  Cash Flow'!F131-'Future Fund  Inc Exp Statement'!F209</f>
        <v>20350</v>
      </c>
      <c r="G108" s="608">
        <f>+F108-'Future Fund  Inc Exp Statement'!G171+SUM('Future Fund  Inc Exp Statement'!G195:G197)-'Future Fund  Inc Exp Statement'!G196+'Future Fund  Cash Flow'!G131-'Future Fund  Inc Exp Statement'!G209</f>
        <v>20080.312999999998</v>
      </c>
      <c r="H108" s="608">
        <f>+G108-'Future Fund  Inc Exp Statement'!H171+SUM('Future Fund  Inc Exp Statement'!H195:H197)-'Future Fund  Inc Exp Statement'!H196+'Future Fund  Cash Flow'!H131-'Future Fund  Inc Exp Statement'!H209</f>
        <v>19804.317999999999</v>
      </c>
      <c r="I108" s="608">
        <f>+H108-'Future Fund  Inc Exp Statement'!I171+SUM('Future Fund  Inc Exp Statement'!I195:I197)-'Future Fund  Inc Exp Statement'!I196+'Future Fund  Cash Flow'!I131-'Future Fund  Inc Exp Statement'!I209</f>
        <v>19523.663</v>
      </c>
      <c r="J108" s="608">
        <f>+I108-'Future Fund  Inc Exp Statement'!J171+SUM('Future Fund  Inc Exp Statement'!J195:J197)-'Future Fund  Inc Exp Statement'!J196+'Future Fund  Cash Flow'!J131-'Future Fund  Inc Exp Statement'!J209</f>
        <v>19234.594000000001</v>
      </c>
      <c r="K108" s="608">
        <f>+J108-'Future Fund  Inc Exp Statement'!K171+SUM('Future Fund  Inc Exp Statement'!K195:K197)-'Future Fund  Inc Exp Statement'!K196+'Future Fund  Cash Flow'!K131-'Future Fund  Inc Exp Statement'!K209</f>
        <v>18938.298275000001</v>
      </c>
      <c r="L108" s="608">
        <f>+K108-'Future Fund  Inc Exp Statement'!L171+SUM('Future Fund  Inc Exp Statement'!L195:L197)-'Future Fund  Inc Exp Statement'!L196+'Future Fund  Cash Flow'!L131-'Future Fund  Inc Exp Statement'!L209</f>
        <v>18634.595156875002</v>
      </c>
      <c r="M108" s="608">
        <f>+L108-'Future Fund  Inc Exp Statement'!M171+SUM('Future Fund  Inc Exp Statement'!M195:M197)-'Future Fund  Inc Exp Statement'!M196+'Future Fund  Cash Flow'!M131-'Future Fund  Inc Exp Statement'!M209</f>
        <v>18323.299460796876</v>
      </c>
      <c r="N108" s="608">
        <f>+M108-'Future Fund  Inc Exp Statement'!N171+SUM('Future Fund  Inc Exp Statement'!N195:N197)-'Future Fund  Inc Exp Statement'!N196+'Future Fund  Cash Flow'!N131-'Future Fund  Inc Exp Statement'!N209</f>
        <v>18004.221372316799</v>
      </c>
      <c r="O108" s="608">
        <f>+N108-'Future Fund  Inc Exp Statement'!O171+SUM('Future Fund  Inc Exp Statement'!O195:O197)-'Future Fund  Inc Exp Statement'!O196+'Future Fund  Cash Flow'!O131-'Future Fund  Inc Exp Statement'!O209</f>
        <v>17677.166331624718</v>
      </c>
      <c r="P108" s="608">
        <f>+O108-'Future Fund  Inc Exp Statement'!P171+SUM('Future Fund  Inc Exp Statement'!P195:P197)-'Future Fund  Inc Exp Statement'!P196+'Future Fund  Cash Flow'!P131-'Future Fund  Inc Exp Statement'!P209</f>
        <v>17341.934914915335</v>
      </c>
    </row>
    <row r="109" spans="1:16" ht="22.5" x14ac:dyDescent="0.2">
      <c r="A109" s="608" t="str">
        <f t="shared" ref="A109:A110" si="53">A63</f>
        <v>Investments accounted for using the equity method</v>
      </c>
      <c r="B109" s="608"/>
      <c r="C109" s="608"/>
      <c r="D109" s="608">
        <f t="shared" ref="D109:P110" si="54">D63</f>
        <v>0</v>
      </c>
      <c r="E109" s="608">
        <f t="shared" si="51"/>
        <v>0</v>
      </c>
      <c r="F109" s="608">
        <f t="shared" si="54"/>
        <v>0</v>
      </c>
      <c r="G109" s="608">
        <f t="shared" si="54"/>
        <v>0</v>
      </c>
      <c r="H109" s="608">
        <f t="shared" si="54"/>
        <v>0</v>
      </c>
      <c r="I109" s="608">
        <f t="shared" si="54"/>
        <v>0</v>
      </c>
      <c r="J109" s="608">
        <f t="shared" si="54"/>
        <v>0</v>
      </c>
      <c r="K109" s="608">
        <f t="shared" si="54"/>
        <v>0</v>
      </c>
      <c r="L109" s="608">
        <f t="shared" si="54"/>
        <v>0</v>
      </c>
      <c r="M109" s="608">
        <f t="shared" si="54"/>
        <v>0</v>
      </c>
      <c r="N109" s="608">
        <f t="shared" si="54"/>
        <v>0</v>
      </c>
      <c r="O109" s="608">
        <f t="shared" si="54"/>
        <v>0</v>
      </c>
      <c r="P109" s="608">
        <f t="shared" si="54"/>
        <v>0</v>
      </c>
    </row>
    <row r="110" spans="1:16" ht="11.25" x14ac:dyDescent="0.2">
      <c r="A110" s="608" t="str">
        <f t="shared" si="53"/>
        <v>Investment Property</v>
      </c>
      <c r="B110" s="608"/>
      <c r="C110" s="608"/>
      <c r="D110" s="608">
        <f t="shared" si="54"/>
        <v>0</v>
      </c>
      <c r="E110" s="608">
        <f t="shared" si="51"/>
        <v>20675</v>
      </c>
      <c r="F110" s="608">
        <f>E110+'Future Fund  Inc Exp Statement'!F196-'Future Fund  Cash Flow'!F131</f>
        <v>20675</v>
      </c>
      <c r="G110" s="608">
        <f>F110+'Future Fund  Inc Exp Statement'!G196-'Future Fund  Cash Flow'!G131</f>
        <v>20675</v>
      </c>
      <c r="H110" s="608">
        <f>G110+'Future Fund  Inc Exp Statement'!H196-'Future Fund  Cash Flow'!H131</f>
        <v>19175</v>
      </c>
      <c r="I110" s="608">
        <f>H110+'Future Fund  Inc Exp Statement'!I196-'Future Fund  Cash Flow'!I131</f>
        <v>19175</v>
      </c>
      <c r="J110" s="608">
        <f>I110+'Future Fund  Inc Exp Statement'!J196-'Future Fund  Cash Flow'!J131</f>
        <v>19175</v>
      </c>
      <c r="K110" s="608">
        <f>J110+'Future Fund  Inc Exp Statement'!K196-'Future Fund  Cash Flow'!K131</f>
        <v>19175</v>
      </c>
      <c r="L110" s="608">
        <f>K110+'Future Fund  Inc Exp Statement'!L196-'Future Fund  Cash Flow'!L131</f>
        <v>19175</v>
      </c>
      <c r="M110" s="608">
        <f>L110+'Future Fund  Inc Exp Statement'!M196-'Future Fund  Cash Flow'!M131</f>
        <v>19175</v>
      </c>
      <c r="N110" s="608">
        <f>M110+'Future Fund  Inc Exp Statement'!N196-'Future Fund  Cash Flow'!N131</f>
        <v>19175</v>
      </c>
      <c r="O110" s="608">
        <f>N110+'Future Fund  Inc Exp Statement'!O196-'Future Fund  Cash Flow'!O131</f>
        <v>19175</v>
      </c>
      <c r="P110" s="608">
        <f>O110+'Future Fund  Inc Exp Statement'!P196-'Future Fund  Cash Flow'!P131</f>
        <v>19175</v>
      </c>
    </row>
    <row r="111" spans="1:16" ht="11.25" x14ac:dyDescent="0.2">
      <c r="A111" s="761" t="s">
        <v>45</v>
      </c>
      <c r="B111" s="762">
        <f>SUM(B108)</f>
        <v>0</v>
      </c>
      <c r="C111" s="762">
        <f t="shared" ref="C111" si="55">SUM(C108)</f>
        <v>0</v>
      </c>
      <c r="D111" s="762">
        <f>SUM(D107:D110)</f>
        <v>0</v>
      </c>
      <c r="E111" s="762">
        <f t="shared" ref="E111:P111" si="56">SUM(E107:E110)</f>
        <v>31028</v>
      </c>
      <c r="F111" s="762">
        <f t="shared" si="56"/>
        <v>41028</v>
      </c>
      <c r="G111" s="762">
        <f t="shared" si="56"/>
        <v>40758.312999999995</v>
      </c>
      <c r="H111" s="762">
        <f t="shared" si="56"/>
        <v>38982.317999999999</v>
      </c>
      <c r="I111" s="762">
        <f t="shared" si="56"/>
        <v>38701.663</v>
      </c>
      <c r="J111" s="762">
        <f t="shared" si="56"/>
        <v>38412.593999999997</v>
      </c>
      <c r="K111" s="762">
        <f t="shared" si="56"/>
        <v>38116.298275000001</v>
      </c>
      <c r="L111" s="762">
        <f t="shared" si="56"/>
        <v>37812.595156875002</v>
      </c>
      <c r="M111" s="762">
        <f t="shared" si="56"/>
        <v>37501.299460796872</v>
      </c>
      <c r="N111" s="762">
        <f t="shared" si="56"/>
        <v>37182.221372316795</v>
      </c>
      <c r="O111" s="762">
        <f t="shared" si="56"/>
        <v>36855.166331624714</v>
      </c>
      <c r="P111" s="762">
        <f t="shared" si="56"/>
        <v>36519.934914915335</v>
      </c>
    </row>
    <row r="112" spans="1:16" ht="11.25" x14ac:dyDescent="0.2">
      <c r="B112" s="608"/>
      <c r="C112" s="608"/>
      <c r="D112" s="608"/>
      <c r="E112" s="608"/>
      <c r="F112" s="608"/>
      <c r="G112" s="608"/>
      <c r="H112" s="608"/>
      <c r="I112" s="608"/>
      <c r="J112" s="608"/>
      <c r="K112" s="608"/>
      <c r="L112" s="608"/>
      <c r="M112" s="608"/>
      <c r="N112" s="608"/>
      <c r="O112" s="608"/>
      <c r="P112" s="608"/>
    </row>
    <row r="113" spans="1:16" ht="12" thickBot="1" x14ac:dyDescent="0.25">
      <c r="A113" s="654" t="s">
        <v>46</v>
      </c>
      <c r="B113" s="665">
        <f>+B104+B111</f>
        <v>0</v>
      </c>
      <c r="C113" s="665">
        <f t="shared" ref="C113:P113" si="57">+C104+C111</f>
        <v>0</v>
      </c>
      <c r="D113" s="665">
        <f t="shared" si="57"/>
        <v>0</v>
      </c>
      <c r="E113" s="665">
        <f t="shared" si="57"/>
        <v>32975</v>
      </c>
      <c r="F113" s="665">
        <f t="shared" si="57"/>
        <v>43102.875</v>
      </c>
      <c r="G113" s="665">
        <f t="shared" si="57"/>
        <v>43003.653999999995</v>
      </c>
      <c r="H113" s="665">
        <f t="shared" si="57"/>
        <v>42707.873999999996</v>
      </c>
      <c r="I113" s="665">
        <f t="shared" si="57"/>
        <v>42363.398000000001</v>
      </c>
      <c r="J113" s="665">
        <f t="shared" si="57"/>
        <v>41968.212</v>
      </c>
      <c r="K113" s="665">
        <f t="shared" si="57"/>
        <v>41645.416615000002</v>
      </c>
      <c r="L113" s="665">
        <f t="shared" si="57"/>
        <v>41329.582830675005</v>
      </c>
      <c r="M113" s="665">
        <f t="shared" si="57"/>
        <v>41021.381308586875</v>
      </c>
      <c r="N113" s="665">
        <f t="shared" si="57"/>
        <v>40721.517111476176</v>
      </c>
      <c r="O113" s="665">
        <f t="shared" si="57"/>
        <v>40430.731219948793</v>
      </c>
      <c r="P113" s="665">
        <f t="shared" si="57"/>
        <v>40149.802112247802</v>
      </c>
    </row>
    <row r="114" spans="1:16" ht="11.25" x14ac:dyDescent="0.2">
      <c r="B114" s="608"/>
      <c r="C114" s="608"/>
      <c r="D114" s="608"/>
      <c r="E114" s="608"/>
      <c r="F114" s="608"/>
      <c r="G114" s="608"/>
      <c r="H114" s="608"/>
      <c r="I114" s="608"/>
      <c r="J114" s="608"/>
      <c r="K114" s="608"/>
      <c r="L114" s="608"/>
      <c r="M114" s="608"/>
      <c r="N114" s="608"/>
      <c r="O114" s="608"/>
      <c r="P114" s="608"/>
    </row>
    <row r="115" spans="1:16" ht="11.25" x14ac:dyDescent="0.2">
      <c r="A115" s="654" t="s">
        <v>47</v>
      </c>
      <c r="B115" s="608"/>
      <c r="C115" s="608"/>
      <c r="D115" s="608"/>
      <c r="E115" s="608"/>
      <c r="F115" s="608"/>
      <c r="G115" s="608"/>
      <c r="H115" s="608"/>
      <c r="I115" s="608"/>
      <c r="J115" s="608"/>
      <c r="K115" s="608"/>
      <c r="L115" s="608"/>
      <c r="M115" s="608"/>
      <c r="N115" s="608"/>
      <c r="O115" s="608"/>
      <c r="P115" s="608"/>
    </row>
    <row r="116" spans="1:16" ht="11.25" x14ac:dyDescent="0.2">
      <c r="A116" s="654" t="s">
        <v>48</v>
      </c>
      <c r="B116" s="608"/>
      <c r="C116" s="608"/>
      <c r="D116" s="608"/>
      <c r="E116" s="608"/>
      <c r="F116" s="608"/>
      <c r="G116" s="608"/>
      <c r="H116" s="608"/>
      <c r="I116" s="608"/>
      <c r="J116" s="608"/>
      <c r="K116" s="608"/>
      <c r="L116" s="608"/>
      <c r="M116" s="608"/>
      <c r="N116" s="608"/>
      <c r="O116" s="608"/>
      <c r="P116" s="608"/>
    </row>
    <row r="117" spans="1:16" ht="11.25" x14ac:dyDescent="0.2">
      <c r="A117" s="666" t="s">
        <v>49</v>
      </c>
      <c r="B117" s="608"/>
      <c r="C117" s="608"/>
      <c r="D117" s="608">
        <f>D71</f>
        <v>0</v>
      </c>
      <c r="E117" s="608">
        <f t="shared" ref="E117:E119" si="58">E71</f>
        <v>0</v>
      </c>
      <c r="F117" s="608">
        <f t="shared" ref="F117:P119" si="59">+E117</f>
        <v>0</v>
      </c>
      <c r="G117" s="608">
        <f t="shared" si="59"/>
        <v>0</v>
      </c>
      <c r="H117" s="608">
        <f t="shared" si="59"/>
        <v>0</v>
      </c>
      <c r="I117" s="608">
        <f t="shared" si="59"/>
        <v>0</v>
      </c>
      <c r="J117" s="608">
        <f t="shared" si="59"/>
        <v>0</v>
      </c>
      <c r="K117" s="608">
        <f t="shared" si="59"/>
        <v>0</v>
      </c>
      <c r="L117" s="608">
        <f t="shared" si="59"/>
        <v>0</v>
      </c>
      <c r="M117" s="608">
        <f t="shared" si="59"/>
        <v>0</v>
      </c>
      <c r="N117" s="608">
        <f t="shared" si="59"/>
        <v>0</v>
      </c>
      <c r="O117" s="608">
        <f t="shared" si="59"/>
        <v>0</v>
      </c>
      <c r="P117" s="608">
        <f t="shared" si="59"/>
        <v>0</v>
      </c>
    </row>
    <row r="118" spans="1:16" ht="11.25" x14ac:dyDescent="0.2">
      <c r="A118" s="666" t="s">
        <v>1051</v>
      </c>
      <c r="B118" s="608"/>
      <c r="C118" s="608"/>
      <c r="D118" s="608">
        <f>D72</f>
        <v>0</v>
      </c>
      <c r="E118" s="608">
        <f t="shared" si="58"/>
        <v>0</v>
      </c>
      <c r="F118" s="608">
        <f>-'Future Fund  Cash Flow'!G147</f>
        <v>0</v>
      </c>
      <c r="G118" s="608">
        <f>-'Future Fund  Cash Flow'!H147</f>
        <v>0</v>
      </c>
      <c r="H118" s="608">
        <f>-'Future Fund  Cash Flow'!I147</f>
        <v>0</v>
      </c>
      <c r="I118" s="608">
        <f>-'Future Fund  Cash Flow'!J147</f>
        <v>0</v>
      </c>
      <c r="J118" s="608">
        <f>-'Future Fund  Cash Flow'!K147</f>
        <v>0</v>
      </c>
      <c r="K118" s="608">
        <f>-'Future Fund  Cash Flow'!L147</f>
        <v>0</v>
      </c>
      <c r="L118" s="608">
        <f>-'Future Fund  Cash Flow'!M147</f>
        <v>0</v>
      </c>
      <c r="M118" s="608">
        <f>-'Future Fund  Cash Flow'!N147</f>
        <v>0</v>
      </c>
      <c r="N118" s="608">
        <f>-'Future Fund  Cash Flow'!O147</f>
        <v>0</v>
      </c>
      <c r="O118" s="608">
        <f>-'Future Fund  Cash Flow'!P147</f>
        <v>0</v>
      </c>
      <c r="P118" s="608">
        <f>-'Future Fund  Cash Flow'!Q147</f>
        <v>0</v>
      </c>
    </row>
    <row r="119" spans="1:16" ht="11.25" x14ac:dyDescent="0.2">
      <c r="A119" s="667" t="s">
        <v>50</v>
      </c>
      <c r="B119" s="615"/>
      <c r="C119" s="608"/>
      <c r="D119" s="608">
        <f t="shared" ref="D119" si="60">D73</f>
        <v>0</v>
      </c>
      <c r="E119" s="608">
        <f t="shared" si="58"/>
        <v>0</v>
      </c>
      <c r="F119" s="608">
        <f t="shared" si="59"/>
        <v>0</v>
      </c>
      <c r="G119" s="608">
        <f t="shared" si="59"/>
        <v>0</v>
      </c>
      <c r="H119" s="608">
        <f t="shared" si="59"/>
        <v>0</v>
      </c>
      <c r="I119" s="608">
        <f t="shared" si="59"/>
        <v>0</v>
      </c>
      <c r="J119" s="608">
        <f t="shared" si="59"/>
        <v>0</v>
      </c>
      <c r="K119" s="608">
        <f t="shared" si="59"/>
        <v>0</v>
      </c>
      <c r="L119" s="608">
        <f t="shared" si="59"/>
        <v>0</v>
      </c>
      <c r="M119" s="608">
        <f t="shared" si="59"/>
        <v>0</v>
      </c>
      <c r="N119" s="608">
        <f t="shared" si="59"/>
        <v>0</v>
      </c>
      <c r="O119" s="608">
        <f t="shared" si="59"/>
        <v>0</v>
      </c>
      <c r="P119" s="608">
        <f t="shared" si="59"/>
        <v>0</v>
      </c>
    </row>
    <row r="120" spans="1:16" ht="11.25" x14ac:dyDescent="0.2">
      <c r="A120" s="654" t="s">
        <v>51</v>
      </c>
      <c r="B120" s="656">
        <f>SUM(B117:B119)</f>
        <v>0</v>
      </c>
      <c r="C120" s="656">
        <f t="shared" ref="C120:P120" si="61">SUM(C117:C119)</f>
        <v>0</v>
      </c>
      <c r="D120" s="656">
        <f t="shared" si="61"/>
        <v>0</v>
      </c>
      <c r="E120" s="656">
        <f t="shared" si="61"/>
        <v>0</v>
      </c>
      <c r="F120" s="656">
        <f t="shared" si="61"/>
        <v>0</v>
      </c>
      <c r="G120" s="656">
        <f t="shared" si="61"/>
        <v>0</v>
      </c>
      <c r="H120" s="656">
        <f t="shared" si="61"/>
        <v>0</v>
      </c>
      <c r="I120" s="656">
        <f t="shared" si="61"/>
        <v>0</v>
      </c>
      <c r="J120" s="656">
        <f t="shared" si="61"/>
        <v>0</v>
      </c>
      <c r="K120" s="656">
        <f t="shared" si="61"/>
        <v>0</v>
      </c>
      <c r="L120" s="656">
        <f t="shared" si="61"/>
        <v>0</v>
      </c>
      <c r="M120" s="656">
        <f t="shared" si="61"/>
        <v>0</v>
      </c>
      <c r="N120" s="656">
        <f t="shared" si="61"/>
        <v>0</v>
      </c>
      <c r="O120" s="656">
        <f t="shared" si="61"/>
        <v>0</v>
      </c>
      <c r="P120" s="656">
        <f t="shared" si="61"/>
        <v>0</v>
      </c>
    </row>
    <row r="121" spans="1:16" ht="11.25" x14ac:dyDescent="0.2">
      <c r="B121" s="608"/>
      <c r="C121" s="608"/>
      <c r="D121" s="608"/>
      <c r="E121" s="608"/>
      <c r="F121" s="608"/>
      <c r="G121" s="608"/>
      <c r="H121" s="608"/>
      <c r="I121" s="608"/>
      <c r="J121" s="608"/>
      <c r="K121" s="608"/>
      <c r="L121" s="608"/>
      <c r="M121" s="608"/>
      <c r="N121" s="608"/>
      <c r="O121" s="608"/>
      <c r="P121" s="608"/>
    </row>
    <row r="122" spans="1:16" x14ac:dyDescent="0.2">
      <c r="A122" s="654" t="s">
        <v>52</v>
      </c>
      <c r="B122" s="608"/>
      <c r="C122" s="608"/>
      <c r="D122" s="608"/>
      <c r="E122" s="608"/>
      <c r="F122" s="608"/>
      <c r="G122" s="608"/>
      <c r="H122" s="608"/>
      <c r="I122" s="608"/>
      <c r="J122" s="608"/>
      <c r="K122" s="608"/>
      <c r="L122" s="608"/>
      <c r="M122" s="608"/>
      <c r="N122" s="608"/>
      <c r="O122" s="608"/>
      <c r="P122" s="608"/>
    </row>
    <row r="123" spans="1:16" x14ac:dyDescent="0.2">
      <c r="A123" s="653" t="s">
        <v>49</v>
      </c>
      <c r="B123" s="608"/>
      <c r="C123" s="608"/>
      <c r="D123" s="608">
        <f>D77</f>
        <v>0</v>
      </c>
      <c r="E123" s="608">
        <f t="shared" ref="E123:E125" si="62">E77</f>
        <v>0</v>
      </c>
      <c r="F123" s="608">
        <f t="shared" ref="F123:P125" si="63">+E123</f>
        <v>0</v>
      </c>
      <c r="G123" s="608">
        <f t="shared" si="63"/>
        <v>0</v>
      </c>
      <c r="H123" s="608">
        <f t="shared" si="63"/>
        <v>0</v>
      </c>
      <c r="I123" s="608">
        <f t="shared" si="63"/>
        <v>0</v>
      </c>
      <c r="J123" s="608">
        <f t="shared" si="63"/>
        <v>0</v>
      </c>
      <c r="K123" s="608">
        <f t="shared" si="63"/>
        <v>0</v>
      </c>
      <c r="L123" s="608">
        <f t="shared" si="63"/>
        <v>0</v>
      </c>
      <c r="M123" s="608">
        <f t="shared" si="63"/>
        <v>0</v>
      </c>
      <c r="N123" s="608">
        <f t="shared" si="63"/>
        <v>0</v>
      </c>
      <c r="O123" s="608">
        <f t="shared" si="63"/>
        <v>0</v>
      </c>
      <c r="P123" s="608">
        <f t="shared" si="63"/>
        <v>0</v>
      </c>
    </row>
    <row r="124" spans="1:16" x14ac:dyDescent="0.2">
      <c r="A124" s="653" t="s">
        <v>1051</v>
      </c>
      <c r="B124" s="608"/>
      <c r="C124" s="608"/>
      <c r="D124" s="608">
        <f>D78</f>
        <v>0</v>
      </c>
      <c r="E124" s="608">
        <f t="shared" si="62"/>
        <v>20056</v>
      </c>
      <c r="F124" s="608">
        <f>E118+E124+'Future Fund  Cash Flow'!F144+'Future Fund  Cash Flow'!F147-F118</f>
        <v>30056</v>
      </c>
      <c r="G124" s="608">
        <f>F118+F124+'Future Fund  Cash Flow'!G144+'Future Fund  Cash Flow'!G147-G118</f>
        <v>30056</v>
      </c>
      <c r="H124" s="608">
        <f>G118+G124+'Future Fund  Cash Flow'!H144+'Future Fund  Cash Flow'!H147-H118</f>
        <v>30056</v>
      </c>
      <c r="I124" s="608">
        <f>H118+H124+'Future Fund  Cash Flow'!I144+'Future Fund  Cash Flow'!I147-I118</f>
        <v>30056</v>
      </c>
      <c r="J124" s="608">
        <f>I118+I124+'Future Fund  Cash Flow'!J144+'Future Fund  Cash Flow'!J147-J118</f>
        <v>30056</v>
      </c>
      <c r="K124" s="608">
        <f>J118+J124+'Future Fund  Cash Flow'!K144+'Future Fund  Cash Flow'!K147-K118</f>
        <v>30056</v>
      </c>
      <c r="L124" s="608">
        <f>K118+K124+'Future Fund  Cash Flow'!L144+'Future Fund  Cash Flow'!L147-L118</f>
        <v>30056</v>
      </c>
      <c r="M124" s="608">
        <f>L118+L124+'Future Fund  Cash Flow'!M144+'Future Fund  Cash Flow'!M147-M118</f>
        <v>30056</v>
      </c>
      <c r="N124" s="608">
        <f>M118+M124+'Future Fund  Cash Flow'!N144+'Future Fund  Cash Flow'!N147-N118</f>
        <v>30056</v>
      </c>
      <c r="O124" s="608">
        <f>N118+N124+'Future Fund  Cash Flow'!O144+'Future Fund  Cash Flow'!O147-O118</f>
        <v>30056</v>
      </c>
      <c r="P124" s="608">
        <f>O118+O124+'Future Fund  Cash Flow'!P144+'Future Fund  Cash Flow'!P147-P118</f>
        <v>30056</v>
      </c>
    </row>
    <row r="125" spans="1:16" x14ac:dyDescent="0.2">
      <c r="A125" s="655" t="s">
        <v>50</v>
      </c>
      <c r="B125" s="615"/>
      <c r="C125" s="608"/>
      <c r="D125" s="608">
        <f t="shared" ref="D125" si="64">D79</f>
        <v>0</v>
      </c>
      <c r="E125" s="608">
        <f t="shared" si="62"/>
        <v>0</v>
      </c>
      <c r="F125" s="608">
        <f t="shared" si="63"/>
        <v>0</v>
      </c>
      <c r="G125" s="608">
        <f t="shared" si="63"/>
        <v>0</v>
      </c>
      <c r="H125" s="608">
        <f t="shared" si="63"/>
        <v>0</v>
      </c>
      <c r="I125" s="608">
        <f t="shared" si="63"/>
        <v>0</v>
      </c>
      <c r="J125" s="608">
        <f t="shared" si="63"/>
        <v>0</v>
      </c>
      <c r="K125" s="608">
        <f t="shared" si="63"/>
        <v>0</v>
      </c>
      <c r="L125" s="608">
        <f t="shared" si="63"/>
        <v>0</v>
      </c>
      <c r="M125" s="608">
        <f t="shared" si="63"/>
        <v>0</v>
      </c>
      <c r="N125" s="608">
        <f t="shared" si="63"/>
        <v>0</v>
      </c>
      <c r="O125" s="608">
        <f t="shared" si="63"/>
        <v>0</v>
      </c>
      <c r="P125" s="608">
        <f t="shared" si="63"/>
        <v>0</v>
      </c>
    </row>
    <row r="126" spans="1:16" x14ac:dyDescent="0.2">
      <c r="A126" s="654" t="s">
        <v>53</v>
      </c>
      <c r="B126" s="656">
        <f>SUM(B123:B125)</f>
        <v>0</v>
      </c>
      <c r="C126" s="656">
        <f t="shared" ref="C126:P126" si="65">SUM(C123:C125)</f>
        <v>0</v>
      </c>
      <c r="D126" s="656">
        <f t="shared" si="65"/>
        <v>0</v>
      </c>
      <c r="E126" s="656">
        <f t="shared" si="65"/>
        <v>20056</v>
      </c>
      <c r="F126" s="656">
        <f t="shared" si="65"/>
        <v>30056</v>
      </c>
      <c r="G126" s="656">
        <f t="shared" si="65"/>
        <v>30056</v>
      </c>
      <c r="H126" s="656">
        <f t="shared" si="65"/>
        <v>30056</v>
      </c>
      <c r="I126" s="656">
        <f t="shared" si="65"/>
        <v>30056</v>
      </c>
      <c r="J126" s="656">
        <f t="shared" si="65"/>
        <v>30056</v>
      </c>
      <c r="K126" s="656">
        <f t="shared" si="65"/>
        <v>30056</v>
      </c>
      <c r="L126" s="656">
        <f t="shared" si="65"/>
        <v>30056</v>
      </c>
      <c r="M126" s="656">
        <f t="shared" si="65"/>
        <v>30056</v>
      </c>
      <c r="N126" s="656">
        <f t="shared" si="65"/>
        <v>30056</v>
      </c>
      <c r="O126" s="656">
        <f t="shared" si="65"/>
        <v>30056</v>
      </c>
      <c r="P126" s="656">
        <f t="shared" si="65"/>
        <v>30056</v>
      </c>
    </row>
    <row r="127" spans="1:16" x14ac:dyDescent="0.2">
      <c r="B127" s="608"/>
      <c r="C127" s="608"/>
      <c r="D127" s="608"/>
      <c r="E127" s="608"/>
      <c r="F127" s="608"/>
      <c r="G127" s="608"/>
      <c r="H127" s="608"/>
      <c r="I127" s="608"/>
      <c r="J127" s="608"/>
      <c r="K127" s="608"/>
      <c r="L127" s="608"/>
      <c r="M127" s="608"/>
      <c r="N127" s="608"/>
      <c r="O127" s="608"/>
      <c r="P127" s="608"/>
    </row>
    <row r="128" spans="1:16" ht="10.8" thickBot="1" x14ac:dyDescent="0.25">
      <c r="A128" s="654" t="s">
        <v>54</v>
      </c>
      <c r="B128" s="665">
        <f>+B120+B126</f>
        <v>0</v>
      </c>
      <c r="C128" s="665">
        <f t="shared" ref="C128" si="66">+C120+C126</f>
        <v>0</v>
      </c>
      <c r="D128" s="608">
        <f t="shared" ref="D128" si="67">D82</f>
        <v>0</v>
      </c>
      <c r="E128" s="665">
        <f t="shared" ref="E128:P128" si="68">+E120+E126</f>
        <v>20056</v>
      </c>
      <c r="F128" s="665">
        <f t="shared" si="68"/>
        <v>30056</v>
      </c>
      <c r="G128" s="665">
        <f t="shared" si="68"/>
        <v>30056</v>
      </c>
      <c r="H128" s="665">
        <f t="shared" si="68"/>
        <v>30056</v>
      </c>
      <c r="I128" s="665">
        <f t="shared" si="68"/>
        <v>30056</v>
      </c>
      <c r="J128" s="665">
        <f t="shared" si="68"/>
        <v>30056</v>
      </c>
      <c r="K128" s="665">
        <f t="shared" si="68"/>
        <v>30056</v>
      </c>
      <c r="L128" s="665">
        <f t="shared" si="68"/>
        <v>30056</v>
      </c>
      <c r="M128" s="665">
        <f t="shared" si="68"/>
        <v>30056</v>
      </c>
      <c r="N128" s="665">
        <f t="shared" si="68"/>
        <v>30056</v>
      </c>
      <c r="O128" s="665">
        <f t="shared" si="68"/>
        <v>30056</v>
      </c>
      <c r="P128" s="665">
        <f t="shared" si="68"/>
        <v>30056</v>
      </c>
    </row>
    <row r="129" spans="1:16" ht="10.8" thickBot="1" x14ac:dyDescent="0.25">
      <c r="A129" s="654" t="s">
        <v>55</v>
      </c>
      <c r="B129" s="668">
        <f>+B113-B128</f>
        <v>0</v>
      </c>
      <c r="C129" s="668">
        <f t="shared" ref="C129:P129" si="69">+C113-C128</f>
        <v>0</v>
      </c>
      <c r="D129" s="668">
        <f t="shared" si="69"/>
        <v>0</v>
      </c>
      <c r="E129" s="668">
        <f t="shared" si="69"/>
        <v>12919</v>
      </c>
      <c r="F129" s="668">
        <f t="shared" si="69"/>
        <v>13046.875</v>
      </c>
      <c r="G129" s="668">
        <f t="shared" si="69"/>
        <v>12947.653999999995</v>
      </c>
      <c r="H129" s="668">
        <f t="shared" si="69"/>
        <v>12651.873999999996</v>
      </c>
      <c r="I129" s="668">
        <f t="shared" si="69"/>
        <v>12307.398000000001</v>
      </c>
      <c r="J129" s="668">
        <f t="shared" si="69"/>
        <v>11912.212</v>
      </c>
      <c r="K129" s="668">
        <f t="shared" si="69"/>
        <v>11589.416615000002</v>
      </c>
      <c r="L129" s="668">
        <f t="shared" si="69"/>
        <v>11273.582830675005</v>
      </c>
      <c r="M129" s="668">
        <f t="shared" si="69"/>
        <v>10965.381308586875</v>
      </c>
      <c r="N129" s="668">
        <f t="shared" si="69"/>
        <v>10665.517111476176</v>
      </c>
      <c r="O129" s="668">
        <f t="shared" si="69"/>
        <v>10374.731219948793</v>
      </c>
      <c r="P129" s="668">
        <f t="shared" si="69"/>
        <v>10093.802112247802</v>
      </c>
    </row>
    <row r="130" spans="1:16" ht="10.8" thickTop="1" x14ac:dyDescent="0.2">
      <c r="B130" s="608"/>
      <c r="C130" s="608"/>
      <c r="D130" s="608"/>
      <c r="E130" s="608"/>
      <c r="F130" s="608"/>
      <c r="G130" s="608"/>
      <c r="H130" s="608"/>
      <c r="I130" s="608"/>
      <c r="J130" s="608"/>
      <c r="K130" s="608"/>
      <c r="L130" s="608"/>
      <c r="M130" s="608"/>
      <c r="N130" s="608"/>
      <c r="O130" s="608"/>
      <c r="P130" s="608"/>
    </row>
    <row r="131" spans="1:16" x14ac:dyDescent="0.2">
      <c r="A131" s="654" t="s">
        <v>56</v>
      </c>
      <c r="B131" s="608"/>
      <c r="C131" s="608"/>
      <c r="D131" s="608"/>
      <c r="E131" s="608"/>
      <c r="F131" s="608"/>
      <c r="G131" s="608"/>
      <c r="H131" s="608"/>
      <c r="I131" s="608"/>
      <c r="J131" s="608"/>
      <c r="K131" s="608"/>
      <c r="L131" s="608"/>
      <c r="M131" s="608"/>
      <c r="N131" s="608"/>
      <c r="O131" s="608"/>
      <c r="P131" s="608"/>
    </row>
    <row r="132" spans="1:16" x14ac:dyDescent="0.2">
      <c r="A132" s="653" t="s">
        <v>57</v>
      </c>
      <c r="B132" s="608"/>
      <c r="C132" s="608"/>
      <c r="D132" s="608">
        <f>D86</f>
        <v>0</v>
      </c>
      <c r="E132" s="608">
        <f>+'Future Fund  Equity Statement'!E81</f>
        <v>12919</v>
      </c>
      <c r="F132" s="608">
        <f>+'Future Fund  Equity Statement'!F81</f>
        <v>13046.875</v>
      </c>
      <c r="G132" s="608">
        <f>+'Future Fund  Equity Statement'!G81</f>
        <v>12947.654</v>
      </c>
      <c r="H132" s="608">
        <f>+'Future Fund  Equity Statement'!H81</f>
        <v>12651.874</v>
      </c>
      <c r="I132" s="608">
        <f>+'Future Fund  Equity Statement'!I81</f>
        <v>12307.397999999999</v>
      </c>
      <c r="J132" s="608">
        <f>+'Future Fund  Equity Statement'!J81</f>
        <v>11912.212</v>
      </c>
      <c r="K132" s="608">
        <f>+'Future Fund  Equity Statement'!K81</f>
        <v>11589.416615</v>
      </c>
      <c r="L132" s="608">
        <f>+'Future Fund  Equity Statement'!L81</f>
        <v>11273.582830675001</v>
      </c>
      <c r="M132" s="608">
        <f>+'Future Fund  Equity Statement'!M81</f>
        <v>10965.381308586875</v>
      </c>
      <c r="N132" s="608">
        <f>+'Future Fund  Equity Statement'!N81</f>
        <v>10665.517111476176</v>
      </c>
      <c r="O132" s="608">
        <f>+'Future Fund  Equity Statement'!O81</f>
        <v>10374.731219948797</v>
      </c>
      <c r="P132" s="608">
        <f>+'Future Fund  Equity Statement'!P81</f>
        <v>10093.802112247802</v>
      </c>
    </row>
    <row r="133" spans="1:16" ht="10.8" thickBot="1" x14ac:dyDescent="0.25">
      <c r="A133" s="653" t="s">
        <v>58</v>
      </c>
      <c r="B133" s="669"/>
      <c r="C133" s="669"/>
      <c r="D133" s="608">
        <f>D87</f>
        <v>0</v>
      </c>
      <c r="E133" s="669">
        <f>+'Future Fund  Equity Statement'!E90</f>
        <v>0</v>
      </c>
      <c r="F133" s="669">
        <f>+'Future Fund  Equity Statement'!F90</f>
        <v>0</v>
      </c>
      <c r="G133" s="669">
        <f>+'Future Fund  Equity Statement'!G90</f>
        <v>0</v>
      </c>
      <c r="H133" s="669">
        <f>+'Future Fund  Equity Statement'!H90</f>
        <v>0</v>
      </c>
      <c r="I133" s="669">
        <f>+'Future Fund  Equity Statement'!I90</f>
        <v>0</v>
      </c>
      <c r="J133" s="669">
        <f>+'Future Fund  Equity Statement'!J90</f>
        <v>0</v>
      </c>
      <c r="K133" s="669">
        <f>+'Future Fund  Equity Statement'!K90</f>
        <v>0</v>
      </c>
      <c r="L133" s="669">
        <f>+'Future Fund  Equity Statement'!L90</f>
        <v>0</v>
      </c>
      <c r="M133" s="669">
        <f>+'Future Fund  Equity Statement'!M90</f>
        <v>0</v>
      </c>
      <c r="N133" s="669">
        <f>+'Future Fund  Equity Statement'!N90</f>
        <v>0</v>
      </c>
      <c r="O133" s="669">
        <f>+'Future Fund  Equity Statement'!O90</f>
        <v>0</v>
      </c>
      <c r="P133" s="669">
        <f>+'Future Fund  Equity Statement'!P90</f>
        <v>0</v>
      </c>
    </row>
    <row r="134" spans="1:16" ht="10.8" thickBot="1" x14ac:dyDescent="0.25">
      <c r="A134" s="654" t="s">
        <v>59</v>
      </c>
      <c r="B134" s="668">
        <f>SUM(B132:B133)</f>
        <v>0</v>
      </c>
      <c r="C134" s="668">
        <f t="shared" ref="C134:P134" si="70">SUM(C132:C133)</f>
        <v>0</v>
      </c>
      <c r="D134" s="668">
        <f t="shared" si="70"/>
        <v>0</v>
      </c>
      <c r="E134" s="668">
        <f t="shared" si="70"/>
        <v>12919</v>
      </c>
      <c r="F134" s="668">
        <f t="shared" si="70"/>
        <v>13046.875</v>
      </c>
      <c r="G134" s="668">
        <f t="shared" si="70"/>
        <v>12947.654</v>
      </c>
      <c r="H134" s="668">
        <f t="shared" si="70"/>
        <v>12651.874</v>
      </c>
      <c r="I134" s="668">
        <f t="shared" si="70"/>
        <v>12307.397999999999</v>
      </c>
      <c r="J134" s="668">
        <f t="shared" si="70"/>
        <v>11912.212</v>
      </c>
      <c r="K134" s="668">
        <f t="shared" si="70"/>
        <v>11589.416615</v>
      </c>
      <c r="L134" s="668">
        <f t="shared" si="70"/>
        <v>11273.582830675001</v>
      </c>
      <c r="M134" s="668">
        <f t="shared" si="70"/>
        <v>10965.381308586875</v>
      </c>
      <c r="N134" s="668">
        <f t="shared" si="70"/>
        <v>10665.517111476176</v>
      </c>
      <c r="O134" s="668">
        <f t="shared" si="70"/>
        <v>10374.731219948797</v>
      </c>
      <c r="P134" s="668">
        <f t="shared" si="70"/>
        <v>10093.802112247802</v>
      </c>
    </row>
    <row r="135" spans="1:16" ht="10.8" thickTop="1" x14ac:dyDescent="0.2">
      <c r="B135" s="608"/>
      <c r="C135" s="608"/>
      <c r="D135" s="608"/>
      <c r="E135" s="608"/>
      <c r="F135" s="608"/>
      <c r="G135" s="608"/>
      <c r="H135" s="608"/>
      <c r="I135" s="608"/>
      <c r="J135" s="608"/>
      <c r="K135" s="608"/>
      <c r="L135" s="608"/>
      <c r="M135" s="608"/>
      <c r="N135" s="608"/>
      <c r="O135" s="608"/>
      <c r="P135" s="608"/>
    </row>
    <row r="136" spans="1:16" x14ac:dyDescent="0.2">
      <c r="A136" s="653" t="s">
        <v>111</v>
      </c>
      <c r="B136" s="621">
        <f>+B129-B134</f>
        <v>0</v>
      </c>
      <c r="C136" s="621">
        <f t="shared" ref="C136:P136" si="71">+C129-C134</f>
        <v>0</v>
      </c>
      <c r="D136" s="621">
        <f t="shared" si="71"/>
        <v>0</v>
      </c>
      <c r="E136" s="621">
        <f t="shared" si="71"/>
        <v>0</v>
      </c>
      <c r="F136" s="621">
        <f t="shared" si="71"/>
        <v>0</v>
      </c>
      <c r="G136" s="621">
        <f t="shared" si="71"/>
        <v>0</v>
      </c>
      <c r="H136" s="621">
        <f t="shared" si="71"/>
        <v>0</v>
      </c>
      <c r="I136" s="621">
        <f t="shared" si="71"/>
        <v>0</v>
      </c>
      <c r="J136" s="621">
        <f t="shared" si="71"/>
        <v>0</v>
      </c>
      <c r="K136" s="621">
        <f t="shared" si="71"/>
        <v>0</v>
      </c>
      <c r="L136" s="621">
        <f t="shared" si="71"/>
        <v>0</v>
      </c>
      <c r="M136" s="621">
        <f t="shared" si="71"/>
        <v>0</v>
      </c>
      <c r="N136" s="621">
        <f t="shared" si="71"/>
        <v>0</v>
      </c>
      <c r="O136" s="621">
        <f t="shared" si="71"/>
        <v>0</v>
      </c>
      <c r="P136" s="621">
        <f t="shared" si="71"/>
        <v>0</v>
      </c>
    </row>
    <row r="137" spans="1:16" x14ac:dyDescent="0.2">
      <c r="A137" s="653" t="s">
        <v>112</v>
      </c>
      <c r="B137" s="621">
        <f>+B134-'GF &amp; FF  Equity Statement'!B101</f>
        <v>0</v>
      </c>
      <c r="C137" s="621">
        <f>+C134-'GF &amp; FF  Equity Statement'!C101</f>
        <v>0</v>
      </c>
      <c r="D137" s="621">
        <f>+D134-'Future Fund  Equity Statement'!D101</f>
        <v>0</v>
      </c>
      <c r="E137" s="621">
        <f>+E134-'Future Fund  Equity Statement'!E101</f>
        <v>0</v>
      </c>
      <c r="F137" s="621">
        <f>+F134-'Future Fund  Equity Statement'!F101</f>
        <v>0</v>
      </c>
      <c r="G137" s="621">
        <f>+G134-'Future Fund  Equity Statement'!G101</f>
        <v>0</v>
      </c>
      <c r="H137" s="621">
        <f>+H134-'Future Fund  Equity Statement'!H101</f>
        <v>0</v>
      </c>
      <c r="I137" s="621">
        <f>+I134-'Future Fund  Equity Statement'!I101</f>
        <v>0</v>
      </c>
      <c r="J137" s="621">
        <f>+J134-'Future Fund  Equity Statement'!J101</f>
        <v>0</v>
      </c>
      <c r="K137" s="621">
        <f>+K134-'Future Fund  Equity Statement'!K101</f>
        <v>0</v>
      </c>
      <c r="L137" s="621">
        <f>+L134-'Future Fund  Equity Statement'!L101</f>
        <v>0</v>
      </c>
      <c r="M137" s="621">
        <f>+M134-'Future Fund  Equity Statement'!M101</f>
        <v>0</v>
      </c>
      <c r="N137" s="621">
        <f>+N134-'Future Fund  Equity Statement'!N101</f>
        <v>0</v>
      </c>
      <c r="O137" s="621">
        <f>+O134-'Future Fund  Equity Statement'!O101</f>
        <v>0</v>
      </c>
      <c r="P137" s="621">
        <f>+P134-'Future Fund  Equity Statement'!P101</f>
        <v>0</v>
      </c>
    </row>
  </sheetData>
  <pageMargins left="0.70866141732283472" right="0.70866141732283472" top="0.74803149606299213" bottom="0.74803149606299213" header="0.31496062992125984" footer="0.31496062992125984"/>
  <pageSetup paperSize="9" scale="94" fitToHeight="0" orientation="landscape" r:id="rId1"/>
  <rowBreaks count="2" manualBreakCount="2">
    <brk id="43" max="16383" man="1"/>
    <brk id="8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P102"/>
  <sheetViews>
    <sheetView workbookViewId="0">
      <pane xSplit="3" ySplit="3" topLeftCell="D31" activePane="bottomRight" state="frozen"/>
      <selection pane="topRight" activeCell="D1" sqref="D1"/>
      <selection pane="bottomLeft" activeCell="A3" sqref="A3"/>
      <selection pane="bottomRight" activeCell="A35" sqref="A35:XFD35"/>
    </sheetView>
  </sheetViews>
  <sheetFormatPr defaultColWidth="9.109375" defaultRowHeight="10.199999999999999" outlineLevelCol="1" x14ac:dyDescent="0.2"/>
  <cols>
    <col min="1" max="1" width="32.33203125" style="653" customWidth="1"/>
    <col min="2" max="3" width="13.109375" style="653" hidden="1" customWidth="1" outlineLevel="1"/>
    <col min="4" max="5" width="13.109375" style="653" hidden="1" customWidth="1" outlineLevel="1" collapsed="1"/>
    <col min="6" max="6" width="13.109375" style="653" bestFit="1" customWidth="1" collapsed="1"/>
    <col min="7" max="16" width="9.88671875" style="653" bestFit="1" customWidth="1"/>
    <col min="17" max="16384" width="9.109375" style="653"/>
  </cols>
  <sheetData>
    <row r="1" spans="1:16" ht="12.75" x14ac:dyDescent="0.2">
      <c r="A1" s="1091" t="s">
        <v>1364</v>
      </c>
    </row>
    <row r="2" spans="1:16" s="660" customFormat="1" ht="12" x14ac:dyDescent="0.2">
      <c r="A2" s="652" t="s">
        <v>1072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16" ht="11.25" x14ac:dyDescent="0.2">
      <c r="A3" s="652" t="s">
        <v>73</v>
      </c>
      <c r="B3" s="741" t="s">
        <v>68</v>
      </c>
      <c r="C3" s="694" t="s">
        <v>0</v>
      </c>
      <c r="D3" s="694" t="s">
        <v>1</v>
      </c>
      <c r="E3" s="694" t="s">
        <v>2</v>
      </c>
      <c r="F3" s="694" t="s">
        <v>3</v>
      </c>
      <c r="G3" s="694" t="s">
        <v>4</v>
      </c>
      <c r="H3" s="694" t="s">
        <v>5</v>
      </c>
      <c r="I3" s="694" t="s">
        <v>6</v>
      </c>
      <c r="J3" s="694" t="s">
        <v>7</v>
      </c>
      <c r="K3" s="694" t="s">
        <v>8</v>
      </c>
      <c r="L3" s="694" t="s">
        <v>9</v>
      </c>
      <c r="M3" s="694" t="s">
        <v>514</v>
      </c>
      <c r="N3" s="694" t="s">
        <v>515</v>
      </c>
      <c r="O3" s="694" t="s">
        <v>904</v>
      </c>
      <c r="P3" s="694" t="s">
        <v>1046</v>
      </c>
    </row>
    <row r="4" spans="1:16" s="664" customFormat="1" ht="11.25" x14ac:dyDescent="0.2">
      <c r="A4" s="661"/>
      <c r="B4" s="662"/>
      <c r="C4" s="662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</row>
    <row r="5" spans="1:16" ht="11.25" x14ac:dyDescent="0.2">
      <c r="A5" s="654" t="s">
        <v>103</v>
      </c>
    </row>
    <row r="6" spans="1:16" ht="11.25" x14ac:dyDescent="0.2">
      <c r="A6" s="654" t="s">
        <v>100</v>
      </c>
      <c r="B6" s="621"/>
      <c r="C6" s="621"/>
      <c r="D6" s="621"/>
      <c r="E6" s="621">
        <f>18210-2939</f>
        <v>15271</v>
      </c>
      <c r="F6" s="621">
        <f t="shared" ref="F6:P6" si="0">+E13</f>
        <v>12919</v>
      </c>
      <c r="G6" s="621">
        <f t="shared" si="0"/>
        <v>13046.875</v>
      </c>
      <c r="H6" s="621">
        <f t="shared" si="0"/>
        <v>12947.654</v>
      </c>
      <c r="I6" s="621">
        <f t="shared" si="0"/>
        <v>12837.331</v>
      </c>
      <c r="J6" s="621">
        <f t="shared" si="0"/>
        <v>12666.781999999999</v>
      </c>
      <c r="K6" s="621">
        <f t="shared" si="0"/>
        <v>12433.0762</v>
      </c>
      <c r="L6" s="621">
        <f t="shared" si="0"/>
        <v>12235.825187</v>
      </c>
      <c r="M6" s="621">
        <f t="shared" si="0"/>
        <v>12053.851745635002</v>
      </c>
      <c r="N6" s="621">
        <f t="shared" si="0"/>
        <v>11888.225060226876</v>
      </c>
      <c r="O6" s="621">
        <f t="shared" si="0"/>
        <v>11740.065974865011</v>
      </c>
      <c r="P6" s="621">
        <f t="shared" si="0"/>
        <v>11610.549226790081</v>
      </c>
    </row>
    <row r="7" spans="1:16" ht="11.25" x14ac:dyDescent="0.2">
      <c r="A7" s="655" t="s">
        <v>101</v>
      </c>
      <c r="B7" s="617"/>
      <c r="C7" s="617"/>
      <c r="D7" s="617"/>
      <c r="E7" s="617">
        <v>-402</v>
      </c>
      <c r="F7" s="617">
        <v>0</v>
      </c>
      <c r="G7" s="617">
        <v>0</v>
      </c>
      <c r="H7" s="617">
        <v>0</v>
      </c>
      <c r="I7" s="617">
        <v>0</v>
      </c>
      <c r="J7" s="617">
        <v>0</v>
      </c>
      <c r="K7" s="617">
        <v>0</v>
      </c>
      <c r="L7" s="617">
        <v>0</v>
      </c>
      <c r="M7" s="617">
        <v>0</v>
      </c>
      <c r="N7" s="617">
        <v>0</v>
      </c>
      <c r="O7" s="617">
        <v>0</v>
      </c>
      <c r="P7" s="617">
        <v>0</v>
      </c>
    </row>
    <row r="8" spans="1:16" ht="11.25" x14ac:dyDescent="0.2">
      <c r="A8" s="654" t="s">
        <v>102</v>
      </c>
      <c r="B8" s="621">
        <f>SUM(B6:B7)</f>
        <v>0</v>
      </c>
      <c r="C8" s="621">
        <f t="shared" ref="C8:P8" si="1">SUM(C6:C7)</f>
        <v>0</v>
      </c>
      <c r="D8" s="621">
        <f t="shared" si="1"/>
        <v>0</v>
      </c>
      <c r="E8" s="621">
        <f t="shared" si="1"/>
        <v>14869</v>
      </c>
      <c r="F8" s="621">
        <f t="shared" si="1"/>
        <v>12919</v>
      </c>
      <c r="G8" s="621">
        <f t="shared" si="1"/>
        <v>13046.875</v>
      </c>
      <c r="H8" s="621">
        <f t="shared" si="1"/>
        <v>12947.654</v>
      </c>
      <c r="I8" s="621">
        <f t="shared" si="1"/>
        <v>12837.331</v>
      </c>
      <c r="J8" s="621">
        <f t="shared" si="1"/>
        <v>12666.781999999999</v>
      </c>
      <c r="K8" s="621">
        <f t="shared" si="1"/>
        <v>12433.0762</v>
      </c>
      <c r="L8" s="621">
        <f t="shared" si="1"/>
        <v>12235.825187</v>
      </c>
      <c r="M8" s="621">
        <f t="shared" si="1"/>
        <v>12053.851745635002</v>
      </c>
      <c r="N8" s="621">
        <f t="shared" si="1"/>
        <v>11888.225060226876</v>
      </c>
      <c r="O8" s="621">
        <f t="shared" si="1"/>
        <v>11740.065974865011</v>
      </c>
      <c r="P8" s="621">
        <f t="shared" si="1"/>
        <v>11610.549226790081</v>
      </c>
    </row>
    <row r="9" spans="1:16" ht="11.25" x14ac:dyDescent="0.2">
      <c r="B9" s="621"/>
      <c r="C9" s="621"/>
      <c r="D9" s="621"/>
      <c r="E9" s="621"/>
      <c r="F9" s="621"/>
      <c r="G9" s="621"/>
      <c r="H9" s="621"/>
      <c r="I9" s="621"/>
      <c r="J9" s="621"/>
      <c r="K9" s="621"/>
      <c r="L9" s="621"/>
      <c r="M9" s="621"/>
      <c r="N9" s="621"/>
      <c r="O9" s="621"/>
      <c r="P9" s="621"/>
    </row>
    <row r="10" spans="1:16" ht="11.25" x14ac:dyDescent="0.2">
      <c r="A10" s="654" t="s">
        <v>76</v>
      </c>
      <c r="B10" s="621">
        <f>+'GF &amp; FF  Inc Exp Statement'!B38</f>
        <v>0</v>
      </c>
      <c r="C10" s="621">
        <f>+'GF &amp; FF  Inc Exp Statement'!C38</f>
        <v>0</v>
      </c>
      <c r="D10" s="621">
        <f>+'Future Fund  Inc Exp Statement'!D38</f>
        <v>0</v>
      </c>
      <c r="E10" s="621">
        <f>+'Future Fund  Inc Exp Statement'!E38</f>
        <v>-1950</v>
      </c>
      <c r="F10" s="621">
        <f>+'Future Fund  Inc Exp Statement'!F38</f>
        <v>127.87499999999955</v>
      </c>
      <c r="G10" s="621">
        <f>+'Future Fund  Inc Exp Statement'!G38</f>
        <v>-99.220999999999549</v>
      </c>
      <c r="H10" s="621">
        <f>+'Future Fund  Inc Exp Statement'!H38</f>
        <v>-110.32299999999987</v>
      </c>
      <c r="I10" s="621">
        <f>+'Future Fund  Inc Exp Statement'!I38</f>
        <v>-170.54900000000043</v>
      </c>
      <c r="J10" s="621">
        <f>+'Future Fund  Inc Exp Statement'!J38</f>
        <v>-233.70579999999973</v>
      </c>
      <c r="K10" s="621">
        <f>+'Future Fund  Inc Exp Statement'!K38</f>
        <v>-197.25101299999915</v>
      </c>
      <c r="L10" s="621">
        <f>+'Future Fund  Inc Exp Statement'!L38</f>
        <v>-181.97344136499942</v>
      </c>
      <c r="M10" s="621">
        <f>+'Future Fund  Inc Exp Statement'!M38</f>
        <v>-165.62668540812501</v>
      </c>
      <c r="N10" s="621">
        <f>+'Future Fund  Inc Exp Statement'!N38</f>
        <v>-148.15908536186544</v>
      </c>
      <c r="O10" s="621">
        <f>+'Future Fund  Inc Exp Statement'!O38</f>
        <v>-129.51674807492873</v>
      </c>
      <c r="P10" s="621">
        <f>+'Future Fund  Inc Exp Statement'!P38</f>
        <v>-109.64345473210778</v>
      </c>
    </row>
    <row r="11" spans="1:16" ht="11.25" x14ac:dyDescent="0.2">
      <c r="B11" s="608"/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</row>
    <row r="12" spans="1:16" s="654" customFormat="1" ht="11.25" x14ac:dyDescent="0.2">
      <c r="A12" s="654" t="s">
        <v>105</v>
      </c>
      <c r="B12" s="674">
        <f>+B10</f>
        <v>0</v>
      </c>
      <c r="C12" s="619">
        <f t="shared" ref="C12:P12" si="2">+C10</f>
        <v>0</v>
      </c>
      <c r="D12" s="674">
        <f t="shared" si="2"/>
        <v>0</v>
      </c>
      <c r="E12" s="619">
        <f t="shared" si="2"/>
        <v>-1950</v>
      </c>
      <c r="F12" s="619">
        <f t="shared" si="2"/>
        <v>127.87499999999955</v>
      </c>
      <c r="G12" s="619">
        <f t="shared" si="2"/>
        <v>-99.220999999999549</v>
      </c>
      <c r="H12" s="619">
        <f t="shared" si="2"/>
        <v>-110.32299999999987</v>
      </c>
      <c r="I12" s="619">
        <f t="shared" si="2"/>
        <v>-170.54900000000043</v>
      </c>
      <c r="J12" s="619">
        <f t="shared" si="2"/>
        <v>-233.70579999999973</v>
      </c>
      <c r="K12" s="619">
        <f t="shared" si="2"/>
        <v>-197.25101299999915</v>
      </c>
      <c r="L12" s="619">
        <f t="shared" si="2"/>
        <v>-181.97344136499942</v>
      </c>
      <c r="M12" s="619">
        <f t="shared" si="2"/>
        <v>-165.62668540812501</v>
      </c>
      <c r="N12" s="619">
        <f t="shared" si="2"/>
        <v>-148.15908536186544</v>
      </c>
      <c r="O12" s="619">
        <f t="shared" si="2"/>
        <v>-129.51674807492873</v>
      </c>
      <c r="P12" s="619">
        <f t="shared" si="2"/>
        <v>-109.64345473210778</v>
      </c>
    </row>
    <row r="13" spans="1:16" s="654" customFormat="1" ht="12" thickBot="1" x14ac:dyDescent="0.25">
      <c r="A13" s="654" t="s">
        <v>106</v>
      </c>
      <c r="B13" s="658">
        <f t="shared" ref="B13:P13" si="3">+B8+B12</f>
        <v>0</v>
      </c>
      <c r="C13" s="658">
        <f t="shared" si="3"/>
        <v>0</v>
      </c>
      <c r="D13" s="658">
        <f t="shared" si="3"/>
        <v>0</v>
      </c>
      <c r="E13" s="658">
        <f t="shared" si="3"/>
        <v>12919</v>
      </c>
      <c r="F13" s="658">
        <f t="shared" si="3"/>
        <v>13046.875</v>
      </c>
      <c r="G13" s="658">
        <f t="shared" si="3"/>
        <v>12947.654</v>
      </c>
      <c r="H13" s="658">
        <f t="shared" si="3"/>
        <v>12837.331</v>
      </c>
      <c r="I13" s="658">
        <f t="shared" si="3"/>
        <v>12666.781999999999</v>
      </c>
      <c r="J13" s="658">
        <f t="shared" si="3"/>
        <v>12433.0762</v>
      </c>
      <c r="K13" s="658">
        <f t="shared" si="3"/>
        <v>12235.825187</v>
      </c>
      <c r="L13" s="658">
        <f t="shared" si="3"/>
        <v>12053.851745635002</v>
      </c>
      <c r="M13" s="658">
        <f t="shared" si="3"/>
        <v>11888.225060226876</v>
      </c>
      <c r="N13" s="658">
        <f t="shared" si="3"/>
        <v>11740.065974865011</v>
      </c>
      <c r="O13" s="658">
        <f t="shared" si="3"/>
        <v>11610.549226790081</v>
      </c>
      <c r="P13" s="658">
        <f t="shared" si="3"/>
        <v>11500.905772057973</v>
      </c>
    </row>
    <row r="14" spans="1:16" ht="11.25" x14ac:dyDescent="0.2"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</row>
    <row r="15" spans="1:16" ht="11.25" x14ac:dyDescent="0.2">
      <c r="A15" s="654" t="s">
        <v>107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</row>
    <row r="16" spans="1:16" ht="11.25" x14ac:dyDescent="0.2">
      <c r="A16" s="654" t="s">
        <v>100</v>
      </c>
      <c r="B16" s="608"/>
      <c r="C16" s="608"/>
      <c r="D16" s="608"/>
      <c r="E16" s="608"/>
      <c r="F16" s="608">
        <f t="shared" ref="F16:P16" si="4">+E22</f>
        <v>0</v>
      </c>
      <c r="G16" s="608">
        <f t="shared" si="4"/>
        <v>0</v>
      </c>
      <c r="H16" s="608">
        <f t="shared" si="4"/>
        <v>0</v>
      </c>
      <c r="I16" s="608">
        <f t="shared" si="4"/>
        <v>0</v>
      </c>
      <c r="J16" s="608">
        <f t="shared" si="4"/>
        <v>0</v>
      </c>
      <c r="K16" s="608">
        <f t="shared" si="4"/>
        <v>0</v>
      </c>
      <c r="L16" s="608">
        <f t="shared" si="4"/>
        <v>0</v>
      </c>
      <c r="M16" s="608">
        <f t="shared" si="4"/>
        <v>0</v>
      </c>
      <c r="N16" s="608">
        <f t="shared" si="4"/>
        <v>0</v>
      </c>
      <c r="O16" s="608">
        <f t="shared" si="4"/>
        <v>0</v>
      </c>
      <c r="P16" s="608">
        <f t="shared" si="4"/>
        <v>0</v>
      </c>
    </row>
    <row r="17" spans="1:16" ht="11.25" x14ac:dyDescent="0.2">
      <c r="A17" s="655" t="s">
        <v>101</v>
      </c>
      <c r="B17" s="617"/>
      <c r="C17" s="617"/>
      <c r="D17" s="617"/>
      <c r="E17" s="617"/>
      <c r="F17" s="617">
        <v>0</v>
      </c>
      <c r="G17" s="617">
        <v>0</v>
      </c>
      <c r="H17" s="617">
        <v>0</v>
      </c>
      <c r="I17" s="617">
        <v>0</v>
      </c>
      <c r="J17" s="617">
        <v>0</v>
      </c>
      <c r="K17" s="617">
        <v>0</v>
      </c>
      <c r="L17" s="617">
        <v>0</v>
      </c>
      <c r="M17" s="617">
        <v>0</v>
      </c>
      <c r="N17" s="617">
        <v>0</v>
      </c>
      <c r="O17" s="617">
        <v>0</v>
      </c>
      <c r="P17" s="617">
        <v>0</v>
      </c>
    </row>
    <row r="18" spans="1:16" ht="11.25" x14ac:dyDescent="0.2">
      <c r="A18" s="654" t="s">
        <v>102</v>
      </c>
      <c r="B18" s="675">
        <f>SUM(B16:B17)</f>
        <v>0</v>
      </c>
      <c r="C18" s="675">
        <f t="shared" ref="C18:P18" si="5">SUM(C16:C17)</f>
        <v>0</v>
      </c>
      <c r="D18" s="675">
        <f t="shared" si="5"/>
        <v>0</v>
      </c>
      <c r="E18" s="675">
        <f t="shared" si="5"/>
        <v>0</v>
      </c>
      <c r="F18" s="675">
        <f t="shared" si="5"/>
        <v>0</v>
      </c>
      <c r="G18" s="675">
        <f t="shared" si="5"/>
        <v>0</v>
      </c>
      <c r="H18" s="675">
        <f t="shared" si="5"/>
        <v>0</v>
      </c>
      <c r="I18" s="675">
        <f t="shared" si="5"/>
        <v>0</v>
      </c>
      <c r="J18" s="675">
        <f t="shared" si="5"/>
        <v>0</v>
      </c>
      <c r="K18" s="675">
        <f t="shared" si="5"/>
        <v>0</v>
      </c>
      <c r="L18" s="675">
        <f t="shared" si="5"/>
        <v>0</v>
      </c>
      <c r="M18" s="675">
        <f t="shared" si="5"/>
        <v>0</v>
      </c>
      <c r="N18" s="675">
        <f t="shared" si="5"/>
        <v>0</v>
      </c>
      <c r="O18" s="675">
        <f t="shared" si="5"/>
        <v>0</v>
      </c>
      <c r="P18" s="675">
        <f t="shared" si="5"/>
        <v>0</v>
      </c>
    </row>
    <row r="19" spans="1:16" ht="11.25" x14ac:dyDescent="0.2">
      <c r="B19" s="608"/>
      <c r="C19" s="608"/>
      <c r="D19" s="608"/>
      <c r="E19" s="608"/>
      <c r="F19" s="608"/>
      <c r="G19" s="608"/>
      <c r="H19" s="608"/>
      <c r="I19" s="608"/>
      <c r="J19" s="608"/>
      <c r="K19" s="608"/>
      <c r="L19" s="608"/>
      <c r="M19" s="608"/>
      <c r="N19" s="608"/>
      <c r="O19" s="608"/>
      <c r="P19" s="608"/>
    </row>
    <row r="20" spans="1:16" ht="11.25" x14ac:dyDescent="0.2">
      <c r="A20" s="653" t="s">
        <v>104</v>
      </c>
      <c r="B20" s="621"/>
      <c r="C20" s="621"/>
      <c r="D20" s="621"/>
      <c r="E20" s="621"/>
      <c r="F20" s="621">
        <v>0</v>
      </c>
      <c r="G20" s="621">
        <v>0</v>
      </c>
      <c r="H20" s="621">
        <v>0</v>
      </c>
      <c r="I20" s="621">
        <v>0</v>
      </c>
      <c r="J20" s="621">
        <v>0</v>
      </c>
      <c r="K20" s="621">
        <v>0</v>
      </c>
      <c r="L20" s="621">
        <v>0</v>
      </c>
      <c r="M20" s="621">
        <v>0</v>
      </c>
      <c r="N20" s="621">
        <v>0</v>
      </c>
      <c r="O20" s="621">
        <v>0</v>
      </c>
      <c r="P20" s="621">
        <v>0</v>
      </c>
    </row>
    <row r="21" spans="1:16" s="657" customFormat="1" ht="11.25" x14ac:dyDescent="0.2">
      <c r="A21" s="654" t="s">
        <v>105</v>
      </c>
      <c r="B21" s="674">
        <f>+B18+B20</f>
        <v>0</v>
      </c>
      <c r="C21" s="674">
        <f>C18+C20</f>
        <v>0</v>
      </c>
      <c r="D21" s="674">
        <f t="shared" ref="D21:L21" si="6">D18+D20</f>
        <v>0</v>
      </c>
      <c r="E21" s="674">
        <f t="shared" si="6"/>
        <v>0</v>
      </c>
      <c r="F21" s="674">
        <f t="shared" si="6"/>
        <v>0</v>
      </c>
      <c r="G21" s="674">
        <f t="shared" si="6"/>
        <v>0</v>
      </c>
      <c r="H21" s="674">
        <f t="shared" si="6"/>
        <v>0</v>
      </c>
      <c r="I21" s="674">
        <f t="shared" si="6"/>
        <v>0</v>
      </c>
      <c r="J21" s="674">
        <f t="shared" si="6"/>
        <v>0</v>
      </c>
      <c r="K21" s="674">
        <f t="shared" si="6"/>
        <v>0</v>
      </c>
      <c r="L21" s="674">
        <f t="shared" si="6"/>
        <v>0</v>
      </c>
      <c r="M21" s="674">
        <f t="shared" ref="M21" si="7">+L21</f>
        <v>0</v>
      </c>
      <c r="N21" s="674">
        <f t="shared" ref="N21" si="8">N18+N20</f>
        <v>0</v>
      </c>
      <c r="O21" s="674">
        <f t="shared" ref="O21:P21" si="9">+N21</f>
        <v>0</v>
      </c>
      <c r="P21" s="674">
        <f t="shared" si="9"/>
        <v>0</v>
      </c>
    </row>
    <row r="22" spans="1:16" s="657" customFormat="1" ht="12" thickBot="1" x14ac:dyDescent="0.25">
      <c r="A22" s="654" t="s">
        <v>106</v>
      </c>
      <c r="B22" s="658">
        <f>+B21</f>
        <v>0</v>
      </c>
      <c r="C22" s="658">
        <f t="shared" ref="C22:P22" si="10">+C21</f>
        <v>0</v>
      </c>
      <c r="D22" s="658">
        <f t="shared" si="10"/>
        <v>0</v>
      </c>
      <c r="E22" s="658">
        <f t="shared" si="10"/>
        <v>0</v>
      </c>
      <c r="F22" s="658">
        <f t="shared" si="10"/>
        <v>0</v>
      </c>
      <c r="G22" s="658">
        <f t="shared" si="10"/>
        <v>0</v>
      </c>
      <c r="H22" s="658">
        <f t="shared" si="10"/>
        <v>0</v>
      </c>
      <c r="I22" s="658">
        <f t="shared" si="10"/>
        <v>0</v>
      </c>
      <c r="J22" s="658">
        <f t="shared" si="10"/>
        <v>0</v>
      </c>
      <c r="K22" s="658">
        <f t="shared" si="10"/>
        <v>0</v>
      </c>
      <c r="L22" s="658">
        <f t="shared" si="10"/>
        <v>0</v>
      </c>
      <c r="M22" s="658">
        <f t="shared" si="10"/>
        <v>0</v>
      </c>
      <c r="N22" s="658">
        <f t="shared" si="10"/>
        <v>0</v>
      </c>
      <c r="O22" s="658">
        <f t="shared" si="10"/>
        <v>0</v>
      </c>
      <c r="P22" s="658">
        <f t="shared" si="10"/>
        <v>0</v>
      </c>
    </row>
    <row r="23" spans="1:16" ht="11.25" x14ac:dyDescent="0.2">
      <c r="B23" s="608"/>
      <c r="C23" s="608"/>
      <c r="D23" s="608"/>
      <c r="E23" s="608"/>
      <c r="F23" s="608"/>
      <c r="G23" s="608"/>
      <c r="H23" s="608"/>
      <c r="I23" s="608"/>
      <c r="J23" s="608"/>
      <c r="K23" s="608"/>
      <c r="L23" s="608"/>
      <c r="M23" s="608"/>
      <c r="N23" s="608"/>
      <c r="O23" s="608"/>
      <c r="P23" s="608"/>
    </row>
    <row r="24" spans="1:16" ht="11.25" x14ac:dyDescent="0.2">
      <c r="A24" s="654" t="s">
        <v>108</v>
      </c>
    </row>
    <row r="25" spans="1:16" ht="11.25" x14ac:dyDescent="0.2">
      <c r="A25" s="654" t="s">
        <v>100</v>
      </c>
      <c r="B25" s="608">
        <f>+B6+B16</f>
        <v>0</v>
      </c>
      <c r="C25" s="608">
        <f t="shared" ref="C25:P26" si="11">+C6+C16</f>
        <v>0</v>
      </c>
      <c r="D25" s="608">
        <f t="shared" si="11"/>
        <v>0</v>
      </c>
      <c r="E25" s="608">
        <f t="shared" si="11"/>
        <v>15271</v>
      </c>
      <c r="F25" s="608">
        <f t="shared" si="11"/>
        <v>12919</v>
      </c>
      <c r="G25" s="608">
        <f t="shared" si="11"/>
        <v>13046.875</v>
      </c>
      <c r="H25" s="608">
        <f t="shared" si="11"/>
        <v>12947.654</v>
      </c>
      <c r="I25" s="608">
        <f t="shared" si="11"/>
        <v>12837.331</v>
      </c>
      <c r="J25" s="608">
        <f t="shared" si="11"/>
        <v>12666.781999999999</v>
      </c>
      <c r="K25" s="608">
        <f t="shared" si="11"/>
        <v>12433.0762</v>
      </c>
      <c r="L25" s="608">
        <f t="shared" si="11"/>
        <v>12235.825187</v>
      </c>
      <c r="M25" s="608">
        <f t="shared" si="11"/>
        <v>12053.851745635002</v>
      </c>
      <c r="N25" s="608">
        <f t="shared" si="11"/>
        <v>11888.225060226876</v>
      </c>
      <c r="O25" s="608">
        <f t="shared" si="11"/>
        <v>11740.065974865011</v>
      </c>
      <c r="P25" s="608">
        <f t="shared" si="11"/>
        <v>11610.549226790081</v>
      </c>
    </row>
    <row r="26" spans="1:16" ht="11.25" x14ac:dyDescent="0.2">
      <c r="A26" s="655" t="s">
        <v>101</v>
      </c>
      <c r="B26" s="617">
        <f>+B7+B17</f>
        <v>0</v>
      </c>
      <c r="C26" s="617">
        <f t="shared" si="11"/>
        <v>0</v>
      </c>
      <c r="D26" s="617">
        <f t="shared" si="11"/>
        <v>0</v>
      </c>
      <c r="E26" s="617">
        <f t="shared" si="11"/>
        <v>-402</v>
      </c>
      <c r="F26" s="617">
        <f t="shared" si="11"/>
        <v>0</v>
      </c>
      <c r="G26" s="617">
        <f t="shared" si="11"/>
        <v>0</v>
      </c>
      <c r="H26" s="617">
        <f t="shared" si="11"/>
        <v>0</v>
      </c>
      <c r="I26" s="617">
        <f t="shared" si="11"/>
        <v>0</v>
      </c>
      <c r="J26" s="617">
        <f t="shared" si="11"/>
        <v>0</v>
      </c>
      <c r="K26" s="617">
        <f t="shared" si="11"/>
        <v>0</v>
      </c>
      <c r="L26" s="617">
        <f t="shared" si="11"/>
        <v>0</v>
      </c>
      <c r="M26" s="617">
        <f t="shared" si="11"/>
        <v>0</v>
      </c>
      <c r="N26" s="617">
        <f t="shared" si="11"/>
        <v>0</v>
      </c>
      <c r="O26" s="617">
        <f t="shared" si="11"/>
        <v>0</v>
      </c>
      <c r="P26" s="617">
        <f t="shared" si="11"/>
        <v>0</v>
      </c>
    </row>
    <row r="27" spans="1:16" ht="11.25" x14ac:dyDescent="0.2">
      <c r="A27" s="654" t="s">
        <v>102</v>
      </c>
      <c r="B27" s="608">
        <f>SUM(B25:B26)</f>
        <v>0</v>
      </c>
      <c r="C27" s="608">
        <f t="shared" ref="C27:P27" si="12">SUM(C25:C26)</f>
        <v>0</v>
      </c>
      <c r="D27" s="608">
        <f t="shared" si="12"/>
        <v>0</v>
      </c>
      <c r="E27" s="608">
        <f t="shared" si="12"/>
        <v>14869</v>
      </c>
      <c r="F27" s="608">
        <f t="shared" si="12"/>
        <v>12919</v>
      </c>
      <c r="G27" s="608">
        <f t="shared" si="12"/>
        <v>13046.875</v>
      </c>
      <c r="H27" s="608">
        <f t="shared" si="12"/>
        <v>12947.654</v>
      </c>
      <c r="I27" s="608">
        <f t="shared" si="12"/>
        <v>12837.331</v>
      </c>
      <c r="J27" s="608">
        <f t="shared" si="12"/>
        <v>12666.781999999999</v>
      </c>
      <c r="K27" s="608">
        <f t="shared" si="12"/>
        <v>12433.0762</v>
      </c>
      <c r="L27" s="608">
        <f t="shared" si="12"/>
        <v>12235.825187</v>
      </c>
      <c r="M27" s="608">
        <f t="shared" si="12"/>
        <v>12053.851745635002</v>
      </c>
      <c r="N27" s="608">
        <f t="shared" si="12"/>
        <v>11888.225060226876</v>
      </c>
      <c r="O27" s="608">
        <f t="shared" si="12"/>
        <v>11740.065974865011</v>
      </c>
      <c r="P27" s="608">
        <f t="shared" si="12"/>
        <v>11610.549226790081</v>
      </c>
    </row>
    <row r="28" spans="1:16" ht="11.25" x14ac:dyDescent="0.2">
      <c r="B28" s="608"/>
      <c r="C28" s="608"/>
      <c r="D28" s="608"/>
      <c r="E28" s="608"/>
      <c r="F28" s="608"/>
      <c r="G28" s="608"/>
      <c r="H28" s="608"/>
      <c r="I28" s="608"/>
      <c r="J28" s="608"/>
      <c r="K28" s="608"/>
      <c r="L28" s="608"/>
      <c r="M28" s="608"/>
      <c r="N28" s="608"/>
      <c r="O28" s="608"/>
      <c r="P28" s="608"/>
    </row>
    <row r="29" spans="1:16" ht="11.25" x14ac:dyDescent="0.2">
      <c r="A29" s="654" t="s">
        <v>76</v>
      </c>
      <c r="B29" s="608">
        <f>+B10</f>
        <v>0</v>
      </c>
      <c r="C29" s="621">
        <f t="shared" ref="C29:P29" si="13">+C10</f>
        <v>0</v>
      </c>
      <c r="D29" s="608">
        <f t="shared" si="13"/>
        <v>0</v>
      </c>
      <c r="E29" s="621">
        <f t="shared" si="13"/>
        <v>-1950</v>
      </c>
      <c r="F29" s="621">
        <f t="shared" si="13"/>
        <v>127.87499999999955</v>
      </c>
      <c r="G29" s="621">
        <f t="shared" si="13"/>
        <v>-99.220999999999549</v>
      </c>
      <c r="H29" s="621">
        <f t="shared" si="13"/>
        <v>-110.32299999999987</v>
      </c>
      <c r="I29" s="621">
        <f t="shared" si="13"/>
        <v>-170.54900000000043</v>
      </c>
      <c r="J29" s="621">
        <f t="shared" si="13"/>
        <v>-233.70579999999973</v>
      </c>
      <c r="K29" s="621">
        <f t="shared" si="13"/>
        <v>-197.25101299999915</v>
      </c>
      <c r="L29" s="621">
        <f t="shared" si="13"/>
        <v>-181.97344136499942</v>
      </c>
      <c r="M29" s="621">
        <f t="shared" si="13"/>
        <v>-165.62668540812501</v>
      </c>
      <c r="N29" s="621">
        <f t="shared" si="13"/>
        <v>-148.15908536186544</v>
      </c>
      <c r="O29" s="621">
        <f t="shared" si="13"/>
        <v>-129.51674807492873</v>
      </c>
      <c r="P29" s="621">
        <f t="shared" si="13"/>
        <v>-109.64345473210778</v>
      </c>
    </row>
    <row r="30" spans="1:16" ht="11.25" x14ac:dyDescent="0.2">
      <c r="B30" s="608"/>
      <c r="C30" s="608"/>
      <c r="D30" s="608"/>
      <c r="E30" s="621"/>
      <c r="F30" s="621"/>
      <c r="G30" s="621"/>
      <c r="H30" s="621"/>
      <c r="I30" s="621"/>
      <c r="J30" s="621"/>
      <c r="K30" s="621"/>
      <c r="L30" s="621"/>
      <c r="M30" s="621"/>
      <c r="N30" s="621"/>
      <c r="O30" s="621"/>
      <c r="P30" s="621"/>
    </row>
    <row r="31" spans="1:16" s="654" customFormat="1" ht="11.25" x14ac:dyDescent="0.2">
      <c r="A31" s="654" t="s">
        <v>105</v>
      </c>
      <c r="B31" s="674">
        <f>+B12</f>
        <v>0</v>
      </c>
      <c r="C31" s="619">
        <f t="shared" ref="C31:P31" si="14">+C29</f>
        <v>0</v>
      </c>
      <c r="D31" s="674">
        <f t="shared" si="14"/>
        <v>0</v>
      </c>
      <c r="E31" s="619">
        <f t="shared" si="14"/>
        <v>-1950</v>
      </c>
      <c r="F31" s="619">
        <f t="shared" si="14"/>
        <v>127.87499999999955</v>
      </c>
      <c r="G31" s="619">
        <f t="shared" si="14"/>
        <v>-99.220999999999549</v>
      </c>
      <c r="H31" s="619">
        <f t="shared" si="14"/>
        <v>-110.32299999999987</v>
      </c>
      <c r="I31" s="619">
        <f t="shared" si="14"/>
        <v>-170.54900000000043</v>
      </c>
      <c r="J31" s="619">
        <f t="shared" si="14"/>
        <v>-233.70579999999973</v>
      </c>
      <c r="K31" s="619">
        <f t="shared" si="14"/>
        <v>-197.25101299999915</v>
      </c>
      <c r="L31" s="619">
        <f t="shared" si="14"/>
        <v>-181.97344136499942</v>
      </c>
      <c r="M31" s="619">
        <f t="shared" si="14"/>
        <v>-165.62668540812501</v>
      </c>
      <c r="N31" s="619">
        <f t="shared" si="14"/>
        <v>-148.15908536186544</v>
      </c>
      <c r="O31" s="619">
        <f t="shared" si="14"/>
        <v>-129.51674807492873</v>
      </c>
      <c r="P31" s="619">
        <f t="shared" si="14"/>
        <v>-109.64345473210778</v>
      </c>
    </row>
    <row r="32" spans="1:16" s="676" customFormat="1" ht="12" thickBot="1" x14ac:dyDescent="0.25">
      <c r="A32" s="653" t="s">
        <v>104</v>
      </c>
      <c r="B32" s="633">
        <f>+B20</f>
        <v>0</v>
      </c>
      <c r="C32" s="633">
        <f t="shared" ref="C32:P32" si="15">+C20</f>
        <v>0</v>
      </c>
      <c r="D32" s="633">
        <f t="shared" si="15"/>
        <v>0</v>
      </c>
      <c r="E32" s="633">
        <f t="shared" si="15"/>
        <v>0</v>
      </c>
      <c r="F32" s="633">
        <f t="shared" si="15"/>
        <v>0</v>
      </c>
      <c r="G32" s="633">
        <f t="shared" si="15"/>
        <v>0</v>
      </c>
      <c r="H32" s="633">
        <f t="shared" si="15"/>
        <v>0</v>
      </c>
      <c r="I32" s="633">
        <f t="shared" si="15"/>
        <v>0</v>
      </c>
      <c r="J32" s="633">
        <f t="shared" si="15"/>
        <v>0</v>
      </c>
      <c r="K32" s="633">
        <f t="shared" si="15"/>
        <v>0</v>
      </c>
      <c r="L32" s="633">
        <f t="shared" si="15"/>
        <v>0</v>
      </c>
      <c r="M32" s="633">
        <f t="shared" si="15"/>
        <v>0</v>
      </c>
      <c r="N32" s="633">
        <f t="shared" si="15"/>
        <v>0</v>
      </c>
      <c r="O32" s="633">
        <f t="shared" si="15"/>
        <v>0</v>
      </c>
      <c r="P32" s="633">
        <f t="shared" si="15"/>
        <v>0</v>
      </c>
    </row>
    <row r="33" spans="1:16" s="654" customFormat="1" ht="12" thickBot="1" x14ac:dyDescent="0.25">
      <c r="A33" s="654" t="s">
        <v>106</v>
      </c>
      <c r="B33" s="668">
        <f>+B27+B31+B32</f>
        <v>0</v>
      </c>
      <c r="C33" s="668">
        <f t="shared" ref="C33:P33" si="16">+C27+C31+C32</f>
        <v>0</v>
      </c>
      <c r="D33" s="668">
        <f t="shared" si="16"/>
        <v>0</v>
      </c>
      <c r="E33" s="668">
        <f t="shared" si="16"/>
        <v>12919</v>
      </c>
      <c r="F33" s="668">
        <f t="shared" si="16"/>
        <v>13046.875</v>
      </c>
      <c r="G33" s="668">
        <f t="shared" si="16"/>
        <v>12947.654</v>
      </c>
      <c r="H33" s="668">
        <f t="shared" si="16"/>
        <v>12837.331</v>
      </c>
      <c r="I33" s="668">
        <f t="shared" si="16"/>
        <v>12666.781999999999</v>
      </c>
      <c r="J33" s="668">
        <f t="shared" si="16"/>
        <v>12433.0762</v>
      </c>
      <c r="K33" s="668">
        <f t="shared" si="16"/>
        <v>12235.825187</v>
      </c>
      <c r="L33" s="668">
        <f t="shared" si="16"/>
        <v>12053.851745635002</v>
      </c>
      <c r="M33" s="668">
        <f t="shared" si="16"/>
        <v>11888.225060226876</v>
      </c>
      <c r="N33" s="668">
        <f t="shared" si="16"/>
        <v>11740.065974865011</v>
      </c>
      <c r="O33" s="668">
        <f t="shared" si="16"/>
        <v>11610.549226790081</v>
      </c>
      <c r="P33" s="668">
        <f t="shared" si="16"/>
        <v>11500.905772057973</v>
      </c>
    </row>
    <row r="34" spans="1:16" ht="12" thickTop="1" x14ac:dyDescent="0.2">
      <c r="B34" s="608"/>
      <c r="C34" s="608"/>
      <c r="D34" s="608"/>
      <c r="E34" s="608"/>
      <c r="F34" s="608"/>
      <c r="G34" s="608"/>
      <c r="H34" s="608"/>
      <c r="I34" s="608"/>
      <c r="J34" s="608"/>
      <c r="K34" s="608"/>
      <c r="L34" s="608"/>
      <c r="M34" s="608"/>
      <c r="N34" s="608"/>
      <c r="O34" s="608"/>
      <c r="P34" s="608"/>
    </row>
    <row r="35" spans="1:16" ht="12.75" x14ac:dyDescent="0.2">
      <c r="A35" s="1091" t="s">
        <v>1364</v>
      </c>
    </row>
    <row r="36" spans="1:16" s="660" customFormat="1" ht="12" x14ac:dyDescent="0.2">
      <c r="A36" s="671" t="s">
        <v>1073</v>
      </c>
      <c r="B36" s="586" t="s">
        <v>69</v>
      </c>
      <c r="C36" s="586" t="s">
        <v>69</v>
      </c>
      <c r="D36" s="586" t="s">
        <v>69</v>
      </c>
      <c r="E36" s="586" t="s">
        <v>69</v>
      </c>
      <c r="F36" s="586" t="s">
        <v>70</v>
      </c>
      <c r="G36" s="586" t="s">
        <v>70</v>
      </c>
      <c r="H36" s="586" t="s">
        <v>71</v>
      </c>
      <c r="I36" s="586" t="s">
        <v>71</v>
      </c>
      <c r="J36" s="586" t="s">
        <v>71</v>
      </c>
      <c r="K36" s="586" t="s">
        <v>71</v>
      </c>
      <c r="L36" s="586" t="s">
        <v>71</v>
      </c>
      <c r="M36" s="586" t="s">
        <v>71</v>
      </c>
      <c r="N36" s="586" t="s">
        <v>71</v>
      </c>
      <c r="O36" s="586" t="s">
        <v>71</v>
      </c>
      <c r="P36" s="586" t="s">
        <v>71</v>
      </c>
    </row>
    <row r="37" spans="1:16" ht="11.25" x14ac:dyDescent="0.2">
      <c r="A37" s="652" t="s">
        <v>73</v>
      </c>
      <c r="B37" s="741" t="s">
        <v>68</v>
      </c>
      <c r="C37" s="694" t="s">
        <v>0</v>
      </c>
      <c r="D37" s="694" t="s">
        <v>1</v>
      </c>
      <c r="E37" s="694" t="s">
        <v>2</v>
      </c>
      <c r="F37" s="694" t="s">
        <v>3</v>
      </c>
      <c r="G37" s="694" t="s">
        <v>4</v>
      </c>
      <c r="H37" s="694" t="s">
        <v>5</v>
      </c>
      <c r="I37" s="694" t="s">
        <v>6</v>
      </c>
      <c r="J37" s="694" t="s">
        <v>7</v>
      </c>
      <c r="K37" s="694" t="s">
        <v>8</v>
      </c>
      <c r="L37" s="694" t="s">
        <v>9</v>
      </c>
      <c r="M37" s="694" t="s">
        <v>514</v>
      </c>
      <c r="N37" s="694" t="s">
        <v>515</v>
      </c>
      <c r="O37" s="694" t="s">
        <v>904</v>
      </c>
      <c r="P37" s="694" t="s">
        <v>1046</v>
      </c>
    </row>
    <row r="38" spans="1:16" s="664" customFormat="1" ht="11.25" x14ac:dyDescent="0.2">
      <c r="A38" s="661"/>
      <c r="B38" s="662"/>
      <c r="C38" s="662"/>
      <c r="D38" s="663"/>
      <c r="E38" s="663"/>
      <c r="F38" s="663"/>
      <c r="G38" s="663"/>
      <c r="H38" s="663"/>
      <c r="I38" s="663"/>
      <c r="J38" s="663"/>
      <c r="K38" s="663"/>
      <c r="L38" s="663"/>
      <c r="M38" s="663"/>
      <c r="N38" s="663"/>
      <c r="O38" s="663"/>
      <c r="P38" s="663"/>
    </row>
    <row r="39" spans="1:16" ht="11.25" x14ac:dyDescent="0.2">
      <c r="A39" s="654" t="s">
        <v>103</v>
      </c>
    </row>
    <row r="40" spans="1:16" ht="11.25" x14ac:dyDescent="0.2">
      <c r="A40" s="654" t="s">
        <v>100</v>
      </c>
      <c r="B40" s="608"/>
      <c r="C40" s="608"/>
      <c r="D40" s="608"/>
      <c r="E40" s="608">
        <f>E6</f>
        <v>15271</v>
      </c>
      <c r="F40" s="608">
        <f t="shared" ref="F40:P40" si="17">+E47</f>
        <v>12919</v>
      </c>
      <c r="G40" s="608">
        <f t="shared" si="17"/>
        <v>13046.875</v>
      </c>
      <c r="H40" s="608">
        <f t="shared" si="17"/>
        <v>12947.654</v>
      </c>
      <c r="I40" s="608">
        <f t="shared" si="17"/>
        <v>12651.874</v>
      </c>
      <c r="J40" s="608">
        <f t="shared" si="17"/>
        <v>12307.397999999999</v>
      </c>
      <c r="K40" s="608">
        <f t="shared" si="17"/>
        <v>11912.212</v>
      </c>
      <c r="L40" s="608">
        <f t="shared" si="17"/>
        <v>11589.416615</v>
      </c>
      <c r="M40" s="608">
        <f t="shared" si="17"/>
        <v>11273.582830675001</v>
      </c>
      <c r="N40" s="608">
        <f t="shared" si="17"/>
        <v>10965.381308586875</v>
      </c>
      <c r="O40" s="608">
        <f t="shared" si="17"/>
        <v>10665.517111476176</v>
      </c>
      <c r="P40" s="608">
        <f t="shared" si="17"/>
        <v>10374.731219948797</v>
      </c>
    </row>
    <row r="41" spans="1:16" ht="11.25" x14ac:dyDescent="0.2">
      <c r="A41" s="655" t="s">
        <v>101</v>
      </c>
      <c r="B41" s="617"/>
      <c r="C41" s="617"/>
      <c r="D41" s="617"/>
      <c r="E41" s="617">
        <v>-402</v>
      </c>
      <c r="F41" s="617">
        <v>0</v>
      </c>
      <c r="G41" s="617">
        <v>0</v>
      </c>
      <c r="H41" s="617">
        <v>0</v>
      </c>
      <c r="I41" s="617">
        <v>0</v>
      </c>
      <c r="J41" s="617">
        <v>0</v>
      </c>
      <c r="K41" s="617">
        <v>0</v>
      </c>
      <c r="L41" s="617">
        <v>0</v>
      </c>
      <c r="M41" s="617">
        <v>0</v>
      </c>
      <c r="N41" s="617">
        <v>0</v>
      </c>
      <c r="O41" s="617">
        <v>0</v>
      </c>
      <c r="P41" s="617">
        <v>0</v>
      </c>
    </row>
    <row r="42" spans="1:16" ht="11.25" x14ac:dyDescent="0.2">
      <c r="A42" s="654" t="s">
        <v>102</v>
      </c>
      <c r="B42" s="608">
        <f>SUM(B40:B41)</f>
        <v>0</v>
      </c>
      <c r="C42" s="608">
        <f t="shared" ref="C42:P42" si="18">SUM(C40:C41)</f>
        <v>0</v>
      </c>
      <c r="D42" s="608">
        <f t="shared" si="18"/>
        <v>0</v>
      </c>
      <c r="E42" s="608">
        <f t="shared" si="18"/>
        <v>14869</v>
      </c>
      <c r="F42" s="608">
        <f t="shared" si="18"/>
        <v>12919</v>
      </c>
      <c r="G42" s="608">
        <f t="shared" si="18"/>
        <v>13046.875</v>
      </c>
      <c r="H42" s="608">
        <f t="shared" si="18"/>
        <v>12947.654</v>
      </c>
      <c r="I42" s="608">
        <f t="shared" si="18"/>
        <v>12651.874</v>
      </c>
      <c r="J42" s="608">
        <f t="shared" si="18"/>
        <v>12307.397999999999</v>
      </c>
      <c r="K42" s="608">
        <f t="shared" si="18"/>
        <v>11912.212</v>
      </c>
      <c r="L42" s="608">
        <f t="shared" si="18"/>
        <v>11589.416615</v>
      </c>
      <c r="M42" s="608">
        <f t="shared" si="18"/>
        <v>11273.582830675001</v>
      </c>
      <c r="N42" s="608">
        <f t="shared" si="18"/>
        <v>10965.381308586875</v>
      </c>
      <c r="O42" s="608">
        <f t="shared" si="18"/>
        <v>10665.517111476176</v>
      </c>
      <c r="P42" s="608">
        <f t="shared" si="18"/>
        <v>10374.731219948797</v>
      </c>
    </row>
    <row r="43" spans="1:16" ht="11.25" x14ac:dyDescent="0.2">
      <c r="B43" s="608"/>
      <c r="C43" s="608"/>
      <c r="D43" s="608"/>
      <c r="E43" s="608"/>
      <c r="F43" s="608"/>
      <c r="G43" s="608"/>
      <c r="H43" s="608"/>
      <c r="I43" s="608"/>
      <c r="J43" s="608"/>
      <c r="K43" s="608"/>
      <c r="L43" s="608"/>
      <c r="M43" s="608"/>
      <c r="N43" s="608"/>
      <c r="O43" s="608"/>
      <c r="P43" s="608"/>
    </row>
    <row r="44" spans="1:16" ht="11.25" x14ac:dyDescent="0.2">
      <c r="A44" s="654" t="s">
        <v>76</v>
      </c>
      <c r="B44" s="621">
        <f>+'GF &amp; FF  Inc Exp Statement'!B113</f>
        <v>0</v>
      </c>
      <c r="C44" s="621">
        <f>+'GF &amp; FF  Inc Exp Statement'!C113</f>
        <v>0</v>
      </c>
      <c r="D44" s="621">
        <f>+'Future Fund  Inc Exp Statement'!D113</f>
        <v>0</v>
      </c>
      <c r="E44" s="621">
        <f>+'Future Fund  Inc Exp Statement'!E113</f>
        <v>-1950</v>
      </c>
      <c r="F44" s="621">
        <f>+'Future Fund  Inc Exp Statement'!F113</f>
        <v>127.87499999999955</v>
      </c>
      <c r="G44" s="621">
        <f>+'Future Fund  Inc Exp Statement'!G113</f>
        <v>-99.220999999999549</v>
      </c>
      <c r="H44" s="621">
        <f>+'Future Fund  Inc Exp Statement'!H113</f>
        <v>-295.77999999999975</v>
      </c>
      <c r="I44" s="621">
        <f>+'Future Fund  Inc Exp Statement'!I113</f>
        <v>-344.47600000000011</v>
      </c>
      <c r="J44" s="621">
        <f>+'Future Fund  Inc Exp Statement'!J113</f>
        <v>-395.18600000000015</v>
      </c>
      <c r="K44" s="621">
        <f>+'Future Fund  Inc Exp Statement'!K113</f>
        <v>-322.7953849999999</v>
      </c>
      <c r="L44" s="621">
        <f>+'Future Fund  Inc Exp Statement'!L113</f>
        <v>-315.83378432500012</v>
      </c>
      <c r="M44" s="621">
        <f>+'Future Fund  Inc Exp Statement'!M113</f>
        <v>-308.20152208812488</v>
      </c>
      <c r="N44" s="621">
        <f>+'Future Fund  Inc Exp Statement'!N113</f>
        <v>-299.86419711069811</v>
      </c>
      <c r="O44" s="621">
        <f>+'Future Fund  Inc Exp Statement'!O113</f>
        <v>-290.78589152737868</v>
      </c>
      <c r="P44" s="621">
        <f>+'Future Fund  Inc Exp Statement'!P113</f>
        <v>-280.92910770099388</v>
      </c>
    </row>
    <row r="45" spans="1:16" ht="11.25" x14ac:dyDescent="0.2">
      <c r="B45" s="608"/>
      <c r="C45" s="608"/>
      <c r="D45" s="608"/>
      <c r="E45" s="608"/>
      <c r="F45" s="608"/>
      <c r="G45" s="608"/>
      <c r="H45" s="608"/>
      <c r="I45" s="608"/>
      <c r="J45" s="608"/>
      <c r="K45" s="608"/>
      <c r="L45" s="608"/>
      <c r="M45" s="608"/>
      <c r="N45" s="608"/>
      <c r="O45" s="608"/>
      <c r="P45" s="608"/>
    </row>
    <row r="46" spans="1:16" s="654" customFormat="1" ht="11.25" x14ac:dyDescent="0.2">
      <c r="A46" s="654" t="s">
        <v>105</v>
      </c>
      <c r="B46" s="674">
        <f>+B44</f>
        <v>0</v>
      </c>
      <c r="C46" s="619">
        <f t="shared" ref="C46:P46" si="19">+C44</f>
        <v>0</v>
      </c>
      <c r="D46" s="674">
        <f t="shared" si="19"/>
        <v>0</v>
      </c>
      <c r="E46" s="619">
        <f t="shared" si="19"/>
        <v>-1950</v>
      </c>
      <c r="F46" s="619">
        <f t="shared" si="19"/>
        <v>127.87499999999955</v>
      </c>
      <c r="G46" s="619">
        <f t="shared" si="19"/>
        <v>-99.220999999999549</v>
      </c>
      <c r="H46" s="619">
        <f t="shared" si="19"/>
        <v>-295.77999999999975</v>
      </c>
      <c r="I46" s="619">
        <f t="shared" si="19"/>
        <v>-344.47600000000011</v>
      </c>
      <c r="J46" s="619">
        <f t="shared" si="19"/>
        <v>-395.18600000000015</v>
      </c>
      <c r="K46" s="619">
        <f t="shared" si="19"/>
        <v>-322.7953849999999</v>
      </c>
      <c r="L46" s="619">
        <f t="shared" si="19"/>
        <v>-315.83378432500012</v>
      </c>
      <c r="M46" s="619">
        <f t="shared" si="19"/>
        <v>-308.20152208812488</v>
      </c>
      <c r="N46" s="619">
        <f t="shared" si="19"/>
        <v>-299.86419711069811</v>
      </c>
      <c r="O46" s="619">
        <f t="shared" si="19"/>
        <v>-290.78589152737868</v>
      </c>
      <c r="P46" s="619">
        <f t="shared" si="19"/>
        <v>-280.92910770099388</v>
      </c>
    </row>
    <row r="47" spans="1:16" s="654" customFormat="1" ht="12" thickBot="1" x14ac:dyDescent="0.25">
      <c r="A47" s="654" t="s">
        <v>106</v>
      </c>
      <c r="B47" s="658">
        <f t="shared" ref="B47:P47" si="20">+B42+B46</f>
        <v>0</v>
      </c>
      <c r="C47" s="658">
        <f t="shared" si="20"/>
        <v>0</v>
      </c>
      <c r="D47" s="658">
        <f t="shared" si="20"/>
        <v>0</v>
      </c>
      <c r="E47" s="658">
        <f t="shared" si="20"/>
        <v>12919</v>
      </c>
      <c r="F47" s="658">
        <f t="shared" si="20"/>
        <v>13046.875</v>
      </c>
      <c r="G47" s="658">
        <f t="shared" si="20"/>
        <v>12947.654</v>
      </c>
      <c r="H47" s="658">
        <f t="shared" si="20"/>
        <v>12651.874</v>
      </c>
      <c r="I47" s="658">
        <f t="shared" si="20"/>
        <v>12307.397999999999</v>
      </c>
      <c r="J47" s="658">
        <f t="shared" si="20"/>
        <v>11912.212</v>
      </c>
      <c r="K47" s="658">
        <f t="shared" si="20"/>
        <v>11589.416615</v>
      </c>
      <c r="L47" s="658">
        <f t="shared" si="20"/>
        <v>11273.582830675001</v>
      </c>
      <c r="M47" s="658">
        <f t="shared" si="20"/>
        <v>10965.381308586875</v>
      </c>
      <c r="N47" s="658">
        <f t="shared" si="20"/>
        <v>10665.517111476176</v>
      </c>
      <c r="O47" s="658">
        <f t="shared" si="20"/>
        <v>10374.731219948797</v>
      </c>
      <c r="P47" s="658">
        <f t="shared" si="20"/>
        <v>10093.802112247802</v>
      </c>
    </row>
    <row r="48" spans="1:16" ht="11.25" x14ac:dyDescent="0.2">
      <c r="B48" s="608"/>
      <c r="C48" s="608"/>
      <c r="D48" s="608"/>
      <c r="E48" s="608"/>
      <c r="F48" s="608"/>
      <c r="G48" s="608"/>
      <c r="H48" s="608"/>
      <c r="I48" s="608"/>
      <c r="J48" s="608"/>
      <c r="K48" s="608"/>
      <c r="L48" s="608"/>
      <c r="M48" s="608"/>
      <c r="N48" s="608"/>
      <c r="O48" s="608"/>
      <c r="P48" s="608"/>
    </row>
    <row r="49" spans="1:16" ht="11.25" x14ac:dyDescent="0.2">
      <c r="A49" s="654" t="s">
        <v>107</v>
      </c>
      <c r="B49" s="608"/>
      <c r="C49" s="608"/>
      <c r="D49" s="608"/>
      <c r="E49" s="608"/>
      <c r="F49" s="608"/>
      <c r="G49" s="608"/>
      <c r="H49" s="608"/>
      <c r="I49" s="608"/>
      <c r="J49" s="608"/>
      <c r="K49" s="608"/>
      <c r="L49" s="608"/>
      <c r="M49" s="608"/>
      <c r="N49" s="608"/>
      <c r="O49" s="608"/>
      <c r="P49" s="608"/>
    </row>
    <row r="50" spans="1:16" ht="11.25" x14ac:dyDescent="0.2">
      <c r="A50" s="654" t="s">
        <v>100</v>
      </c>
      <c r="B50" s="608"/>
      <c r="C50" s="608">
        <f>+B56</f>
        <v>0</v>
      </c>
      <c r="D50" s="608">
        <f>D16</f>
        <v>0</v>
      </c>
      <c r="E50" s="608">
        <f>E16</f>
        <v>0</v>
      </c>
      <c r="F50" s="608">
        <f t="shared" ref="F50:P50" si="21">+E56</f>
        <v>0</v>
      </c>
      <c r="G50" s="608">
        <f t="shared" si="21"/>
        <v>0</v>
      </c>
      <c r="H50" s="608">
        <f t="shared" si="21"/>
        <v>0</v>
      </c>
      <c r="I50" s="608">
        <f t="shared" si="21"/>
        <v>0</v>
      </c>
      <c r="J50" s="608">
        <f t="shared" si="21"/>
        <v>0</v>
      </c>
      <c r="K50" s="608">
        <f t="shared" si="21"/>
        <v>0</v>
      </c>
      <c r="L50" s="608">
        <f t="shared" si="21"/>
        <v>0</v>
      </c>
      <c r="M50" s="608">
        <f t="shared" si="21"/>
        <v>0</v>
      </c>
      <c r="N50" s="608">
        <f t="shared" si="21"/>
        <v>0</v>
      </c>
      <c r="O50" s="608">
        <f t="shared" si="21"/>
        <v>0</v>
      </c>
      <c r="P50" s="608">
        <f t="shared" si="21"/>
        <v>0</v>
      </c>
    </row>
    <row r="51" spans="1:16" ht="11.25" x14ac:dyDescent="0.2">
      <c r="A51" s="655" t="s">
        <v>101</v>
      </c>
      <c r="B51" s="617">
        <v>0</v>
      </c>
      <c r="C51" s="617">
        <v>0</v>
      </c>
      <c r="D51" s="617">
        <v>0</v>
      </c>
      <c r="E51" s="617">
        <v>0</v>
      </c>
      <c r="F51" s="617">
        <v>0</v>
      </c>
      <c r="G51" s="617">
        <v>0</v>
      </c>
      <c r="H51" s="617">
        <v>0</v>
      </c>
      <c r="I51" s="617">
        <v>0</v>
      </c>
      <c r="J51" s="617">
        <v>0</v>
      </c>
      <c r="K51" s="617">
        <v>0</v>
      </c>
      <c r="L51" s="617">
        <v>0</v>
      </c>
      <c r="M51" s="617">
        <v>0</v>
      </c>
      <c r="N51" s="617">
        <v>0</v>
      </c>
      <c r="O51" s="617">
        <v>0</v>
      </c>
      <c r="P51" s="617">
        <v>0</v>
      </c>
    </row>
    <row r="52" spans="1:16" ht="11.25" x14ac:dyDescent="0.2">
      <c r="A52" s="654" t="s">
        <v>102</v>
      </c>
      <c r="B52" s="675">
        <f>SUM(B50:B51)</f>
        <v>0</v>
      </c>
      <c r="C52" s="675">
        <f t="shared" ref="C52:P52" si="22">SUM(C50:C51)</f>
        <v>0</v>
      </c>
      <c r="D52" s="675">
        <f t="shared" si="22"/>
        <v>0</v>
      </c>
      <c r="E52" s="675">
        <f t="shared" si="22"/>
        <v>0</v>
      </c>
      <c r="F52" s="675">
        <f t="shared" si="22"/>
        <v>0</v>
      </c>
      <c r="G52" s="675">
        <f t="shared" si="22"/>
        <v>0</v>
      </c>
      <c r="H52" s="675">
        <f t="shared" si="22"/>
        <v>0</v>
      </c>
      <c r="I52" s="675">
        <f t="shared" si="22"/>
        <v>0</v>
      </c>
      <c r="J52" s="675">
        <f t="shared" si="22"/>
        <v>0</v>
      </c>
      <c r="K52" s="675">
        <f t="shared" si="22"/>
        <v>0</v>
      </c>
      <c r="L52" s="675">
        <f t="shared" si="22"/>
        <v>0</v>
      </c>
      <c r="M52" s="675">
        <f t="shared" si="22"/>
        <v>0</v>
      </c>
      <c r="N52" s="675">
        <f t="shared" si="22"/>
        <v>0</v>
      </c>
      <c r="O52" s="675">
        <f t="shared" si="22"/>
        <v>0</v>
      </c>
      <c r="P52" s="675">
        <f t="shared" si="22"/>
        <v>0</v>
      </c>
    </row>
    <row r="53" spans="1:16" ht="11.25" x14ac:dyDescent="0.2">
      <c r="B53" s="608"/>
      <c r="C53" s="608"/>
      <c r="D53" s="608"/>
      <c r="E53" s="608"/>
      <c r="F53" s="608"/>
      <c r="G53" s="608"/>
      <c r="H53" s="608"/>
      <c r="I53" s="608"/>
      <c r="J53" s="608"/>
      <c r="K53" s="608"/>
      <c r="L53" s="608"/>
      <c r="M53" s="608"/>
      <c r="N53" s="608"/>
      <c r="O53" s="608"/>
      <c r="P53" s="608"/>
    </row>
    <row r="54" spans="1:16" ht="11.25" x14ac:dyDescent="0.2">
      <c r="A54" s="653" t="s">
        <v>104</v>
      </c>
      <c r="B54" s="621">
        <v>0</v>
      </c>
      <c r="C54" s="621">
        <f>C32</f>
        <v>0</v>
      </c>
      <c r="D54" s="621">
        <f>D20</f>
        <v>0</v>
      </c>
      <c r="E54" s="621">
        <f t="shared" ref="E54:P54" si="23">E20</f>
        <v>0</v>
      </c>
      <c r="F54" s="621">
        <f t="shared" si="23"/>
        <v>0</v>
      </c>
      <c r="G54" s="621">
        <f t="shared" si="23"/>
        <v>0</v>
      </c>
      <c r="H54" s="621">
        <f t="shared" si="23"/>
        <v>0</v>
      </c>
      <c r="I54" s="621">
        <f t="shared" si="23"/>
        <v>0</v>
      </c>
      <c r="J54" s="621">
        <f t="shared" si="23"/>
        <v>0</v>
      </c>
      <c r="K54" s="621">
        <f t="shared" si="23"/>
        <v>0</v>
      </c>
      <c r="L54" s="621">
        <f t="shared" si="23"/>
        <v>0</v>
      </c>
      <c r="M54" s="621">
        <f t="shared" si="23"/>
        <v>0</v>
      </c>
      <c r="N54" s="621">
        <f t="shared" si="23"/>
        <v>0</v>
      </c>
      <c r="O54" s="621">
        <f t="shared" si="23"/>
        <v>0</v>
      </c>
      <c r="P54" s="621">
        <f t="shared" si="23"/>
        <v>0</v>
      </c>
    </row>
    <row r="55" spans="1:16" s="657" customFormat="1" ht="11.25" x14ac:dyDescent="0.2">
      <c r="A55" s="654" t="s">
        <v>105</v>
      </c>
      <c r="B55" s="674">
        <f>+B52+B54</f>
        <v>0</v>
      </c>
      <c r="C55" s="674">
        <f>C52+C54</f>
        <v>0</v>
      </c>
      <c r="D55" s="674">
        <f t="shared" ref="D55:P55" si="24">D52+D54</f>
        <v>0</v>
      </c>
      <c r="E55" s="674">
        <f t="shared" si="24"/>
        <v>0</v>
      </c>
      <c r="F55" s="674">
        <f t="shared" si="24"/>
        <v>0</v>
      </c>
      <c r="G55" s="674">
        <f t="shared" si="24"/>
        <v>0</v>
      </c>
      <c r="H55" s="674">
        <f t="shared" si="24"/>
        <v>0</v>
      </c>
      <c r="I55" s="674">
        <f t="shared" si="24"/>
        <v>0</v>
      </c>
      <c r="J55" s="674">
        <f t="shared" si="24"/>
        <v>0</v>
      </c>
      <c r="K55" s="674">
        <f t="shared" si="24"/>
        <v>0</v>
      </c>
      <c r="L55" s="674">
        <f t="shared" si="24"/>
        <v>0</v>
      </c>
      <c r="M55" s="674">
        <f t="shared" si="24"/>
        <v>0</v>
      </c>
      <c r="N55" s="674">
        <f t="shared" si="24"/>
        <v>0</v>
      </c>
      <c r="O55" s="674">
        <f t="shared" si="24"/>
        <v>0</v>
      </c>
      <c r="P55" s="674">
        <f t="shared" si="24"/>
        <v>0</v>
      </c>
    </row>
    <row r="56" spans="1:16" s="657" customFormat="1" ht="12" thickBot="1" x14ac:dyDescent="0.25">
      <c r="A56" s="654" t="s">
        <v>106</v>
      </c>
      <c r="B56" s="658">
        <f>+B55</f>
        <v>0</v>
      </c>
      <c r="C56" s="658">
        <f t="shared" ref="C56:P56" si="25">+C55</f>
        <v>0</v>
      </c>
      <c r="D56" s="658">
        <f t="shared" si="25"/>
        <v>0</v>
      </c>
      <c r="E56" s="658">
        <f t="shared" si="25"/>
        <v>0</v>
      </c>
      <c r="F56" s="658">
        <f t="shared" si="25"/>
        <v>0</v>
      </c>
      <c r="G56" s="658">
        <f t="shared" si="25"/>
        <v>0</v>
      </c>
      <c r="H56" s="658">
        <f t="shared" si="25"/>
        <v>0</v>
      </c>
      <c r="I56" s="658">
        <f t="shared" si="25"/>
        <v>0</v>
      </c>
      <c r="J56" s="658">
        <f t="shared" si="25"/>
        <v>0</v>
      </c>
      <c r="K56" s="658">
        <f t="shared" si="25"/>
        <v>0</v>
      </c>
      <c r="L56" s="658">
        <f t="shared" si="25"/>
        <v>0</v>
      </c>
      <c r="M56" s="658">
        <f t="shared" si="25"/>
        <v>0</v>
      </c>
      <c r="N56" s="658">
        <f t="shared" si="25"/>
        <v>0</v>
      </c>
      <c r="O56" s="658">
        <f t="shared" si="25"/>
        <v>0</v>
      </c>
      <c r="P56" s="658">
        <f t="shared" si="25"/>
        <v>0</v>
      </c>
    </row>
    <row r="57" spans="1:16" ht="11.25" x14ac:dyDescent="0.2">
      <c r="B57" s="608"/>
      <c r="C57" s="608"/>
      <c r="D57" s="608"/>
      <c r="E57" s="608"/>
      <c r="F57" s="608"/>
      <c r="G57" s="608"/>
      <c r="H57" s="608"/>
      <c r="I57" s="608"/>
      <c r="J57" s="608"/>
      <c r="K57" s="608"/>
      <c r="L57" s="608"/>
      <c r="M57" s="608"/>
      <c r="N57" s="608"/>
      <c r="O57" s="608"/>
      <c r="P57" s="608"/>
    </row>
    <row r="58" spans="1:16" ht="11.25" x14ac:dyDescent="0.2">
      <c r="A58" s="654" t="s">
        <v>108</v>
      </c>
    </row>
    <row r="59" spans="1:16" ht="11.25" x14ac:dyDescent="0.2">
      <c r="A59" s="654" t="s">
        <v>100</v>
      </c>
      <c r="B59" s="608">
        <f>+B40+B50</f>
        <v>0</v>
      </c>
      <c r="C59" s="608">
        <f t="shared" ref="C59:P60" si="26">+C40+C50</f>
        <v>0</v>
      </c>
      <c r="D59" s="608">
        <f t="shared" si="26"/>
        <v>0</v>
      </c>
      <c r="E59" s="608">
        <f t="shared" si="26"/>
        <v>15271</v>
      </c>
      <c r="F59" s="608">
        <f t="shared" si="26"/>
        <v>12919</v>
      </c>
      <c r="G59" s="608">
        <f t="shared" si="26"/>
        <v>13046.875</v>
      </c>
      <c r="H59" s="608">
        <f t="shared" si="26"/>
        <v>12947.654</v>
      </c>
      <c r="I59" s="608">
        <f t="shared" si="26"/>
        <v>12651.874</v>
      </c>
      <c r="J59" s="608">
        <f t="shared" si="26"/>
        <v>12307.397999999999</v>
      </c>
      <c r="K59" s="608">
        <f t="shared" si="26"/>
        <v>11912.212</v>
      </c>
      <c r="L59" s="608">
        <f t="shared" si="26"/>
        <v>11589.416615</v>
      </c>
      <c r="M59" s="608">
        <f t="shared" si="26"/>
        <v>11273.582830675001</v>
      </c>
      <c r="N59" s="608">
        <f t="shared" si="26"/>
        <v>10965.381308586875</v>
      </c>
      <c r="O59" s="608">
        <f t="shared" si="26"/>
        <v>10665.517111476176</v>
      </c>
      <c r="P59" s="608">
        <f t="shared" si="26"/>
        <v>10374.731219948797</v>
      </c>
    </row>
    <row r="60" spans="1:16" ht="11.25" x14ac:dyDescent="0.2">
      <c r="A60" s="655" t="s">
        <v>101</v>
      </c>
      <c r="B60" s="617">
        <f>+B41+B51</f>
        <v>0</v>
      </c>
      <c r="C60" s="617">
        <f t="shared" si="26"/>
        <v>0</v>
      </c>
      <c r="D60" s="617">
        <f t="shared" si="26"/>
        <v>0</v>
      </c>
      <c r="E60" s="617">
        <f t="shared" si="26"/>
        <v>-402</v>
      </c>
      <c r="F60" s="617">
        <f t="shared" si="26"/>
        <v>0</v>
      </c>
      <c r="G60" s="617">
        <f t="shared" si="26"/>
        <v>0</v>
      </c>
      <c r="H60" s="617">
        <f t="shared" si="26"/>
        <v>0</v>
      </c>
      <c r="I60" s="617">
        <f t="shared" si="26"/>
        <v>0</v>
      </c>
      <c r="J60" s="617">
        <f t="shared" si="26"/>
        <v>0</v>
      </c>
      <c r="K60" s="617">
        <f t="shared" si="26"/>
        <v>0</v>
      </c>
      <c r="L60" s="617">
        <f t="shared" si="26"/>
        <v>0</v>
      </c>
      <c r="M60" s="617">
        <f t="shared" si="26"/>
        <v>0</v>
      </c>
      <c r="N60" s="617">
        <f t="shared" si="26"/>
        <v>0</v>
      </c>
      <c r="O60" s="617">
        <f t="shared" si="26"/>
        <v>0</v>
      </c>
      <c r="P60" s="617">
        <f t="shared" si="26"/>
        <v>0</v>
      </c>
    </row>
    <row r="61" spans="1:16" ht="11.25" x14ac:dyDescent="0.2">
      <c r="A61" s="654" t="s">
        <v>102</v>
      </c>
      <c r="B61" s="608">
        <f>SUM(B59:B60)</f>
        <v>0</v>
      </c>
      <c r="C61" s="608">
        <f t="shared" ref="C61:P61" si="27">SUM(C59:C60)</f>
        <v>0</v>
      </c>
      <c r="D61" s="608">
        <f t="shared" si="27"/>
        <v>0</v>
      </c>
      <c r="E61" s="608">
        <f t="shared" si="27"/>
        <v>14869</v>
      </c>
      <c r="F61" s="608">
        <f t="shared" si="27"/>
        <v>12919</v>
      </c>
      <c r="G61" s="608">
        <f t="shared" si="27"/>
        <v>13046.875</v>
      </c>
      <c r="H61" s="608">
        <f t="shared" si="27"/>
        <v>12947.654</v>
      </c>
      <c r="I61" s="608">
        <f t="shared" si="27"/>
        <v>12651.874</v>
      </c>
      <c r="J61" s="608">
        <f t="shared" si="27"/>
        <v>12307.397999999999</v>
      </c>
      <c r="K61" s="608">
        <f t="shared" si="27"/>
        <v>11912.212</v>
      </c>
      <c r="L61" s="608">
        <f t="shared" si="27"/>
        <v>11589.416615</v>
      </c>
      <c r="M61" s="608">
        <f t="shared" si="27"/>
        <v>11273.582830675001</v>
      </c>
      <c r="N61" s="608">
        <f t="shared" si="27"/>
        <v>10965.381308586875</v>
      </c>
      <c r="O61" s="608">
        <f t="shared" si="27"/>
        <v>10665.517111476176</v>
      </c>
      <c r="P61" s="608">
        <f t="shared" si="27"/>
        <v>10374.731219948797</v>
      </c>
    </row>
    <row r="62" spans="1:16" ht="11.25" x14ac:dyDescent="0.2">
      <c r="B62" s="608"/>
      <c r="C62" s="608"/>
      <c r="D62" s="608"/>
      <c r="E62" s="608"/>
      <c r="F62" s="608"/>
      <c r="G62" s="608"/>
      <c r="H62" s="608"/>
      <c r="I62" s="608"/>
      <c r="J62" s="608"/>
      <c r="K62" s="608"/>
      <c r="L62" s="608"/>
      <c r="M62" s="608"/>
      <c r="N62" s="608"/>
      <c r="O62" s="608"/>
      <c r="P62" s="608"/>
    </row>
    <row r="63" spans="1:16" ht="11.25" x14ac:dyDescent="0.2">
      <c r="A63" s="654" t="s">
        <v>76</v>
      </c>
      <c r="B63" s="608">
        <f>+B44</f>
        <v>0</v>
      </c>
      <c r="C63" s="621">
        <f t="shared" ref="C63:P63" si="28">+C44</f>
        <v>0</v>
      </c>
      <c r="D63" s="608">
        <f t="shared" si="28"/>
        <v>0</v>
      </c>
      <c r="E63" s="621">
        <f t="shared" si="28"/>
        <v>-1950</v>
      </c>
      <c r="F63" s="621">
        <f t="shared" si="28"/>
        <v>127.87499999999955</v>
      </c>
      <c r="G63" s="621">
        <f t="shared" si="28"/>
        <v>-99.220999999999549</v>
      </c>
      <c r="H63" s="621">
        <f t="shared" si="28"/>
        <v>-295.77999999999975</v>
      </c>
      <c r="I63" s="621">
        <f t="shared" si="28"/>
        <v>-344.47600000000011</v>
      </c>
      <c r="J63" s="621">
        <f t="shared" si="28"/>
        <v>-395.18600000000015</v>
      </c>
      <c r="K63" s="621">
        <f t="shared" si="28"/>
        <v>-322.7953849999999</v>
      </c>
      <c r="L63" s="621">
        <f t="shared" si="28"/>
        <v>-315.83378432500012</v>
      </c>
      <c r="M63" s="621">
        <f t="shared" si="28"/>
        <v>-308.20152208812488</v>
      </c>
      <c r="N63" s="621">
        <f t="shared" si="28"/>
        <v>-299.86419711069811</v>
      </c>
      <c r="O63" s="621">
        <f t="shared" si="28"/>
        <v>-290.78589152737868</v>
      </c>
      <c r="P63" s="621">
        <f t="shared" si="28"/>
        <v>-280.92910770099388</v>
      </c>
    </row>
    <row r="64" spans="1:16" ht="11.25" x14ac:dyDescent="0.2">
      <c r="B64" s="608"/>
      <c r="C64" s="608"/>
      <c r="D64" s="608"/>
      <c r="E64" s="608"/>
      <c r="F64" s="608"/>
      <c r="G64" s="608"/>
      <c r="H64" s="608"/>
      <c r="I64" s="608"/>
      <c r="J64" s="608"/>
      <c r="K64" s="608"/>
      <c r="L64" s="608"/>
      <c r="M64" s="608"/>
      <c r="N64" s="608"/>
      <c r="O64" s="608"/>
      <c r="P64" s="608"/>
    </row>
    <row r="65" spans="1:16" s="654" customFormat="1" ht="11.25" x14ac:dyDescent="0.2">
      <c r="A65" s="654" t="s">
        <v>105</v>
      </c>
      <c r="B65" s="674">
        <f>+B46</f>
        <v>0</v>
      </c>
      <c r="C65" s="619">
        <f t="shared" ref="C65:P65" si="29">+C63</f>
        <v>0</v>
      </c>
      <c r="D65" s="674">
        <f t="shared" si="29"/>
        <v>0</v>
      </c>
      <c r="E65" s="619">
        <f t="shared" si="29"/>
        <v>-1950</v>
      </c>
      <c r="F65" s="619">
        <f t="shared" si="29"/>
        <v>127.87499999999955</v>
      </c>
      <c r="G65" s="619">
        <f t="shared" si="29"/>
        <v>-99.220999999999549</v>
      </c>
      <c r="H65" s="619">
        <f t="shared" si="29"/>
        <v>-295.77999999999975</v>
      </c>
      <c r="I65" s="619">
        <f t="shared" si="29"/>
        <v>-344.47600000000011</v>
      </c>
      <c r="J65" s="619">
        <f t="shared" si="29"/>
        <v>-395.18600000000015</v>
      </c>
      <c r="K65" s="619">
        <f t="shared" si="29"/>
        <v>-322.7953849999999</v>
      </c>
      <c r="L65" s="619">
        <f t="shared" si="29"/>
        <v>-315.83378432500012</v>
      </c>
      <c r="M65" s="619">
        <f t="shared" si="29"/>
        <v>-308.20152208812488</v>
      </c>
      <c r="N65" s="619">
        <f t="shared" si="29"/>
        <v>-299.86419711069811</v>
      </c>
      <c r="O65" s="619">
        <f t="shared" si="29"/>
        <v>-290.78589152737868</v>
      </c>
      <c r="P65" s="619">
        <f t="shared" si="29"/>
        <v>-280.92910770099388</v>
      </c>
    </row>
    <row r="66" spans="1:16" s="676" customFormat="1" ht="12" thickBot="1" x14ac:dyDescent="0.25">
      <c r="A66" s="653" t="s">
        <v>104</v>
      </c>
      <c r="B66" s="633">
        <f>+B54</f>
        <v>0</v>
      </c>
      <c r="C66" s="633">
        <f t="shared" ref="C66:P66" si="30">+C54</f>
        <v>0</v>
      </c>
      <c r="D66" s="633">
        <f t="shared" si="30"/>
        <v>0</v>
      </c>
      <c r="E66" s="633">
        <f t="shared" si="30"/>
        <v>0</v>
      </c>
      <c r="F66" s="633">
        <f t="shared" si="30"/>
        <v>0</v>
      </c>
      <c r="G66" s="633">
        <f t="shared" si="30"/>
        <v>0</v>
      </c>
      <c r="H66" s="633">
        <f t="shared" si="30"/>
        <v>0</v>
      </c>
      <c r="I66" s="633">
        <f t="shared" si="30"/>
        <v>0</v>
      </c>
      <c r="J66" s="633">
        <f t="shared" si="30"/>
        <v>0</v>
      </c>
      <c r="K66" s="633">
        <f t="shared" si="30"/>
        <v>0</v>
      </c>
      <c r="L66" s="633">
        <f t="shared" si="30"/>
        <v>0</v>
      </c>
      <c r="M66" s="633">
        <f t="shared" si="30"/>
        <v>0</v>
      </c>
      <c r="N66" s="633">
        <f t="shared" si="30"/>
        <v>0</v>
      </c>
      <c r="O66" s="633">
        <f t="shared" si="30"/>
        <v>0</v>
      </c>
      <c r="P66" s="633">
        <f t="shared" si="30"/>
        <v>0</v>
      </c>
    </row>
    <row r="67" spans="1:16" s="654" customFormat="1" ht="12" thickBot="1" x14ac:dyDescent="0.25">
      <c r="A67" s="654" t="s">
        <v>106</v>
      </c>
      <c r="B67" s="668">
        <f>+B61+B65+B66</f>
        <v>0</v>
      </c>
      <c r="C67" s="668">
        <f t="shared" ref="C67:P67" si="31">+C61+C65+C66</f>
        <v>0</v>
      </c>
      <c r="D67" s="668">
        <f t="shared" si="31"/>
        <v>0</v>
      </c>
      <c r="E67" s="668">
        <f t="shared" si="31"/>
        <v>12919</v>
      </c>
      <c r="F67" s="668">
        <f t="shared" si="31"/>
        <v>13046.875</v>
      </c>
      <c r="G67" s="668">
        <f t="shared" si="31"/>
        <v>12947.654</v>
      </c>
      <c r="H67" s="668">
        <f t="shared" si="31"/>
        <v>12651.874</v>
      </c>
      <c r="I67" s="668">
        <f t="shared" si="31"/>
        <v>12307.397999999999</v>
      </c>
      <c r="J67" s="668">
        <f t="shared" si="31"/>
        <v>11912.212</v>
      </c>
      <c r="K67" s="668">
        <f t="shared" si="31"/>
        <v>11589.416615</v>
      </c>
      <c r="L67" s="668">
        <f t="shared" si="31"/>
        <v>11273.582830675001</v>
      </c>
      <c r="M67" s="668">
        <f t="shared" si="31"/>
        <v>10965.381308586875</v>
      </c>
      <c r="N67" s="668">
        <f t="shared" si="31"/>
        <v>10665.517111476176</v>
      </c>
      <c r="O67" s="668">
        <f t="shared" si="31"/>
        <v>10374.731219948797</v>
      </c>
      <c r="P67" s="668">
        <f t="shared" si="31"/>
        <v>10093.802112247802</v>
      </c>
    </row>
    <row r="68" spans="1:16" ht="12" thickTop="1" x14ac:dyDescent="0.2"/>
    <row r="69" spans="1:16" ht="12.75" x14ac:dyDescent="0.2">
      <c r="A69" s="1091" t="s">
        <v>1364</v>
      </c>
    </row>
    <row r="70" spans="1:16" ht="12" x14ac:dyDescent="0.2">
      <c r="A70" s="673" t="s">
        <v>1074</v>
      </c>
      <c r="B70" s="586" t="s">
        <v>69</v>
      </c>
      <c r="C70" s="586" t="s">
        <v>69</v>
      </c>
      <c r="D70" s="586" t="s">
        <v>69</v>
      </c>
      <c r="E70" s="586" t="s">
        <v>69</v>
      </c>
      <c r="F70" s="586" t="s">
        <v>70</v>
      </c>
      <c r="G70" s="586" t="s">
        <v>70</v>
      </c>
      <c r="H70" s="586" t="s">
        <v>71</v>
      </c>
      <c r="I70" s="586" t="s">
        <v>71</v>
      </c>
      <c r="J70" s="586" t="s">
        <v>71</v>
      </c>
      <c r="K70" s="586" t="s">
        <v>71</v>
      </c>
      <c r="L70" s="586" t="s">
        <v>71</v>
      </c>
      <c r="M70" s="586" t="s">
        <v>71</v>
      </c>
      <c r="N70" s="586" t="s">
        <v>71</v>
      </c>
      <c r="O70" s="586" t="s">
        <v>71</v>
      </c>
      <c r="P70" s="586" t="s">
        <v>71</v>
      </c>
    </row>
    <row r="71" spans="1:16" ht="11.25" x14ac:dyDescent="0.2">
      <c r="A71" s="652" t="s">
        <v>73</v>
      </c>
      <c r="B71" s="741" t="s">
        <v>68</v>
      </c>
      <c r="C71" s="694" t="s">
        <v>0</v>
      </c>
      <c r="D71" s="694" t="s">
        <v>1</v>
      </c>
      <c r="E71" s="694" t="s">
        <v>2</v>
      </c>
      <c r="F71" s="694" t="s">
        <v>3</v>
      </c>
      <c r="G71" s="694" t="s">
        <v>4</v>
      </c>
      <c r="H71" s="694" t="s">
        <v>5</v>
      </c>
      <c r="I71" s="694" t="s">
        <v>6</v>
      </c>
      <c r="J71" s="694" t="s">
        <v>7</v>
      </c>
      <c r="K71" s="694" t="s">
        <v>8</v>
      </c>
      <c r="L71" s="694" t="s">
        <v>9</v>
      </c>
      <c r="M71" s="694" t="s">
        <v>514</v>
      </c>
      <c r="N71" s="694" t="s">
        <v>515</v>
      </c>
      <c r="O71" s="694" t="s">
        <v>904</v>
      </c>
      <c r="P71" s="694" t="s">
        <v>1046</v>
      </c>
    </row>
    <row r="72" spans="1:16" ht="11.25" x14ac:dyDescent="0.2">
      <c r="A72" s="661"/>
      <c r="B72" s="662"/>
      <c r="C72" s="662"/>
      <c r="D72" s="663"/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3"/>
      <c r="P72" s="663"/>
    </row>
    <row r="73" spans="1:16" x14ac:dyDescent="0.2">
      <c r="A73" s="654" t="s">
        <v>103</v>
      </c>
    </row>
    <row r="74" spans="1:16" x14ac:dyDescent="0.2">
      <c r="A74" s="654" t="s">
        <v>100</v>
      </c>
      <c r="B74" s="608"/>
      <c r="C74" s="608">
        <f>+B81</f>
        <v>0</v>
      </c>
      <c r="D74" s="608">
        <f>D6</f>
        <v>0</v>
      </c>
      <c r="E74" s="608">
        <f>E6</f>
        <v>15271</v>
      </c>
      <c r="F74" s="608">
        <f t="shared" ref="F74:P74" si="32">+E81</f>
        <v>12919</v>
      </c>
      <c r="G74" s="608">
        <f t="shared" si="32"/>
        <v>13046.875</v>
      </c>
      <c r="H74" s="608">
        <f t="shared" si="32"/>
        <v>12947.654</v>
      </c>
      <c r="I74" s="608">
        <f t="shared" si="32"/>
        <v>12651.874</v>
      </c>
      <c r="J74" s="608">
        <f t="shared" si="32"/>
        <v>12307.397999999999</v>
      </c>
      <c r="K74" s="608">
        <f t="shared" si="32"/>
        <v>11912.212</v>
      </c>
      <c r="L74" s="608">
        <f t="shared" si="32"/>
        <v>11589.416615</v>
      </c>
      <c r="M74" s="608">
        <f t="shared" si="32"/>
        <v>11273.582830675001</v>
      </c>
      <c r="N74" s="608">
        <f t="shared" si="32"/>
        <v>10965.381308586875</v>
      </c>
      <c r="O74" s="608">
        <f t="shared" si="32"/>
        <v>10665.517111476176</v>
      </c>
      <c r="P74" s="608">
        <f t="shared" si="32"/>
        <v>10374.731219948797</v>
      </c>
    </row>
    <row r="75" spans="1:16" x14ac:dyDescent="0.2">
      <c r="A75" s="655" t="s">
        <v>101</v>
      </c>
      <c r="B75" s="617"/>
      <c r="C75" s="617">
        <v>0</v>
      </c>
      <c r="D75" s="617">
        <v>0</v>
      </c>
      <c r="E75" s="617">
        <v>-402</v>
      </c>
      <c r="F75" s="617">
        <v>0</v>
      </c>
      <c r="G75" s="617">
        <v>0</v>
      </c>
      <c r="H75" s="617">
        <v>0</v>
      </c>
      <c r="I75" s="617">
        <v>0</v>
      </c>
      <c r="J75" s="617">
        <v>0</v>
      </c>
      <c r="K75" s="617">
        <v>0</v>
      </c>
      <c r="L75" s="617">
        <v>0</v>
      </c>
      <c r="M75" s="617">
        <v>0</v>
      </c>
      <c r="N75" s="617">
        <v>0</v>
      </c>
      <c r="O75" s="617">
        <v>0</v>
      </c>
      <c r="P75" s="617">
        <v>0</v>
      </c>
    </row>
    <row r="76" spans="1:16" x14ac:dyDescent="0.2">
      <c r="A76" s="654" t="s">
        <v>102</v>
      </c>
      <c r="B76" s="608">
        <f>SUM(B74:B75)</f>
        <v>0</v>
      </c>
      <c r="C76" s="608">
        <f t="shared" ref="C76:P76" si="33">SUM(C74:C75)</f>
        <v>0</v>
      </c>
      <c r="D76" s="608">
        <f t="shared" si="33"/>
        <v>0</v>
      </c>
      <c r="E76" s="608">
        <f t="shared" si="33"/>
        <v>14869</v>
      </c>
      <c r="F76" s="608">
        <f t="shared" si="33"/>
        <v>12919</v>
      </c>
      <c r="G76" s="608">
        <f t="shared" si="33"/>
        <v>13046.875</v>
      </c>
      <c r="H76" s="608">
        <f t="shared" si="33"/>
        <v>12947.654</v>
      </c>
      <c r="I76" s="608">
        <f t="shared" si="33"/>
        <v>12651.874</v>
      </c>
      <c r="J76" s="608">
        <f t="shared" si="33"/>
        <v>12307.397999999999</v>
      </c>
      <c r="K76" s="608">
        <f t="shared" si="33"/>
        <v>11912.212</v>
      </c>
      <c r="L76" s="608">
        <f t="shared" si="33"/>
        <v>11589.416615</v>
      </c>
      <c r="M76" s="608">
        <f t="shared" si="33"/>
        <v>11273.582830675001</v>
      </c>
      <c r="N76" s="608">
        <f t="shared" si="33"/>
        <v>10965.381308586875</v>
      </c>
      <c r="O76" s="608">
        <f t="shared" si="33"/>
        <v>10665.517111476176</v>
      </c>
      <c r="P76" s="608">
        <f t="shared" si="33"/>
        <v>10374.731219948797</v>
      </c>
    </row>
    <row r="77" spans="1:16" x14ac:dyDescent="0.2">
      <c r="B77" s="608"/>
      <c r="C77" s="608"/>
      <c r="D77" s="608"/>
      <c r="E77" s="608"/>
      <c r="F77" s="608"/>
      <c r="G77" s="608"/>
      <c r="H77" s="608"/>
      <c r="I77" s="608"/>
      <c r="J77" s="608"/>
      <c r="K77" s="608"/>
      <c r="L77" s="608"/>
      <c r="M77" s="608"/>
      <c r="N77" s="608"/>
      <c r="O77" s="608"/>
      <c r="P77" s="608"/>
    </row>
    <row r="78" spans="1:16" x14ac:dyDescent="0.2">
      <c r="A78" s="654" t="s">
        <v>76</v>
      </c>
      <c r="B78" s="608">
        <f>+'GF &amp; FF  Inc Exp Statement'!B182</f>
        <v>0</v>
      </c>
      <c r="C78" s="621">
        <f>+'GF &amp; FF  Inc Exp Statement'!C182</f>
        <v>0</v>
      </c>
      <c r="D78" s="608">
        <f>+'Future Fund  Inc Exp Statement'!D182</f>
        <v>0</v>
      </c>
      <c r="E78" s="608">
        <f>+'Future Fund  Inc Exp Statement'!E182</f>
        <v>-1950</v>
      </c>
      <c r="F78" s="608">
        <f>+'Future Fund  Inc Exp Statement'!F182</f>
        <v>127.87499999999955</v>
      </c>
      <c r="G78" s="608">
        <f>+'Future Fund  Inc Exp Statement'!G182</f>
        <v>-99.220999999999549</v>
      </c>
      <c r="H78" s="608">
        <f>+'Future Fund  Inc Exp Statement'!H182</f>
        <v>-295.77999999999975</v>
      </c>
      <c r="I78" s="608">
        <f>+'Future Fund  Inc Exp Statement'!I182</f>
        <v>-344.47600000000011</v>
      </c>
      <c r="J78" s="608">
        <f>+'Future Fund  Inc Exp Statement'!J182</f>
        <v>-395.18600000000015</v>
      </c>
      <c r="K78" s="608">
        <f>+'Future Fund  Inc Exp Statement'!K182</f>
        <v>-322.7953849999999</v>
      </c>
      <c r="L78" s="608">
        <f>+'Future Fund  Inc Exp Statement'!L182</f>
        <v>-315.83378432500012</v>
      </c>
      <c r="M78" s="608">
        <f>+'Future Fund  Inc Exp Statement'!M182</f>
        <v>-308.20152208812488</v>
      </c>
      <c r="N78" s="608">
        <f>+'Future Fund  Inc Exp Statement'!N182</f>
        <v>-299.86419711069811</v>
      </c>
      <c r="O78" s="608">
        <f>+'Future Fund  Inc Exp Statement'!O182</f>
        <v>-290.78589152737868</v>
      </c>
      <c r="P78" s="608">
        <f>+'Future Fund  Inc Exp Statement'!P182</f>
        <v>-280.92910770099388</v>
      </c>
    </row>
    <row r="79" spans="1:16" x14ac:dyDescent="0.2">
      <c r="B79" s="608"/>
      <c r="C79" s="608"/>
      <c r="D79" s="608"/>
      <c r="E79" s="608"/>
      <c r="F79" s="608"/>
      <c r="G79" s="608"/>
      <c r="H79" s="608"/>
      <c r="I79" s="608"/>
      <c r="J79" s="608"/>
      <c r="K79" s="608"/>
      <c r="L79" s="608"/>
      <c r="M79" s="608"/>
      <c r="N79" s="608"/>
      <c r="O79" s="608"/>
      <c r="P79" s="608"/>
    </row>
    <row r="80" spans="1:16" x14ac:dyDescent="0.2">
      <c r="A80" s="654" t="s">
        <v>105</v>
      </c>
      <c r="B80" s="674">
        <f>+B78</f>
        <v>0</v>
      </c>
      <c r="C80" s="619">
        <f t="shared" ref="C80:P80" si="34">+C78</f>
        <v>0</v>
      </c>
      <c r="D80" s="674">
        <f t="shared" si="34"/>
        <v>0</v>
      </c>
      <c r="E80" s="619">
        <f t="shared" si="34"/>
        <v>-1950</v>
      </c>
      <c r="F80" s="619">
        <f t="shared" si="34"/>
        <v>127.87499999999955</v>
      </c>
      <c r="G80" s="619">
        <f t="shared" si="34"/>
        <v>-99.220999999999549</v>
      </c>
      <c r="H80" s="619">
        <f t="shared" si="34"/>
        <v>-295.77999999999975</v>
      </c>
      <c r="I80" s="619">
        <f t="shared" si="34"/>
        <v>-344.47600000000011</v>
      </c>
      <c r="J80" s="619">
        <f t="shared" si="34"/>
        <v>-395.18600000000015</v>
      </c>
      <c r="K80" s="619">
        <f t="shared" si="34"/>
        <v>-322.7953849999999</v>
      </c>
      <c r="L80" s="674">
        <f t="shared" si="34"/>
        <v>-315.83378432500012</v>
      </c>
      <c r="M80" s="674">
        <f t="shared" si="34"/>
        <v>-308.20152208812488</v>
      </c>
      <c r="N80" s="674">
        <f t="shared" si="34"/>
        <v>-299.86419711069811</v>
      </c>
      <c r="O80" s="674">
        <f t="shared" si="34"/>
        <v>-290.78589152737868</v>
      </c>
      <c r="P80" s="674">
        <f t="shared" si="34"/>
        <v>-280.92910770099388</v>
      </c>
    </row>
    <row r="81" spans="1:16" ht="10.8" thickBot="1" x14ac:dyDescent="0.25">
      <c r="A81" s="654" t="s">
        <v>106</v>
      </c>
      <c r="B81" s="658">
        <f t="shared" ref="B81:P81" si="35">+B76+B80</f>
        <v>0</v>
      </c>
      <c r="C81" s="658">
        <f t="shared" si="35"/>
        <v>0</v>
      </c>
      <c r="D81" s="658">
        <f t="shared" si="35"/>
        <v>0</v>
      </c>
      <c r="E81" s="658">
        <f t="shared" si="35"/>
        <v>12919</v>
      </c>
      <c r="F81" s="658">
        <f t="shared" si="35"/>
        <v>13046.875</v>
      </c>
      <c r="G81" s="658">
        <f t="shared" si="35"/>
        <v>12947.654</v>
      </c>
      <c r="H81" s="658">
        <f t="shared" si="35"/>
        <v>12651.874</v>
      </c>
      <c r="I81" s="658">
        <f t="shared" si="35"/>
        <v>12307.397999999999</v>
      </c>
      <c r="J81" s="658">
        <f t="shared" si="35"/>
        <v>11912.212</v>
      </c>
      <c r="K81" s="658">
        <f t="shared" si="35"/>
        <v>11589.416615</v>
      </c>
      <c r="L81" s="658">
        <f t="shared" si="35"/>
        <v>11273.582830675001</v>
      </c>
      <c r="M81" s="658">
        <f t="shared" si="35"/>
        <v>10965.381308586875</v>
      </c>
      <c r="N81" s="658">
        <f t="shared" si="35"/>
        <v>10665.517111476176</v>
      </c>
      <c r="O81" s="658">
        <f t="shared" si="35"/>
        <v>10374.731219948797</v>
      </c>
      <c r="P81" s="658">
        <f t="shared" si="35"/>
        <v>10093.802112247802</v>
      </c>
    </row>
    <row r="82" spans="1:16" x14ac:dyDescent="0.2">
      <c r="B82" s="608"/>
      <c r="C82" s="608"/>
      <c r="D82" s="608"/>
      <c r="E82" s="608"/>
      <c r="F82" s="608"/>
      <c r="G82" s="608"/>
      <c r="H82" s="608"/>
      <c r="I82" s="608"/>
      <c r="J82" s="608"/>
      <c r="K82" s="608"/>
      <c r="L82" s="608"/>
      <c r="M82" s="608"/>
      <c r="N82" s="608"/>
      <c r="O82" s="608"/>
      <c r="P82" s="608"/>
    </row>
    <row r="83" spans="1:16" x14ac:dyDescent="0.2">
      <c r="A83" s="654" t="s">
        <v>107</v>
      </c>
      <c r="B83" s="608"/>
      <c r="C83" s="608"/>
      <c r="D83" s="608"/>
      <c r="E83" s="608"/>
      <c r="F83" s="608"/>
      <c r="G83" s="608"/>
      <c r="H83" s="608"/>
      <c r="I83" s="608"/>
      <c r="J83" s="608"/>
      <c r="K83" s="608"/>
      <c r="L83" s="608"/>
      <c r="M83" s="608"/>
      <c r="N83" s="608"/>
      <c r="O83" s="608"/>
      <c r="P83" s="608"/>
    </row>
    <row r="84" spans="1:16" x14ac:dyDescent="0.2">
      <c r="A84" s="654" t="s">
        <v>100</v>
      </c>
      <c r="B84" s="608"/>
      <c r="C84" s="608">
        <f>+B90</f>
        <v>0</v>
      </c>
      <c r="D84" s="608">
        <f>D16</f>
        <v>0</v>
      </c>
      <c r="E84" s="608">
        <f>E16</f>
        <v>0</v>
      </c>
      <c r="F84" s="608">
        <f t="shared" ref="F84:P84" si="36">+E90</f>
        <v>0</v>
      </c>
      <c r="G84" s="608">
        <f t="shared" si="36"/>
        <v>0</v>
      </c>
      <c r="H84" s="608">
        <f t="shared" si="36"/>
        <v>0</v>
      </c>
      <c r="I84" s="608">
        <f t="shared" si="36"/>
        <v>0</v>
      </c>
      <c r="J84" s="608">
        <f t="shared" si="36"/>
        <v>0</v>
      </c>
      <c r="K84" s="608">
        <f t="shared" si="36"/>
        <v>0</v>
      </c>
      <c r="L84" s="608">
        <f t="shared" si="36"/>
        <v>0</v>
      </c>
      <c r="M84" s="608">
        <f t="shared" si="36"/>
        <v>0</v>
      </c>
      <c r="N84" s="608">
        <f t="shared" si="36"/>
        <v>0</v>
      </c>
      <c r="O84" s="608">
        <f t="shared" si="36"/>
        <v>0</v>
      </c>
      <c r="P84" s="608">
        <f t="shared" si="36"/>
        <v>0</v>
      </c>
    </row>
    <row r="85" spans="1:16" x14ac:dyDescent="0.2">
      <c r="A85" s="655" t="s">
        <v>101</v>
      </c>
      <c r="B85" s="617">
        <v>0</v>
      </c>
      <c r="C85" s="617">
        <v>0</v>
      </c>
      <c r="D85" s="617">
        <v>0</v>
      </c>
      <c r="E85" s="617">
        <v>0</v>
      </c>
      <c r="F85" s="617">
        <v>0</v>
      </c>
      <c r="G85" s="617">
        <v>0</v>
      </c>
      <c r="H85" s="617">
        <v>0</v>
      </c>
      <c r="I85" s="617">
        <v>0</v>
      </c>
      <c r="J85" s="617">
        <v>0</v>
      </c>
      <c r="K85" s="617">
        <v>0</v>
      </c>
      <c r="L85" s="617">
        <v>0</v>
      </c>
      <c r="M85" s="617">
        <v>0</v>
      </c>
      <c r="N85" s="617">
        <v>0</v>
      </c>
      <c r="O85" s="617">
        <v>0</v>
      </c>
      <c r="P85" s="617">
        <v>0</v>
      </c>
    </row>
    <row r="86" spans="1:16" x14ac:dyDescent="0.2">
      <c r="A86" s="654" t="s">
        <v>102</v>
      </c>
      <c r="B86" s="675">
        <f>SUM(B84:B85)</f>
        <v>0</v>
      </c>
      <c r="C86" s="675">
        <f t="shared" ref="C86:P86" si="37">SUM(C84:C85)</f>
        <v>0</v>
      </c>
      <c r="D86" s="675">
        <f t="shared" si="37"/>
        <v>0</v>
      </c>
      <c r="E86" s="675">
        <f t="shared" si="37"/>
        <v>0</v>
      </c>
      <c r="F86" s="675">
        <f t="shared" si="37"/>
        <v>0</v>
      </c>
      <c r="G86" s="675">
        <f t="shared" si="37"/>
        <v>0</v>
      </c>
      <c r="H86" s="675">
        <f t="shared" si="37"/>
        <v>0</v>
      </c>
      <c r="I86" s="675">
        <f t="shared" si="37"/>
        <v>0</v>
      </c>
      <c r="J86" s="675">
        <f t="shared" si="37"/>
        <v>0</v>
      </c>
      <c r="K86" s="675">
        <f t="shared" si="37"/>
        <v>0</v>
      </c>
      <c r="L86" s="675">
        <f t="shared" si="37"/>
        <v>0</v>
      </c>
      <c r="M86" s="675">
        <f t="shared" si="37"/>
        <v>0</v>
      </c>
      <c r="N86" s="675">
        <f t="shared" si="37"/>
        <v>0</v>
      </c>
      <c r="O86" s="675">
        <f t="shared" si="37"/>
        <v>0</v>
      </c>
      <c r="P86" s="675">
        <f t="shared" si="37"/>
        <v>0</v>
      </c>
    </row>
    <row r="87" spans="1:16" x14ac:dyDescent="0.2">
      <c r="B87" s="608"/>
      <c r="C87" s="608"/>
      <c r="D87" s="608"/>
      <c r="E87" s="608"/>
      <c r="F87" s="608"/>
      <c r="G87" s="608"/>
      <c r="H87" s="608"/>
      <c r="I87" s="608"/>
      <c r="J87" s="608"/>
      <c r="K87" s="608"/>
      <c r="L87" s="608"/>
      <c r="M87" s="608"/>
      <c r="N87" s="608"/>
      <c r="O87" s="608"/>
      <c r="P87" s="608"/>
    </row>
    <row r="88" spans="1:16" x14ac:dyDescent="0.2">
      <c r="A88" s="653" t="s">
        <v>104</v>
      </c>
      <c r="B88" s="621">
        <v>0</v>
      </c>
      <c r="C88" s="621">
        <f>C54</f>
        <v>0</v>
      </c>
      <c r="D88" s="621">
        <f t="shared" ref="D88:P88" si="38">D54</f>
        <v>0</v>
      </c>
      <c r="E88" s="621">
        <f t="shared" si="38"/>
        <v>0</v>
      </c>
      <c r="F88" s="621">
        <f t="shared" si="38"/>
        <v>0</v>
      </c>
      <c r="G88" s="621">
        <f t="shared" si="38"/>
        <v>0</v>
      </c>
      <c r="H88" s="621">
        <f t="shared" si="38"/>
        <v>0</v>
      </c>
      <c r="I88" s="621">
        <f t="shared" si="38"/>
        <v>0</v>
      </c>
      <c r="J88" s="621">
        <f t="shared" si="38"/>
        <v>0</v>
      </c>
      <c r="K88" s="621">
        <f t="shared" si="38"/>
        <v>0</v>
      </c>
      <c r="L88" s="621">
        <f t="shared" si="38"/>
        <v>0</v>
      </c>
      <c r="M88" s="621">
        <f t="shared" si="38"/>
        <v>0</v>
      </c>
      <c r="N88" s="621">
        <f t="shared" si="38"/>
        <v>0</v>
      </c>
      <c r="O88" s="621">
        <f t="shared" si="38"/>
        <v>0</v>
      </c>
      <c r="P88" s="621">
        <f t="shared" si="38"/>
        <v>0</v>
      </c>
    </row>
    <row r="89" spans="1:16" x14ac:dyDescent="0.2">
      <c r="A89" s="654" t="s">
        <v>105</v>
      </c>
      <c r="B89" s="674">
        <f>+B86+B88</f>
        <v>0</v>
      </c>
      <c r="C89" s="674">
        <f>C86+C88</f>
        <v>0</v>
      </c>
      <c r="D89" s="674">
        <f t="shared" ref="D89:P89" si="39">D86+D88</f>
        <v>0</v>
      </c>
      <c r="E89" s="674">
        <f t="shared" si="39"/>
        <v>0</v>
      </c>
      <c r="F89" s="674">
        <f t="shared" si="39"/>
        <v>0</v>
      </c>
      <c r="G89" s="674">
        <f t="shared" si="39"/>
        <v>0</v>
      </c>
      <c r="H89" s="674">
        <f t="shared" si="39"/>
        <v>0</v>
      </c>
      <c r="I89" s="674">
        <f t="shared" si="39"/>
        <v>0</v>
      </c>
      <c r="J89" s="674">
        <f t="shared" si="39"/>
        <v>0</v>
      </c>
      <c r="K89" s="674">
        <f t="shared" si="39"/>
        <v>0</v>
      </c>
      <c r="L89" s="674">
        <f t="shared" si="39"/>
        <v>0</v>
      </c>
      <c r="M89" s="674">
        <f t="shared" si="39"/>
        <v>0</v>
      </c>
      <c r="N89" s="674">
        <f t="shared" si="39"/>
        <v>0</v>
      </c>
      <c r="O89" s="674">
        <f t="shared" si="39"/>
        <v>0</v>
      </c>
      <c r="P89" s="674">
        <f t="shared" si="39"/>
        <v>0</v>
      </c>
    </row>
    <row r="90" spans="1:16" ht="10.8" thickBot="1" x14ac:dyDescent="0.25">
      <c r="A90" s="654" t="s">
        <v>106</v>
      </c>
      <c r="B90" s="658">
        <f>+B89</f>
        <v>0</v>
      </c>
      <c r="C90" s="658">
        <f t="shared" ref="C90:P90" si="40">+C89</f>
        <v>0</v>
      </c>
      <c r="D90" s="658">
        <f t="shared" si="40"/>
        <v>0</v>
      </c>
      <c r="E90" s="658">
        <f t="shared" si="40"/>
        <v>0</v>
      </c>
      <c r="F90" s="658">
        <f t="shared" si="40"/>
        <v>0</v>
      </c>
      <c r="G90" s="658">
        <f t="shared" si="40"/>
        <v>0</v>
      </c>
      <c r="H90" s="658">
        <f t="shared" si="40"/>
        <v>0</v>
      </c>
      <c r="I90" s="658">
        <f t="shared" si="40"/>
        <v>0</v>
      </c>
      <c r="J90" s="658">
        <f t="shared" si="40"/>
        <v>0</v>
      </c>
      <c r="K90" s="658">
        <f t="shared" si="40"/>
        <v>0</v>
      </c>
      <c r="L90" s="658">
        <f t="shared" si="40"/>
        <v>0</v>
      </c>
      <c r="M90" s="658">
        <f t="shared" si="40"/>
        <v>0</v>
      </c>
      <c r="N90" s="658">
        <f t="shared" si="40"/>
        <v>0</v>
      </c>
      <c r="O90" s="658">
        <f t="shared" si="40"/>
        <v>0</v>
      </c>
      <c r="P90" s="658">
        <f t="shared" si="40"/>
        <v>0</v>
      </c>
    </row>
    <row r="91" spans="1:16" x14ac:dyDescent="0.2">
      <c r="B91" s="608"/>
      <c r="C91" s="608"/>
      <c r="D91" s="608"/>
      <c r="E91" s="608"/>
      <c r="F91" s="608"/>
      <c r="G91" s="608"/>
      <c r="H91" s="608"/>
      <c r="I91" s="608"/>
      <c r="J91" s="608"/>
      <c r="K91" s="608"/>
      <c r="L91" s="608"/>
      <c r="M91" s="608"/>
      <c r="N91" s="608"/>
      <c r="O91" s="608"/>
      <c r="P91" s="608"/>
    </row>
    <row r="92" spans="1:16" x14ac:dyDescent="0.2">
      <c r="A92" s="654" t="s">
        <v>108</v>
      </c>
    </row>
    <row r="93" spans="1:16" x14ac:dyDescent="0.2">
      <c r="A93" s="654" t="s">
        <v>100</v>
      </c>
      <c r="B93" s="608">
        <f>+B74+B84</f>
        <v>0</v>
      </c>
      <c r="C93" s="608">
        <f t="shared" ref="C93:P94" si="41">+C74+C84</f>
        <v>0</v>
      </c>
      <c r="D93" s="608">
        <f t="shared" si="41"/>
        <v>0</v>
      </c>
      <c r="E93" s="608">
        <f t="shared" si="41"/>
        <v>15271</v>
      </c>
      <c r="F93" s="608">
        <f t="shared" si="41"/>
        <v>12919</v>
      </c>
      <c r="G93" s="608">
        <f t="shared" si="41"/>
        <v>13046.875</v>
      </c>
      <c r="H93" s="608">
        <f t="shared" si="41"/>
        <v>12947.654</v>
      </c>
      <c r="I93" s="608">
        <f t="shared" si="41"/>
        <v>12651.874</v>
      </c>
      <c r="J93" s="608">
        <f t="shared" si="41"/>
        <v>12307.397999999999</v>
      </c>
      <c r="K93" s="608">
        <f t="shared" si="41"/>
        <v>11912.212</v>
      </c>
      <c r="L93" s="608">
        <f t="shared" si="41"/>
        <v>11589.416615</v>
      </c>
      <c r="M93" s="608">
        <f t="shared" si="41"/>
        <v>11273.582830675001</v>
      </c>
      <c r="N93" s="608">
        <f t="shared" si="41"/>
        <v>10965.381308586875</v>
      </c>
      <c r="O93" s="608">
        <f t="shared" si="41"/>
        <v>10665.517111476176</v>
      </c>
      <c r="P93" s="608">
        <f t="shared" si="41"/>
        <v>10374.731219948797</v>
      </c>
    </row>
    <row r="94" spans="1:16" x14ac:dyDescent="0.2">
      <c r="A94" s="655" t="s">
        <v>101</v>
      </c>
      <c r="B94" s="617">
        <f>+B75+B85</f>
        <v>0</v>
      </c>
      <c r="C94" s="617">
        <f t="shared" si="41"/>
        <v>0</v>
      </c>
      <c r="D94" s="617">
        <f t="shared" si="41"/>
        <v>0</v>
      </c>
      <c r="E94" s="617">
        <f t="shared" si="41"/>
        <v>-402</v>
      </c>
      <c r="F94" s="617">
        <f t="shared" si="41"/>
        <v>0</v>
      </c>
      <c r="G94" s="617">
        <f t="shared" si="41"/>
        <v>0</v>
      </c>
      <c r="H94" s="617">
        <f t="shared" si="41"/>
        <v>0</v>
      </c>
      <c r="I94" s="617">
        <f t="shared" si="41"/>
        <v>0</v>
      </c>
      <c r="J94" s="617">
        <f t="shared" si="41"/>
        <v>0</v>
      </c>
      <c r="K94" s="617">
        <f t="shared" si="41"/>
        <v>0</v>
      </c>
      <c r="L94" s="617">
        <f t="shared" si="41"/>
        <v>0</v>
      </c>
      <c r="M94" s="617">
        <f t="shared" si="41"/>
        <v>0</v>
      </c>
      <c r="N94" s="617">
        <f t="shared" si="41"/>
        <v>0</v>
      </c>
      <c r="O94" s="617">
        <f t="shared" si="41"/>
        <v>0</v>
      </c>
      <c r="P94" s="617">
        <f t="shared" si="41"/>
        <v>0</v>
      </c>
    </row>
    <row r="95" spans="1:16" x14ac:dyDescent="0.2">
      <c r="A95" s="654" t="s">
        <v>102</v>
      </c>
      <c r="B95" s="608">
        <f>SUM(B93:B94)</f>
        <v>0</v>
      </c>
      <c r="C95" s="608">
        <f t="shared" ref="C95:P95" si="42">SUM(C93:C94)</f>
        <v>0</v>
      </c>
      <c r="D95" s="608">
        <f t="shared" si="42"/>
        <v>0</v>
      </c>
      <c r="E95" s="608">
        <f t="shared" si="42"/>
        <v>14869</v>
      </c>
      <c r="F95" s="608">
        <f t="shared" si="42"/>
        <v>12919</v>
      </c>
      <c r="G95" s="608">
        <f t="shared" si="42"/>
        <v>13046.875</v>
      </c>
      <c r="H95" s="608">
        <f t="shared" si="42"/>
        <v>12947.654</v>
      </c>
      <c r="I95" s="608">
        <f t="shared" si="42"/>
        <v>12651.874</v>
      </c>
      <c r="J95" s="608">
        <f t="shared" si="42"/>
        <v>12307.397999999999</v>
      </c>
      <c r="K95" s="608">
        <f t="shared" si="42"/>
        <v>11912.212</v>
      </c>
      <c r="L95" s="608">
        <f t="shared" si="42"/>
        <v>11589.416615</v>
      </c>
      <c r="M95" s="608">
        <f t="shared" si="42"/>
        <v>11273.582830675001</v>
      </c>
      <c r="N95" s="608">
        <f t="shared" si="42"/>
        <v>10965.381308586875</v>
      </c>
      <c r="O95" s="608">
        <f t="shared" si="42"/>
        <v>10665.517111476176</v>
      </c>
      <c r="P95" s="608">
        <f t="shared" si="42"/>
        <v>10374.731219948797</v>
      </c>
    </row>
    <row r="96" spans="1:16" x14ac:dyDescent="0.2">
      <c r="B96" s="608"/>
      <c r="C96" s="608"/>
      <c r="D96" s="608"/>
      <c r="E96" s="608"/>
      <c r="F96" s="608"/>
      <c r="G96" s="608"/>
      <c r="H96" s="608"/>
      <c r="I96" s="608"/>
      <c r="J96" s="608"/>
      <c r="K96" s="608"/>
      <c r="L96" s="608"/>
      <c r="M96" s="608"/>
      <c r="N96" s="608"/>
      <c r="O96" s="608"/>
      <c r="P96" s="608"/>
    </row>
    <row r="97" spans="1:16" x14ac:dyDescent="0.2">
      <c r="A97" s="654" t="s">
        <v>76</v>
      </c>
      <c r="B97" s="621">
        <f>+B78</f>
        <v>0</v>
      </c>
      <c r="C97" s="621">
        <f t="shared" ref="C97:P97" si="43">+C78</f>
        <v>0</v>
      </c>
      <c r="D97" s="621">
        <f t="shared" si="43"/>
        <v>0</v>
      </c>
      <c r="E97" s="621">
        <f t="shared" si="43"/>
        <v>-1950</v>
      </c>
      <c r="F97" s="621">
        <f t="shared" si="43"/>
        <v>127.87499999999955</v>
      </c>
      <c r="G97" s="621">
        <f t="shared" si="43"/>
        <v>-99.220999999999549</v>
      </c>
      <c r="H97" s="621">
        <f t="shared" si="43"/>
        <v>-295.77999999999975</v>
      </c>
      <c r="I97" s="621">
        <f t="shared" si="43"/>
        <v>-344.47600000000011</v>
      </c>
      <c r="J97" s="621">
        <f t="shared" si="43"/>
        <v>-395.18600000000015</v>
      </c>
      <c r="K97" s="621">
        <f t="shared" si="43"/>
        <v>-322.7953849999999</v>
      </c>
      <c r="L97" s="621">
        <f t="shared" si="43"/>
        <v>-315.83378432500012</v>
      </c>
      <c r="M97" s="621">
        <f t="shared" si="43"/>
        <v>-308.20152208812488</v>
      </c>
      <c r="N97" s="621">
        <f t="shared" si="43"/>
        <v>-299.86419711069811</v>
      </c>
      <c r="O97" s="621">
        <f t="shared" si="43"/>
        <v>-290.78589152737868</v>
      </c>
      <c r="P97" s="621">
        <f t="shared" si="43"/>
        <v>-280.92910770099388</v>
      </c>
    </row>
    <row r="98" spans="1:16" x14ac:dyDescent="0.2">
      <c r="B98" s="608"/>
      <c r="C98" s="608"/>
      <c r="D98" s="608"/>
      <c r="E98" s="608"/>
      <c r="F98" s="608"/>
      <c r="G98" s="608"/>
      <c r="H98" s="608"/>
      <c r="I98" s="608"/>
      <c r="J98" s="608"/>
      <c r="K98" s="608"/>
      <c r="L98" s="608"/>
      <c r="M98" s="608"/>
      <c r="N98" s="608"/>
      <c r="O98" s="608"/>
      <c r="P98" s="608"/>
    </row>
    <row r="99" spans="1:16" x14ac:dyDescent="0.2">
      <c r="A99" s="654" t="s">
        <v>105</v>
      </c>
      <c r="B99" s="674">
        <f>+B80</f>
        <v>0</v>
      </c>
      <c r="C99" s="619">
        <f t="shared" ref="C99:P99" si="44">+C97</f>
        <v>0</v>
      </c>
      <c r="D99" s="674">
        <f t="shared" si="44"/>
        <v>0</v>
      </c>
      <c r="E99" s="619">
        <f t="shared" si="44"/>
        <v>-1950</v>
      </c>
      <c r="F99" s="619">
        <f t="shared" si="44"/>
        <v>127.87499999999955</v>
      </c>
      <c r="G99" s="619">
        <f t="shared" si="44"/>
        <v>-99.220999999999549</v>
      </c>
      <c r="H99" s="619">
        <f t="shared" si="44"/>
        <v>-295.77999999999975</v>
      </c>
      <c r="I99" s="619">
        <f t="shared" si="44"/>
        <v>-344.47600000000011</v>
      </c>
      <c r="J99" s="619">
        <f t="shared" si="44"/>
        <v>-395.18600000000015</v>
      </c>
      <c r="K99" s="619">
        <f t="shared" si="44"/>
        <v>-322.7953849999999</v>
      </c>
      <c r="L99" s="674">
        <f t="shared" si="44"/>
        <v>-315.83378432500012</v>
      </c>
      <c r="M99" s="674">
        <f t="shared" si="44"/>
        <v>-308.20152208812488</v>
      </c>
      <c r="N99" s="674">
        <f t="shared" si="44"/>
        <v>-299.86419711069811</v>
      </c>
      <c r="O99" s="674">
        <f t="shared" si="44"/>
        <v>-290.78589152737868</v>
      </c>
      <c r="P99" s="674">
        <f t="shared" si="44"/>
        <v>-280.92910770099388</v>
      </c>
    </row>
    <row r="100" spans="1:16" ht="10.8" thickBot="1" x14ac:dyDescent="0.25">
      <c r="A100" s="653" t="s">
        <v>104</v>
      </c>
      <c r="B100" s="633">
        <f>+B88</f>
        <v>0</v>
      </c>
      <c r="C100" s="633">
        <f t="shared" ref="C100:P100" si="45">+C88</f>
        <v>0</v>
      </c>
      <c r="D100" s="633">
        <f t="shared" si="45"/>
        <v>0</v>
      </c>
      <c r="E100" s="633">
        <f t="shared" si="45"/>
        <v>0</v>
      </c>
      <c r="F100" s="633">
        <f t="shared" si="45"/>
        <v>0</v>
      </c>
      <c r="G100" s="633">
        <f t="shared" si="45"/>
        <v>0</v>
      </c>
      <c r="H100" s="633">
        <f t="shared" si="45"/>
        <v>0</v>
      </c>
      <c r="I100" s="633">
        <f t="shared" si="45"/>
        <v>0</v>
      </c>
      <c r="J100" s="633">
        <f t="shared" si="45"/>
        <v>0</v>
      </c>
      <c r="K100" s="633">
        <f t="shared" si="45"/>
        <v>0</v>
      </c>
      <c r="L100" s="633">
        <f t="shared" si="45"/>
        <v>0</v>
      </c>
      <c r="M100" s="633">
        <f t="shared" si="45"/>
        <v>0</v>
      </c>
      <c r="N100" s="633">
        <f t="shared" si="45"/>
        <v>0</v>
      </c>
      <c r="O100" s="633">
        <f t="shared" si="45"/>
        <v>0</v>
      </c>
      <c r="P100" s="633">
        <f t="shared" si="45"/>
        <v>0</v>
      </c>
    </row>
    <row r="101" spans="1:16" ht="10.8" thickBot="1" x14ac:dyDescent="0.25">
      <c r="A101" s="654" t="s">
        <v>106</v>
      </c>
      <c r="B101" s="668">
        <f>+B95+B99+B100</f>
        <v>0</v>
      </c>
      <c r="C101" s="668">
        <f t="shared" ref="C101:P101" si="46">+C95+C99+C100</f>
        <v>0</v>
      </c>
      <c r="D101" s="668">
        <f t="shared" si="46"/>
        <v>0</v>
      </c>
      <c r="E101" s="668">
        <f t="shared" si="46"/>
        <v>12919</v>
      </c>
      <c r="F101" s="668">
        <f t="shared" si="46"/>
        <v>13046.875</v>
      </c>
      <c r="G101" s="668">
        <f t="shared" si="46"/>
        <v>12947.654</v>
      </c>
      <c r="H101" s="668">
        <f t="shared" si="46"/>
        <v>12651.874</v>
      </c>
      <c r="I101" s="668">
        <f t="shared" si="46"/>
        <v>12307.397999999999</v>
      </c>
      <c r="J101" s="668">
        <f t="shared" si="46"/>
        <v>11912.212</v>
      </c>
      <c r="K101" s="668">
        <f t="shared" si="46"/>
        <v>11589.416615</v>
      </c>
      <c r="L101" s="668">
        <f t="shared" si="46"/>
        <v>11273.582830675001</v>
      </c>
      <c r="M101" s="668">
        <f t="shared" si="46"/>
        <v>10965.381308586875</v>
      </c>
      <c r="N101" s="668">
        <f t="shared" si="46"/>
        <v>10665.517111476176</v>
      </c>
      <c r="O101" s="668">
        <f t="shared" si="46"/>
        <v>10374.731219948797</v>
      </c>
      <c r="P101" s="668">
        <f t="shared" si="46"/>
        <v>10093.802112247802</v>
      </c>
    </row>
    <row r="102" spans="1:16" ht="10.8" thickTop="1" x14ac:dyDescent="0.2"/>
  </sheetData>
  <pageMargins left="0.70866141732283472" right="0.70866141732283472" top="0.74803149606299213" bottom="0.74803149606299213" header="0.31496062992125984" footer="0.31496062992125984"/>
  <pageSetup paperSize="9" scale="91" fitToHeight="0" orientation="landscape" r:id="rId1"/>
  <rowBreaks count="2" manualBreakCount="2">
    <brk id="34" max="16383" man="1"/>
    <brk id="6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E220"/>
  <sheetViews>
    <sheetView zoomScaleNormal="100" workbookViewId="0">
      <pane xSplit="3" ySplit="3" topLeftCell="F4" activePane="bottomRight" state="frozen"/>
      <selection activeCell="A164" sqref="A164:XFD164"/>
      <selection pane="topRight" activeCell="A164" sqref="A164:XFD164"/>
      <selection pane="bottomLeft" activeCell="A164" sqref="A164:XFD164"/>
      <selection pane="bottomRight" activeCell="G16" sqref="G16:P16"/>
    </sheetView>
  </sheetViews>
  <sheetFormatPr defaultColWidth="9.109375" defaultRowHeight="10.199999999999999" outlineLevelRow="1" outlineLevelCol="1" x14ac:dyDescent="0.2"/>
  <cols>
    <col min="1" max="1" width="35.44140625" style="600" customWidth="1"/>
    <col min="2" max="2" width="12.6640625" style="599" hidden="1" customWidth="1" outlineLevel="1"/>
    <col min="3" max="3" width="11" style="599" hidden="1" customWidth="1" outlineLevel="1"/>
    <col min="4" max="4" width="10.109375" style="599" hidden="1" customWidth="1" outlineLevel="1" collapsed="1"/>
    <col min="5" max="5" width="9" style="599" hidden="1" customWidth="1" outlineLevel="1" collapsed="1"/>
    <col min="6" max="6" width="10.109375" style="599" customWidth="1" collapsed="1"/>
    <col min="7" max="7" width="9.5546875" style="599" bestFit="1" customWidth="1"/>
    <col min="8" max="8" width="9.88671875" style="599" bestFit="1" customWidth="1"/>
    <col min="9" max="9" width="9.5546875" style="599" bestFit="1" customWidth="1"/>
    <col min="10" max="11" width="10.109375" style="599" bestFit="1" customWidth="1"/>
    <col min="12" max="12" width="9.88671875" style="599" bestFit="1" customWidth="1"/>
    <col min="13" max="15" width="10.109375" style="599" bestFit="1" customWidth="1"/>
    <col min="16" max="16" width="9.88671875" style="599" customWidth="1"/>
    <col min="17" max="17" width="9.109375" style="599" customWidth="1"/>
    <col min="18" max="29" width="9.109375" style="599"/>
    <col min="30" max="30" width="49.6640625" style="599" bestFit="1" customWidth="1"/>
    <col min="31" max="31" width="10.6640625" style="599" bestFit="1" customWidth="1"/>
    <col min="32" max="16384" width="9.109375" style="599"/>
  </cols>
  <sheetData>
    <row r="1" spans="1:31" ht="12.75" x14ac:dyDescent="0.2">
      <c r="A1" s="1091" t="s">
        <v>1247</v>
      </c>
    </row>
    <row r="2" spans="1:31" ht="12" x14ac:dyDescent="0.2">
      <c r="A2" s="693" t="s">
        <v>1622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  <c r="R2" s="586" t="s">
        <v>70</v>
      </c>
      <c r="S2" s="586" t="s">
        <v>71</v>
      </c>
      <c r="T2" s="586" t="s">
        <v>71</v>
      </c>
      <c r="U2" s="586" t="s">
        <v>71</v>
      </c>
      <c r="V2" s="586" t="s">
        <v>71</v>
      </c>
      <c r="W2" s="586" t="s">
        <v>71</v>
      </c>
      <c r="X2" s="586" t="s">
        <v>71</v>
      </c>
      <c r="Y2" s="586" t="s">
        <v>71</v>
      </c>
      <c r="Z2" s="586" t="s">
        <v>71</v>
      </c>
      <c r="AA2" s="586" t="s">
        <v>71</v>
      </c>
    </row>
    <row r="3" spans="1:31" ht="11.25" x14ac:dyDescent="0.2">
      <c r="A3" s="693" t="s">
        <v>73</v>
      </c>
      <c r="B3" s="741" t="s">
        <v>68</v>
      </c>
      <c r="C3" s="694" t="s">
        <v>0</v>
      </c>
      <c r="D3" s="694" t="s">
        <v>1</v>
      </c>
      <c r="E3" s="694" t="s">
        <v>2</v>
      </c>
      <c r="F3" s="694" t="s">
        <v>3</v>
      </c>
      <c r="G3" s="694" t="s">
        <v>4</v>
      </c>
      <c r="H3" s="694" t="s">
        <v>5</v>
      </c>
      <c r="I3" s="694" t="s">
        <v>6</v>
      </c>
      <c r="J3" s="694" t="s">
        <v>7</v>
      </c>
      <c r="K3" s="694" t="s">
        <v>8</v>
      </c>
      <c r="L3" s="694" t="s">
        <v>9</v>
      </c>
      <c r="M3" s="694" t="s">
        <v>514</v>
      </c>
      <c r="N3" s="694" t="s">
        <v>515</v>
      </c>
      <c r="O3" s="694" t="s">
        <v>904</v>
      </c>
      <c r="P3" s="694" t="s">
        <v>1046</v>
      </c>
      <c r="R3" s="694" t="s">
        <v>4</v>
      </c>
      <c r="S3" s="694" t="s">
        <v>5</v>
      </c>
      <c r="T3" s="694" t="s">
        <v>6</v>
      </c>
      <c r="U3" s="694" t="s">
        <v>7</v>
      </c>
      <c r="V3" s="694" t="s">
        <v>8</v>
      </c>
      <c r="W3" s="694" t="s">
        <v>9</v>
      </c>
      <c r="X3" s="694" t="s">
        <v>514</v>
      </c>
      <c r="Y3" s="694" t="s">
        <v>515</v>
      </c>
      <c r="Z3" s="694" t="s">
        <v>904</v>
      </c>
      <c r="AA3" s="694" t="s">
        <v>1046</v>
      </c>
    </row>
    <row r="4" spans="1:31" ht="11.25" hidden="1" outlineLevel="1" x14ac:dyDescent="0.2">
      <c r="A4" s="695" t="s">
        <v>906</v>
      </c>
      <c r="B4" s="696"/>
      <c r="C4" s="697"/>
      <c r="D4" s="698"/>
      <c r="E4" s="698"/>
      <c r="F4" s="699"/>
      <c r="G4" s="757">
        <f>(G12-F12)/F12</f>
        <v>5.6304998195541134E-2</v>
      </c>
      <c r="H4" s="757">
        <f t="shared" ref="H4:P4" si="0">(H12-G12)/G12</f>
        <v>3.3539015243872705E-2</v>
      </c>
      <c r="I4" s="757">
        <f t="shared" si="0"/>
        <v>4.2864734533570065E-2</v>
      </c>
      <c r="J4" s="757">
        <f t="shared" si="0"/>
        <v>2.7375956760284155E-2</v>
      </c>
      <c r="K4" s="757">
        <f t="shared" si="0"/>
        <v>2.4999999999999908E-2</v>
      </c>
      <c r="L4" s="757">
        <f t="shared" si="0"/>
        <v>2.4999999999999984E-2</v>
      </c>
      <c r="M4" s="757">
        <f t="shared" si="0"/>
        <v>2.4999999999999835E-2</v>
      </c>
      <c r="N4" s="757">
        <f t="shared" si="0"/>
        <v>2.4999999999999904E-2</v>
      </c>
      <c r="O4" s="757">
        <f t="shared" si="0"/>
        <v>2.4999999999999852E-2</v>
      </c>
      <c r="P4" s="757">
        <f t="shared" si="0"/>
        <v>2.4999999999999918E-2</v>
      </c>
      <c r="R4" s="599" t="s">
        <v>1042</v>
      </c>
      <c r="AD4" s="601" t="s">
        <v>10</v>
      </c>
    </row>
    <row r="5" spans="1:31" s="603" customFormat="1" ht="13.5" hidden="1" customHeight="1" outlineLevel="1" x14ac:dyDescent="0.2">
      <c r="A5" s="1087" t="s">
        <v>1642</v>
      </c>
      <c r="B5" s="701"/>
      <c r="C5" s="702"/>
      <c r="D5" s="703"/>
      <c r="E5" s="703"/>
      <c r="F5" s="1089">
        <v>120</v>
      </c>
      <c r="G5" s="1089">
        <f>F5</f>
        <v>120</v>
      </c>
      <c r="H5" s="1089">
        <f t="shared" ref="H5:J5" si="1">G5</f>
        <v>120</v>
      </c>
      <c r="I5" s="1089">
        <f t="shared" si="1"/>
        <v>120</v>
      </c>
      <c r="J5" s="1089">
        <f t="shared" si="1"/>
        <v>120</v>
      </c>
      <c r="K5" s="1543">
        <f>J5*(1+'LTFP Assumptions'!$H$6)</f>
        <v>122.99999999999999</v>
      </c>
      <c r="L5" s="1543">
        <f>K5*(1+'LTFP Assumptions'!$H$6)</f>
        <v>126.07499999999997</v>
      </c>
      <c r="M5" s="1543">
        <f>L5*(1+'LTFP Assumptions'!$H$6)</f>
        <v>129.22687499999995</v>
      </c>
      <c r="N5" s="1543">
        <f>M5*(1+'LTFP Assumptions'!$H$6)</f>
        <v>132.45754687499993</v>
      </c>
      <c r="O5" s="1543">
        <f>N5*(1+'LTFP Assumptions'!$H$6)</f>
        <v>135.76898554687492</v>
      </c>
      <c r="P5" s="1543">
        <f>O5*(1+'LTFP Assumptions'!$H$6)</f>
        <v>139.16321018554677</v>
      </c>
      <c r="R5" s="603" t="s">
        <v>1043</v>
      </c>
      <c r="AD5" s="602"/>
    </row>
    <row r="6" spans="1:31" s="603" customFormat="1" ht="13.5" hidden="1" customHeight="1" outlineLevel="1" x14ac:dyDescent="0.2">
      <c r="A6" s="700" t="s">
        <v>1514</v>
      </c>
      <c r="B6" s="701"/>
      <c r="C6" s="702"/>
      <c r="D6" s="703"/>
      <c r="E6" s="703"/>
      <c r="F6" s="703"/>
      <c r="G6" s="1413">
        <v>220</v>
      </c>
      <c r="H6" s="716">
        <f>G6*(1+'LTFP Assumptions'!$H12)</f>
        <v>224.4</v>
      </c>
      <c r="I6" s="716">
        <f>H6*(1+'LTFP Assumptions'!$H12)</f>
        <v>228.88800000000001</v>
      </c>
      <c r="J6" s="716">
        <f>I6*(1+'LTFP Assumptions'!$H12)</f>
        <v>233.46576000000002</v>
      </c>
      <c r="K6" s="745"/>
      <c r="L6" s="745"/>
      <c r="M6" s="745"/>
      <c r="N6" s="745"/>
      <c r="O6" s="745"/>
      <c r="P6" s="745"/>
      <c r="AD6" s="602"/>
    </row>
    <row r="7" spans="1:31" s="603" customFormat="1" ht="13.5" hidden="1" customHeight="1" outlineLevel="1" x14ac:dyDescent="0.2">
      <c r="A7" s="1365" t="s">
        <v>1439</v>
      </c>
      <c r="B7" s="701"/>
      <c r="C7" s="702"/>
      <c r="D7" s="1368"/>
      <c r="E7" s="1368"/>
      <c r="F7" s="1368"/>
      <c r="G7" s="1372">
        <v>0</v>
      </c>
      <c r="H7" s="746">
        <v>0</v>
      </c>
      <c r="I7" s="746">
        <v>0</v>
      </c>
      <c r="J7" s="746">
        <v>0</v>
      </c>
      <c r="K7" s="745"/>
      <c r="L7" s="745"/>
      <c r="M7" s="745"/>
      <c r="N7" s="745"/>
      <c r="O7" s="745"/>
      <c r="P7" s="745"/>
      <c r="AD7" s="602"/>
    </row>
    <row r="8" spans="1:31" s="603" customFormat="1" ht="17.25" hidden="1" customHeight="1" outlineLevel="1" x14ac:dyDescent="0.2">
      <c r="A8" s="1365" t="s">
        <v>1517</v>
      </c>
      <c r="B8" s="1366"/>
      <c r="C8" s="1367"/>
      <c r="D8" s="1368"/>
      <c r="E8" s="1368"/>
      <c r="F8" s="1369"/>
      <c r="G8" s="1372">
        <f>-750</f>
        <v>-750</v>
      </c>
      <c r="H8" s="746">
        <f>G8*(1+'LTFP Assumptions'!$J13)</f>
        <v>-765</v>
      </c>
      <c r="I8" s="746">
        <f>H8*(1+'LTFP Assumptions'!$J13)</f>
        <v>-780.30000000000007</v>
      </c>
      <c r="J8" s="746">
        <f>I8*(1+'LTFP Assumptions'!$J13)</f>
        <v>-795.90600000000006</v>
      </c>
      <c r="K8" s="711"/>
      <c r="L8" s="711"/>
      <c r="M8" s="711"/>
      <c r="N8" s="711"/>
      <c r="O8" s="711"/>
      <c r="P8" s="711"/>
      <c r="AD8" s="602"/>
    </row>
    <row r="9" spans="1:31" s="603" customFormat="1" ht="17.25" customHeight="1" collapsed="1" x14ac:dyDescent="0.2">
      <c r="A9" s="700"/>
      <c r="B9" s="701"/>
      <c r="C9" s="702"/>
      <c r="D9" s="703"/>
      <c r="E9" s="703"/>
      <c r="F9" s="776"/>
      <c r="G9" s="704"/>
      <c r="H9" s="711"/>
      <c r="I9" s="711"/>
      <c r="K9" s="711"/>
      <c r="L9" s="711"/>
      <c r="M9" s="711"/>
      <c r="N9" s="711"/>
      <c r="O9" s="711"/>
      <c r="P9" s="711"/>
      <c r="AD9" s="602"/>
    </row>
    <row r="10" spans="1:31" ht="11.25" x14ac:dyDescent="0.2">
      <c r="A10" s="705" t="s">
        <v>61</v>
      </c>
      <c r="B10" s="706"/>
      <c r="C10" s="706"/>
      <c r="D10" s="702"/>
      <c r="E10" s="707"/>
      <c r="F10" s="707"/>
      <c r="G10" s="707"/>
      <c r="AD10" s="599" t="s">
        <v>11</v>
      </c>
      <c r="AE10" s="606">
        <f>+D12</f>
        <v>0</v>
      </c>
    </row>
    <row r="11" spans="1:31" ht="11.25" x14ac:dyDescent="0.2">
      <c r="A11" s="708" t="s">
        <v>62</v>
      </c>
      <c r="B11" s="709"/>
      <c r="C11" s="709"/>
      <c r="D11" s="710"/>
      <c r="E11" s="710"/>
      <c r="F11" s="711"/>
      <c r="G11" s="711"/>
      <c r="R11" s="611" t="s">
        <v>1438</v>
      </c>
      <c r="S11" s="611" t="s">
        <v>1438</v>
      </c>
      <c r="T11" s="611" t="s">
        <v>1438</v>
      </c>
      <c r="U11" s="611" t="s">
        <v>1438</v>
      </c>
      <c r="V11" s="611" t="s">
        <v>1438</v>
      </c>
      <c r="W11" s="611" t="s">
        <v>1438</v>
      </c>
      <c r="X11" s="611" t="s">
        <v>1438</v>
      </c>
      <c r="Y11" s="611" t="s">
        <v>1438</v>
      </c>
      <c r="Z11" s="611" t="s">
        <v>1438</v>
      </c>
      <c r="AA11" s="611" t="s">
        <v>1438</v>
      </c>
      <c r="AE11" s="606"/>
    </row>
    <row r="12" spans="1:31" ht="11.25" x14ac:dyDescent="0.2">
      <c r="A12" s="700" t="s">
        <v>11</v>
      </c>
      <c r="B12" s="712"/>
      <c r="C12" s="712"/>
      <c r="D12" s="707"/>
      <c r="E12" s="707">
        <f>11625+2065</f>
        <v>13690</v>
      </c>
      <c r="F12" s="713">
        <f>-'Opex No SRV'!C110/1000</f>
        <v>14450.315000000001</v>
      </c>
      <c r="G12" s="713">
        <f>-'Opex No SRV'!E110/1000</f>
        <v>15263.939960000002</v>
      </c>
      <c r="H12" s="713">
        <f>-'Opex No SRV'!F110/1000</f>
        <v>15775.877474999999</v>
      </c>
      <c r="I12" s="713">
        <f>-'Opex No SRV'!G110/1000</f>
        <v>16452.106275000002</v>
      </c>
      <c r="J12" s="713">
        <f>-'Opex No SRV'!H110/1000</f>
        <v>16902.498425000002</v>
      </c>
      <c r="K12" s="713">
        <f>J12*(1+'LTFP Assumptions'!$H6)</f>
        <v>17325.060885625</v>
      </c>
      <c r="L12" s="713">
        <f>K12*(1+'LTFP Assumptions'!$H6)</f>
        <v>17758.187407765625</v>
      </c>
      <c r="M12" s="713">
        <f>L12*(1+'LTFP Assumptions'!$H6)</f>
        <v>18202.142092959763</v>
      </c>
      <c r="N12" s="713">
        <f>M12*(1+'LTFP Assumptions'!$H6)</f>
        <v>18657.195645283755</v>
      </c>
      <c r="O12" s="713">
        <f>N12*(1+'LTFP Assumptions'!$H6)</f>
        <v>19123.625536415846</v>
      </c>
      <c r="P12" s="713">
        <f>O12*(1+'LTFP Assumptions'!$H6)</f>
        <v>19601.716174826241</v>
      </c>
      <c r="R12" s="1363">
        <f>(G12-F12)/F12</f>
        <v>5.6304998195541134E-2</v>
      </c>
      <c r="S12" s="1363">
        <f t="shared" ref="S12:AA18" si="2">(H12-G12)/G12</f>
        <v>3.3539015243872705E-2</v>
      </c>
      <c r="T12" s="1363">
        <f t="shared" si="2"/>
        <v>4.2864734533570065E-2</v>
      </c>
      <c r="U12" s="1363">
        <f t="shared" si="2"/>
        <v>2.7375956760284155E-2</v>
      </c>
      <c r="V12" s="1363">
        <f t="shared" si="2"/>
        <v>2.4999999999999908E-2</v>
      </c>
      <c r="W12" s="1363">
        <f t="shared" si="2"/>
        <v>2.4999999999999984E-2</v>
      </c>
      <c r="X12" s="1363">
        <f t="shared" si="2"/>
        <v>2.4999999999999835E-2</v>
      </c>
      <c r="Y12" s="1363">
        <f t="shared" si="2"/>
        <v>2.4999999999999904E-2</v>
      </c>
      <c r="Z12" s="1363">
        <f t="shared" si="2"/>
        <v>2.4999999999999852E-2</v>
      </c>
      <c r="AA12" s="1363">
        <f t="shared" si="2"/>
        <v>2.4999999999999918E-2</v>
      </c>
      <c r="AD12" s="599" t="s">
        <v>12</v>
      </c>
      <c r="AE12" s="606">
        <f t="shared" ref="AE12:AE16" si="3">+D13</f>
        <v>0</v>
      </c>
    </row>
    <row r="13" spans="1:31" ht="11.25" x14ac:dyDescent="0.2">
      <c r="A13" s="695" t="s">
        <v>12</v>
      </c>
      <c r="B13" s="714"/>
      <c r="C13" s="714"/>
      <c r="D13" s="715"/>
      <c r="E13" s="715">
        <f>9+7634</f>
        <v>7643</v>
      </c>
      <c r="F13" s="713">
        <f>-'Opex No SRV'!C111/1000</f>
        <v>6434.6660000000002</v>
      </c>
      <c r="G13" s="713">
        <f>-'Opex No SRV'!E111/1000</f>
        <v>6694.2250000000004</v>
      </c>
      <c r="H13" s="713">
        <f>-'Opex No SRV'!F111/1000</f>
        <v>6785</v>
      </c>
      <c r="I13" s="713">
        <f>-'Opex No SRV'!G111/1000</f>
        <v>6903.5929999999998</v>
      </c>
      <c r="J13" s="713">
        <f>-'Opex No SRV'!H111/1000</f>
        <v>7069.6589999999997</v>
      </c>
      <c r="K13" s="711">
        <f>J13*(1+'LTFP Assumptions'!$H12)</f>
        <v>7211.0521799999997</v>
      </c>
      <c r="L13" s="711">
        <f>K13*(1+'LTFP Assumptions'!$H12)</f>
        <v>7355.2732236000002</v>
      </c>
      <c r="M13" s="711">
        <f>L13*(1+'LTFP Assumptions'!$H12)</f>
        <v>7502.3786880719999</v>
      </c>
      <c r="N13" s="711">
        <f>M13*(1+'LTFP Assumptions'!$H12)</f>
        <v>7652.4262618334396</v>
      </c>
      <c r="O13" s="711">
        <f>N13*(1+'LTFP Assumptions'!$H12)</f>
        <v>7805.4747870701085</v>
      </c>
      <c r="P13" s="711">
        <f>O13*(1+'LTFP Assumptions'!$H12)</f>
        <v>7961.584282811511</v>
      </c>
      <c r="R13" s="1363">
        <f t="shared" ref="R13:R18" si="4">(G13-F13)/F13</f>
        <v>4.0337602604393175E-2</v>
      </c>
      <c r="S13" s="1363">
        <f t="shared" si="2"/>
        <v>1.3560195541679526E-2</v>
      </c>
      <c r="T13" s="1363">
        <f t="shared" si="2"/>
        <v>1.7478703021370647E-2</v>
      </c>
      <c r="U13" s="1363">
        <f t="shared" si="2"/>
        <v>2.4055010195415606E-2</v>
      </c>
      <c r="V13" s="1363">
        <f t="shared" si="2"/>
        <v>2.0000000000000004E-2</v>
      </c>
      <c r="W13" s="1363">
        <f t="shared" si="2"/>
        <v>2.000000000000007E-2</v>
      </c>
      <c r="X13" s="1363">
        <f t="shared" si="2"/>
        <v>1.9999999999999969E-2</v>
      </c>
      <c r="Y13" s="1363">
        <f t="shared" si="2"/>
        <v>1.9999999999999962E-2</v>
      </c>
      <c r="Z13" s="1363">
        <f t="shared" si="2"/>
        <v>2.0000000000000011E-2</v>
      </c>
      <c r="AA13" s="1363">
        <f t="shared" si="2"/>
        <v>2.0000000000000042E-2</v>
      </c>
      <c r="AD13" s="599" t="s">
        <v>13</v>
      </c>
      <c r="AE13" s="606">
        <f t="shared" si="3"/>
        <v>0</v>
      </c>
    </row>
    <row r="14" spans="1:31" s="603" customFormat="1" ht="11.25" x14ac:dyDescent="0.2">
      <c r="A14" s="700" t="s">
        <v>13</v>
      </c>
      <c r="B14" s="712"/>
      <c r="C14" s="712"/>
      <c r="D14" s="707"/>
      <c r="E14" s="707">
        <f>11+1042</f>
        <v>1053</v>
      </c>
      <c r="F14" s="713">
        <f>-'Opex No SRV'!C112/1000</f>
        <v>931.5</v>
      </c>
      <c r="G14" s="713">
        <f>-'Opex No SRV'!E112/1000</f>
        <v>938.20899999999995</v>
      </c>
      <c r="H14" s="713">
        <f>-'Opex No SRV'!F112/1000</f>
        <v>947.19299999999998</v>
      </c>
      <c r="I14" s="713">
        <f>-'Opex No SRV'!G112/1000</f>
        <v>956.88900000000001</v>
      </c>
      <c r="J14" s="713">
        <f>-'Opex No SRV'!H112/1000</f>
        <v>965.43299999999999</v>
      </c>
      <c r="K14" s="716">
        <f>'Gen Fund  Cash Flow'!J52*'LTFP Assumptions'!$H17+K5</f>
        <v>640.65194612236007</v>
      </c>
      <c r="L14" s="716">
        <f>'Gen Fund  Cash Flow'!K52*'LTFP Assumptions'!$H17+L5</f>
        <v>638.68739019024861</v>
      </c>
      <c r="M14" s="716">
        <f>'Gen Fund  Cash Flow'!L52*'LTFP Assumptions'!$H17+M5</f>
        <v>638.81759995242737</v>
      </c>
      <c r="N14" s="716">
        <f>'Gen Fund  Cash Flow'!M52*'LTFP Assumptions'!$H17+N5</f>
        <v>652.55747854635763</v>
      </c>
      <c r="O14" s="716">
        <f>'Gen Fund  Cash Flow'!N52*'LTFP Assumptions'!$H17+O5</f>
        <v>660.15454873244494</v>
      </c>
      <c r="P14" s="716">
        <f>'Gen Fund  Cash Flow'!O52*'LTFP Assumptions'!$H17+P5</f>
        <v>666.7384359843428</v>
      </c>
      <c r="R14" s="1363">
        <f t="shared" si="4"/>
        <v>7.2023617820718691E-3</v>
      </c>
      <c r="S14" s="1363">
        <f t="shared" si="2"/>
        <v>9.5756915569985349E-3</v>
      </c>
      <c r="T14" s="1363">
        <f t="shared" si="2"/>
        <v>1.0236562136755684E-2</v>
      </c>
      <c r="U14" s="1363">
        <f t="shared" si="2"/>
        <v>8.9289353310571893E-3</v>
      </c>
      <c r="V14" s="1363">
        <f t="shared" si="2"/>
        <v>-0.33640972897926624</v>
      </c>
      <c r="W14" s="1363">
        <f t="shared" si="2"/>
        <v>-3.0664949103834447E-3</v>
      </c>
      <c r="X14" s="1363">
        <f t="shared" si="2"/>
        <v>2.0387088296823752E-4</v>
      </c>
      <c r="Y14" s="1363">
        <f t="shared" si="2"/>
        <v>2.1508296883106324E-2</v>
      </c>
      <c r="Z14" s="1363">
        <f t="shared" si="2"/>
        <v>1.1641993902223913E-2</v>
      </c>
      <c r="AA14" s="1363">
        <f t="shared" si="2"/>
        <v>9.9732513614266671E-3</v>
      </c>
      <c r="AD14" s="603" t="s">
        <v>14</v>
      </c>
      <c r="AE14" s="605">
        <f t="shared" si="3"/>
        <v>0</v>
      </c>
    </row>
    <row r="15" spans="1:31" ht="11.25" x14ac:dyDescent="0.2">
      <c r="A15" s="695" t="s">
        <v>14</v>
      </c>
      <c r="B15" s="714"/>
      <c r="C15" s="714"/>
      <c r="D15" s="715"/>
      <c r="E15" s="715">
        <f>1018</f>
        <v>1018</v>
      </c>
      <c r="F15" s="716">
        <f>-'Opex No SRV'!C113/1000</f>
        <v>2424.5369999999998</v>
      </c>
      <c r="G15" s="716">
        <f>-'Opex No SRV'!E113/1000</f>
        <v>2409.788</v>
      </c>
      <c r="H15" s="716">
        <f>-'Opex No SRV'!F113/1000</f>
        <v>2463.8040000000001</v>
      </c>
      <c r="I15" s="716">
        <f>-'Opex No SRV'!G113/1000</f>
        <v>2520.3789999999999</v>
      </c>
      <c r="J15" s="716">
        <f>-'Opex No SRV'!H113/1000</f>
        <v>2578.0160000000001</v>
      </c>
      <c r="K15" s="711">
        <f>J15*(1+'LTFP Assumptions'!$H$12)</f>
        <v>2629.5763200000001</v>
      </c>
      <c r="L15" s="711">
        <f>K15*(1+'LTFP Assumptions'!$H12)</f>
        <v>2682.1678464000001</v>
      </c>
      <c r="M15" s="711">
        <f>L15*(1+'LTFP Assumptions'!$H12)</f>
        <v>2735.8112033280004</v>
      </c>
      <c r="N15" s="711">
        <f>M15*(1+'LTFP Assumptions'!$H12)</f>
        <v>2790.5274273945606</v>
      </c>
      <c r="O15" s="711">
        <f>N15*(1+'LTFP Assumptions'!$H12)</f>
        <v>2846.337975942452</v>
      </c>
      <c r="P15" s="711">
        <f>O15*(1+'LTFP Assumptions'!$H12)</f>
        <v>2903.2647354613009</v>
      </c>
      <c r="R15" s="1363">
        <f t="shared" si="4"/>
        <v>-6.0832233123271776E-3</v>
      </c>
      <c r="S15" s="1363">
        <f t="shared" si="2"/>
        <v>2.2415249806207051E-2</v>
      </c>
      <c r="T15" s="1363">
        <f t="shared" si="2"/>
        <v>2.2962459676175464E-2</v>
      </c>
      <c r="U15" s="1363">
        <f t="shared" si="2"/>
        <v>2.2868386064159467E-2</v>
      </c>
      <c r="V15" s="1363">
        <f t="shared" si="2"/>
        <v>2.0000000000000018E-2</v>
      </c>
      <c r="W15" s="1363">
        <f t="shared" si="2"/>
        <v>2.0000000000000007E-2</v>
      </c>
      <c r="X15" s="1363">
        <f t="shared" si="2"/>
        <v>2.0000000000000084E-2</v>
      </c>
      <c r="Y15" s="1363">
        <f t="shared" si="2"/>
        <v>2.0000000000000087E-2</v>
      </c>
      <c r="Z15" s="1363">
        <f t="shared" si="2"/>
        <v>2.0000000000000052E-2</v>
      </c>
      <c r="AA15" s="1363">
        <f t="shared" si="2"/>
        <v>1.9999999999999966E-2</v>
      </c>
      <c r="AD15" s="599" t="s">
        <v>15</v>
      </c>
      <c r="AE15" s="606">
        <f t="shared" si="3"/>
        <v>0</v>
      </c>
    </row>
    <row r="16" spans="1:31" ht="12.75" customHeight="1" x14ac:dyDescent="0.2">
      <c r="A16" s="695" t="s">
        <v>15</v>
      </c>
      <c r="B16" s="714"/>
      <c r="C16" s="714"/>
      <c r="D16" s="715"/>
      <c r="E16" s="715">
        <f>32+8921</f>
        <v>8953</v>
      </c>
      <c r="F16" s="711">
        <f>-'Opex No SRV'!C114/1000</f>
        <v>6174.7439999999997</v>
      </c>
      <c r="G16" s="711">
        <f>-'Opex No SRV'!E114/1000+G6</f>
        <v>5450.8890000000001</v>
      </c>
      <c r="H16" s="711">
        <f>-'Opex No SRV'!F114/1000+H6</f>
        <v>5547.3509999999997</v>
      </c>
      <c r="I16" s="711">
        <f>-'Opex No SRV'!G114/1000+I6</f>
        <v>5643.5889999999999</v>
      </c>
      <c r="J16" s="711">
        <f>-'Opex No SRV'!H114/1000+J6</f>
        <v>5741.7657600000002</v>
      </c>
      <c r="K16" s="711">
        <f>J16*(1+'LTFP Assumptions'!$H10)</f>
        <v>5885.3099039999997</v>
      </c>
      <c r="L16" s="711">
        <f>K16*(1+'LTFP Assumptions'!$H10)</f>
        <v>6032.4426515999994</v>
      </c>
      <c r="M16" s="711">
        <f>L16*(1+'LTFP Assumptions'!$H10)</f>
        <v>6183.2537178899993</v>
      </c>
      <c r="N16" s="711">
        <f>M16*(1+'LTFP Assumptions'!$H10)</f>
        <v>6337.8350608372484</v>
      </c>
      <c r="O16" s="711">
        <f>N16*(1+'LTFP Assumptions'!$H10)</f>
        <v>6496.2809373581795</v>
      </c>
      <c r="P16" s="711">
        <f>O16*(1+'LTFP Assumptions'!$H10)</f>
        <v>6658.6879607921337</v>
      </c>
      <c r="R16" s="1363">
        <f t="shared" si="4"/>
        <v>-0.11722834177416903</v>
      </c>
      <c r="S16" s="1363">
        <f t="shared" si="2"/>
        <v>1.769656289093385E-2</v>
      </c>
      <c r="T16" s="1363">
        <f t="shared" si="2"/>
        <v>1.7348460553514692E-2</v>
      </c>
      <c r="U16" s="1363">
        <f t="shared" si="2"/>
        <v>1.7396156949062075E-2</v>
      </c>
      <c r="V16" s="1363">
        <f t="shared" si="2"/>
        <v>2.4999999999999911E-2</v>
      </c>
      <c r="W16" s="1363">
        <f t="shared" si="2"/>
        <v>2.4999999999999946E-2</v>
      </c>
      <c r="X16" s="1363">
        <f t="shared" si="2"/>
        <v>2.4999999999999981E-2</v>
      </c>
      <c r="Y16" s="1363">
        <f t="shared" si="2"/>
        <v>2.4999999999999863E-2</v>
      </c>
      <c r="Z16" s="1363">
        <f t="shared" si="2"/>
        <v>2.4999999999999974E-2</v>
      </c>
      <c r="AA16" s="1363">
        <f t="shared" si="2"/>
        <v>2.4999999999999963E-2</v>
      </c>
      <c r="AD16" s="599" t="s">
        <v>18</v>
      </c>
      <c r="AE16" s="606">
        <f t="shared" si="3"/>
        <v>0</v>
      </c>
    </row>
    <row r="17" spans="1:31" ht="11.25" customHeight="1" x14ac:dyDescent="0.2">
      <c r="A17" s="695" t="s">
        <v>18</v>
      </c>
      <c r="B17" s="714"/>
      <c r="C17" s="714"/>
      <c r="D17" s="715"/>
      <c r="E17" s="715">
        <f>14459</f>
        <v>14459</v>
      </c>
      <c r="F17" s="716">
        <f>F60+F61+F62</f>
        <v>2898.0070000000001</v>
      </c>
      <c r="G17" s="716">
        <f>G60+G61+G62</f>
        <v>3787.9670000000001</v>
      </c>
      <c r="H17" s="716">
        <f t="shared" ref="H17:J17" si="5">H60+H61+H62</f>
        <v>3844.3710099999998</v>
      </c>
      <c r="I17" s="716">
        <f t="shared" si="5"/>
        <v>3902.4590153000004</v>
      </c>
      <c r="J17" s="716">
        <f t="shared" si="5"/>
        <v>3962.2813326340001</v>
      </c>
      <c r="K17" s="716">
        <f t="shared" ref="K17:P17" si="6">K60+K61+K62</f>
        <v>4061.33836594985</v>
      </c>
      <c r="L17" s="716">
        <f t="shared" si="6"/>
        <v>4162.8718250985949</v>
      </c>
      <c r="M17" s="716">
        <f t="shared" si="6"/>
        <v>4266.9436207260605</v>
      </c>
      <c r="N17" s="716">
        <f t="shared" si="6"/>
        <v>4373.6172112442109</v>
      </c>
      <c r="O17" s="716">
        <f t="shared" si="6"/>
        <v>4482.9576415253168</v>
      </c>
      <c r="P17" s="716">
        <f t="shared" si="6"/>
        <v>4595.0315825634489</v>
      </c>
      <c r="R17" s="1363">
        <f t="shared" si="4"/>
        <v>0.30709380619163446</v>
      </c>
      <c r="S17" s="1363">
        <f t="shared" si="2"/>
        <v>1.4890311874417E-2</v>
      </c>
      <c r="T17" s="1363">
        <f t="shared" si="2"/>
        <v>1.5109885374981155E-2</v>
      </c>
      <c r="U17" s="1363">
        <f t="shared" si="2"/>
        <v>1.5329390289420102E-2</v>
      </c>
      <c r="V17" s="1363">
        <f t="shared" si="2"/>
        <v>2.4999999999999953E-2</v>
      </c>
      <c r="W17" s="1363">
        <f t="shared" si="2"/>
        <v>2.4999999999999668E-2</v>
      </c>
      <c r="X17" s="1363">
        <f t="shared" si="2"/>
        <v>2.5000000000000196E-2</v>
      </c>
      <c r="Y17" s="1363">
        <f t="shared" si="2"/>
        <v>2.4999999999999734E-2</v>
      </c>
      <c r="Z17" s="1363">
        <f t="shared" si="2"/>
        <v>2.5000000000000147E-2</v>
      </c>
      <c r="AA17" s="1363">
        <f t="shared" si="2"/>
        <v>2.4999999999999804E-2</v>
      </c>
      <c r="AD17" s="599" t="s">
        <v>21</v>
      </c>
      <c r="AE17" s="606">
        <f>+D20</f>
        <v>0</v>
      </c>
    </row>
    <row r="18" spans="1:31" ht="11.25" customHeight="1" x14ac:dyDescent="0.2">
      <c r="A18" s="1149" t="s">
        <v>1180</v>
      </c>
      <c r="B18" s="714"/>
      <c r="C18" s="714"/>
      <c r="D18" s="715"/>
      <c r="E18" s="715"/>
      <c r="F18" s="716">
        <f>-'Opex No SRV'!C115/1000</f>
        <v>4783.3530000000001</v>
      </c>
      <c r="G18" s="716">
        <f>-'Opex No SRV'!E115/1000</f>
        <v>5059.8519999999999</v>
      </c>
      <c r="H18" s="716">
        <f>-'Opex No SRV'!F115/1000</f>
        <v>5239.6229999999996</v>
      </c>
      <c r="I18" s="716">
        <f>-'Opex No SRV'!G115/1000</f>
        <v>5419.1779999999999</v>
      </c>
      <c r="J18" s="716">
        <f>-'Opex No SRV'!H115/1000</f>
        <v>5456.5190000000002</v>
      </c>
      <c r="K18" s="711">
        <f>J18*(1+'LTFP Assumptions'!$H$12)</f>
        <v>5565.6493800000007</v>
      </c>
      <c r="L18" s="711">
        <f>K18*(1+'LTFP Assumptions'!$H$12)</f>
        <v>5676.962367600001</v>
      </c>
      <c r="M18" s="711">
        <f>L18*(1+'LTFP Assumptions'!$H$12)</f>
        <v>5790.5016149520015</v>
      </c>
      <c r="N18" s="711">
        <f>M18*(1+'LTFP Assumptions'!$H$12)</f>
        <v>5906.3116472510419</v>
      </c>
      <c r="O18" s="711">
        <f>N18*(1+'LTFP Assumptions'!$H$12)</f>
        <v>6024.4378801960629</v>
      </c>
      <c r="P18" s="711">
        <f>O18*(1+'LTFP Assumptions'!$H$12)</f>
        <v>6144.9266377999838</v>
      </c>
      <c r="R18" s="1363">
        <f t="shared" si="4"/>
        <v>5.7804431326728301E-2</v>
      </c>
      <c r="S18" s="1363">
        <f t="shared" si="2"/>
        <v>3.5528904798005898E-2</v>
      </c>
      <c r="T18" s="1363">
        <f t="shared" si="2"/>
        <v>3.4268686888350615E-2</v>
      </c>
      <c r="U18" s="1363">
        <f t="shared" si="2"/>
        <v>6.8905284159332557E-3</v>
      </c>
      <c r="V18" s="1363">
        <f t="shared" si="2"/>
        <v>2.0000000000000094E-2</v>
      </c>
      <c r="W18" s="1363">
        <f t="shared" si="2"/>
        <v>2.0000000000000046E-2</v>
      </c>
      <c r="X18" s="1363">
        <f t="shared" si="2"/>
        <v>2.0000000000000091E-2</v>
      </c>
      <c r="Y18" s="1363">
        <f t="shared" si="2"/>
        <v>2.0000000000000056E-2</v>
      </c>
      <c r="Z18" s="1363">
        <f t="shared" si="2"/>
        <v>2.0000000000000028E-2</v>
      </c>
      <c r="AA18" s="1363">
        <f t="shared" si="2"/>
        <v>1.9999999999999945E-2</v>
      </c>
      <c r="AE18" s="606"/>
    </row>
    <row r="19" spans="1:31" ht="11.25" x14ac:dyDescent="0.2">
      <c r="A19" s="708" t="s">
        <v>63</v>
      </c>
      <c r="B19" s="714"/>
      <c r="C19" s="714"/>
      <c r="D19" s="715"/>
      <c r="E19" s="715"/>
      <c r="F19" s="715"/>
      <c r="G19" s="715"/>
      <c r="H19" s="715"/>
      <c r="I19" s="715"/>
      <c r="J19" s="711"/>
      <c r="K19" s="711"/>
      <c r="L19" s="711"/>
      <c r="M19" s="711"/>
      <c r="N19" s="711"/>
      <c r="O19" s="711"/>
      <c r="P19" s="711"/>
      <c r="AE19" s="606"/>
    </row>
    <row r="20" spans="1:31" ht="11.25" x14ac:dyDescent="0.2">
      <c r="A20" s="758" t="s">
        <v>74</v>
      </c>
      <c r="B20" s="718"/>
      <c r="C20" s="718"/>
      <c r="D20" s="707"/>
      <c r="E20" s="711">
        <v>-5</v>
      </c>
      <c r="F20" s="711"/>
      <c r="G20" s="711"/>
      <c r="H20" s="711"/>
      <c r="I20" s="711"/>
      <c r="J20" s="711"/>
      <c r="K20" s="711"/>
      <c r="L20" s="711"/>
      <c r="M20" s="711"/>
      <c r="N20" s="711"/>
      <c r="O20" s="711"/>
      <c r="P20" s="711"/>
      <c r="Q20" s="609"/>
      <c r="AD20" s="599" t="s">
        <v>22</v>
      </c>
      <c r="AE20" s="606">
        <f>+D64</f>
        <v>0</v>
      </c>
    </row>
    <row r="21" spans="1:31" ht="11.25" x14ac:dyDescent="0.2">
      <c r="A21" s="758" t="s">
        <v>1047</v>
      </c>
      <c r="B21" s="718"/>
      <c r="C21" s="718"/>
      <c r="D21" s="707"/>
      <c r="E21" s="711">
        <v>2</v>
      </c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609"/>
      <c r="AE21" s="606"/>
    </row>
    <row r="22" spans="1:31" s="611" customFormat="1" ht="11.25" x14ac:dyDescent="0.2">
      <c r="A22" s="759" t="s">
        <v>64</v>
      </c>
      <c r="B22" s="719">
        <f>SUM(B12:B20)</f>
        <v>0</v>
      </c>
      <c r="C22" s="719">
        <f>SUM(C12:C20)</f>
        <v>0</v>
      </c>
      <c r="D22" s="719">
        <f>SUM(D12:D21)</f>
        <v>0</v>
      </c>
      <c r="E22" s="719">
        <f t="shared" ref="E22:P22" si="7">SUM(E12:E21)</f>
        <v>46813</v>
      </c>
      <c r="F22" s="719">
        <f t="shared" si="7"/>
        <v>38097.122000000003</v>
      </c>
      <c r="G22" s="719">
        <f t="shared" si="7"/>
        <v>39604.869959999996</v>
      </c>
      <c r="H22" s="719">
        <f t="shared" si="7"/>
        <v>40603.219485000001</v>
      </c>
      <c r="I22" s="719">
        <f t="shared" si="7"/>
        <v>41798.193290300005</v>
      </c>
      <c r="J22" s="719">
        <f t="shared" si="7"/>
        <v>42676.172517633997</v>
      </c>
      <c r="K22" s="719">
        <f t="shared" si="7"/>
        <v>43318.638981697215</v>
      </c>
      <c r="L22" s="719">
        <f t="shared" si="7"/>
        <v>44306.592712254467</v>
      </c>
      <c r="M22" s="719">
        <f t="shared" si="7"/>
        <v>45319.848537880251</v>
      </c>
      <c r="N22" s="719">
        <f t="shared" si="7"/>
        <v>46370.470732390619</v>
      </c>
      <c r="O22" s="719">
        <f t="shared" si="7"/>
        <v>47439.269307240407</v>
      </c>
      <c r="P22" s="719">
        <f t="shared" si="7"/>
        <v>48531.949810238955</v>
      </c>
      <c r="R22" s="611" t="s">
        <v>1438</v>
      </c>
      <c r="S22" s="611" t="s">
        <v>1438</v>
      </c>
      <c r="T22" s="611" t="s">
        <v>1438</v>
      </c>
      <c r="U22" s="611" t="s">
        <v>1438</v>
      </c>
      <c r="V22" s="611" t="s">
        <v>1438</v>
      </c>
      <c r="W22" s="611" t="s">
        <v>1438</v>
      </c>
      <c r="X22" s="611" t="s">
        <v>1438</v>
      </c>
      <c r="Y22" s="611" t="s">
        <v>1438</v>
      </c>
      <c r="Z22" s="611" t="s">
        <v>1438</v>
      </c>
      <c r="AA22" s="611" t="s">
        <v>1438</v>
      </c>
      <c r="AD22" s="612" t="s">
        <v>23</v>
      </c>
      <c r="AE22" s="613">
        <f>SUM(AE10:AE20)</f>
        <v>0</v>
      </c>
    </row>
    <row r="23" spans="1:31" ht="11.25" x14ac:dyDescent="0.2">
      <c r="A23" s="705" t="s">
        <v>65</v>
      </c>
      <c r="B23" s="714"/>
      <c r="C23" s="714"/>
      <c r="D23" s="710"/>
      <c r="E23" s="710"/>
      <c r="F23" s="710"/>
      <c r="G23" s="710"/>
      <c r="H23" s="710"/>
      <c r="I23" s="710"/>
      <c r="J23" s="710"/>
      <c r="K23" s="711"/>
      <c r="L23" s="711"/>
      <c r="M23" s="711"/>
      <c r="N23" s="711"/>
      <c r="O23" s="711"/>
      <c r="P23" s="711"/>
      <c r="AD23" s="601" t="s">
        <v>24</v>
      </c>
    </row>
    <row r="24" spans="1:31" ht="11.25" x14ac:dyDescent="0.2">
      <c r="A24" s="695" t="s">
        <v>25</v>
      </c>
      <c r="B24" s="714"/>
      <c r="C24" s="714"/>
      <c r="D24" s="715"/>
      <c r="E24" s="715">
        <f>84+10896</f>
        <v>10980</v>
      </c>
      <c r="F24" s="715">
        <f>'Opex No SRV'!C121/1000</f>
        <v>11231.316000000001</v>
      </c>
      <c r="G24" s="715">
        <f>'Opex No SRV'!E121/1000+G7</f>
        <v>11563.034</v>
      </c>
      <c r="H24" s="715">
        <f>'Opex No SRV'!F121/1000+H7</f>
        <v>11981.64</v>
      </c>
      <c r="I24" s="715">
        <f>'Opex No SRV'!G121/1000+I7</f>
        <v>12314.493</v>
      </c>
      <c r="J24" s="715">
        <f>'Opex No SRV'!H121/1000+J7</f>
        <v>12673.002</v>
      </c>
      <c r="K24" s="715">
        <f>J24*(1+'LTFP Assumptions'!$H9)</f>
        <v>13053.192060000001</v>
      </c>
      <c r="L24" s="715">
        <f>K24*(1+'LTFP Assumptions'!$H9)</f>
        <v>13444.787821800002</v>
      </c>
      <c r="M24" s="715">
        <f>L24*(1+'LTFP Assumptions'!$H9)</f>
        <v>13848.131456454003</v>
      </c>
      <c r="N24" s="715">
        <f>M24*(1+'LTFP Assumptions'!$H9)</f>
        <v>14263.575400147623</v>
      </c>
      <c r="O24" s="715">
        <f>N24*(1+'LTFP Assumptions'!$H9)</f>
        <v>14691.482662152053</v>
      </c>
      <c r="P24" s="715">
        <f>O24*(1+'LTFP Assumptions'!$H9)</f>
        <v>15132.227142016616</v>
      </c>
      <c r="R24" s="1363">
        <f t="shared" ref="R24:R28" si="8">(G24-F24)/F24</f>
        <v>2.9535096332433255E-2</v>
      </c>
      <c r="S24" s="1363">
        <f t="shared" ref="S24:S28" si="9">(H24-G24)/G24</f>
        <v>3.620209021265524E-2</v>
      </c>
      <c r="T24" s="1363">
        <f t="shared" ref="T24:T28" si="10">(I24-H24)/H24</f>
        <v>2.7780253788296176E-2</v>
      </c>
      <c r="U24" s="1363">
        <f t="shared" ref="U24:U28" si="11">(J24-I24)/I24</f>
        <v>2.9112769807088282E-2</v>
      </c>
      <c r="V24" s="1363">
        <f t="shared" ref="V24:V28" si="12">(K24-J24)/J24</f>
        <v>3.0000000000000065E-2</v>
      </c>
      <c r="W24" s="1363">
        <f t="shared" ref="W24:W28" si="13">(L24-K24)/K24</f>
        <v>3.0000000000000082E-2</v>
      </c>
      <c r="X24" s="1363">
        <f t="shared" ref="X24:X28" si="14">(M24-L24)/L24</f>
        <v>3.0000000000000009E-2</v>
      </c>
      <c r="Y24" s="1363">
        <f t="shared" ref="Y24:Y28" si="15">(N24-M24)/M24</f>
        <v>3.0000000000000058E-2</v>
      </c>
      <c r="Z24" s="1363">
        <f t="shared" ref="Z24:Z28" si="16">(O24-N24)/N24</f>
        <v>3.0000000000000082E-2</v>
      </c>
      <c r="AA24" s="1363">
        <f t="shared" ref="AA24:AA28" si="17">(P24-O24)/O24</f>
        <v>3.0000000000000089E-2</v>
      </c>
      <c r="AD24" s="599" t="s">
        <v>25</v>
      </c>
      <c r="AE24" s="606">
        <f>+D24</f>
        <v>0</v>
      </c>
    </row>
    <row r="25" spans="1:31" ht="11.25" x14ac:dyDescent="0.2">
      <c r="A25" s="695" t="s">
        <v>926</v>
      </c>
      <c r="B25" s="714"/>
      <c r="C25" s="714"/>
      <c r="D25" s="715"/>
      <c r="E25" s="715">
        <f>743</f>
        <v>743</v>
      </c>
      <c r="F25" s="720">
        <f>'Opex No SRV'!C124/1000</f>
        <v>592.12699999999995</v>
      </c>
      <c r="G25" s="720">
        <f>'Opex No SRV'!E124/1000</f>
        <v>588.93700000000001</v>
      </c>
      <c r="H25" s="720">
        <f>'Opex No SRV'!F124/1000</f>
        <v>586.08699999999999</v>
      </c>
      <c r="I25" s="720">
        <f>'Opex No SRV'!G124/1000</f>
        <v>583.33100000000002</v>
      </c>
      <c r="J25" s="720">
        <f>'Opex No SRV'!H124/1000</f>
        <v>580.35400000000004</v>
      </c>
      <c r="K25" s="1310">
        <f>'Gen Fund  Inc Exp Statement'!J25+(('Gen Fund  Bal Sheet'!K26+'Gen Fund  Bal Sheet'!K32)-('Gen Fund  Bal Sheet'!J26+'Gen Fund  Bal Sheet'!J32))*'LTFP Assumptions'!$H$18</f>
        <v>561.39400000000001</v>
      </c>
      <c r="L25" s="1310">
        <f>'Gen Fund  Inc Exp Statement'!K25+(('Gen Fund  Bal Sheet'!L26+'Gen Fund  Bal Sheet'!L32)-('Gen Fund  Bal Sheet'!K26+'Gen Fund  Bal Sheet'!K32))*'LTFP Assumptions'!$H$18</f>
        <v>541.35400000000004</v>
      </c>
      <c r="M25" s="1310">
        <f>'Gen Fund  Inc Exp Statement'!L25+(('Gen Fund  Bal Sheet'!M26+'Gen Fund  Bal Sheet'!M32)-('Gen Fund  Bal Sheet'!L26+'Gen Fund  Bal Sheet'!L32))*'LTFP Assumptions'!$H$18</f>
        <v>532.07400000000007</v>
      </c>
      <c r="N25" s="1310">
        <f>'Gen Fund  Inc Exp Statement'!M25+(('Gen Fund  Bal Sheet'!N26+'Gen Fund  Bal Sheet'!N32)-('Gen Fund  Bal Sheet'!M26+'Gen Fund  Bal Sheet'!M32))*'LTFP Assumptions'!$H$18</f>
        <v>526.27400000000011</v>
      </c>
      <c r="O25" s="1310">
        <f>'Gen Fund  Inc Exp Statement'!N25+(('Gen Fund  Bal Sheet'!O26+'Gen Fund  Bal Sheet'!O32)-('Gen Fund  Bal Sheet'!N26+'Gen Fund  Bal Sheet'!N32))*'LTFP Assumptions'!$H$18</f>
        <v>520.19400000000007</v>
      </c>
      <c r="P25" s="1310">
        <f>'Gen Fund  Inc Exp Statement'!O25+(('Gen Fund  Bal Sheet'!P26+'Gen Fund  Bal Sheet'!P32)-('Gen Fund  Bal Sheet'!O26+'Gen Fund  Bal Sheet'!O32))*'LTFP Assumptions'!$H$18</f>
        <v>513.7940000000001</v>
      </c>
      <c r="R25" s="1363">
        <f t="shared" si="8"/>
        <v>-5.3873577796654118E-3</v>
      </c>
      <c r="S25" s="1363">
        <f t="shared" si="9"/>
        <v>-4.8392272857708425E-3</v>
      </c>
      <c r="T25" s="1363">
        <f t="shared" si="10"/>
        <v>-4.7023735383995412E-3</v>
      </c>
      <c r="U25" s="1363">
        <f t="shared" si="11"/>
        <v>-5.1034489852244697E-3</v>
      </c>
      <c r="V25" s="1363">
        <f t="shared" si="12"/>
        <v>-3.2669715380612585E-2</v>
      </c>
      <c r="W25" s="1363">
        <f t="shared" si="13"/>
        <v>-3.5696854615474984E-2</v>
      </c>
      <c r="X25" s="1363">
        <f t="shared" si="14"/>
        <v>-1.7142202699157984E-2</v>
      </c>
      <c r="Y25" s="1363">
        <f t="shared" si="15"/>
        <v>-1.0900739370839308E-2</v>
      </c>
      <c r="Z25" s="1363">
        <f t="shared" si="16"/>
        <v>-1.1552917301633825E-2</v>
      </c>
      <c r="AA25" s="1363">
        <f t="shared" si="17"/>
        <v>-1.2303102304140332E-2</v>
      </c>
      <c r="AE25" s="606"/>
    </row>
    <row r="26" spans="1:31" ht="11.25" x14ac:dyDescent="0.2">
      <c r="A26" s="695" t="s">
        <v>27</v>
      </c>
      <c r="B26" s="714"/>
      <c r="C26" s="714"/>
      <c r="D26" s="715"/>
      <c r="E26" s="715">
        <f>1917+6984</f>
        <v>8901</v>
      </c>
      <c r="F26" s="715">
        <f>'Opex No SRV'!C122/1000</f>
        <v>10912.698</v>
      </c>
      <c r="G26" s="707">
        <f>'Opex No SRV'!E122/1000+G8</f>
        <v>11347.191999999999</v>
      </c>
      <c r="H26" s="715">
        <f>'Opex No SRV'!F122/1000+H8</f>
        <v>11669.807000000001</v>
      </c>
      <c r="I26" s="715">
        <f>'Opex No SRV'!G122/1000+I8</f>
        <v>11941.678</v>
      </c>
      <c r="J26" s="715">
        <f>'Opex No SRV'!H122/1000+J8</f>
        <v>12224.179999999998</v>
      </c>
      <c r="K26" s="715">
        <f>J26*(1+'LTFP Assumptions'!$H$13)</f>
        <v>12468.663599999998</v>
      </c>
      <c r="L26" s="715">
        <f>K26*(1+'LTFP Assumptions'!$H$13)</f>
        <v>12718.036871999999</v>
      </c>
      <c r="M26" s="715">
        <f>L26*(1+'LTFP Assumptions'!$H$13)</f>
        <v>12972.397609439999</v>
      </c>
      <c r="N26" s="715">
        <f>M26*(1+'LTFP Assumptions'!$H$13)</f>
        <v>13231.845561628799</v>
      </c>
      <c r="O26" s="715">
        <f>N26*(1+'LTFP Assumptions'!$H$13)</f>
        <v>13496.482472861375</v>
      </c>
      <c r="P26" s="715">
        <f>O26*(1+'LTFP Assumptions'!$H$13)</f>
        <v>13766.412122318603</v>
      </c>
      <c r="R26" s="1364">
        <f t="shared" si="8"/>
        <v>3.9815451687566061E-2</v>
      </c>
      <c r="S26" s="1363">
        <f t="shared" si="9"/>
        <v>2.8431262994404398E-2</v>
      </c>
      <c r="T26" s="1363">
        <f t="shared" si="10"/>
        <v>2.3296957696044087E-2</v>
      </c>
      <c r="U26" s="1363">
        <f t="shared" si="11"/>
        <v>2.3656809369671381E-2</v>
      </c>
      <c r="V26" s="1363">
        <f t="shared" si="12"/>
        <v>1.9999999999999966E-2</v>
      </c>
      <c r="W26" s="1363">
        <f t="shared" si="13"/>
        <v>2.0000000000000063E-2</v>
      </c>
      <c r="X26" s="1363">
        <f t="shared" si="14"/>
        <v>1.999999999999999E-2</v>
      </c>
      <c r="Y26" s="1363">
        <f t="shared" si="15"/>
        <v>2.0000000000000049E-2</v>
      </c>
      <c r="Z26" s="1363">
        <f t="shared" si="16"/>
        <v>1.9999999999999969E-2</v>
      </c>
      <c r="AA26" s="1363">
        <f t="shared" si="17"/>
        <v>2.0000000000000049E-2</v>
      </c>
      <c r="AD26" s="599" t="s">
        <v>28</v>
      </c>
      <c r="AE26" s="606">
        <f>+D31</f>
        <v>0</v>
      </c>
    </row>
    <row r="27" spans="1:31" ht="11.25" x14ac:dyDescent="0.2">
      <c r="A27" s="600" t="s">
        <v>1077</v>
      </c>
      <c r="B27" s="714"/>
      <c r="C27" s="714"/>
      <c r="D27" s="715"/>
      <c r="E27" s="715"/>
      <c r="F27" s="715">
        <f>'Opex No SRV'!C125/1000</f>
        <v>1763.3530000000001</v>
      </c>
      <c r="G27" s="715">
        <f>'Opex No SRV'!E125/1000</f>
        <v>1835.1769999999999</v>
      </c>
      <c r="H27" s="715">
        <f>'Opex No SRV'!F125/1000</f>
        <v>1869.22</v>
      </c>
      <c r="I27" s="715">
        <f>'Opex No SRV'!G125/1000</f>
        <v>1904.4649999999999</v>
      </c>
      <c r="J27" s="715">
        <f>'Opex No SRV'!H125/1000</f>
        <v>1940.5709999999999</v>
      </c>
      <c r="K27" s="715">
        <f>J27*(1+'LTFP Assumptions'!$H$13)</f>
        <v>1979.3824199999999</v>
      </c>
      <c r="L27" s="715">
        <f>K27*(1+'LTFP Assumptions'!$H$13)</f>
        <v>2018.9700683999999</v>
      </c>
      <c r="M27" s="715">
        <f>L27*(1+'LTFP Assumptions'!$H$13)</f>
        <v>2059.3494697679998</v>
      </c>
      <c r="N27" s="715">
        <f>M27*(1+'LTFP Assumptions'!$H$13)</f>
        <v>2100.5364591633597</v>
      </c>
      <c r="O27" s="715">
        <f>N27*(1+'LTFP Assumptions'!$H$13)</f>
        <v>2142.5471883466271</v>
      </c>
      <c r="P27" s="715">
        <f>O27*(1+'LTFP Assumptions'!$H$13)</f>
        <v>2185.3981321135598</v>
      </c>
      <c r="R27" s="1363">
        <f t="shared" si="8"/>
        <v>4.073149278675333E-2</v>
      </c>
      <c r="S27" s="1363">
        <f t="shared" si="9"/>
        <v>1.8550254280649835E-2</v>
      </c>
      <c r="T27" s="1363">
        <f t="shared" si="10"/>
        <v>1.8855458426509396E-2</v>
      </c>
      <c r="U27" s="1363">
        <f t="shared" si="11"/>
        <v>1.8958605172581276E-2</v>
      </c>
      <c r="V27" s="1363">
        <f t="shared" si="12"/>
        <v>0.02</v>
      </c>
      <c r="W27" s="1363">
        <f t="shared" si="13"/>
        <v>2.0000000000000018E-2</v>
      </c>
      <c r="X27" s="1363">
        <f t="shared" si="14"/>
        <v>1.9999999999999945E-2</v>
      </c>
      <c r="Y27" s="1363">
        <f t="shared" si="15"/>
        <v>1.9999999999999948E-2</v>
      </c>
      <c r="Z27" s="1363">
        <f t="shared" si="16"/>
        <v>2.0000000000000077E-2</v>
      </c>
      <c r="AA27" s="1363">
        <f t="shared" si="17"/>
        <v>2.0000000000000066E-2</v>
      </c>
      <c r="AE27" s="606"/>
    </row>
    <row r="28" spans="1:31" s="603" customFormat="1" ht="11.25" x14ac:dyDescent="0.2">
      <c r="A28" s="700" t="s">
        <v>29</v>
      </c>
      <c r="B28" s="712"/>
      <c r="C28" s="712"/>
      <c r="D28" s="707"/>
      <c r="E28" s="715">
        <f>7182</f>
        <v>7182</v>
      </c>
      <c r="F28" s="720">
        <f>'Opex No SRV'!C126/1000</f>
        <v>8510.6460000000006</v>
      </c>
      <c r="G28" s="720">
        <f>'Opex No SRV'!E126/1000</f>
        <v>7355.7780000000002</v>
      </c>
      <c r="H28" s="720">
        <f>'Opex No SRV'!F126/1000</f>
        <v>7537.7860000000001</v>
      </c>
      <c r="I28" s="720">
        <f>'Opex No SRV'!G126/1000</f>
        <v>7724.2889999999998</v>
      </c>
      <c r="J28" s="720">
        <f>'Opex No SRV'!H126/1000</f>
        <v>7915.4350000000004</v>
      </c>
      <c r="K28" s="707">
        <f>J28*(1+'LTFP Assumptions'!$H16)</f>
        <v>8113.3208749999994</v>
      </c>
      <c r="L28" s="707">
        <f>K28*(1+'LTFP Assumptions'!$H16)</f>
        <v>8316.1538968749992</v>
      </c>
      <c r="M28" s="707">
        <f>L28*(1+'LTFP Assumptions'!$H16)</f>
        <v>8524.0577442968734</v>
      </c>
      <c r="N28" s="707">
        <f>M28*(1+'LTFP Assumptions'!$H16)</f>
        <v>8737.1591879042953</v>
      </c>
      <c r="O28" s="707">
        <f>N28*(1+'LTFP Assumptions'!$H16)</f>
        <v>8955.5881676019017</v>
      </c>
      <c r="P28" s="707">
        <f>O28*(1+'LTFP Assumptions'!$H16)</f>
        <v>9179.4778717919489</v>
      </c>
      <c r="R28" s="1363">
        <f t="shared" si="8"/>
        <v>-0.13569686719433521</v>
      </c>
      <c r="S28" s="1363">
        <f t="shared" si="9"/>
        <v>2.474354174364694E-2</v>
      </c>
      <c r="T28" s="1363">
        <f t="shared" si="10"/>
        <v>2.474241110055389E-2</v>
      </c>
      <c r="U28" s="1363">
        <f t="shared" si="11"/>
        <v>2.4746096372106306E-2</v>
      </c>
      <c r="V28" s="1363">
        <f t="shared" si="12"/>
        <v>2.4999999999999876E-2</v>
      </c>
      <c r="W28" s="1363">
        <f t="shared" si="13"/>
        <v>2.4999999999999974E-2</v>
      </c>
      <c r="X28" s="1363">
        <f t="shared" si="14"/>
        <v>2.4999999999999901E-2</v>
      </c>
      <c r="Y28" s="1363">
        <f t="shared" si="15"/>
        <v>2.5000000000000015E-2</v>
      </c>
      <c r="Z28" s="1363">
        <f t="shared" si="16"/>
        <v>2.499999999999988E-2</v>
      </c>
      <c r="AA28" s="1363">
        <f t="shared" si="17"/>
        <v>2.499999999999997E-2</v>
      </c>
      <c r="AD28" s="603" t="s">
        <v>30</v>
      </c>
      <c r="AE28" s="605">
        <f>-D52</f>
        <v>0</v>
      </c>
    </row>
    <row r="29" spans="1:31" s="603" customFormat="1" ht="11.25" x14ac:dyDescent="0.2">
      <c r="A29" s="700" t="s">
        <v>1048</v>
      </c>
      <c r="B29" s="712"/>
      <c r="C29" s="712"/>
      <c r="D29" s="707"/>
      <c r="E29" s="707">
        <v>600</v>
      </c>
      <c r="K29" s="707"/>
      <c r="L29" s="707"/>
      <c r="M29" s="707"/>
      <c r="N29" s="707"/>
      <c r="O29" s="707"/>
      <c r="P29" s="707"/>
      <c r="AE29" s="605"/>
    </row>
    <row r="30" spans="1:31" s="603" customFormat="1" ht="11.25" x14ac:dyDescent="0.2">
      <c r="A30" s="700" t="s">
        <v>1049</v>
      </c>
      <c r="B30" s="712"/>
      <c r="C30" s="712"/>
      <c r="D30" s="707"/>
      <c r="F30" s="720"/>
      <c r="G30" s="720"/>
      <c r="H30" s="720"/>
      <c r="I30" s="720"/>
      <c r="J30" s="720"/>
      <c r="K30" s="707"/>
      <c r="L30" s="707"/>
      <c r="M30" s="707"/>
      <c r="N30" s="707"/>
      <c r="O30" s="707"/>
      <c r="P30" s="707"/>
      <c r="AE30" s="605"/>
    </row>
    <row r="31" spans="1:31" ht="11.25" x14ac:dyDescent="0.2">
      <c r="A31" s="721" t="s">
        <v>28</v>
      </c>
      <c r="B31" s="722"/>
      <c r="C31" s="722"/>
      <c r="D31" s="723"/>
      <c r="E31" s="707">
        <f>3+6594</f>
        <v>6597</v>
      </c>
      <c r="F31" s="723">
        <f>'Opex No SRV'!C123/1000</f>
        <v>2286.85</v>
      </c>
      <c r="G31" s="723">
        <f>'Opex No SRV'!E123/1000</f>
        <v>2395.6309999999999</v>
      </c>
      <c r="H31" s="723">
        <f>'Opex No SRV'!F123/1000</f>
        <v>2446.0740000000001</v>
      </c>
      <c r="I31" s="723">
        <f>'Opex No SRV'!G123/1000</f>
        <v>2498.0070000000001</v>
      </c>
      <c r="J31" s="723">
        <f>'Opex No SRV'!H123/1000</f>
        <v>2561.64</v>
      </c>
      <c r="K31" s="715">
        <f>J31*(1+'LTFP Assumptions'!$H14)</f>
        <v>2612.8728000000001</v>
      </c>
      <c r="L31" s="715">
        <f>K31*(1+'LTFP Assumptions'!$H14)</f>
        <v>2665.1302560000004</v>
      </c>
      <c r="M31" s="715">
        <f>L31*(1+'LTFP Assumptions'!$H14)</f>
        <v>2718.4328611200003</v>
      </c>
      <c r="N31" s="715">
        <f>M31*(1+'LTFP Assumptions'!$H14)</f>
        <v>2772.8015183424004</v>
      </c>
      <c r="O31" s="715">
        <f>N31*(1+'LTFP Assumptions'!$H14)</f>
        <v>2828.2575487092486</v>
      </c>
      <c r="P31" s="715">
        <f>O31*(1+'LTFP Assumptions'!$H14)</f>
        <v>2884.8226996834337</v>
      </c>
      <c r="R31" s="1363">
        <f t="shared" ref="R31" si="18">(G31-F31)/F31</f>
        <v>4.7568052124100819E-2</v>
      </c>
      <c r="S31" s="1363">
        <f t="shared" ref="S31" si="19">(H31-G31)/G31</f>
        <v>2.1056247811119581E-2</v>
      </c>
      <c r="T31" s="1363">
        <f t="shared" ref="T31" si="20">(I31-H31)/H31</f>
        <v>2.1231164715376553E-2</v>
      </c>
      <c r="U31" s="1363">
        <f t="shared" ref="U31" si="21">(J31-I31)/I31</f>
        <v>2.547350748016311E-2</v>
      </c>
      <c r="V31" s="1363">
        <f t="shared" ref="V31" si="22">(K31-J31)/J31</f>
        <v>2.0000000000000087E-2</v>
      </c>
      <c r="W31" s="1363">
        <f t="shared" ref="W31" si="23">(L31-K31)/K31</f>
        <v>2.0000000000000104E-2</v>
      </c>
      <c r="X31" s="1363">
        <f t="shared" ref="X31" si="24">(M31-L31)/L31</f>
        <v>1.999999999999998E-2</v>
      </c>
      <c r="Y31" s="1363">
        <f t="shared" ref="Y31" si="25">(N31-M31)/M31</f>
        <v>2.0000000000000032E-2</v>
      </c>
      <c r="Z31" s="1363">
        <f t="shared" ref="Z31" si="26">(O31-N31)/N31</f>
        <v>2.0000000000000052E-2</v>
      </c>
      <c r="AA31" s="1363">
        <f t="shared" ref="AA31" si="27">(P31-O31)/O31</f>
        <v>2.0000000000000059E-2</v>
      </c>
      <c r="AD31" s="599" t="s">
        <v>31</v>
      </c>
      <c r="AE31" s="606">
        <f>-D68</f>
        <v>0</v>
      </c>
    </row>
    <row r="32" spans="1:31" s="611" customFormat="1" ht="11.25" x14ac:dyDescent="0.2">
      <c r="A32" s="705" t="s">
        <v>66</v>
      </c>
      <c r="B32" s="719">
        <f>SUM(B24:B31)</f>
        <v>0</v>
      </c>
      <c r="C32" s="719">
        <f>SUM(C24:C31)</f>
        <v>0</v>
      </c>
      <c r="D32" s="719">
        <f>SUM(D24:D31)</f>
        <v>0</v>
      </c>
      <c r="E32" s="719">
        <f>SUM(E24:E31)</f>
        <v>35003</v>
      </c>
      <c r="F32" s="719">
        <f t="shared" ref="F32:J32" si="28">SUM(F24:F31)</f>
        <v>35296.99</v>
      </c>
      <c r="G32" s="719">
        <f t="shared" si="28"/>
        <v>35085.749000000003</v>
      </c>
      <c r="H32" s="719">
        <f t="shared" si="28"/>
        <v>36090.614000000001</v>
      </c>
      <c r="I32" s="719">
        <f t="shared" si="28"/>
        <v>36966.262999999999</v>
      </c>
      <c r="J32" s="719">
        <f t="shared" si="28"/>
        <v>37895.182000000001</v>
      </c>
      <c r="K32" s="719">
        <f t="shared" ref="K32:P32" si="29">SUM(K24:K31)</f>
        <v>38788.825754999998</v>
      </c>
      <c r="L32" s="719">
        <f t="shared" si="29"/>
        <v>39704.432915074998</v>
      </c>
      <c r="M32" s="719">
        <f t="shared" si="29"/>
        <v>40654.443141078875</v>
      </c>
      <c r="N32" s="719">
        <f t="shared" si="29"/>
        <v>41632.192127186478</v>
      </c>
      <c r="O32" s="719">
        <f t="shared" si="29"/>
        <v>42634.552039671202</v>
      </c>
      <c r="P32" s="719">
        <f t="shared" si="29"/>
        <v>43662.131967924157</v>
      </c>
      <c r="AD32" s="612" t="s">
        <v>23</v>
      </c>
      <c r="AE32" s="613">
        <f>SUM(AE24:AE31)</f>
        <v>0</v>
      </c>
    </row>
    <row r="33" spans="1:16" ht="3.75" customHeight="1" x14ac:dyDescent="0.2">
      <c r="A33" s="695"/>
      <c r="B33" s="714"/>
      <c r="C33" s="710"/>
      <c r="D33" s="710"/>
      <c r="E33" s="710"/>
      <c r="F33" s="710"/>
      <c r="G33" s="710"/>
      <c r="H33" s="710"/>
      <c r="I33" s="710"/>
      <c r="J33" s="710"/>
      <c r="K33" s="710"/>
      <c r="L33" s="710"/>
      <c r="M33" s="710"/>
      <c r="N33" s="710"/>
      <c r="O33" s="710"/>
      <c r="P33" s="710"/>
    </row>
    <row r="34" spans="1:16" s="612" customFormat="1" ht="12" thickBot="1" x14ac:dyDescent="0.25">
      <c r="A34" s="705" t="s">
        <v>67</v>
      </c>
      <c r="B34" s="724">
        <f t="shared" ref="B34:P34" si="30">+B22-B32</f>
        <v>0</v>
      </c>
      <c r="C34" s="725">
        <f t="shared" si="30"/>
        <v>0</v>
      </c>
      <c r="D34" s="724">
        <f t="shared" si="30"/>
        <v>0</v>
      </c>
      <c r="E34" s="725">
        <f t="shared" si="30"/>
        <v>11810</v>
      </c>
      <c r="F34" s="725">
        <f t="shared" si="30"/>
        <v>2800.1320000000051</v>
      </c>
      <c r="G34" s="725">
        <f t="shared" si="30"/>
        <v>4519.1209599999929</v>
      </c>
      <c r="H34" s="725">
        <f t="shared" si="30"/>
        <v>4512.605485</v>
      </c>
      <c r="I34" s="725">
        <f t="shared" si="30"/>
        <v>4831.9302903000062</v>
      </c>
      <c r="J34" s="725">
        <f t="shared" si="30"/>
        <v>4780.9905176339962</v>
      </c>
      <c r="K34" s="725">
        <f t="shared" si="30"/>
        <v>4529.813226697217</v>
      </c>
      <c r="L34" s="725">
        <f t="shared" si="30"/>
        <v>4602.159797179469</v>
      </c>
      <c r="M34" s="725">
        <f t="shared" si="30"/>
        <v>4665.4053968013759</v>
      </c>
      <c r="N34" s="725">
        <f t="shared" si="30"/>
        <v>4738.2786052041411</v>
      </c>
      <c r="O34" s="725">
        <f t="shared" si="30"/>
        <v>4804.7172675692054</v>
      </c>
      <c r="P34" s="725">
        <f t="shared" si="30"/>
        <v>4869.8178423147983</v>
      </c>
    </row>
    <row r="35" spans="1:16" ht="4.5" customHeight="1" x14ac:dyDescent="0.2">
      <c r="A35" s="726"/>
      <c r="B35" s="714"/>
      <c r="C35" s="710"/>
      <c r="D35" s="710"/>
      <c r="E35" s="710"/>
      <c r="F35" s="710"/>
      <c r="G35" s="710"/>
      <c r="H35" s="710"/>
      <c r="I35" s="710"/>
      <c r="J35" s="710"/>
      <c r="K35" s="710"/>
      <c r="L35" s="710"/>
      <c r="M35" s="710"/>
      <c r="N35" s="710"/>
      <c r="O35" s="710"/>
      <c r="P35" s="710"/>
    </row>
    <row r="36" spans="1:16" s="611" customFormat="1" ht="11.25" x14ac:dyDescent="0.2">
      <c r="A36" s="705" t="s">
        <v>75</v>
      </c>
      <c r="B36" s="727"/>
      <c r="C36" s="728"/>
      <c r="D36" s="728"/>
      <c r="E36" s="728"/>
      <c r="F36" s="728"/>
      <c r="G36" s="728"/>
      <c r="H36" s="728"/>
      <c r="I36" s="728"/>
      <c r="J36" s="728"/>
      <c r="K36" s="728"/>
      <c r="L36" s="728"/>
      <c r="M36" s="728"/>
      <c r="N36" s="728"/>
      <c r="O36" s="728"/>
      <c r="P36" s="728"/>
    </row>
    <row r="37" spans="1:16" ht="12.75" customHeight="1" x14ac:dyDescent="0.2">
      <c r="A37" s="721" t="s">
        <v>322</v>
      </c>
      <c r="B37" s="729">
        <v>0</v>
      </c>
      <c r="C37" s="729">
        <v>0</v>
      </c>
      <c r="D37" s="729">
        <v>0</v>
      </c>
      <c r="E37" s="729">
        <v>0</v>
      </c>
      <c r="F37" s="729">
        <v>0</v>
      </c>
      <c r="G37" s="729">
        <v>0</v>
      </c>
      <c r="H37" s="729">
        <v>0</v>
      </c>
      <c r="I37" s="729">
        <v>0</v>
      </c>
      <c r="J37" s="729">
        <v>0</v>
      </c>
      <c r="K37" s="729">
        <v>0</v>
      </c>
      <c r="L37" s="729">
        <v>0</v>
      </c>
      <c r="M37" s="729">
        <v>0</v>
      </c>
      <c r="N37" s="729">
        <v>0</v>
      </c>
      <c r="O37" s="729">
        <v>0</v>
      </c>
      <c r="P37" s="729">
        <v>0</v>
      </c>
    </row>
    <row r="38" spans="1:16" ht="4.5" customHeight="1" x14ac:dyDescent="0.2">
      <c r="A38" s="695"/>
      <c r="B38" s="710"/>
      <c r="C38" s="710"/>
      <c r="D38" s="710"/>
      <c r="E38" s="710"/>
      <c r="F38" s="710"/>
      <c r="G38" s="710"/>
      <c r="H38" s="710"/>
      <c r="I38" s="710"/>
      <c r="J38" s="710"/>
      <c r="K38" s="710"/>
      <c r="L38" s="710"/>
      <c r="M38" s="710"/>
      <c r="N38" s="710"/>
      <c r="O38" s="710"/>
      <c r="P38" s="710"/>
    </row>
    <row r="39" spans="1:16" s="611" customFormat="1" ht="11.25" x14ac:dyDescent="0.2">
      <c r="A39" s="730" t="s">
        <v>76</v>
      </c>
      <c r="B39" s="731">
        <f>+B34+B37</f>
        <v>0</v>
      </c>
      <c r="C39" s="732">
        <f>+C34+C37</f>
        <v>0</v>
      </c>
      <c r="D39" s="731">
        <f>+D34+D37</f>
        <v>0</v>
      </c>
      <c r="E39" s="732">
        <f t="shared" ref="E39:P39" si="31">+E34+E37</f>
        <v>11810</v>
      </c>
      <c r="F39" s="732">
        <f t="shared" si="31"/>
        <v>2800.1320000000051</v>
      </c>
      <c r="G39" s="732">
        <f t="shared" si="31"/>
        <v>4519.1209599999929</v>
      </c>
      <c r="H39" s="732">
        <f t="shared" si="31"/>
        <v>4512.605485</v>
      </c>
      <c r="I39" s="732">
        <f t="shared" si="31"/>
        <v>4831.9302903000062</v>
      </c>
      <c r="J39" s="732">
        <f t="shared" si="31"/>
        <v>4780.9905176339962</v>
      </c>
      <c r="K39" s="732">
        <f t="shared" si="31"/>
        <v>4529.813226697217</v>
      </c>
      <c r="L39" s="732">
        <f t="shared" si="31"/>
        <v>4602.159797179469</v>
      </c>
      <c r="M39" s="732">
        <f t="shared" si="31"/>
        <v>4665.4053968013759</v>
      </c>
      <c r="N39" s="732">
        <f t="shared" si="31"/>
        <v>4738.2786052041411</v>
      </c>
      <c r="O39" s="732">
        <f t="shared" si="31"/>
        <v>4804.7172675692054</v>
      </c>
      <c r="P39" s="732">
        <f t="shared" si="31"/>
        <v>4869.8178423147983</v>
      </c>
    </row>
    <row r="40" spans="1:16" ht="3.75" customHeight="1" x14ac:dyDescent="0.2">
      <c r="A40" s="695"/>
      <c r="B40" s="710"/>
      <c r="C40" s="710"/>
      <c r="D40" s="710"/>
      <c r="E40" s="710"/>
      <c r="F40" s="710"/>
      <c r="G40" s="710"/>
      <c r="H40" s="710"/>
      <c r="I40" s="710"/>
      <c r="J40" s="710"/>
      <c r="K40" s="710"/>
      <c r="L40" s="710"/>
      <c r="M40" s="710"/>
      <c r="N40" s="710"/>
      <c r="O40" s="710"/>
      <c r="P40" s="710"/>
    </row>
    <row r="41" spans="1:16" s="601" customFormat="1" ht="11.25" x14ac:dyDescent="0.2">
      <c r="A41" s="733" t="s">
        <v>77</v>
      </c>
      <c r="B41" s="715">
        <f>+B39</f>
        <v>0</v>
      </c>
      <c r="C41" s="734">
        <f>+C36+C39</f>
        <v>0</v>
      </c>
      <c r="D41" s="715">
        <f>+D39</f>
        <v>0</v>
      </c>
      <c r="E41" s="734">
        <f t="shared" ref="E41:P41" si="32">+E36+E39</f>
        <v>11810</v>
      </c>
      <c r="F41" s="734">
        <f t="shared" si="32"/>
        <v>2800.1320000000051</v>
      </c>
      <c r="G41" s="734">
        <f t="shared" si="32"/>
        <v>4519.1209599999929</v>
      </c>
      <c r="H41" s="734">
        <f t="shared" si="32"/>
        <v>4512.605485</v>
      </c>
      <c r="I41" s="734">
        <f t="shared" si="32"/>
        <v>4831.9302903000062</v>
      </c>
      <c r="J41" s="734">
        <f t="shared" si="32"/>
        <v>4780.9905176339962</v>
      </c>
      <c r="K41" s="734">
        <f t="shared" si="32"/>
        <v>4529.813226697217</v>
      </c>
      <c r="L41" s="734">
        <f t="shared" si="32"/>
        <v>4602.159797179469</v>
      </c>
      <c r="M41" s="734">
        <f t="shared" si="32"/>
        <v>4665.4053968013759</v>
      </c>
      <c r="N41" s="734">
        <f t="shared" si="32"/>
        <v>4738.2786052041411</v>
      </c>
      <c r="O41" s="734">
        <f t="shared" si="32"/>
        <v>4804.7172675692054</v>
      </c>
      <c r="P41" s="734">
        <f t="shared" si="32"/>
        <v>4869.8178423147983</v>
      </c>
    </row>
    <row r="42" spans="1:16" s="601" customFormat="1" ht="10.5" customHeight="1" thickBot="1" x14ac:dyDescent="0.25">
      <c r="A42" s="739" t="s">
        <v>78</v>
      </c>
      <c r="B42" s="735">
        <v>0</v>
      </c>
      <c r="C42" s="735">
        <v>0</v>
      </c>
      <c r="D42" s="735">
        <v>0</v>
      </c>
      <c r="E42" s="735">
        <v>0</v>
      </c>
      <c r="F42" s="735"/>
      <c r="G42" s="735">
        <v>0</v>
      </c>
      <c r="H42" s="735">
        <v>0</v>
      </c>
      <c r="I42" s="735">
        <v>0</v>
      </c>
      <c r="J42" s="735">
        <v>0</v>
      </c>
      <c r="K42" s="735">
        <v>0</v>
      </c>
      <c r="L42" s="735">
        <v>0</v>
      </c>
      <c r="M42" s="735">
        <v>0</v>
      </c>
      <c r="N42" s="735">
        <v>0</v>
      </c>
      <c r="O42" s="735">
        <v>0</v>
      </c>
      <c r="P42" s="735">
        <v>0</v>
      </c>
    </row>
    <row r="43" spans="1:16" ht="3.75" customHeight="1" thickTop="1" x14ac:dyDescent="0.2">
      <c r="A43" s="726"/>
      <c r="B43" s="714"/>
      <c r="C43" s="714"/>
      <c r="D43" s="710"/>
      <c r="E43" s="710"/>
      <c r="F43" s="710"/>
      <c r="G43" s="710"/>
      <c r="H43" s="710"/>
      <c r="I43" s="710"/>
      <c r="J43" s="710"/>
      <c r="K43" s="710"/>
      <c r="L43" s="710"/>
      <c r="M43" s="710"/>
      <c r="N43" s="710"/>
      <c r="O43" s="710"/>
      <c r="P43" s="710"/>
    </row>
    <row r="44" spans="1:16" ht="31.5" customHeight="1" thickBot="1" x14ac:dyDescent="0.25">
      <c r="A44" s="705" t="s">
        <v>79</v>
      </c>
      <c r="B44" s="736">
        <f t="shared" ref="B44:P44" si="33">+B39-B17-B20</f>
        <v>0</v>
      </c>
      <c r="C44" s="736">
        <f t="shared" si="33"/>
        <v>0</v>
      </c>
      <c r="D44" s="736">
        <f t="shared" si="33"/>
        <v>0</v>
      </c>
      <c r="E44" s="736">
        <f t="shared" si="33"/>
        <v>-2644</v>
      </c>
      <c r="F44" s="736">
        <f t="shared" si="33"/>
        <v>-97.874999999994998</v>
      </c>
      <c r="G44" s="736">
        <f t="shared" si="33"/>
        <v>731.15395999999282</v>
      </c>
      <c r="H44" s="736">
        <f t="shared" si="33"/>
        <v>668.2344750000002</v>
      </c>
      <c r="I44" s="736">
        <f t="shared" si="33"/>
        <v>929.47127500000579</v>
      </c>
      <c r="J44" s="736">
        <f t="shared" si="33"/>
        <v>818.70918499999607</v>
      </c>
      <c r="K44" s="736">
        <f t="shared" si="33"/>
        <v>468.47486074736707</v>
      </c>
      <c r="L44" s="736">
        <f t="shared" si="33"/>
        <v>439.28797208087417</v>
      </c>
      <c r="M44" s="736">
        <f t="shared" si="33"/>
        <v>398.46177607531536</v>
      </c>
      <c r="N44" s="736">
        <f t="shared" si="33"/>
        <v>364.66139395993014</v>
      </c>
      <c r="O44" s="736">
        <f t="shared" si="33"/>
        <v>321.7596260438886</v>
      </c>
      <c r="P44" s="736">
        <f t="shared" si="33"/>
        <v>274.78625975134946</v>
      </c>
    </row>
    <row r="45" spans="1:16" ht="4.5" customHeight="1" thickTop="1" x14ac:dyDescent="0.2">
      <c r="A45" s="705"/>
      <c r="B45" s="734"/>
      <c r="C45" s="734"/>
      <c r="D45" s="734"/>
      <c r="E45" s="734"/>
      <c r="F45" s="734"/>
      <c r="G45" s="734"/>
      <c r="H45" s="734"/>
      <c r="I45" s="734"/>
      <c r="J45" s="734"/>
      <c r="K45" s="734"/>
      <c r="L45" s="734"/>
      <c r="M45" s="734"/>
      <c r="N45" s="734"/>
      <c r="O45" s="734"/>
      <c r="P45" s="734"/>
    </row>
    <row r="46" spans="1:16" ht="11.25" x14ac:dyDescent="0.2">
      <c r="A46" s="730" t="s">
        <v>76</v>
      </c>
      <c r="B46" s="732">
        <f t="shared" ref="B46:P46" si="34">B39</f>
        <v>0</v>
      </c>
      <c r="C46" s="732">
        <f t="shared" si="34"/>
        <v>0</v>
      </c>
      <c r="D46" s="732">
        <f t="shared" si="34"/>
        <v>0</v>
      </c>
      <c r="E46" s="732">
        <f t="shared" si="34"/>
        <v>11810</v>
      </c>
      <c r="F46" s="732">
        <f t="shared" si="34"/>
        <v>2800.1320000000051</v>
      </c>
      <c r="G46" s="732">
        <f t="shared" si="34"/>
        <v>4519.1209599999929</v>
      </c>
      <c r="H46" s="732">
        <f t="shared" si="34"/>
        <v>4512.605485</v>
      </c>
      <c r="I46" s="732">
        <f t="shared" si="34"/>
        <v>4831.9302903000062</v>
      </c>
      <c r="J46" s="732">
        <f t="shared" si="34"/>
        <v>4780.9905176339962</v>
      </c>
      <c r="K46" s="732">
        <f t="shared" si="34"/>
        <v>4529.813226697217</v>
      </c>
      <c r="L46" s="732">
        <f t="shared" si="34"/>
        <v>4602.159797179469</v>
      </c>
      <c r="M46" s="732">
        <f t="shared" si="34"/>
        <v>4665.4053968013759</v>
      </c>
      <c r="N46" s="732">
        <f t="shared" si="34"/>
        <v>4738.2786052041411</v>
      </c>
      <c r="O46" s="732">
        <f t="shared" si="34"/>
        <v>4804.7172675692054</v>
      </c>
      <c r="P46" s="732">
        <f t="shared" si="34"/>
        <v>4869.8178423147983</v>
      </c>
    </row>
    <row r="47" spans="1:16" ht="9.75" customHeight="1" x14ac:dyDescent="0.2">
      <c r="A47" s="737" t="s">
        <v>1015</v>
      </c>
      <c r="B47" s="734"/>
      <c r="C47" s="734"/>
      <c r="D47" s="734"/>
      <c r="E47" s="734"/>
      <c r="F47" s="734"/>
      <c r="G47" s="734"/>
      <c r="H47" s="734"/>
      <c r="I47" s="734"/>
      <c r="J47" s="734"/>
      <c r="K47" s="734"/>
      <c r="L47" s="734"/>
      <c r="M47" s="734"/>
      <c r="N47" s="734"/>
      <c r="O47" s="734"/>
      <c r="P47" s="734"/>
    </row>
    <row r="48" spans="1:16" ht="11.25" x14ac:dyDescent="0.2">
      <c r="A48" s="705" t="s">
        <v>1014</v>
      </c>
      <c r="B48" s="734"/>
      <c r="C48" s="734"/>
      <c r="D48" s="734"/>
      <c r="E48" s="734"/>
      <c r="F48" s="734"/>
      <c r="G48" s="734"/>
      <c r="H48" s="734"/>
      <c r="I48" s="734"/>
      <c r="J48" s="734"/>
      <c r="K48" s="734"/>
      <c r="L48" s="734"/>
      <c r="M48" s="734"/>
      <c r="N48" s="734"/>
      <c r="O48" s="734"/>
      <c r="P48" s="734"/>
    </row>
    <row r="49" spans="1:18" ht="1.5" customHeight="1" x14ac:dyDescent="0.2">
      <c r="A49" s="705"/>
      <c r="B49" s="734"/>
      <c r="C49" s="734"/>
      <c r="D49" s="734"/>
      <c r="E49" s="734"/>
      <c r="F49" s="734"/>
      <c r="G49" s="734"/>
      <c r="H49" s="734"/>
      <c r="I49" s="734"/>
      <c r="J49" s="734"/>
      <c r="K49" s="734"/>
      <c r="L49" s="734"/>
      <c r="M49" s="734"/>
      <c r="N49" s="734"/>
      <c r="O49" s="734"/>
      <c r="P49" s="734"/>
    </row>
    <row r="50" spans="1:18" ht="12" thickBot="1" x14ac:dyDescent="0.25">
      <c r="A50" s="705" t="s">
        <v>309</v>
      </c>
      <c r="B50" s="738">
        <f t="shared" ref="B50:P50" si="35">SUM(B46:B49)</f>
        <v>0</v>
      </c>
      <c r="C50" s="738">
        <f t="shared" si="35"/>
        <v>0</v>
      </c>
      <c r="D50" s="738">
        <f t="shared" si="35"/>
        <v>0</v>
      </c>
      <c r="E50" s="738">
        <f t="shared" si="35"/>
        <v>11810</v>
      </c>
      <c r="F50" s="738">
        <f t="shared" si="35"/>
        <v>2800.1320000000051</v>
      </c>
      <c r="G50" s="738">
        <f t="shared" si="35"/>
        <v>4519.1209599999929</v>
      </c>
      <c r="H50" s="738">
        <f t="shared" si="35"/>
        <v>4512.605485</v>
      </c>
      <c r="I50" s="738">
        <f t="shared" si="35"/>
        <v>4831.9302903000062</v>
      </c>
      <c r="J50" s="738">
        <f t="shared" si="35"/>
        <v>4780.9905176339962</v>
      </c>
      <c r="K50" s="738">
        <f t="shared" si="35"/>
        <v>4529.813226697217</v>
      </c>
      <c r="L50" s="738">
        <f t="shared" si="35"/>
        <v>4602.159797179469</v>
      </c>
      <c r="M50" s="738">
        <f t="shared" si="35"/>
        <v>4665.4053968013759</v>
      </c>
      <c r="N50" s="738">
        <f t="shared" si="35"/>
        <v>4738.2786052041411</v>
      </c>
      <c r="O50" s="738">
        <f t="shared" si="35"/>
        <v>4804.7172675692054</v>
      </c>
      <c r="P50" s="738">
        <f t="shared" si="35"/>
        <v>4869.8178423147983</v>
      </c>
    </row>
    <row r="51" spans="1:18" ht="14.25" hidden="1" customHeight="1" outlineLevel="1" thickTop="1" x14ac:dyDescent="0.2">
      <c r="A51" s="616"/>
      <c r="B51" s="621"/>
      <c r="C51" s="621"/>
      <c r="D51" s="621"/>
      <c r="E51" s="694" t="s">
        <v>2</v>
      </c>
      <c r="F51" s="694" t="s">
        <v>3</v>
      </c>
      <c r="G51" s="694" t="s">
        <v>4</v>
      </c>
      <c r="H51" s="694" t="s">
        <v>5</v>
      </c>
      <c r="I51" s="694" t="s">
        <v>6</v>
      </c>
      <c r="J51" s="694" t="s">
        <v>7</v>
      </c>
      <c r="K51" s="694" t="s">
        <v>8</v>
      </c>
      <c r="L51" s="694" t="s">
        <v>9</v>
      </c>
      <c r="M51" s="694" t="s">
        <v>514</v>
      </c>
      <c r="N51" s="694" t="s">
        <v>515</v>
      </c>
      <c r="O51" s="694" t="s">
        <v>904</v>
      </c>
      <c r="P51" s="694" t="s">
        <v>1046</v>
      </c>
    </row>
    <row r="52" spans="1:18" ht="11.25" hidden="1" outlineLevel="1" x14ac:dyDescent="0.2">
      <c r="A52" s="604" t="s">
        <v>1081</v>
      </c>
      <c r="B52" s="621"/>
      <c r="C52" s="621"/>
      <c r="D52" s="621"/>
      <c r="E52" s="622"/>
      <c r="F52" s="811">
        <f>'OLD Capital Budget - NO SRV'!D67-'OLD Capital Budget - NO SRV'!D172/1000-F54-F53</f>
        <v>11320.421999999999</v>
      </c>
      <c r="G52" s="811">
        <f>'Revised Capital budget No SRV'!D186/1000</f>
        <v>3222.8580000000002</v>
      </c>
      <c r="H52" s="811">
        <f>'Revised Capital budget No SRV'!E186/1000</f>
        <v>4748.0245000000004</v>
      </c>
      <c r="I52" s="811">
        <f>'Revised Capital budget No SRV'!F186/1000</f>
        <v>3849.145</v>
      </c>
      <c r="J52" s="811">
        <f>'Revised Capital budget No SRV'!G186/1000</f>
        <v>3839.348</v>
      </c>
      <c r="K52" s="811">
        <f>'Revised Capital budget No SRV'!H186/1000</f>
        <v>3674.7064999999998</v>
      </c>
      <c r="L52" s="811">
        <f>'Revised Capital budget No SRV'!I186/1000</f>
        <v>3724.1991625000001</v>
      </c>
      <c r="M52" s="811">
        <f>'Revised Capital budget No SRV'!J186/1000</f>
        <v>3743.9291415625003</v>
      </c>
      <c r="N52" s="811">
        <f>'Revised Capital budget No SRV'!K186/1000</f>
        <v>4053.9023701015626</v>
      </c>
      <c r="O52" s="811">
        <f>'Revised Capital budget No SRV'!L186/1000</f>
        <v>4204.1249293541014</v>
      </c>
      <c r="P52" s="811">
        <f>'Revised Capital budget No SRV'!M186/1000</f>
        <v>4029.6030525879537</v>
      </c>
      <c r="Q52" s="599" t="s">
        <v>32</v>
      </c>
    </row>
    <row r="53" spans="1:18" ht="11.25" hidden="1" outlineLevel="1" x14ac:dyDescent="0.2">
      <c r="A53" s="817" t="s">
        <v>1111</v>
      </c>
      <c r="B53" s="621"/>
      <c r="C53" s="621"/>
      <c r="D53" s="621"/>
      <c r="E53" s="622"/>
      <c r="F53" s="811"/>
      <c r="G53" s="811"/>
      <c r="H53" s="811"/>
      <c r="I53" s="811"/>
      <c r="J53" s="811"/>
      <c r="K53" s="811"/>
      <c r="L53" s="811"/>
      <c r="M53" s="811"/>
      <c r="N53" s="811"/>
      <c r="O53" s="811"/>
      <c r="P53" s="811"/>
      <c r="Q53" s="599" t="s">
        <v>32</v>
      </c>
    </row>
    <row r="54" spans="1:18" ht="11.25" hidden="1" outlineLevel="1" x14ac:dyDescent="0.2">
      <c r="A54" s="604" t="s">
        <v>1082</v>
      </c>
      <c r="B54" s="621"/>
      <c r="C54" s="621"/>
      <c r="D54" s="621"/>
      <c r="E54" s="622"/>
      <c r="F54" s="622"/>
      <c r="G54" s="622">
        <f>'Revised Capital budget No SRV'!D181/1000</f>
        <v>8236.1360000000004</v>
      </c>
      <c r="H54" s="622">
        <f>'Revised Capital budget No SRV'!E181/1000</f>
        <v>12599.570300000001</v>
      </c>
      <c r="I54" s="622">
        <f>'Revised Capital budget No SRV'!F181/1000</f>
        <v>8360.2773949999992</v>
      </c>
      <c r="J54" s="622">
        <f>'Revised Capital budget No SRV'!G181/1000</f>
        <v>8506.4374048749996</v>
      </c>
      <c r="K54" s="622">
        <f>'Revised Capital budget No SRV'!H181/1000</f>
        <v>8691.8165000000008</v>
      </c>
      <c r="L54" s="622">
        <f>'Revised Capital budget No SRV'!I181/1000</f>
        <v>8841.484162499999</v>
      </c>
      <c r="M54" s="622">
        <f>'Revised Capital budget No SRV'!J181/1000</f>
        <v>9025.0883915625</v>
      </c>
      <c r="N54" s="622">
        <f>'Revised Capital budget No SRV'!K181/1000</f>
        <v>9245.1648863515638</v>
      </c>
      <c r="O54" s="622">
        <f>'Revised Capital budget No SRV'!L181/1000</f>
        <v>9401.7245967103499</v>
      </c>
      <c r="P54" s="622">
        <f>'Revised Capital budget No SRV'!M181/1000</f>
        <v>9628.7787290921096</v>
      </c>
      <c r="Q54" s="599" t="s">
        <v>32</v>
      </c>
    </row>
    <row r="55" spans="1:18" ht="11.25" hidden="1" outlineLevel="1" x14ac:dyDescent="0.2">
      <c r="A55" s="604" t="s">
        <v>1083</v>
      </c>
      <c r="B55" s="621"/>
      <c r="C55" s="621"/>
      <c r="D55" s="621"/>
      <c r="E55" s="622"/>
      <c r="F55" s="811">
        <f>'OLD Capital Budget - NO SRV'!D68-'Future Fund  Inc Exp Statement'!F54</f>
        <v>570.28700000000003</v>
      </c>
      <c r="G55" s="811">
        <f>'Revised Capital budget No SRV'!D20/1000</f>
        <v>621.83900000000006</v>
      </c>
      <c r="H55" s="811">
        <f>'Revised Capital budget No SRV'!E20/1000</f>
        <v>555.48599999999999</v>
      </c>
      <c r="I55" s="811">
        <f>'Revised Capital budget No SRV'!F20/1000</f>
        <v>422.65899999999999</v>
      </c>
      <c r="J55" s="811">
        <f>'Revised Capital budget No SRV'!G20/1000</f>
        <v>446.92500000000001</v>
      </c>
      <c r="K55" s="624">
        <v>474</v>
      </c>
      <c r="L55" s="624">
        <v>501</v>
      </c>
      <c r="M55" s="624">
        <v>232</v>
      </c>
      <c r="N55" s="624">
        <v>145</v>
      </c>
      <c r="O55" s="624">
        <v>152</v>
      </c>
      <c r="P55" s="624">
        <v>160</v>
      </c>
    </row>
    <row r="56" spans="1:18" ht="11.25" hidden="1" outlineLevel="1" x14ac:dyDescent="0.2">
      <c r="A56" s="604" t="s">
        <v>1089</v>
      </c>
      <c r="B56" s="621"/>
      <c r="C56" s="621"/>
      <c r="D56" s="621"/>
      <c r="E56" s="622"/>
      <c r="F56" s="811">
        <f>'OLD Capital Budget - NO SRV'!D69-'Future Fund  Inc Exp Statement'!F55</f>
        <v>1723.0070000000001</v>
      </c>
      <c r="G56" s="811">
        <f>'Revised Capital budget No SRV'!D21/1000</f>
        <v>2144.2849999999999</v>
      </c>
      <c r="H56" s="811">
        <f>'Revised Capital budget No SRV'!E21/1000</f>
        <v>2218.1630099999998</v>
      </c>
      <c r="I56" s="811">
        <f>'Revised Capital budget No SRV'!F21/1000</f>
        <v>2294.8213903000001</v>
      </c>
      <c r="J56" s="811">
        <f>'Revised Capital budget No SRV'!G21/1000</f>
        <v>2374.4054420090001</v>
      </c>
      <c r="K56" s="622">
        <f>J56*(1+'LTFP Assumptions'!$H14)</f>
        <v>2421.89355084918</v>
      </c>
      <c r="L56" s="622">
        <f>K56*(1+'LTFP Assumptions'!$H14)</f>
        <v>2470.3314218661635</v>
      </c>
      <c r="M56" s="622">
        <f>L56*(1+'LTFP Assumptions'!$H14)</f>
        <v>2519.7380503034869</v>
      </c>
      <c r="N56" s="622">
        <f>M56*(1+'LTFP Assumptions'!$H14)</f>
        <v>2570.1328113095569</v>
      </c>
      <c r="O56" s="622">
        <f>N56*(1+'LTFP Assumptions'!$H14)</f>
        <v>2621.535467535748</v>
      </c>
      <c r="P56" s="622">
        <f>O56*(1+'LTFP Assumptions'!$H14)</f>
        <v>2673.966176886463</v>
      </c>
      <c r="R56" s="599" t="s">
        <v>1314</v>
      </c>
    </row>
    <row r="57" spans="1:18" ht="11.25" hidden="1" outlineLevel="1" x14ac:dyDescent="0.2">
      <c r="A57" s="604"/>
      <c r="B57" s="621"/>
      <c r="C57" s="621"/>
      <c r="D57" s="771">
        <f>SUM(D52:D56)</f>
        <v>0</v>
      </c>
      <c r="E57" s="771">
        <f t="shared" ref="E57" si="36">SUM(E52:E55)</f>
        <v>0</v>
      </c>
      <c r="F57" s="771">
        <f>SUM(F52:F56)</f>
        <v>13613.715999999999</v>
      </c>
      <c r="G57" s="771">
        <f t="shared" ref="G57:P57" si="37">SUM(G52:G56)</f>
        <v>14225.118</v>
      </c>
      <c r="H57" s="771">
        <f t="shared" si="37"/>
        <v>20121.243810000004</v>
      </c>
      <c r="I57" s="771">
        <f t="shared" si="37"/>
        <v>14926.902785299999</v>
      </c>
      <c r="J57" s="771">
        <f t="shared" si="37"/>
        <v>15167.115846883999</v>
      </c>
      <c r="K57" s="771">
        <f t="shared" si="37"/>
        <v>15262.416550849181</v>
      </c>
      <c r="L57" s="771">
        <f t="shared" si="37"/>
        <v>15537.014746866162</v>
      </c>
      <c r="M57" s="771">
        <f t="shared" si="37"/>
        <v>15520.755583428487</v>
      </c>
      <c r="N57" s="771">
        <f t="shared" si="37"/>
        <v>16014.200067762684</v>
      </c>
      <c r="O57" s="771">
        <f t="shared" si="37"/>
        <v>16379.384993600201</v>
      </c>
      <c r="P57" s="771">
        <f t="shared" si="37"/>
        <v>16492.347958566526</v>
      </c>
    </row>
    <row r="58" spans="1:18" s="608" customFormat="1" ht="11.25" hidden="1" outlineLevel="1" x14ac:dyDescent="0.2">
      <c r="A58" s="623" t="s">
        <v>1084</v>
      </c>
      <c r="B58" s="621"/>
      <c r="C58" s="621"/>
      <c r="D58" s="621"/>
      <c r="E58" s="621"/>
      <c r="F58" s="621"/>
      <c r="G58" s="621"/>
      <c r="H58" s="621"/>
      <c r="I58" s="621"/>
      <c r="J58" s="621"/>
      <c r="K58" s="621"/>
      <c r="L58" s="621"/>
      <c r="M58" s="621"/>
      <c r="N58" s="621"/>
      <c r="O58" s="621"/>
      <c r="P58" s="621"/>
    </row>
    <row r="59" spans="1:18" ht="11.25" hidden="1" outlineLevel="1" x14ac:dyDescent="0.2">
      <c r="A59" s="604" t="s">
        <v>931</v>
      </c>
      <c r="B59" s="621"/>
      <c r="C59" s="621"/>
      <c r="D59" s="621"/>
      <c r="E59" s="621"/>
      <c r="F59" s="622">
        <f>-'OLD Capital Budget - NO SRV'!D55-'Future Fund  Inc Exp Statement'!F58</f>
        <v>-97.875</v>
      </c>
      <c r="G59" s="622">
        <f>-'Revised Capital budget No SRV'!D7/1000</f>
        <v>511.37299999999999</v>
      </c>
      <c r="H59" s="622">
        <f>-'Revised Capital budget No SRV'!E7/1000</f>
        <v>669.08699999999999</v>
      </c>
      <c r="I59" s="622">
        <f>-'Revised Capital budget No SRV'!F7/1000</f>
        <v>930.15499999999997</v>
      </c>
      <c r="J59" s="622">
        <f>-'Revised Capital budget No SRV'!G7/1000</f>
        <v>819.399</v>
      </c>
      <c r="K59" s="622">
        <f>-'Revised Capital budget No SRV'!H7/1000</f>
        <v>0</v>
      </c>
      <c r="L59" s="622">
        <f>-'Revised Capital budget No SRV'!I7/1000</f>
        <v>0</v>
      </c>
      <c r="M59" s="622">
        <f>-'Revised Capital budget No SRV'!J7/1000</f>
        <v>0</v>
      </c>
      <c r="N59" s="622">
        <f>-'Revised Capital budget No SRV'!K7/1000</f>
        <v>0</v>
      </c>
      <c r="O59" s="622">
        <f>-'Revised Capital budget No SRV'!L7/1000</f>
        <v>0</v>
      </c>
      <c r="P59" s="622">
        <f>-'Revised Capital budget No SRV'!M7/1000</f>
        <v>0</v>
      </c>
    </row>
    <row r="60" spans="1:18" ht="11.25" hidden="1" outlineLevel="1" x14ac:dyDescent="0.2">
      <c r="A60" s="604" t="s">
        <v>244</v>
      </c>
      <c r="B60" s="621"/>
      <c r="C60" s="621"/>
      <c r="D60" s="621"/>
      <c r="E60" s="621"/>
      <c r="F60" s="622">
        <f>-'OLD Capital Budget - NO SRV'!D56-'Future Fund  Inc Exp Statement'!F59</f>
        <v>1554.0070000000001</v>
      </c>
      <c r="G60" s="622">
        <f>-'Revised Capital budget No SRV'!D8/1000</f>
        <v>1981.9670000000001</v>
      </c>
      <c r="H60" s="622">
        <f>-'Revised Capital budget No SRV'!E8/1000</f>
        <v>2036.7460100000001</v>
      </c>
      <c r="I60" s="622">
        <f>-'Revised Capital budget No SRV'!F8/1000</f>
        <v>2093.1683903000003</v>
      </c>
      <c r="J60" s="622">
        <f>-'Revised Capital budget No SRV'!G8/1000</f>
        <v>2151.2834420090003</v>
      </c>
      <c r="K60" s="622">
        <f>-'Revised Capital budget No SRV'!H8/1000</f>
        <v>2205.065528059225</v>
      </c>
      <c r="L60" s="622">
        <f>-'Revised Capital budget No SRV'!I8/1000</f>
        <v>2260.1921662607051</v>
      </c>
      <c r="M60" s="622">
        <f>-'Revised Capital budget No SRV'!J8/1000</f>
        <v>2316.6969704172229</v>
      </c>
      <c r="N60" s="622">
        <f>-'Revised Capital budget No SRV'!K8/1000</f>
        <v>2374.6143946776533</v>
      </c>
      <c r="O60" s="622">
        <f>-'Revised Capital budget No SRV'!L8/1000</f>
        <v>2433.9797545445949</v>
      </c>
      <c r="P60" s="622">
        <f>-'Revised Capital budget No SRV'!M8/1000</f>
        <v>2494.8292484082094</v>
      </c>
    </row>
    <row r="61" spans="1:18" ht="11.25" hidden="1" outlineLevel="1" x14ac:dyDescent="0.2">
      <c r="A61" s="604" t="s">
        <v>1085</v>
      </c>
      <c r="B61" s="621"/>
      <c r="C61" s="621"/>
      <c r="D61" s="621"/>
      <c r="E61" s="621"/>
      <c r="F61" s="622">
        <f>-'OLD Capital Budget - NO SRV'!D57-'Future Fund  Inc Exp Statement'!F60</f>
        <v>1266</v>
      </c>
      <c r="G61" s="622">
        <f>-'Revised Capital budget No SRV'!D9/1000</f>
        <v>1741</v>
      </c>
      <c r="H61" s="622">
        <f>-'Revised Capital budget No SRV'!E9/1000</f>
        <v>1741</v>
      </c>
      <c r="I61" s="622">
        <f>-'Revised Capital budget No SRV'!F9/1000</f>
        <v>1741</v>
      </c>
      <c r="J61" s="622">
        <f>-'Revised Capital budget No SRV'!G9/1000</f>
        <v>1741</v>
      </c>
      <c r="K61" s="622">
        <f>-'Revised Capital budget No SRV'!H9/1000</f>
        <v>1784.5249999999999</v>
      </c>
      <c r="L61" s="622">
        <f>-'Revised Capital budget No SRV'!I9/1000</f>
        <v>1829.1381249999995</v>
      </c>
      <c r="M61" s="622">
        <f>-'Revised Capital budget No SRV'!J9/1000</f>
        <v>1874.8665781249993</v>
      </c>
      <c r="N61" s="622">
        <f>-'Revised Capital budget No SRV'!K9/1000</f>
        <v>1921.7382425781241</v>
      </c>
      <c r="O61" s="622">
        <f>-'Revised Capital budget No SRV'!L9/1000</f>
        <v>1969.7816986425771</v>
      </c>
      <c r="P61" s="622">
        <f>-'Revised Capital budget No SRV'!M9/1000</f>
        <v>2019.0262411086412</v>
      </c>
    </row>
    <row r="62" spans="1:18" ht="11.25" hidden="1" outlineLevel="1" x14ac:dyDescent="0.2">
      <c r="A62" s="604" t="s">
        <v>1086</v>
      </c>
      <c r="B62" s="621"/>
      <c r="C62" s="621"/>
      <c r="D62" s="621"/>
      <c r="E62" s="621"/>
      <c r="F62" s="622">
        <f>-'OLD Capital Budget - NO SRV'!D58-'Future Fund  Inc Exp Statement'!F61</f>
        <v>78</v>
      </c>
      <c r="G62" s="622">
        <f>-'Revised Capital budget No SRV'!D10/1000</f>
        <v>65</v>
      </c>
      <c r="H62" s="622">
        <f>-'Revised Capital budget No SRV'!E10/1000</f>
        <v>66.625</v>
      </c>
      <c r="I62" s="622">
        <f>-'Revised Capital budget No SRV'!F10/1000</f>
        <v>68.290625000000006</v>
      </c>
      <c r="J62" s="622">
        <f>-'Revised Capital budget No SRV'!G10/1000</f>
        <v>69.997890624999997</v>
      </c>
      <c r="K62" s="622">
        <f>-'Revised Capital budget No SRV'!H10/1000</f>
        <v>71.747837890624993</v>
      </c>
      <c r="L62" s="622">
        <f>-'Revised Capital budget No SRV'!I10/1000</f>
        <v>73.541533837890611</v>
      </c>
      <c r="M62" s="622">
        <f>-'Revised Capital budget No SRV'!J10/1000</f>
        <v>75.380072183837882</v>
      </c>
      <c r="N62" s="622">
        <f>-'Revised Capital budget No SRV'!K10/1000</f>
        <v>77.264573988433824</v>
      </c>
      <c r="O62" s="622">
        <f>-'Revised Capital budget No SRV'!L10/1000</f>
        <v>79.196188338144665</v>
      </c>
      <c r="P62" s="622">
        <f>-'Revised Capital budget No SRV'!M10/1000</f>
        <v>81.176093046598282</v>
      </c>
    </row>
    <row r="63" spans="1:18" ht="11.25" hidden="1" outlineLevel="1" x14ac:dyDescent="0.2">
      <c r="A63" s="604" t="s">
        <v>33</v>
      </c>
      <c r="B63" s="621">
        <f>+B28</f>
        <v>0</v>
      </c>
      <c r="C63" s="621">
        <f>C28</f>
        <v>0</v>
      </c>
      <c r="D63" s="621">
        <f>D28</f>
        <v>0</v>
      </c>
      <c r="E63" s="621">
        <f>E28</f>
        <v>7182</v>
      </c>
      <c r="F63" s="622">
        <f>-'OLD Capital Budget - NO SRV'!D59-'Future Fund  Inc Exp Statement'!F62</f>
        <v>8510.6460000000006</v>
      </c>
      <c r="G63" s="622">
        <f>-'Revised Capital budget No SRV'!D11/1000</f>
        <v>7355.7780000000002</v>
      </c>
      <c r="H63" s="622">
        <f>-'Revised Capital budget No SRV'!E11/1000</f>
        <v>7537.7861700000003</v>
      </c>
      <c r="I63" s="622">
        <f>-'Revised Capital budget No SRV'!F11/1000</f>
        <v>7724.2886536499991</v>
      </c>
      <c r="J63" s="622">
        <f>-'Revised Capital budget No SRV'!G11/1000</f>
        <v>7915.4352279792483</v>
      </c>
      <c r="K63" s="622">
        <f>-'Revised Capital budget No SRV'!H11/1000</f>
        <v>8113.5107336787287</v>
      </c>
      <c r="L63" s="622">
        <f>-'Revised Capital budget No SRV'!I11/1000</f>
        <v>8316.3485020206954</v>
      </c>
      <c r="M63" s="622">
        <f>-'Revised Capital budget No SRV'!J11/1000</f>
        <v>8524.2572145712111</v>
      </c>
      <c r="N63" s="622">
        <f>-'Revised Capital budget No SRV'!K11/1000</f>
        <v>8737.3636449354908</v>
      </c>
      <c r="O63" s="622">
        <f>-'Revised Capital budget No SRV'!L11/1000</f>
        <v>8955.7977360588775</v>
      </c>
      <c r="P63" s="622">
        <f>-'Revised Capital budget No SRV'!M11/1000</f>
        <v>9179.6926794603478</v>
      </c>
    </row>
    <row r="64" spans="1:18" ht="11.25" hidden="1" outlineLevel="1" x14ac:dyDescent="0.2">
      <c r="A64" s="604" t="s">
        <v>22</v>
      </c>
      <c r="B64" s="621"/>
      <c r="C64" s="621"/>
      <c r="D64" s="621"/>
      <c r="E64" s="621"/>
      <c r="F64" s="622">
        <f>-'OLD Capital Budget - NO SRV'!D60-'Future Fund  Inc Exp Statement'!F63</f>
        <v>2262.9380000000001</v>
      </c>
      <c r="G64" s="622">
        <f>-'Revised Capital budget No SRV'!D12/1000</f>
        <v>2200</v>
      </c>
      <c r="H64" s="622">
        <f>-'Revised Capital budget No SRV'!E12/1000</f>
        <v>8000</v>
      </c>
      <c r="I64" s="622">
        <f>-'Revised Capital budget No SRV'!F12/1000</f>
        <v>2000</v>
      </c>
      <c r="J64" s="622">
        <f>-'Revised Capital budget No SRV'!G12/1000</f>
        <v>2000</v>
      </c>
      <c r="K64" s="622">
        <f>-'Revised Capital budget No SRV'!H12/1000</f>
        <v>2040</v>
      </c>
      <c r="L64" s="622">
        <f>-'Revised Capital budget No SRV'!I12/1000</f>
        <v>2080.8000000000002</v>
      </c>
      <c r="M64" s="622">
        <f>-'Revised Capital budget No SRV'!J12/1000</f>
        <v>2122.4160000000002</v>
      </c>
      <c r="N64" s="622">
        <f>-'Revised Capital budget No SRV'!K12/1000</f>
        <v>2164.8643199999997</v>
      </c>
      <c r="O64" s="622">
        <f>-'Revised Capital budget No SRV'!L12/1000</f>
        <v>2208.1616064</v>
      </c>
      <c r="P64" s="622">
        <f>-'Revised Capital budget No SRV'!M12/1000</f>
        <v>2252.3248385279999</v>
      </c>
    </row>
    <row r="65" spans="1:27" ht="11.25" hidden="1" outlineLevel="1" x14ac:dyDescent="0.2">
      <c r="A65" s="604" t="s">
        <v>1087</v>
      </c>
      <c r="B65" s="621"/>
      <c r="C65" s="621"/>
      <c r="D65" s="621"/>
      <c r="E65" s="621"/>
      <c r="F65" s="622">
        <f>-'OLD Capital Budget - NO SRV'!D61-'Future Fund  Inc Exp Statement'!F64</f>
        <v>0</v>
      </c>
      <c r="G65" s="622">
        <f>-'Revised Capital budget No SRV'!D13/1000</f>
        <v>0</v>
      </c>
      <c r="H65" s="622">
        <f>-'Revised Capital budget No SRV'!E13/1000</f>
        <v>0</v>
      </c>
      <c r="I65" s="622">
        <f>-'Revised Capital budget No SRV'!F13/1000</f>
        <v>0</v>
      </c>
      <c r="J65" s="622">
        <f>-'Revised Capital budget No SRV'!G13/1000</f>
        <v>0</v>
      </c>
      <c r="K65" s="622">
        <f>-'Revised Capital budget No SRV'!H13/1000</f>
        <v>0</v>
      </c>
      <c r="L65" s="622">
        <f>-'Revised Capital budget No SRV'!I13/1000</f>
        <v>0</v>
      </c>
      <c r="M65" s="622">
        <f>-'Revised Capital budget No SRV'!J13/1000</f>
        <v>0</v>
      </c>
      <c r="N65" s="622">
        <f>-'Revised Capital budget No SRV'!K13/1000</f>
        <v>0</v>
      </c>
      <c r="O65" s="622">
        <f>-'Revised Capital budget No SRV'!L13/1000</f>
        <v>0</v>
      </c>
      <c r="P65" s="622">
        <f>-'Revised Capital budget No SRV'!M13/1000</f>
        <v>0</v>
      </c>
    </row>
    <row r="66" spans="1:27" ht="11.25" hidden="1" outlineLevel="1" x14ac:dyDescent="0.2">
      <c r="A66" s="604" t="s">
        <v>1344</v>
      </c>
      <c r="B66" s="621"/>
      <c r="C66" s="621"/>
      <c r="D66" s="621"/>
      <c r="E66" s="621"/>
      <c r="F66" s="622">
        <f>-'OLD Capital Budget - NO SRV'!D62-'Future Fund  Inc Exp Statement'!F65</f>
        <v>70</v>
      </c>
      <c r="G66" s="622">
        <f>-'Revised Capital budget No SRV'!D14/1000</f>
        <v>70</v>
      </c>
      <c r="H66" s="622">
        <f>-'Revised Capital budget No SRV'!E14/1000</f>
        <v>70</v>
      </c>
      <c r="I66" s="622">
        <f>-'Revised Capital budget No SRV'!F14/1000</f>
        <v>70</v>
      </c>
      <c r="J66" s="622">
        <f>-'Revised Capital budget No SRV'!G14/1000</f>
        <v>70</v>
      </c>
      <c r="K66" s="622">
        <f>-'Revised Capital budget No SRV'!H14/1000</f>
        <v>71.400000000000006</v>
      </c>
      <c r="L66" s="622">
        <f>-'Revised Capital budget No SRV'!I14/1000</f>
        <v>72.828000000000003</v>
      </c>
      <c r="M66" s="622">
        <f>-'Revised Capital budget No SRV'!J14/1000</f>
        <v>74.284559999999999</v>
      </c>
      <c r="N66" s="622">
        <f>-'Revised Capital budget No SRV'!K14/1000</f>
        <v>75.770251200000004</v>
      </c>
      <c r="O66" s="622">
        <f>-'Revised Capital budget No SRV'!L14/1000</f>
        <v>77.285656224000007</v>
      </c>
      <c r="P66" s="622">
        <f>-'Revised Capital budget No SRV'!M14/1000</f>
        <v>78.831369348479996</v>
      </c>
    </row>
    <row r="67" spans="1:27" ht="11.25" hidden="1" outlineLevel="1" x14ac:dyDescent="0.2">
      <c r="A67" s="604"/>
      <c r="B67" s="621"/>
      <c r="C67" s="621"/>
      <c r="D67" s="771">
        <f>SUM(D59:D66)</f>
        <v>0</v>
      </c>
      <c r="E67" s="771">
        <f>SUM(E59:E66)</f>
        <v>7182</v>
      </c>
      <c r="F67" s="771">
        <f>SUM(F59:F66)</f>
        <v>13643.716</v>
      </c>
      <c r="G67" s="771">
        <f t="shared" ref="G67:P67" si="38">SUM(G59:G66)</f>
        <v>13925.118</v>
      </c>
      <c r="H67" s="771">
        <f t="shared" si="38"/>
        <v>20121.244180000002</v>
      </c>
      <c r="I67" s="771">
        <f t="shared" si="38"/>
        <v>14626.902668949999</v>
      </c>
      <c r="J67" s="771">
        <f t="shared" si="38"/>
        <v>14767.115560613249</v>
      </c>
      <c r="K67" s="771">
        <f t="shared" si="38"/>
        <v>14286.249099628578</v>
      </c>
      <c r="L67" s="771">
        <f t="shared" si="38"/>
        <v>14632.848327119291</v>
      </c>
      <c r="M67" s="771">
        <f t="shared" si="38"/>
        <v>14987.901395297271</v>
      </c>
      <c r="N67" s="771">
        <f t="shared" si="38"/>
        <v>15351.6154273797</v>
      </c>
      <c r="O67" s="771">
        <f t="shared" si="38"/>
        <v>15724.202640208196</v>
      </c>
      <c r="P67" s="771">
        <f t="shared" si="38"/>
        <v>16105.880469900276</v>
      </c>
    </row>
    <row r="68" spans="1:27" ht="11.25" hidden="1" outlineLevel="1" x14ac:dyDescent="0.2">
      <c r="A68" s="599"/>
      <c r="B68" s="621"/>
      <c r="C68" s="621"/>
      <c r="D68" s="622"/>
      <c r="E68" s="622"/>
      <c r="F68" s="622"/>
      <c r="G68" s="622"/>
      <c r="H68" s="622"/>
      <c r="I68" s="622"/>
      <c r="J68" s="624"/>
      <c r="K68" s="624"/>
      <c r="L68" s="624"/>
      <c r="M68" s="624"/>
      <c r="N68" s="624"/>
      <c r="O68" s="624"/>
      <c r="P68" s="624"/>
    </row>
    <row r="69" spans="1:27" ht="11.25" hidden="1" outlineLevel="1" x14ac:dyDescent="0.2">
      <c r="A69" s="604"/>
      <c r="B69" s="621"/>
      <c r="C69" s="621"/>
      <c r="D69" s="621"/>
      <c r="E69" s="621"/>
      <c r="F69" s="621"/>
      <c r="G69" s="621"/>
      <c r="H69" s="621"/>
      <c r="I69" s="621"/>
      <c r="J69" s="621"/>
      <c r="K69" s="621"/>
      <c r="L69" s="621"/>
      <c r="M69" s="621"/>
      <c r="N69" s="621"/>
      <c r="O69" s="621"/>
      <c r="P69" s="621"/>
    </row>
    <row r="70" spans="1:27" ht="11.25" hidden="1" outlineLevel="1" x14ac:dyDescent="0.2">
      <c r="A70" s="604" t="s">
        <v>34</v>
      </c>
      <c r="B70" s="621">
        <f>+B39+SUM(B52:B69)</f>
        <v>0</v>
      </c>
      <c r="C70" s="621">
        <f>+C39+SUM(C52:C69)</f>
        <v>0</v>
      </c>
      <c r="D70" s="625">
        <f>D67-D57</f>
        <v>0</v>
      </c>
      <c r="E70" s="625">
        <f t="shared" ref="E70:P70" si="39">E67-E57</f>
        <v>7182</v>
      </c>
      <c r="F70" s="625">
        <f t="shared" si="39"/>
        <v>30.000000000001819</v>
      </c>
      <c r="G70" s="625">
        <f t="shared" si="39"/>
        <v>-300</v>
      </c>
      <c r="H70" s="625">
        <f t="shared" si="39"/>
        <v>3.6999999792897142E-4</v>
      </c>
      <c r="I70" s="625">
        <f t="shared" si="39"/>
        <v>-300.0001163500001</v>
      </c>
      <c r="J70" s="625">
        <f t="shared" si="39"/>
        <v>-400.00028627074971</v>
      </c>
      <c r="K70" s="625">
        <f t="shared" si="39"/>
        <v>-976.16745122060274</v>
      </c>
      <c r="L70" s="625">
        <f t="shared" si="39"/>
        <v>-904.16641974687082</v>
      </c>
      <c r="M70" s="625">
        <f t="shared" si="39"/>
        <v>-532.85418813121578</v>
      </c>
      <c r="N70" s="625">
        <f t="shared" si="39"/>
        <v>-662.58464038298371</v>
      </c>
      <c r="O70" s="625">
        <f t="shared" si="39"/>
        <v>-655.1823533920051</v>
      </c>
      <c r="P70" s="625">
        <f t="shared" si="39"/>
        <v>-386.46748866625057</v>
      </c>
    </row>
    <row r="71" spans="1:27" ht="11.25" hidden="1" outlineLevel="1" x14ac:dyDescent="0.2">
      <c r="A71" s="600" t="s">
        <v>451</v>
      </c>
      <c r="C71" s="606">
        <f>B72</f>
        <v>0</v>
      </c>
      <c r="D71" s="606">
        <f t="shared" ref="D71:P71" si="40">C72</f>
        <v>0</v>
      </c>
      <c r="E71" s="606">
        <f t="shared" si="40"/>
        <v>0</v>
      </c>
      <c r="F71" s="606">
        <v>0</v>
      </c>
      <c r="G71" s="606">
        <f t="shared" si="40"/>
        <v>30.000000000001819</v>
      </c>
      <c r="H71" s="606">
        <f t="shared" si="40"/>
        <v>-269.99999999999818</v>
      </c>
      <c r="I71" s="606">
        <f t="shared" si="40"/>
        <v>-269.99963000000025</v>
      </c>
      <c r="J71" s="606">
        <f t="shared" si="40"/>
        <v>-569.99974635000035</v>
      </c>
      <c r="K71" s="606">
        <f t="shared" si="40"/>
        <v>-970.00003262075006</v>
      </c>
      <c r="L71" s="606">
        <f t="shared" si="40"/>
        <v>-1946.1674838413528</v>
      </c>
      <c r="M71" s="606">
        <f t="shared" si="40"/>
        <v>-2850.3339035882236</v>
      </c>
      <c r="N71" s="606">
        <f t="shared" si="40"/>
        <v>-3383.1880917194394</v>
      </c>
      <c r="O71" s="606">
        <f t="shared" si="40"/>
        <v>-4045.7727321024231</v>
      </c>
      <c r="P71" s="606">
        <f t="shared" si="40"/>
        <v>-4700.9550854944282</v>
      </c>
    </row>
    <row r="72" spans="1:27" ht="11.25" hidden="1" outlineLevel="1" x14ac:dyDescent="0.2">
      <c r="A72" s="620" t="s">
        <v>452</v>
      </c>
      <c r="B72" s="626"/>
      <c r="C72" s="627">
        <f>SUM(C70:C71)</f>
        <v>0</v>
      </c>
      <c r="D72" s="627">
        <f t="shared" ref="D72:P72" si="41">SUM(D70:D71)</f>
        <v>0</v>
      </c>
      <c r="E72" s="627">
        <f t="shared" si="41"/>
        <v>7182</v>
      </c>
      <c r="F72" s="627">
        <f t="shared" si="41"/>
        <v>30.000000000001819</v>
      </c>
      <c r="G72" s="627">
        <f t="shared" si="41"/>
        <v>-269.99999999999818</v>
      </c>
      <c r="H72" s="627">
        <f t="shared" si="41"/>
        <v>-269.99963000000025</v>
      </c>
      <c r="I72" s="627">
        <f t="shared" si="41"/>
        <v>-569.99974635000035</v>
      </c>
      <c r="J72" s="627">
        <f t="shared" si="41"/>
        <v>-970.00003262075006</v>
      </c>
      <c r="K72" s="627">
        <f t="shared" si="41"/>
        <v>-1946.1674838413528</v>
      </c>
      <c r="L72" s="627">
        <f t="shared" si="41"/>
        <v>-2850.3339035882236</v>
      </c>
      <c r="M72" s="627">
        <f t="shared" si="41"/>
        <v>-3383.1880917194394</v>
      </c>
      <c r="N72" s="627">
        <f t="shared" si="41"/>
        <v>-4045.7727321024231</v>
      </c>
      <c r="O72" s="627">
        <f t="shared" si="41"/>
        <v>-4700.9550854944282</v>
      </c>
      <c r="P72" s="627">
        <f t="shared" si="41"/>
        <v>-5087.4225741606788</v>
      </c>
    </row>
    <row r="73" spans="1:27" ht="12" collapsed="1" thickTop="1" x14ac:dyDescent="0.2">
      <c r="A73" s="620"/>
      <c r="B73" s="626"/>
      <c r="C73" s="627"/>
      <c r="D73" s="627"/>
      <c r="E73" s="627"/>
      <c r="F73" s="627"/>
      <c r="G73" s="627"/>
      <c r="H73" s="627"/>
      <c r="I73" s="627"/>
      <c r="J73" s="627"/>
      <c r="K73" s="627"/>
      <c r="L73" s="627"/>
      <c r="M73" s="627"/>
      <c r="N73" s="627"/>
      <c r="O73" s="627"/>
      <c r="P73" s="627"/>
    </row>
    <row r="74" spans="1:27" s="631" customFormat="1" ht="11.25" hidden="1" outlineLevel="1" x14ac:dyDescent="0.2">
      <c r="A74" s="628"/>
      <c r="B74" s="629"/>
      <c r="C74" s="630"/>
      <c r="D74" s="630"/>
      <c r="E74" s="630"/>
      <c r="F74" s="630"/>
      <c r="G74" s="630"/>
      <c r="H74" s="630"/>
      <c r="I74" s="630"/>
      <c r="J74" s="630"/>
      <c r="K74" s="630"/>
      <c r="L74" s="630"/>
      <c r="M74" s="630"/>
      <c r="N74" s="630"/>
      <c r="O74" s="630"/>
      <c r="P74" s="630"/>
    </row>
    <row r="75" spans="1:27" s="631" customFormat="1" ht="11.25" hidden="1" outlineLevel="1" x14ac:dyDescent="0.2">
      <c r="A75" s="628"/>
      <c r="B75" s="629"/>
      <c r="C75" s="630"/>
      <c r="D75" s="630"/>
      <c r="E75" s="630"/>
      <c r="F75" s="630"/>
      <c r="G75" s="630"/>
      <c r="H75" s="630"/>
      <c r="I75" s="630"/>
      <c r="J75" s="630"/>
      <c r="K75" s="630"/>
      <c r="L75" s="630"/>
      <c r="M75" s="630"/>
      <c r="N75" s="630"/>
      <c r="O75" s="630"/>
      <c r="P75" s="630"/>
    </row>
    <row r="76" spans="1:27" ht="15.75" collapsed="1" x14ac:dyDescent="0.25">
      <c r="A76" s="1091" t="s">
        <v>1247</v>
      </c>
      <c r="R76" s="1370" t="s">
        <v>1395</v>
      </c>
      <c r="S76" s="1336"/>
      <c r="T76" s="1336"/>
      <c r="U76" s="1336"/>
      <c r="V76" s="1336"/>
      <c r="W76" s="1336"/>
      <c r="X76" s="1336"/>
      <c r="Y76" s="1336"/>
      <c r="Z76" s="1336"/>
      <c r="AA76" s="1336"/>
    </row>
    <row r="77" spans="1:27" ht="12" x14ac:dyDescent="0.25">
      <c r="A77" s="632" t="s">
        <v>1065</v>
      </c>
      <c r="B77" s="586" t="s">
        <v>69</v>
      </c>
      <c r="C77" s="586" t="s">
        <v>69</v>
      </c>
      <c r="D77" s="586" t="s">
        <v>69</v>
      </c>
      <c r="E77" s="586" t="s">
        <v>69</v>
      </c>
      <c r="F77" s="586" t="s">
        <v>70</v>
      </c>
      <c r="G77" s="586" t="s">
        <v>70</v>
      </c>
      <c r="H77" s="586" t="s">
        <v>71</v>
      </c>
      <c r="I77" s="586" t="s">
        <v>71</v>
      </c>
      <c r="J77" s="586" t="s">
        <v>71</v>
      </c>
      <c r="K77" s="586" t="s">
        <v>71</v>
      </c>
      <c r="L77" s="586" t="s">
        <v>71</v>
      </c>
      <c r="M77" s="586" t="s">
        <v>71</v>
      </c>
      <c r="N77" s="586" t="s">
        <v>71</v>
      </c>
      <c r="O77" s="586" t="s">
        <v>71</v>
      </c>
      <c r="P77" s="586" t="s">
        <v>71</v>
      </c>
      <c r="R77" s="586" t="s">
        <v>70</v>
      </c>
      <c r="S77" s="586" t="s">
        <v>71</v>
      </c>
      <c r="T77" s="586" t="s">
        <v>71</v>
      </c>
      <c r="U77" s="586" t="s">
        <v>71</v>
      </c>
      <c r="V77" s="586" t="s">
        <v>71</v>
      </c>
      <c r="W77" s="586" t="s">
        <v>71</v>
      </c>
      <c r="X77" s="586" t="s">
        <v>71</v>
      </c>
      <c r="Y77" s="586" t="s">
        <v>71</v>
      </c>
      <c r="Z77" s="586" t="s">
        <v>71</v>
      </c>
      <c r="AA77" s="586" t="s">
        <v>71</v>
      </c>
    </row>
    <row r="78" spans="1:27" x14ac:dyDescent="0.2">
      <c r="A78" s="598" t="s">
        <v>73</v>
      </c>
      <c r="B78" s="741" t="s">
        <v>68</v>
      </c>
      <c r="C78" s="694" t="s">
        <v>0</v>
      </c>
      <c r="D78" s="694" t="s">
        <v>1</v>
      </c>
      <c r="E78" s="694" t="s">
        <v>2</v>
      </c>
      <c r="F78" s="694" t="s">
        <v>3</v>
      </c>
      <c r="G78" s="694" t="s">
        <v>4</v>
      </c>
      <c r="H78" s="694" t="s">
        <v>5</v>
      </c>
      <c r="I78" s="694" t="s">
        <v>6</v>
      </c>
      <c r="J78" s="694" t="s">
        <v>7</v>
      </c>
      <c r="K78" s="694" t="s">
        <v>8</v>
      </c>
      <c r="L78" s="694" t="s">
        <v>9</v>
      </c>
      <c r="M78" s="694" t="s">
        <v>514</v>
      </c>
      <c r="N78" s="694" t="s">
        <v>515</v>
      </c>
      <c r="O78" s="694" t="s">
        <v>904</v>
      </c>
      <c r="P78" s="694" t="s">
        <v>1046</v>
      </c>
      <c r="R78" s="694" t="s">
        <v>4</v>
      </c>
      <c r="S78" s="694" t="s">
        <v>5</v>
      </c>
      <c r="T78" s="694" t="s">
        <v>6</v>
      </c>
      <c r="U78" s="694" t="s">
        <v>7</v>
      </c>
      <c r="V78" s="694" t="s">
        <v>8</v>
      </c>
      <c r="W78" s="694" t="s">
        <v>9</v>
      </c>
      <c r="X78" s="694" t="s">
        <v>514</v>
      </c>
      <c r="Y78" s="694" t="s">
        <v>515</v>
      </c>
      <c r="Z78" s="694" t="s">
        <v>904</v>
      </c>
      <c r="AA78" s="694" t="s">
        <v>1046</v>
      </c>
    </row>
    <row r="79" spans="1:27" s="603" customFormat="1" ht="11.25" hidden="1" outlineLevel="1" x14ac:dyDescent="0.2">
      <c r="A79" s="1087" t="s">
        <v>1360</v>
      </c>
      <c r="B79" s="1088"/>
      <c r="C79" s="1089"/>
      <c r="D79" s="1089"/>
      <c r="E79" s="1089"/>
      <c r="F79" s="1089"/>
      <c r="G79" s="1090">
        <f>(G87-F87)/F87</f>
        <v>7.7068354565281119E-2</v>
      </c>
      <c r="H79" s="1090">
        <f t="shared" ref="H79:P79" si="42">(H87-G87)/G87</f>
        <v>5.089862314754124E-2</v>
      </c>
      <c r="I79" s="1090">
        <f t="shared" si="42"/>
        <v>6.7833211727787862E-2</v>
      </c>
      <c r="J79" s="1090">
        <f t="shared" si="42"/>
        <v>4.8121075118119E-2</v>
      </c>
      <c r="K79" s="1090">
        <f t="shared" si="42"/>
        <v>2.4999999999999852E-2</v>
      </c>
      <c r="L79" s="1090">
        <f t="shared" si="42"/>
        <v>2.4999999999999981E-2</v>
      </c>
      <c r="M79" s="1090">
        <f t="shared" si="42"/>
        <v>2.499999999999997E-2</v>
      </c>
      <c r="N79" s="1090">
        <f t="shared" si="42"/>
        <v>2.4999999999999922E-2</v>
      </c>
      <c r="O79" s="1090">
        <f t="shared" si="42"/>
        <v>2.4999999999999915E-2</v>
      </c>
      <c r="P79" s="1090">
        <f t="shared" si="42"/>
        <v>2.4999999999999873E-2</v>
      </c>
    </row>
    <row r="80" spans="1:27" s="603" customFormat="1" ht="18" hidden="1" customHeight="1" outlineLevel="1" x14ac:dyDescent="0.2">
      <c r="A80" s="1414" t="str">
        <f>A6</f>
        <v>Additional Grant revenue (Mt Pleasant)</v>
      </c>
      <c r="B80" s="1414">
        <f t="shared" ref="B80:J80" si="43">B6</f>
        <v>0</v>
      </c>
      <c r="C80" s="1414">
        <f t="shared" si="43"/>
        <v>0</v>
      </c>
      <c r="D80" s="1414">
        <f t="shared" si="43"/>
        <v>0</v>
      </c>
      <c r="E80" s="1414">
        <f t="shared" si="43"/>
        <v>0</v>
      </c>
      <c r="F80" s="1414">
        <f t="shared" si="43"/>
        <v>0</v>
      </c>
      <c r="G80" s="1414">
        <f t="shared" si="43"/>
        <v>220</v>
      </c>
      <c r="H80" s="1415">
        <f t="shared" si="43"/>
        <v>224.4</v>
      </c>
      <c r="I80" s="1415">
        <f t="shared" si="43"/>
        <v>228.88800000000001</v>
      </c>
      <c r="J80" s="1415">
        <f t="shared" si="43"/>
        <v>233.46576000000002</v>
      </c>
      <c r="K80" s="1090"/>
      <c r="L80" s="1090"/>
      <c r="M80" s="1090"/>
      <c r="N80" s="1090"/>
      <c r="O80" s="1090"/>
      <c r="P80" s="1090"/>
    </row>
    <row r="81" spans="1:27" s="603" customFormat="1" ht="11.25" hidden="1" outlineLevel="1" x14ac:dyDescent="0.2">
      <c r="A81" s="1365" t="s">
        <v>1439</v>
      </c>
      <c r="B81" s="1088"/>
      <c r="C81" s="1089"/>
      <c r="D81" s="1371"/>
      <c r="E81" s="1371"/>
      <c r="F81" s="1371"/>
      <c r="G81" s="1373">
        <f>G7</f>
        <v>0</v>
      </c>
      <c r="H81" s="1373">
        <f t="shared" ref="H81:J81" si="44">H7</f>
        <v>0</v>
      </c>
      <c r="I81" s="1373">
        <f t="shared" si="44"/>
        <v>0</v>
      </c>
      <c r="J81" s="1373">
        <f t="shared" si="44"/>
        <v>0</v>
      </c>
      <c r="K81" s="1089"/>
      <c r="L81" s="1089"/>
      <c r="M81" s="1089"/>
      <c r="N81" s="1089"/>
      <c r="O81" s="1089"/>
      <c r="P81" s="1089"/>
    </row>
    <row r="82" spans="1:27" s="603" customFormat="1" ht="11.25" hidden="1" outlineLevel="1" x14ac:dyDescent="0.2">
      <c r="A82" s="1365" t="s">
        <v>1603</v>
      </c>
      <c r="B82" s="1088"/>
      <c r="C82" s="1089"/>
      <c r="D82" s="1371"/>
      <c r="E82" s="1371"/>
      <c r="F82" s="1371"/>
      <c r="G82" s="1373"/>
      <c r="H82" s="1373"/>
      <c r="I82" s="1373">
        <v>280</v>
      </c>
      <c r="J82" s="1373">
        <v>140</v>
      </c>
      <c r="K82" s="1089"/>
      <c r="L82" s="1089"/>
      <c r="M82" s="1089"/>
      <c r="N82" s="1089"/>
      <c r="O82" s="1089"/>
      <c r="P82" s="1089"/>
    </row>
    <row r="83" spans="1:27" s="603" customFormat="1" ht="11.25" hidden="1" outlineLevel="1" x14ac:dyDescent="0.2">
      <c r="A83" s="1365" t="s">
        <v>1517</v>
      </c>
      <c r="B83" s="1366"/>
      <c r="C83" s="1367"/>
      <c r="D83" s="1368"/>
      <c r="E83" s="1368"/>
      <c r="F83" s="1369"/>
      <c r="G83" s="1372">
        <f>G8</f>
        <v>-750</v>
      </c>
      <c r="H83" s="1372">
        <f t="shared" ref="H83:J83" si="45">H8</f>
        <v>-765</v>
      </c>
      <c r="I83" s="1372">
        <f t="shared" si="45"/>
        <v>-780.30000000000007</v>
      </c>
      <c r="J83" s="1372">
        <f t="shared" si="45"/>
        <v>-795.90600000000006</v>
      </c>
      <c r="K83" s="1089"/>
      <c r="L83" s="1089"/>
      <c r="M83" s="1089"/>
      <c r="N83" s="1089"/>
      <c r="O83" s="1089"/>
      <c r="P83" s="1089"/>
    </row>
    <row r="84" spans="1:27" s="603" customFormat="1" ht="11.25" hidden="1" outlineLevel="1" x14ac:dyDescent="0.2">
      <c r="A84" s="1087" t="s">
        <v>1642</v>
      </c>
      <c r="B84" s="1088"/>
      <c r="C84" s="1089"/>
      <c r="D84" s="1089"/>
      <c r="E84" s="1089">
        <v>117</v>
      </c>
      <c r="F84" s="1089">
        <v>120</v>
      </c>
      <c r="G84" s="1089">
        <f>F84</f>
        <v>120</v>
      </c>
      <c r="H84" s="1089">
        <f t="shared" ref="H84:J84" si="46">G84</f>
        <v>120</v>
      </c>
      <c r="I84" s="1089">
        <f t="shared" si="46"/>
        <v>120</v>
      </c>
      <c r="J84" s="1089">
        <f t="shared" si="46"/>
        <v>120</v>
      </c>
      <c r="K84" s="1543">
        <f>J84*(1+'LTFP Assumptions'!$J$6)</f>
        <v>122.99999999999999</v>
      </c>
      <c r="L84" s="1543">
        <f>K84*(1+'LTFP Assumptions'!$J$6)</f>
        <v>126.07499999999997</v>
      </c>
      <c r="M84" s="1543">
        <f>L84*(1+'LTFP Assumptions'!$J$6)</f>
        <v>129.22687499999995</v>
      </c>
      <c r="N84" s="1543">
        <f>M84*(1+'LTFP Assumptions'!$J$6)</f>
        <v>132.45754687499993</v>
      </c>
      <c r="O84" s="1543">
        <f>N84*(1+'LTFP Assumptions'!$J$6)</f>
        <v>135.76898554687492</v>
      </c>
      <c r="P84" s="1543">
        <f>O84*(1+'LTFP Assumptions'!$J$6)</f>
        <v>139.16321018554677</v>
      </c>
    </row>
    <row r="85" spans="1:27" collapsed="1" x14ac:dyDescent="0.2">
      <c r="A85" s="604" t="s">
        <v>61</v>
      </c>
    </row>
    <row r="86" spans="1:27" x14ac:dyDescent="0.2">
      <c r="A86" s="607" t="s">
        <v>62</v>
      </c>
      <c r="R86" s="599" t="s">
        <v>1396</v>
      </c>
    </row>
    <row r="87" spans="1:27" x14ac:dyDescent="0.2">
      <c r="A87" s="600" t="s">
        <v>11</v>
      </c>
      <c r="B87" s="606">
        <f t="shared" ref="B87:E92" si="47">+B12</f>
        <v>0</v>
      </c>
      <c r="C87" s="606">
        <f t="shared" si="47"/>
        <v>0</v>
      </c>
      <c r="D87" s="606">
        <f t="shared" si="47"/>
        <v>0</v>
      </c>
      <c r="E87" s="606">
        <f t="shared" si="47"/>
        <v>13690</v>
      </c>
      <c r="F87" s="606">
        <f>-'Opex with SRV'!C130/1000</f>
        <v>14450.315000000001</v>
      </c>
      <c r="G87" s="606">
        <f>-'Opex with SRV'!E130/1000</f>
        <v>15563.977000000001</v>
      </c>
      <c r="H87" s="606">
        <f>-'Opex with SRV'!G130/1000</f>
        <v>16356.162</v>
      </c>
      <c r="I87" s="606">
        <f>-'Opex with SRV'!H130/1000</f>
        <v>17465.652999999998</v>
      </c>
      <c r="J87" s="606">
        <f>-'Opex with SRV'!I130/1000</f>
        <v>18306.118999999999</v>
      </c>
      <c r="K87" s="608">
        <f>J87*(1+'LTFP Assumptions'!$J6)</f>
        <v>18763.771974999996</v>
      </c>
      <c r="L87" s="608">
        <f>K87*(1+'LTFP Assumptions'!$J6)</f>
        <v>19232.866274374996</v>
      </c>
      <c r="M87" s="608">
        <f>L87*(1+'LTFP Assumptions'!$J6)</f>
        <v>19713.68793123437</v>
      </c>
      <c r="N87" s="608">
        <f>M87*(1+'LTFP Assumptions'!$J6)</f>
        <v>20206.530129515228</v>
      </c>
      <c r="O87" s="608">
        <f>N87*(1+'LTFP Assumptions'!$J6)</f>
        <v>20711.693382753107</v>
      </c>
      <c r="P87" s="608">
        <f>O87*(1+'LTFP Assumptions'!$J6)</f>
        <v>21229.485717321932</v>
      </c>
      <c r="R87" s="606">
        <f t="shared" ref="R87:R96" si="48">G87-G12</f>
        <v>300.03703999999925</v>
      </c>
      <c r="S87" s="606">
        <f t="shared" ref="S87:S96" si="49">H87-H12</f>
        <v>580.28452500000094</v>
      </c>
      <c r="T87" s="606">
        <f t="shared" ref="T87:T96" si="50">I87-I12</f>
        <v>1013.5467249999965</v>
      </c>
      <c r="U87" s="606">
        <f t="shared" ref="U87:U96" si="51">J87-J12</f>
        <v>1403.6205749999972</v>
      </c>
      <c r="V87" s="606">
        <f t="shared" ref="V87:V96" si="52">K87-K12</f>
        <v>1438.7110893749959</v>
      </c>
      <c r="W87" s="606">
        <f t="shared" ref="W87:W96" si="53">L87-L12</f>
        <v>1474.6788666093707</v>
      </c>
      <c r="X87" s="606">
        <f t="shared" ref="X87:X96" si="54">M87-M12</f>
        <v>1511.5458382746074</v>
      </c>
      <c r="Y87" s="606">
        <f t="shared" ref="Y87:Y96" si="55">N87-N12</f>
        <v>1549.3344842314727</v>
      </c>
      <c r="Z87" s="606">
        <f t="shared" ref="Z87:Z96" si="56">O87-O12</f>
        <v>1588.0678463372606</v>
      </c>
      <c r="AA87" s="606">
        <f t="shared" ref="AA87:AA96" si="57">P87-P12</f>
        <v>1627.769542495691</v>
      </c>
    </row>
    <row r="88" spans="1:27" x14ac:dyDescent="0.2">
      <c r="A88" s="600" t="s">
        <v>12</v>
      </c>
      <c r="B88" s="606">
        <f t="shared" si="47"/>
        <v>0</v>
      </c>
      <c r="C88" s="606">
        <f t="shared" si="47"/>
        <v>0</v>
      </c>
      <c r="D88" s="606">
        <f t="shared" si="47"/>
        <v>0</v>
      </c>
      <c r="E88" s="606">
        <f t="shared" si="47"/>
        <v>7643</v>
      </c>
      <c r="F88" s="606">
        <f>-'Opex with SRV'!C131/1000</f>
        <v>6434.6660000000002</v>
      </c>
      <c r="G88" s="606">
        <f>-'Opex with SRV'!E131/1000</f>
        <v>6694.2250000000004</v>
      </c>
      <c r="H88" s="606">
        <f>-'Opex with SRV'!G131/1000</f>
        <v>6699.7</v>
      </c>
      <c r="I88" s="606">
        <f>-'Opex with SRV'!H131/1000</f>
        <v>6981.9269999999997</v>
      </c>
      <c r="J88" s="606">
        <f>-'Opex with SRV'!I131/1000+'ML Adjustments'!I51</f>
        <v>7344.5609999999997</v>
      </c>
      <c r="K88" s="608">
        <f>J88*(1+'LTFP Assumptions'!$J12)</f>
        <v>7491.4522200000001</v>
      </c>
      <c r="L88" s="608">
        <f>K88*(1+'LTFP Assumptions'!$J12)</f>
        <v>7641.2812644000005</v>
      </c>
      <c r="M88" s="608">
        <f>L88*(1+'LTFP Assumptions'!$J12)</f>
        <v>7794.1068896880006</v>
      </c>
      <c r="N88" s="608">
        <f>M88*(1+'LTFP Assumptions'!$J12)</f>
        <v>7949.9890274817608</v>
      </c>
      <c r="O88" s="608">
        <f>N88*(1+'LTFP Assumptions'!$J12)</f>
        <v>8108.9888080313958</v>
      </c>
      <c r="P88" s="608">
        <f>O88*(1+'LTFP Assumptions'!$J12)</f>
        <v>8271.1685841920244</v>
      </c>
      <c r="R88" s="606">
        <f t="shared" si="48"/>
        <v>0</v>
      </c>
      <c r="S88" s="606">
        <f t="shared" si="49"/>
        <v>-85.300000000000182</v>
      </c>
      <c r="T88" s="606">
        <f t="shared" si="50"/>
        <v>78.333999999999833</v>
      </c>
      <c r="U88" s="606">
        <f t="shared" si="51"/>
        <v>274.90200000000004</v>
      </c>
      <c r="V88" s="606">
        <f t="shared" si="52"/>
        <v>280.40004000000044</v>
      </c>
      <c r="W88" s="606">
        <f t="shared" si="53"/>
        <v>286.00804080000034</v>
      </c>
      <c r="X88" s="606">
        <f t="shared" si="54"/>
        <v>291.72820161600066</v>
      </c>
      <c r="Y88" s="606">
        <f t="shared" si="55"/>
        <v>297.56276564832115</v>
      </c>
      <c r="Z88" s="606">
        <f t="shared" si="56"/>
        <v>303.51402096128732</v>
      </c>
      <c r="AA88" s="606">
        <f t="shared" si="57"/>
        <v>309.58430138051335</v>
      </c>
    </row>
    <row r="89" spans="1:27" x14ac:dyDescent="0.2">
      <c r="A89" s="600" t="s">
        <v>13</v>
      </c>
      <c r="B89" s="606">
        <f t="shared" si="47"/>
        <v>0</v>
      </c>
      <c r="C89" s="606">
        <f t="shared" si="47"/>
        <v>0</v>
      </c>
      <c r="D89" s="606">
        <f t="shared" si="47"/>
        <v>0</v>
      </c>
      <c r="E89" s="606">
        <f t="shared" si="47"/>
        <v>1053</v>
      </c>
      <c r="F89" s="606">
        <f>-'Opex with SRV'!C132/1000</f>
        <v>931.5</v>
      </c>
      <c r="G89" s="606">
        <f>-'Opex with SRV'!E132/1000</f>
        <v>938.20899999999995</v>
      </c>
      <c r="H89" s="606">
        <f>-'Opex with SRV'!G132/1000</f>
        <v>947.19299999999998</v>
      </c>
      <c r="I89" s="606">
        <f>-'Opex with SRV'!H132/1000</f>
        <v>956.88900000000001</v>
      </c>
      <c r="J89" s="606">
        <f>-'Opex with SRV'!I132/1000</f>
        <v>965.43299999999999</v>
      </c>
      <c r="K89" s="608">
        <f>'GF &amp; FF   Cash Flow'!J105*'LTFP Assumptions'!$J17+K84</f>
        <v>759.4188607223598</v>
      </c>
      <c r="L89" s="608">
        <f>'GF &amp; FF   Cash Flow'!K105*'LTFP Assumptions'!$J17+L84</f>
        <v>825.70408945084648</v>
      </c>
      <c r="M89" s="608">
        <f>'GF &amp; FF   Cash Flow'!L105*'LTFP Assumptions'!$J17+M84</f>
        <v>860.70662898626483</v>
      </c>
      <c r="N89" s="608">
        <f>'GF &amp; FF   Cash Flow'!M105*'LTFP Assumptions'!$J17+N84</f>
        <v>862.47641146858325</v>
      </c>
      <c r="O89" s="608">
        <f>'GF &amp; FF   Cash Flow'!N105*'LTFP Assumptions'!$J17+O84</f>
        <v>886.14902231421115</v>
      </c>
      <c r="P89" s="608">
        <f>'GF &amp; FF   Cash Flow'!O105*'LTFP Assumptions'!$J17+P84</f>
        <v>913.38916855736215</v>
      </c>
      <c r="R89" s="606">
        <f t="shared" si="48"/>
        <v>0</v>
      </c>
      <c r="S89" s="606">
        <f t="shared" si="49"/>
        <v>0</v>
      </c>
      <c r="T89" s="606">
        <f t="shared" si="50"/>
        <v>0</v>
      </c>
      <c r="U89" s="606">
        <f t="shared" si="51"/>
        <v>0</v>
      </c>
      <c r="V89" s="606">
        <f t="shared" si="52"/>
        <v>118.76691459999972</v>
      </c>
      <c r="W89" s="606">
        <f t="shared" si="53"/>
        <v>187.01669926059787</v>
      </c>
      <c r="X89" s="606">
        <f t="shared" si="54"/>
        <v>221.88902903383746</v>
      </c>
      <c r="Y89" s="606">
        <f t="shared" si="55"/>
        <v>209.91893292222562</v>
      </c>
      <c r="Z89" s="606">
        <f t="shared" si="56"/>
        <v>225.99447358176621</v>
      </c>
      <c r="AA89" s="606">
        <f t="shared" si="57"/>
        <v>246.65073257301935</v>
      </c>
    </row>
    <row r="90" spans="1:27" x14ac:dyDescent="0.2">
      <c r="A90" s="600" t="s">
        <v>14</v>
      </c>
      <c r="B90" s="606">
        <f t="shared" si="47"/>
        <v>0</v>
      </c>
      <c r="C90" s="606">
        <f t="shared" si="47"/>
        <v>0</v>
      </c>
      <c r="D90" s="606">
        <f t="shared" si="47"/>
        <v>0</v>
      </c>
      <c r="E90" s="606">
        <f t="shared" si="47"/>
        <v>1018</v>
      </c>
      <c r="F90" s="606">
        <f>-'Opex with SRV'!C133/1000</f>
        <v>2424.5369999999998</v>
      </c>
      <c r="G90" s="606">
        <f>-'Opex with SRV'!E133/1000</f>
        <v>2409.788</v>
      </c>
      <c r="H90" s="606">
        <f>-'Opex with SRV'!G133/1000</f>
        <v>2463.8040000000001</v>
      </c>
      <c r="I90" s="606">
        <f>-'Opex with SRV'!H133/1000</f>
        <v>2520.3789999999999</v>
      </c>
      <c r="J90" s="606">
        <f>-'Opex with SRV'!I133/1000</f>
        <v>2578.0160000000001</v>
      </c>
      <c r="K90" s="608">
        <f>J90*(1+'LTFP Assumptions'!$J$12)</f>
        <v>2629.5763200000001</v>
      </c>
      <c r="L90" s="608">
        <f>K90*(1+'LTFP Assumptions'!$J12)</f>
        <v>2682.1678464000001</v>
      </c>
      <c r="M90" s="608">
        <f>L90*(1+'LTFP Assumptions'!$J12)</f>
        <v>2735.8112033280004</v>
      </c>
      <c r="N90" s="608">
        <f>M90*(1+'LTFP Assumptions'!$J12)</f>
        <v>2790.5274273945606</v>
      </c>
      <c r="O90" s="608">
        <f>N90*(1+'LTFP Assumptions'!$J12)</f>
        <v>2846.337975942452</v>
      </c>
      <c r="P90" s="608">
        <f>O90*(1+'LTFP Assumptions'!$J12)</f>
        <v>2903.2647354613009</v>
      </c>
      <c r="R90" s="606">
        <f t="shared" si="48"/>
        <v>0</v>
      </c>
      <c r="S90" s="606">
        <f t="shared" si="49"/>
        <v>0</v>
      </c>
      <c r="T90" s="606">
        <f t="shared" si="50"/>
        <v>0</v>
      </c>
      <c r="U90" s="606">
        <f t="shared" si="51"/>
        <v>0</v>
      </c>
      <c r="V90" s="606">
        <f t="shared" si="52"/>
        <v>0</v>
      </c>
      <c r="W90" s="606">
        <f t="shared" si="53"/>
        <v>0</v>
      </c>
      <c r="X90" s="606">
        <f t="shared" si="54"/>
        <v>0</v>
      </c>
      <c r="Y90" s="606">
        <f t="shared" si="55"/>
        <v>0</v>
      </c>
      <c r="Z90" s="606">
        <f t="shared" si="56"/>
        <v>0</v>
      </c>
      <c r="AA90" s="606">
        <f t="shared" si="57"/>
        <v>0</v>
      </c>
    </row>
    <row r="91" spans="1:27" ht="20.399999999999999" x14ac:dyDescent="0.2">
      <c r="A91" s="600" t="s">
        <v>15</v>
      </c>
      <c r="B91" s="606">
        <f t="shared" si="47"/>
        <v>0</v>
      </c>
      <c r="C91" s="606">
        <f t="shared" si="47"/>
        <v>0</v>
      </c>
      <c r="D91" s="606">
        <f t="shared" si="47"/>
        <v>0</v>
      </c>
      <c r="E91" s="606">
        <f t="shared" si="47"/>
        <v>8953</v>
      </c>
      <c r="F91" s="606">
        <f>-'Opex with SRV'!C134/1000</f>
        <v>6174.7439999999997</v>
      </c>
      <c r="G91" s="606">
        <f>-'Opex with SRV'!E134/1000+G80</f>
        <v>5450.8890000000001</v>
      </c>
      <c r="H91" s="606">
        <f>-'Opex with SRV'!G134/1000+H80</f>
        <v>5547.3509999999997</v>
      </c>
      <c r="I91" s="606">
        <f>-'Opex with SRV'!H134/1000+I80</f>
        <v>5643.5889999999999</v>
      </c>
      <c r="J91" s="606">
        <f>-'Opex with SRV'!I134/1000+J80</f>
        <v>5741.7657600000002</v>
      </c>
      <c r="K91" s="608">
        <f>J91*(1+'LTFP Assumptions'!$J10)</f>
        <v>5885.3099039999997</v>
      </c>
      <c r="L91" s="608">
        <f>K91*(1+'LTFP Assumptions'!$J10)</f>
        <v>6032.4426515999994</v>
      </c>
      <c r="M91" s="608">
        <f>L91*(1+'LTFP Assumptions'!$J10)</f>
        <v>6183.2537178899993</v>
      </c>
      <c r="N91" s="608">
        <f>M91*(1+'LTFP Assumptions'!$J10)</f>
        <v>6337.8350608372484</v>
      </c>
      <c r="O91" s="608">
        <f>N91*(1+'LTFP Assumptions'!$J10)</f>
        <v>6496.2809373581795</v>
      </c>
      <c r="P91" s="608">
        <f>O91*(1+'LTFP Assumptions'!$J10)</f>
        <v>6658.6879607921337</v>
      </c>
      <c r="R91" s="606">
        <f t="shared" si="48"/>
        <v>0</v>
      </c>
      <c r="S91" s="606">
        <f t="shared" si="49"/>
        <v>0</v>
      </c>
      <c r="T91" s="606">
        <f t="shared" si="50"/>
        <v>0</v>
      </c>
      <c r="U91" s="606">
        <f t="shared" si="51"/>
        <v>0</v>
      </c>
      <c r="V91" s="606">
        <f t="shared" si="52"/>
        <v>0</v>
      </c>
      <c r="W91" s="606">
        <f t="shared" si="53"/>
        <v>0</v>
      </c>
      <c r="X91" s="606">
        <f t="shared" si="54"/>
        <v>0</v>
      </c>
      <c r="Y91" s="606">
        <f t="shared" si="55"/>
        <v>0</v>
      </c>
      <c r="Z91" s="606">
        <f t="shared" si="56"/>
        <v>0</v>
      </c>
      <c r="AA91" s="606">
        <f t="shared" si="57"/>
        <v>0</v>
      </c>
    </row>
    <row r="92" spans="1:27" ht="20.399999999999999" x14ac:dyDescent="0.2">
      <c r="A92" s="600" t="s">
        <v>18</v>
      </c>
      <c r="B92" s="606">
        <f t="shared" si="47"/>
        <v>0</v>
      </c>
      <c r="C92" s="606">
        <f t="shared" si="47"/>
        <v>0</v>
      </c>
      <c r="D92" s="606">
        <f t="shared" si="47"/>
        <v>0</v>
      </c>
      <c r="E92" s="606">
        <f t="shared" si="47"/>
        <v>14459</v>
      </c>
      <c r="F92" s="606">
        <f>F138+F139+F140</f>
        <v>2898.0070000000001</v>
      </c>
      <c r="G92" s="606">
        <f>G138+G139+G140</f>
        <v>3787.9670000000001</v>
      </c>
      <c r="H92" s="606">
        <f>H138+H139+H140</f>
        <v>3844.3710099999998</v>
      </c>
      <c r="I92" s="606">
        <f t="shared" ref="I92:J92" si="58">I138+I139+I140</f>
        <v>7402.4590152999999</v>
      </c>
      <c r="J92" s="606">
        <f t="shared" si="58"/>
        <v>3962.2813326340001</v>
      </c>
      <c r="K92" s="606">
        <f t="shared" ref="K92:P92" si="59">K138+K139+K140</f>
        <v>4050.2319592866806</v>
      </c>
      <c r="L92" s="606">
        <f t="shared" si="59"/>
        <v>4140.1592234724139</v>
      </c>
      <c r="M92" s="606">
        <f t="shared" si="59"/>
        <v>4232.1080985668623</v>
      </c>
      <c r="N92" s="606">
        <f t="shared" si="59"/>
        <v>4326.1245934288236</v>
      </c>
      <c r="O92" s="606">
        <f t="shared" si="59"/>
        <v>4422.2557765102902</v>
      </c>
      <c r="P92" s="606">
        <f t="shared" si="59"/>
        <v>4520.5498005337095</v>
      </c>
      <c r="R92" s="606">
        <f t="shared" si="48"/>
        <v>0</v>
      </c>
      <c r="S92" s="606">
        <f t="shared" si="49"/>
        <v>0</v>
      </c>
      <c r="T92" s="606">
        <f t="shared" si="50"/>
        <v>3499.9999999999995</v>
      </c>
      <c r="U92" s="606">
        <f t="shared" si="51"/>
        <v>0</v>
      </c>
      <c r="V92" s="606">
        <f t="shared" si="52"/>
        <v>-11.106406663169309</v>
      </c>
      <c r="W92" s="606">
        <f t="shared" si="53"/>
        <v>-22.712601626180913</v>
      </c>
      <c r="X92" s="606">
        <f t="shared" si="54"/>
        <v>-34.835522159198263</v>
      </c>
      <c r="Y92" s="606">
        <f t="shared" si="55"/>
        <v>-47.492617815387348</v>
      </c>
      <c r="Z92" s="606">
        <f t="shared" si="56"/>
        <v>-60.701865015026669</v>
      </c>
      <c r="AA92" s="606">
        <f t="shared" si="57"/>
        <v>-74.481782029739406</v>
      </c>
    </row>
    <row r="93" spans="1:27" x14ac:dyDescent="0.2">
      <c r="A93" s="1149" t="s">
        <v>1180</v>
      </c>
      <c r="B93" s="606"/>
      <c r="C93" s="606"/>
      <c r="D93" s="606"/>
      <c r="E93" s="606"/>
      <c r="F93" s="606">
        <f>-'Opex with SRV'!C135/1000</f>
        <v>4783.3530000000001</v>
      </c>
      <c r="G93" s="606">
        <f>-'Opex with SRV'!E135/1000</f>
        <v>5059.8519999999999</v>
      </c>
      <c r="H93" s="606">
        <f>-'Opex with SRV'!G135/1000</f>
        <v>5239.6229999999996</v>
      </c>
      <c r="I93" s="606">
        <f>-'Opex with SRV'!H135/1000</f>
        <v>5419.1779999999999</v>
      </c>
      <c r="J93" s="606">
        <f>-'Opex with SRV'!I135/1000</f>
        <v>5456.5190000000002</v>
      </c>
      <c r="K93" s="608">
        <f>J93*(1+'LTFP Assumptions'!$J$12)</f>
        <v>5565.6493800000007</v>
      </c>
      <c r="L93" s="608">
        <f>K93*(1+'LTFP Assumptions'!$J$12)</f>
        <v>5676.962367600001</v>
      </c>
      <c r="M93" s="608">
        <f>L93*(1+'LTFP Assumptions'!$J$12)</f>
        <v>5790.5016149520015</v>
      </c>
      <c r="N93" s="608">
        <f>M93*(1+'LTFP Assumptions'!$J$12)</f>
        <v>5906.3116472510419</v>
      </c>
      <c r="O93" s="608">
        <f>N93*(1+'LTFP Assumptions'!$J$12)</f>
        <v>6024.4378801960629</v>
      </c>
      <c r="P93" s="608">
        <f>O93*(1+'LTFP Assumptions'!$J$12)</f>
        <v>6144.9266377999838</v>
      </c>
      <c r="R93" s="606">
        <f t="shared" si="48"/>
        <v>0</v>
      </c>
      <c r="S93" s="606">
        <f t="shared" si="49"/>
        <v>0</v>
      </c>
      <c r="T93" s="606">
        <f t="shared" si="50"/>
        <v>0</v>
      </c>
      <c r="U93" s="606">
        <f t="shared" si="51"/>
        <v>0</v>
      </c>
      <c r="V93" s="606">
        <f t="shared" si="52"/>
        <v>0</v>
      </c>
      <c r="W93" s="606">
        <f t="shared" si="53"/>
        <v>0</v>
      </c>
      <c r="X93" s="606">
        <f t="shared" si="54"/>
        <v>0</v>
      </c>
      <c r="Y93" s="606">
        <f t="shared" si="55"/>
        <v>0</v>
      </c>
      <c r="Z93" s="606">
        <f t="shared" si="56"/>
        <v>0</v>
      </c>
      <c r="AA93" s="606">
        <f t="shared" si="57"/>
        <v>0</v>
      </c>
    </row>
    <row r="94" spans="1:27" x14ac:dyDescent="0.2">
      <c r="A94" s="607" t="s">
        <v>63</v>
      </c>
      <c r="B94" s="606"/>
      <c r="C94" s="606"/>
      <c r="D94" s="606"/>
      <c r="E94" s="606"/>
      <c r="F94" s="606"/>
      <c r="R94" s="606">
        <f t="shared" si="48"/>
        <v>0</v>
      </c>
      <c r="S94" s="606">
        <f t="shared" si="49"/>
        <v>0</v>
      </c>
      <c r="T94" s="606">
        <f t="shared" si="50"/>
        <v>0</v>
      </c>
      <c r="U94" s="606">
        <f t="shared" si="51"/>
        <v>0</v>
      </c>
      <c r="V94" s="606">
        <f t="shared" si="52"/>
        <v>0</v>
      </c>
      <c r="W94" s="606">
        <f t="shared" si="53"/>
        <v>0</v>
      </c>
      <c r="X94" s="606">
        <f t="shared" si="54"/>
        <v>0</v>
      </c>
      <c r="Y94" s="606">
        <f t="shared" si="55"/>
        <v>0</v>
      </c>
      <c r="Z94" s="606">
        <f t="shared" si="56"/>
        <v>0</v>
      </c>
      <c r="AA94" s="606">
        <f t="shared" si="57"/>
        <v>0</v>
      </c>
    </row>
    <row r="95" spans="1:27" x14ac:dyDescent="0.2">
      <c r="A95" s="764" t="s">
        <v>74</v>
      </c>
      <c r="B95" s="765">
        <f t="shared" ref="B95:P95" si="60">+B20</f>
        <v>0</v>
      </c>
      <c r="C95" s="765">
        <f t="shared" si="60"/>
        <v>0</v>
      </c>
      <c r="D95" s="765">
        <f t="shared" si="60"/>
        <v>0</v>
      </c>
      <c r="E95" s="765">
        <f t="shared" si="60"/>
        <v>-5</v>
      </c>
      <c r="F95" s="765">
        <f t="shared" si="60"/>
        <v>0</v>
      </c>
      <c r="G95" s="765">
        <f t="shared" si="60"/>
        <v>0</v>
      </c>
      <c r="H95" s="765">
        <f t="shared" si="60"/>
        <v>0</v>
      </c>
      <c r="I95" s="765">
        <f t="shared" si="60"/>
        <v>0</v>
      </c>
      <c r="J95" s="765">
        <f t="shared" si="60"/>
        <v>0</v>
      </c>
      <c r="K95" s="765">
        <f t="shared" si="60"/>
        <v>0</v>
      </c>
      <c r="L95" s="765">
        <f t="shared" si="60"/>
        <v>0</v>
      </c>
      <c r="M95" s="765">
        <f t="shared" si="60"/>
        <v>0</v>
      </c>
      <c r="N95" s="765">
        <f t="shared" si="60"/>
        <v>0</v>
      </c>
      <c r="O95" s="765">
        <f t="shared" si="60"/>
        <v>0</v>
      </c>
      <c r="P95" s="765">
        <f t="shared" si="60"/>
        <v>0</v>
      </c>
      <c r="R95" s="606">
        <f t="shared" si="48"/>
        <v>0</v>
      </c>
      <c r="S95" s="606">
        <f t="shared" si="49"/>
        <v>0</v>
      </c>
      <c r="T95" s="606">
        <f t="shared" si="50"/>
        <v>0</v>
      </c>
      <c r="U95" s="606">
        <f t="shared" si="51"/>
        <v>0</v>
      </c>
      <c r="V95" s="606">
        <f t="shared" si="52"/>
        <v>0</v>
      </c>
      <c r="W95" s="606">
        <f t="shared" si="53"/>
        <v>0</v>
      </c>
      <c r="X95" s="606">
        <f t="shared" si="54"/>
        <v>0</v>
      </c>
      <c r="Y95" s="606">
        <f t="shared" si="55"/>
        <v>0</v>
      </c>
      <c r="Z95" s="606">
        <f t="shared" si="56"/>
        <v>0</v>
      </c>
      <c r="AA95" s="606">
        <f t="shared" si="57"/>
        <v>0</v>
      </c>
    </row>
    <row r="96" spans="1:27" x14ac:dyDescent="0.2">
      <c r="A96" s="758" t="s">
        <v>1047</v>
      </c>
      <c r="B96" s="765"/>
      <c r="C96" s="765"/>
      <c r="D96" s="765">
        <f t="shared" ref="D96:P96" si="61">+D21</f>
        <v>0</v>
      </c>
      <c r="E96" s="765">
        <f t="shared" si="61"/>
        <v>2</v>
      </c>
      <c r="F96" s="765">
        <f t="shared" si="61"/>
        <v>0</v>
      </c>
      <c r="G96" s="765">
        <f t="shared" si="61"/>
        <v>0</v>
      </c>
      <c r="H96" s="765">
        <f t="shared" si="61"/>
        <v>0</v>
      </c>
      <c r="I96" s="765">
        <f t="shared" si="61"/>
        <v>0</v>
      </c>
      <c r="J96" s="765">
        <f t="shared" si="61"/>
        <v>0</v>
      </c>
      <c r="K96" s="765">
        <f t="shared" si="61"/>
        <v>0</v>
      </c>
      <c r="L96" s="765">
        <f t="shared" si="61"/>
        <v>0</v>
      </c>
      <c r="M96" s="765">
        <f t="shared" si="61"/>
        <v>0</v>
      </c>
      <c r="N96" s="765">
        <f t="shared" si="61"/>
        <v>0</v>
      </c>
      <c r="O96" s="765">
        <f t="shared" si="61"/>
        <v>0</v>
      </c>
      <c r="P96" s="765">
        <f t="shared" si="61"/>
        <v>0</v>
      </c>
      <c r="R96" s="606">
        <f t="shared" si="48"/>
        <v>0</v>
      </c>
      <c r="S96" s="606">
        <f t="shared" si="49"/>
        <v>0</v>
      </c>
      <c r="T96" s="606">
        <f t="shared" si="50"/>
        <v>0</v>
      </c>
      <c r="U96" s="606">
        <f t="shared" si="51"/>
        <v>0</v>
      </c>
      <c r="V96" s="606">
        <f t="shared" si="52"/>
        <v>0</v>
      </c>
      <c r="W96" s="606">
        <f t="shared" si="53"/>
        <v>0</v>
      </c>
      <c r="X96" s="606">
        <f t="shared" si="54"/>
        <v>0</v>
      </c>
      <c r="Y96" s="606">
        <f t="shared" si="55"/>
        <v>0</v>
      </c>
      <c r="Z96" s="606">
        <f t="shared" si="56"/>
        <v>0</v>
      </c>
      <c r="AA96" s="606">
        <f t="shared" si="57"/>
        <v>0</v>
      </c>
    </row>
    <row r="97" spans="1:27" ht="10.8" thickBot="1" x14ac:dyDescent="0.25">
      <c r="A97" s="768" t="s">
        <v>64</v>
      </c>
      <c r="B97" s="767">
        <f>SUM(B87:B95)</f>
        <v>0</v>
      </c>
      <c r="C97" s="767">
        <f>SUM(C87:C95)</f>
        <v>0</v>
      </c>
      <c r="D97" s="767">
        <f t="shared" ref="D97:P97" si="62">SUM(D87:D96)</f>
        <v>0</v>
      </c>
      <c r="E97" s="767">
        <f t="shared" si="62"/>
        <v>46813</v>
      </c>
      <c r="F97" s="767">
        <f t="shared" si="62"/>
        <v>38097.122000000003</v>
      </c>
      <c r="G97" s="767">
        <f t="shared" si="62"/>
        <v>39904.906999999999</v>
      </c>
      <c r="H97" s="767">
        <f t="shared" si="62"/>
        <v>41098.204010000001</v>
      </c>
      <c r="I97" s="767">
        <f t="shared" si="62"/>
        <v>46390.074015300001</v>
      </c>
      <c r="J97" s="767">
        <f t="shared" si="62"/>
        <v>44354.695092634007</v>
      </c>
      <c r="K97" s="767">
        <f t="shared" si="62"/>
        <v>45145.410619009039</v>
      </c>
      <c r="L97" s="767">
        <f t="shared" si="62"/>
        <v>46231.583717298257</v>
      </c>
      <c r="M97" s="767">
        <f t="shared" si="62"/>
        <v>47310.176084645493</v>
      </c>
      <c r="N97" s="767">
        <f t="shared" si="62"/>
        <v>48379.794297377251</v>
      </c>
      <c r="O97" s="767">
        <f t="shared" si="62"/>
        <v>49496.143783105697</v>
      </c>
      <c r="P97" s="767">
        <f t="shared" si="62"/>
        <v>50641.47260465844</v>
      </c>
      <c r="R97" s="1335">
        <f>SUM(R87:R96)</f>
        <v>300.03703999999925</v>
      </c>
      <c r="S97" s="1335">
        <f t="shared" ref="S97:AA97" si="63">SUM(S87:S96)</f>
        <v>494.98452500000076</v>
      </c>
      <c r="T97" s="1335">
        <f t="shared" si="63"/>
        <v>4591.8807249999954</v>
      </c>
      <c r="U97" s="1335">
        <f t="shared" si="63"/>
        <v>1678.5225749999972</v>
      </c>
      <c r="V97" s="1335">
        <f t="shared" si="63"/>
        <v>1826.7716373118269</v>
      </c>
      <c r="W97" s="1335">
        <f t="shared" si="63"/>
        <v>1924.9910050437879</v>
      </c>
      <c r="X97" s="1335">
        <f t="shared" si="63"/>
        <v>1990.3275467652472</v>
      </c>
      <c r="Y97" s="1335">
        <f t="shared" si="63"/>
        <v>2009.3235649866319</v>
      </c>
      <c r="Z97" s="1335">
        <f t="shared" si="63"/>
        <v>2056.8744758652874</v>
      </c>
      <c r="AA97" s="1335">
        <f t="shared" si="63"/>
        <v>2109.5227944194844</v>
      </c>
    </row>
    <row r="100" spans="1:27" x14ac:dyDescent="0.2">
      <c r="A100" s="604" t="s">
        <v>65</v>
      </c>
    </row>
    <row r="101" spans="1:27" x14ac:dyDescent="0.2">
      <c r="A101" s="600" t="str">
        <f>A24</f>
        <v>Employee Benefits and On-Costs</v>
      </c>
      <c r="B101" s="606">
        <f>+B24</f>
        <v>0</v>
      </c>
      <c r="C101" s="606">
        <f>+C24</f>
        <v>0</v>
      </c>
      <c r="D101" s="606">
        <f>+D24</f>
        <v>0</v>
      </c>
      <c r="E101" s="606">
        <f>+E24</f>
        <v>10980</v>
      </c>
      <c r="F101" s="606">
        <f>'Opex with SRV'!C144/1000+F81</f>
        <v>11231.316000000001</v>
      </c>
      <c r="G101" s="606">
        <f>'Opex with SRV'!E144/1000+G81</f>
        <v>11563.034</v>
      </c>
      <c r="H101" s="606">
        <f>'Opex with SRV'!G144/1000+H81</f>
        <v>11807.84</v>
      </c>
      <c r="I101" s="606">
        <f>'Opex with SRV'!H144/1000+I81</f>
        <v>12311.478999999999</v>
      </c>
      <c r="J101" s="606">
        <f>'Opex with SRV'!I144/1000+J81+'ML Adjustments'!I54</f>
        <v>12863.002</v>
      </c>
      <c r="K101" s="606">
        <f>J101*(1+'LTFP Assumptions'!$J9)</f>
        <v>13248.89206</v>
      </c>
      <c r="L101" s="606">
        <f>K101*(1+'LTFP Assumptions'!$J9)</f>
        <v>13646.3588218</v>
      </c>
      <c r="M101" s="606">
        <f>L101*(1+'LTFP Assumptions'!$J9)</f>
        <v>14055.749586454001</v>
      </c>
      <c r="N101" s="606">
        <f>M101*(1+'LTFP Assumptions'!$J9)</f>
        <v>14477.422074047621</v>
      </c>
      <c r="O101" s="606">
        <f>N101*(1+'LTFP Assumptions'!$J9)</f>
        <v>14911.744736269051</v>
      </c>
      <c r="P101" s="606">
        <f>O101*(1+'LTFP Assumptions'!$J9)</f>
        <v>15359.097078357123</v>
      </c>
      <c r="R101" s="606">
        <f t="shared" ref="R101:AA108" si="64">G101-G24</f>
        <v>0</v>
      </c>
      <c r="S101" s="606">
        <f t="shared" si="64"/>
        <v>-173.79999999999927</v>
      </c>
      <c r="T101" s="606">
        <f t="shared" si="64"/>
        <v>-3.0140000000010332</v>
      </c>
      <c r="U101" s="606">
        <f t="shared" si="64"/>
        <v>190</v>
      </c>
      <c r="V101" s="606">
        <f t="shared" si="64"/>
        <v>195.69999999999891</v>
      </c>
      <c r="W101" s="606">
        <f t="shared" si="64"/>
        <v>201.57099999999809</v>
      </c>
      <c r="X101" s="606">
        <f t="shared" si="64"/>
        <v>207.61812999999893</v>
      </c>
      <c r="Y101" s="606">
        <f t="shared" si="64"/>
        <v>213.84667389999777</v>
      </c>
      <c r="Z101" s="606">
        <f t="shared" si="64"/>
        <v>220.26207411699761</v>
      </c>
      <c r="AA101" s="606">
        <f t="shared" si="64"/>
        <v>226.86993634050668</v>
      </c>
    </row>
    <row r="102" spans="1:27" x14ac:dyDescent="0.2">
      <c r="A102" s="600" t="str">
        <f>A25</f>
        <v>Borrowing Costs</v>
      </c>
      <c r="B102" s="606"/>
      <c r="C102" s="606"/>
      <c r="D102" s="606">
        <f>+D25</f>
        <v>0</v>
      </c>
      <c r="E102" s="606">
        <f>+E25</f>
        <v>743</v>
      </c>
      <c r="F102" s="606">
        <f>'Opex with SRV'!C147/1000</f>
        <v>592.12699999999995</v>
      </c>
      <c r="G102" s="606">
        <f>'Opex with SRV'!E147/1000</f>
        <v>588.93700000000001</v>
      </c>
      <c r="H102" s="606">
        <f>'Opex with SRV'!G147/1000+H82</f>
        <v>586.08699999999999</v>
      </c>
      <c r="I102" s="606">
        <f>'Opex with SRV'!H147/1000+I82</f>
        <v>1002.996</v>
      </c>
      <c r="J102" s="606">
        <f>'Opex with SRV'!I147/1000+'ML Adjustments'!I56+J82</f>
        <v>1433.386</v>
      </c>
      <c r="K102" s="1310">
        <f>'Gen Fund  Inc Exp Statement'!J102+(('Gen Fund  Bal Sheet'!K72+'Gen Fund  Bal Sheet'!K78)-('Gen Fund  Bal Sheet'!J72+'Gen Fund  Bal Sheet'!J78))*'LTFP Assumptions'!$J$18</f>
        <v>1393.6998808000001</v>
      </c>
      <c r="L102" s="1310">
        <f>'Gen Fund  Inc Exp Statement'!K102+(('Gen Fund  Bal Sheet'!L72+'Gen Fund  Bal Sheet'!L78)-('Gen Fund  Bal Sheet'!K72+'Gen Fund  Bal Sheet'!K78))*'LTFP Assumptions'!$J$18</f>
        <v>1353.220039216</v>
      </c>
      <c r="M102" s="1310">
        <f>'Gen Fund  Inc Exp Statement'!L102+(('Gen Fund  Bal Sheet'!M72+'Gen Fund  Bal Sheet'!M78)-('Gen Fund  Bal Sheet'!L72+'Gen Fund  Bal Sheet'!L78))*'LTFP Assumptions'!$J$18</f>
        <v>1311.93060080032</v>
      </c>
      <c r="N102" s="1310">
        <f>'Gen Fund  Inc Exp Statement'!M102+(('Gen Fund  Bal Sheet'!N72+'Gen Fund  Bal Sheet'!N78)-('Gen Fund  Bal Sheet'!M72+'Gen Fund  Bal Sheet'!M78))*'LTFP Assumptions'!$J$18</f>
        <v>1269.8153736163265</v>
      </c>
      <c r="O102" s="1310">
        <f>'Gen Fund  Inc Exp Statement'!N102+(('Gen Fund  Bal Sheet'!O72+'Gen Fund  Bal Sheet'!O78)-('Gen Fund  Bal Sheet'!N72+'Gen Fund  Bal Sheet'!N78))*'LTFP Assumptions'!$J$18</f>
        <v>1226.857841888653</v>
      </c>
      <c r="P102" s="1310">
        <f>'Gen Fund  Inc Exp Statement'!O102+(('Gen Fund  Bal Sheet'!P72+'Gen Fund  Bal Sheet'!P78)-('Gen Fund  Bal Sheet'!O72+'Gen Fund  Bal Sheet'!O78))*'LTFP Assumptions'!$J$18</f>
        <v>1183.0411595264259</v>
      </c>
      <c r="R102" s="606">
        <f t="shared" si="64"/>
        <v>0</v>
      </c>
      <c r="S102" s="606">
        <f t="shared" si="64"/>
        <v>0</v>
      </c>
      <c r="T102" s="606">
        <f t="shared" si="64"/>
        <v>419.66499999999996</v>
      </c>
      <c r="U102" s="606">
        <f t="shared" si="64"/>
        <v>853.03199999999993</v>
      </c>
      <c r="V102" s="606">
        <f t="shared" si="64"/>
        <v>832.30588080000007</v>
      </c>
      <c r="W102" s="606">
        <f t="shared" si="64"/>
        <v>811.86603921599999</v>
      </c>
      <c r="X102" s="606">
        <f t="shared" si="64"/>
        <v>779.85660080031994</v>
      </c>
      <c r="Y102" s="606">
        <f t="shared" si="64"/>
        <v>743.54137361632638</v>
      </c>
      <c r="Z102" s="606">
        <f t="shared" si="64"/>
        <v>706.66384188865288</v>
      </c>
      <c r="AA102" s="606">
        <f t="shared" si="64"/>
        <v>669.24715952642578</v>
      </c>
    </row>
    <row r="103" spans="1:27" x14ac:dyDescent="0.2">
      <c r="A103" s="600" t="str">
        <f>A26</f>
        <v>Materials and Contracts</v>
      </c>
      <c r="B103" s="606">
        <f>+B26</f>
        <v>0</v>
      </c>
      <c r="C103" s="606">
        <f>+C26</f>
        <v>0</v>
      </c>
      <c r="D103" s="606">
        <f>+D26</f>
        <v>0</v>
      </c>
      <c r="E103" s="606">
        <f>+E26</f>
        <v>8901</v>
      </c>
      <c r="F103" s="606">
        <f>'Opex with SRV'!C145/1000</f>
        <v>10912.698</v>
      </c>
      <c r="G103" s="606">
        <f>'Opex with SRV'!E145/1000+G83</f>
        <v>11347.191999999999</v>
      </c>
      <c r="H103" s="606">
        <f>'Opex with SRV'!G145/1000+H83</f>
        <v>11614.832</v>
      </c>
      <c r="I103" s="606">
        <f>'Opex with SRV'!H145/1000+I83</f>
        <v>11937.617</v>
      </c>
      <c r="J103" s="606">
        <f>'Opex with SRV'!I145/1000+J83+'ML Adjustments'!I55</f>
        <v>12593.618999999999</v>
      </c>
      <c r="K103" s="606">
        <f>J103*(1+'LTFP Assumptions'!$J$13)</f>
        <v>12845.491379999999</v>
      </c>
      <c r="L103" s="606">
        <f>K103*(1+'LTFP Assumptions'!$J13)</f>
        <v>13102.4012076</v>
      </c>
      <c r="M103" s="606">
        <f>L103*(1+'LTFP Assumptions'!$J13)</f>
        <v>13364.449231752</v>
      </c>
      <c r="N103" s="606">
        <f>M103*(1+'LTFP Assumptions'!$J13)</f>
        <v>13631.738216387041</v>
      </c>
      <c r="O103" s="606">
        <f>N103*(1+'LTFP Assumptions'!$J13)</f>
        <v>13904.372980714781</v>
      </c>
      <c r="P103" s="606">
        <f>O103*(1+'LTFP Assumptions'!$J13)</f>
        <v>14182.460440329078</v>
      </c>
      <c r="R103" s="606">
        <f t="shared" si="64"/>
        <v>0</v>
      </c>
      <c r="S103" s="606">
        <f t="shared" si="64"/>
        <v>-54.975000000000364</v>
      </c>
      <c r="T103" s="606">
        <f t="shared" si="64"/>
        <v>-4.0609999999996944</v>
      </c>
      <c r="U103" s="606">
        <f t="shared" si="64"/>
        <v>369.43900000000031</v>
      </c>
      <c r="V103" s="606">
        <f t="shared" si="64"/>
        <v>376.82778000000144</v>
      </c>
      <c r="W103" s="606">
        <f t="shared" si="64"/>
        <v>384.36433560000114</v>
      </c>
      <c r="X103" s="606">
        <f t="shared" si="64"/>
        <v>392.0516223120012</v>
      </c>
      <c r="Y103" s="606">
        <f t="shared" si="64"/>
        <v>399.89265475824141</v>
      </c>
      <c r="Z103" s="606">
        <f t="shared" si="64"/>
        <v>407.89050785340623</v>
      </c>
      <c r="AA103" s="606">
        <f t="shared" si="64"/>
        <v>416.04831801047476</v>
      </c>
    </row>
    <row r="104" spans="1:27" x14ac:dyDescent="0.2">
      <c r="A104" s="600" t="s">
        <v>1077</v>
      </c>
      <c r="B104" s="606"/>
      <c r="C104" s="606"/>
      <c r="D104" s="606"/>
      <c r="E104" s="606"/>
      <c r="F104" s="606">
        <f>'Opex with SRV'!C148/1000</f>
        <v>1763.3530000000001</v>
      </c>
      <c r="G104" s="606">
        <f>'Opex with SRV'!E148/1000</f>
        <v>1835.1769999999999</v>
      </c>
      <c r="H104" s="606">
        <f>'Opex with SRV'!G148/1000</f>
        <v>1869.22</v>
      </c>
      <c r="I104" s="606">
        <f>'Opex with SRV'!H148/1000</f>
        <v>1904.4649999999999</v>
      </c>
      <c r="J104" s="606">
        <f>'Opex with SRV'!I148/1000</f>
        <v>1940.5709999999999</v>
      </c>
      <c r="K104" s="606">
        <f>J104*(1+'LTFP Assumptions'!$J$13)</f>
        <v>1979.3824199999999</v>
      </c>
      <c r="L104" s="606">
        <f>K104*(1+'LTFP Assumptions'!$J$13)</f>
        <v>2018.9700683999999</v>
      </c>
      <c r="M104" s="606">
        <f>L104*(1+'LTFP Assumptions'!$J$13)</f>
        <v>2059.3494697679998</v>
      </c>
      <c r="N104" s="606">
        <f>M104*(1+'LTFP Assumptions'!$J$13)</f>
        <v>2100.5364591633597</v>
      </c>
      <c r="O104" s="606">
        <f>N104*(1+'LTFP Assumptions'!$J$13)</f>
        <v>2142.5471883466271</v>
      </c>
      <c r="P104" s="606">
        <f>O104*(1+'LTFP Assumptions'!$J$13)</f>
        <v>2185.3981321135598</v>
      </c>
      <c r="R104" s="606">
        <f t="shared" si="64"/>
        <v>0</v>
      </c>
      <c r="S104" s="606">
        <f t="shared" si="64"/>
        <v>0</v>
      </c>
      <c r="T104" s="606">
        <f t="shared" si="64"/>
        <v>0</v>
      </c>
      <c r="U104" s="606">
        <f t="shared" si="64"/>
        <v>0</v>
      </c>
      <c r="V104" s="606">
        <f t="shared" si="64"/>
        <v>0</v>
      </c>
      <c r="W104" s="606">
        <f t="shared" si="64"/>
        <v>0</v>
      </c>
      <c r="X104" s="606">
        <f t="shared" si="64"/>
        <v>0</v>
      </c>
      <c r="Y104" s="606">
        <f t="shared" si="64"/>
        <v>0</v>
      </c>
      <c r="Z104" s="606">
        <f t="shared" si="64"/>
        <v>0</v>
      </c>
      <c r="AA104" s="606">
        <f t="shared" si="64"/>
        <v>0</v>
      </c>
    </row>
    <row r="105" spans="1:27" x14ac:dyDescent="0.2">
      <c r="A105" s="600" t="str">
        <f>A28</f>
        <v>Depreciation and Amortisation</v>
      </c>
      <c r="B105" s="606">
        <f>+B28</f>
        <v>0</v>
      </c>
      <c r="C105" s="606">
        <f>+C28</f>
        <v>0</v>
      </c>
      <c r="D105" s="606">
        <f>+D28</f>
        <v>0</v>
      </c>
      <c r="E105" s="606">
        <f>+E28</f>
        <v>7182</v>
      </c>
      <c r="F105" s="606">
        <f>'Opex with SRV'!C149/1000</f>
        <v>8510.6460000000006</v>
      </c>
      <c r="G105" s="606">
        <f>'Opex with SRV'!E149/1000</f>
        <v>7355.7780000000002</v>
      </c>
      <c r="H105" s="606">
        <f>'Opex with SRV'!G149/1000</f>
        <v>7480.7889999999998</v>
      </c>
      <c r="I105" s="606">
        <f>'Opex with SRV'!H149/1000</f>
        <v>7794.1180000000004</v>
      </c>
      <c r="J105" s="606">
        <f>'Opex with SRV'!I149/1000+'ML Adjustments'!I57</f>
        <v>8342.01</v>
      </c>
      <c r="K105" s="606">
        <f>J105*(1+'LTFP Assumptions'!$J16)</f>
        <v>8550.5602499999986</v>
      </c>
      <c r="L105" s="606">
        <f>K105*(1+'LTFP Assumptions'!$J16)</f>
        <v>8764.3242562499981</v>
      </c>
      <c r="M105" s="606">
        <f>L105*(1+'LTFP Assumptions'!$J16)</f>
        <v>8983.4323626562473</v>
      </c>
      <c r="N105" s="606">
        <f>M105*(1+'LTFP Assumptions'!$J16)</f>
        <v>9208.0181717226533</v>
      </c>
      <c r="O105" s="606">
        <f>N105*(1+'LTFP Assumptions'!$J16)</f>
        <v>9438.2186260157196</v>
      </c>
      <c r="P105" s="606">
        <f>O105*(1+'LTFP Assumptions'!$J16)</f>
        <v>9674.1740916661111</v>
      </c>
      <c r="R105" s="606">
        <f t="shared" si="64"/>
        <v>0</v>
      </c>
      <c r="S105" s="606">
        <f t="shared" si="64"/>
        <v>-56.997000000000298</v>
      </c>
      <c r="T105" s="606">
        <f t="shared" si="64"/>
        <v>69.829000000000633</v>
      </c>
      <c r="U105" s="606">
        <f t="shared" si="64"/>
        <v>426.57499999999982</v>
      </c>
      <c r="V105" s="606">
        <f t="shared" si="64"/>
        <v>437.2393749999992</v>
      </c>
      <c r="W105" s="606">
        <f t="shared" si="64"/>
        <v>448.17035937499895</v>
      </c>
      <c r="X105" s="606">
        <f t="shared" si="64"/>
        <v>459.37461835937393</v>
      </c>
      <c r="Y105" s="606">
        <f t="shared" si="64"/>
        <v>470.85898381835796</v>
      </c>
      <c r="Z105" s="606">
        <f t="shared" si="64"/>
        <v>482.63045841381791</v>
      </c>
      <c r="AA105" s="606">
        <f t="shared" si="64"/>
        <v>494.69621987416213</v>
      </c>
    </row>
    <row r="106" spans="1:27" ht="12" x14ac:dyDescent="0.25">
      <c r="A106" s="769" t="str">
        <f>A29</f>
        <v>Impairment</v>
      </c>
      <c r="B106" s="606"/>
      <c r="C106" s="606"/>
      <c r="D106" s="606">
        <f t="shared" ref="D106:F107" si="65">+D29</f>
        <v>0</v>
      </c>
      <c r="E106" s="606">
        <f t="shared" si="65"/>
        <v>600</v>
      </c>
      <c r="F106" s="606">
        <f t="shared" si="65"/>
        <v>0</v>
      </c>
      <c r="G106" s="606">
        <f t="shared" ref="G106:P106" si="66">+G29</f>
        <v>0</v>
      </c>
      <c r="H106" s="606">
        <f t="shared" si="66"/>
        <v>0</v>
      </c>
      <c r="I106" s="606">
        <f t="shared" si="66"/>
        <v>0</v>
      </c>
      <c r="J106" s="606">
        <f t="shared" si="66"/>
        <v>0</v>
      </c>
      <c r="K106" s="606">
        <f t="shared" si="66"/>
        <v>0</v>
      </c>
      <c r="L106" s="606">
        <f t="shared" si="66"/>
        <v>0</v>
      </c>
      <c r="M106" s="606">
        <f t="shared" si="66"/>
        <v>0</v>
      </c>
      <c r="N106" s="606">
        <f t="shared" si="66"/>
        <v>0</v>
      </c>
      <c r="O106" s="606">
        <f t="shared" si="66"/>
        <v>0</v>
      </c>
      <c r="P106" s="606">
        <f t="shared" si="66"/>
        <v>0</v>
      </c>
      <c r="R106" s="606">
        <f t="shared" si="64"/>
        <v>0</v>
      </c>
      <c r="S106" s="606">
        <f t="shared" si="64"/>
        <v>0</v>
      </c>
      <c r="T106" s="606">
        <f t="shared" si="64"/>
        <v>0</v>
      </c>
      <c r="U106" s="606">
        <f t="shared" si="64"/>
        <v>0</v>
      </c>
      <c r="V106" s="606">
        <f t="shared" si="64"/>
        <v>0</v>
      </c>
      <c r="W106" s="606">
        <f t="shared" si="64"/>
        <v>0</v>
      </c>
      <c r="X106" s="606">
        <f t="shared" si="64"/>
        <v>0</v>
      </c>
      <c r="Y106" s="606">
        <f t="shared" si="64"/>
        <v>0</v>
      </c>
      <c r="Z106" s="606">
        <f t="shared" si="64"/>
        <v>0</v>
      </c>
      <c r="AA106" s="606">
        <f t="shared" si="64"/>
        <v>0</v>
      </c>
    </row>
    <row r="107" spans="1:27" ht="12" x14ac:dyDescent="0.25">
      <c r="A107" s="769" t="str">
        <f>A30</f>
        <v>Net Losses from the disposal of assets</v>
      </c>
      <c r="B107" s="606"/>
      <c r="C107" s="606"/>
      <c r="D107" s="606">
        <f t="shared" si="65"/>
        <v>0</v>
      </c>
      <c r="E107" s="606">
        <f t="shared" si="65"/>
        <v>0</v>
      </c>
      <c r="F107" s="606">
        <f t="shared" si="65"/>
        <v>0</v>
      </c>
      <c r="G107" s="606">
        <f t="shared" ref="G107:P107" si="67">+G30</f>
        <v>0</v>
      </c>
      <c r="H107" s="606">
        <f t="shared" si="67"/>
        <v>0</v>
      </c>
      <c r="I107" s="606">
        <f t="shared" si="67"/>
        <v>0</v>
      </c>
      <c r="J107" s="606">
        <f t="shared" si="67"/>
        <v>0</v>
      </c>
      <c r="K107" s="606">
        <f t="shared" si="67"/>
        <v>0</v>
      </c>
      <c r="L107" s="606">
        <f t="shared" si="67"/>
        <v>0</v>
      </c>
      <c r="M107" s="606">
        <f t="shared" si="67"/>
        <v>0</v>
      </c>
      <c r="N107" s="606">
        <f t="shared" si="67"/>
        <v>0</v>
      </c>
      <c r="O107" s="606">
        <f t="shared" si="67"/>
        <v>0</v>
      </c>
      <c r="P107" s="606">
        <f t="shared" si="67"/>
        <v>0</v>
      </c>
      <c r="R107" s="606">
        <f t="shared" si="64"/>
        <v>0</v>
      </c>
      <c r="S107" s="606">
        <f t="shared" si="64"/>
        <v>0</v>
      </c>
      <c r="T107" s="606">
        <f t="shared" si="64"/>
        <v>0</v>
      </c>
      <c r="U107" s="606">
        <f t="shared" si="64"/>
        <v>0</v>
      </c>
      <c r="V107" s="606">
        <f t="shared" si="64"/>
        <v>0</v>
      </c>
      <c r="W107" s="606">
        <f t="shared" si="64"/>
        <v>0</v>
      </c>
      <c r="X107" s="606">
        <f t="shared" si="64"/>
        <v>0</v>
      </c>
      <c r="Y107" s="606">
        <f t="shared" si="64"/>
        <v>0</v>
      </c>
      <c r="Z107" s="606">
        <f t="shared" si="64"/>
        <v>0</v>
      </c>
      <c r="AA107" s="606">
        <f t="shared" si="64"/>
        <v>0</v>
      </c>
    </row>
    <row r="108" spans="1:27" x14ac:dyDescent="0.2">
      <c r="A108" s="614" t="s">
        <v>28</v>
      </c>
      <c r="B108" s="606">
        <f>+B31</f>
        <v>0</v>
      </c>
      <c r="C108" s="606">
        <f>+C31</f>
        <v>0</v>
      </c>
      <c r="D108" s="606">
        <f>+D31</f>
        <v>0</v>
      </c>
      <c r="E108" s="606">
        <f>+E31</f>
        <v>6597</v>
      </c>
      <c r="F108" s="606">
        <f>'Opex with SRV'!C146/1000</f>
        <v>2286.85</v>
      </c>
      <c r="G108" s="606">
        <f>'Opex with SRV'!E146/1000</f>
        <v>2395.6309999999999</v>
      </c>
      <c r="H108" s="606">
        <f>'Opex with SRV'!G146/1000</f>
        <v>2446.0740000000001</v>
      </c>
      <c r="I108" s="606">
        <f>'Opex with SRV'!H146/1000</f>
        <v>2513.5830000000001</v>
      </c>
      <c r="J108" s="606">
        <f>'Opex with SRV'!I146/1000+'ML Adjustments'!I58</f>
        <v>2654.9679999999998</v>
      </c>
      <c r="K108" s="606">
        <f>J108*(1+'LTFP Assumptions'!$J14)</f>
        <v>2708.06736</v>
      </c>
      <c r="L108" s="606">
        <f>K108*(1+'LTFP Assumptions'!$J14)</f>
        <v>2762.2287071999999</v>
      </c>
      <c r="M108" s="606">
        <f>L108*(1+'LTFP Assumptions'!$J14)</f>
        <v>2817.473281344</v>
      </c>
      <c r="N108" s="606">
        <f>M108*(1+'LTFP Assumptions'!$J14)</f>
        <v>2873.82274697088</v>
      </c>
      <c r="O108" s="606">
        <f>N108*(1+'LTFP Assumptions'!$J14)</f>
        <v>2931.2992019102976</v>
      </c>
      <c r="P108" s="606">
        <f>O108*(1+'LTFP Assumptions'!$J14)</f>
        <v>2989.9251859485034</v>
      </c>
      <c r="R108" s="606">
        <f t="shared" si="64"/>
        <v>0</v>
      </c>
      <c r="S108" s="606">
        <f t="shared" si="64"/>
        <v>0</v>
      </c>
      <c r="T108" s="606">
        <f t="shared" si="64"/>
        <v>15.576000000000022</v>
      </c>
      <c r="U108" s="606">
        <f t="shared" si="64"/>
        <v>93.327999999999975</v>
      </c>
      <c r="V108" s="606">
        <f t="shared" si="64"/>
        <v>95.19455999999991</v>
      </c>
      <c r="W108" s="606">
        <f t="shared" si="64"/>
        <v>97.098451199999545</v>
      </c>
      <c r="X108" s="606">
        <f t="shared" si="64"/>
        <v>99.040420223999718</v>
      </c>
      <c r="Y108" s="606">
        <f t="shared" si="64"/>
        <v>101.02122862847955</v>
      </c>
      <c r="Z108" s="606">
        <f t="shared" si="64"/>
        <v>103.04165320104903</v>
      </c>
      <c r="AA108" s="606">
        <f t="shared" si="64"/>
        <v>105.10248626506973</v>
      </c>
    </row>
    <row r="109" spans="1:27" ht="10.8" thickBot="1" x14ac:dyDescent="0.25">
      <c r="A109" s="604" t="s">
        <v>66</v>
      </c>
      <c r="B109" s="610">
        <f t="shared" ref="B109:P109" si="68">SUM(B101:B108)</f>
        <v>0</v>
      </c>
      <c r="C109" s="610">
        <f t="shared" si="68"/>
        <v>0</v>
      </c>
      <c r="D109" s="610">
        <f t="shared" si="68"/>
        <v>0</v>
      </c>
      <c r="E109" s="610">
        <f t="shared" si="68"/>
        <v>35003</v>
      </c>
      <c r="F109" s="610">
        <f t="shared" si="68"/>
        <v>35296.99</v>
      </c>
      <c r="G109" s="610">
        <f t="shared" si="68"/>
        <v>35085.749000000003</v>
      </c>
      <c r="H109" s="610">
        <f t="shared" si="68"/>
        <v>35804.841999999997</v>
      </c>
      <c r="I109" s="610">
        <f t="shared" si="68"/>
        <v>37464.257999999994</v>
      </c>
      <c r="J109" s="610">
        <f t="shared" si="68"/>
        <v>39827.555999999997</v>
      </c>
      <c r="K109" s="610">
        <f t="shared" si="68"/>
        <v>40726.093350800002</v>
      </c>
      <c r="L109" s="610">
        <f t="shared" si="68"/>
        <v>41647.503100465998</v>
      </c>
      <c r="M109" s="610">
        <f t="shared" si="68"/>
        <v>42592.384532774566</v>
      </c>
      <c r="N109" s="610">
        <f t="shared" si="68"/>
        <v>43561.353041907882</v>
      </c>
      <c r="O109" s="610">
        <f t="shared" si="68"/>
        <v>44555.040575145133</v>
      </c>
      <c r="P109" s="610">
        <f t="shared" si="68"/>
        <v>45574.096087940801</v>
      </c>
      <c r="R109" s="1335">
        <f>SUM(R101:R108)</f>
        <v>0</v>
      </c>
      <c r="S109" s="1335">
        <f t="shared" ref="S109:AA109" si="69">SUM(S101:S108)</f>
        <v>-285.77199999999993</v>
      </c>
      <c r="T109" s="1335">
        <f t="shared" si="69"/>
        <v>497.99499999999989</v>
      </c>
      <c r="U109" s="1335">
        <f t="shared" si="69"/>
        <v>1932.374</v>
      </c>
      <c r="V109" s="1335">
        <f t="shared" si="69"/>
        <v>1937.2675957999995</v>
      </c>
      <c r="W109" s="1335">
        <f t="shared" si="69"/>
        <v>1943.0701853909977</v>
      </c>
      <c r="X109" s="1335">
        <f t="shared" si="69"/>
        <v>1937.9413916956937</v>
      </c>
      <c r="Y109" s="1335">
        <f t="shared" si="69"/>
        <v>1929.1609147214031</v>
      </c>
      <c r="Z109" s="1335">
        <f t="shared" si="69"/>
        <v>1920.4885354739235</v>
      </c>
      <c r="AA109" s="1335">
        <f t="shared" si="69"/>
        <v>1911.9641200166391</v>
      </c>
    </row>
    <row r="111" spans="1:27" ht="10.8" thickBot="1" x14ac:dyDescent="0.25">
      <c r="A111" s="604" t="s">
        <v>67</v>
      </c>
      <c r="B111" s="633">
        <f t="shared" ref="B111:P111" si="70">+B97-B109</f>
        <v>0</v>
      </c>
      <c r="C111" s="633">
        <f t="shared" si="70"/>
        <v>0</v>
      </c>
      <c r="D111" s="633">
        <f t="shared" si="70"/>
        <v>0</v>
      </c>
      <c r="E111" s="633">
        <f t="shared" si="70"/>
        <v>11810</v>
      </c>
      <c r="F111" s="633">
        <f t="shared" si="70"/>
        <v>2800.1320000000051</v>
      </c>
      <c r="G111" s="633">
        <f t="shared" si="70"/>
        <v>4819.1579999999958</v>
      </c>
      <c r="H111" s="633">
        <f t="shared" si="70"/>
        <v>5293.3620100000044</v>
      </c>
      <c r="I111" s="633">
        <f t="shared" si="70"/>
        <v>8925.8160153000063</v>
      </c>
      <c r="J111" s="633">
        <f t="shared" si="70"/>
        <v>4527.13909263401</v>
      </c>
      <c r="K111" s="633">
        <f t="shared" si="70"/>
        <v>4419.3172682090371</v>
      </c>
      <c r="L111" s="633">
        <f t="shared" si="70"/>
        <v>4584.0806168322597</v>
      </c>
      <c r="M111" s="633">
        <f t="shared" si="70"/>
        <v>4717.7915518709269</v>
      </c>
      <c r="N111" s="633">
        <f t="shared" si="70"/>
        <v>4818.4412554693699</v>
      </c>
      <c r="O111" s="633">
        <f t="shared" si="70"/>
        <v>4941.1032079605648</v>
      </c>
      <c r="P111" s="633">
        <f t="shared" si="70"/>
        <v>5067.3765167176389</v>
      </c>
    </row>
    <row r="112" spans="1:27" x14ac:dyDescent="0.2">
      <c r="A112" s="616"/>
      <c r="B112" s="621"/>
      <c r="C112" s="621"/>
      <c r="D112" s="621"/>
      <c r="E112" s="621"/>
      <c r="F112" s="621"/>
      <c r="G112" s="621"/>
      <c r="H112" s="621"/>
      <c r="I112" s="621"/>
      <c r="J112" s="621"/>
      <c r="K112" s="621"/>
      <c r="L112" s="621"/>
      <c r="M112" s="621"/>
      <c r="N112" s="621"/>
      <c r="O112" s="621"/>
      <c r="P112" s="621"/>
    </row>
    <row r="113" spans="1:16" x14ac:dyDescent="0.2">
      <c r="A113" s="604" t="s">
        <v>75</v>
      </c>
      <c r="B113" s="621"/>
      <c r="C113" s="621"/>
      <c r="D113" s="621"/>
      <c r="E113" s="621"/>
      <c r="F113" s="621"/>
      <c r="G113" s="621"/>
      <c r="H113" s="621"/>
      <c r="I113" s="621"/>
      <c r="J113" s="621"/>
      <c r="K113" s="621"/>
      <c r="L113" s="621"/>
      <c r="M113" s="621"/>
      <c r="N113" s="621"/>
      <c r="O113" s="621"/>
      <c r="P113" s="621"/>
    </row>
    <row r="114" spans="1:16" x14ac:dyDescent="0.2">
      <c r="A114" s="614" t="s">
        <v>322</v>
      </c>
      <c r="B114" s="617">
        <v>0</v>
      </c>
      <c r="C114" s="617">
        <v>0</v>
      </c>
      <c r="D114" s="617">
        <v>0</v>
      </c>
      <c r="E114" s="617">
        <v>0</v>
      </c>
      <c r="F114" s="617">
        <v>0</v>
      </c>
      <c r="G114" s="617">
        <v>0</v>
      </c>
      <c r="H114" s="617">
        <v>0</v>
      </c>
      <c r="I114" s="617">
        <v>0</v>
      </c>
      <c r="J114" s="617">
        <v>0</v>
      </c>
      <c r="K114" s="617">
        <v>0</v>
      </c>
      <c r="L114" s="617">
        <v>0</v>
      </c>
      <c r="M114" s="617">
        <v>0</v>
      </c>
      <c r="N114" s="617">
        <v>0</v>
      </c>
      <c r="O114" s="617">
        <v>0</v>
      </c>
      <c r="P114" s="617">
        <v>0</v>
      </c>
    </row>
    <row r="115" spans="1:16" x14ac:dyDescent="0.2">
      <c r="B115" s="621"/>
      <c r="C115" s="621"/>
      <c r="D115" s="621"/>
      <c r="E115" s="621"/>
      <c r="F115" s="621"/>
      <c r="G115" s="621"/>
      <c r="H115" s="621"/>
      <c r="I115" s="621"/>
      <c r="J115" s="621"/>
      <c r="K115" s="621"/>
      <c r="L115" s="621"/>
      <c r="M115" s="621"/>
      <c r="N115" s="621"/>
      <c r="O115" s="621"/>
      <c r="P115" s="621"/>
    </row>
    <row r="116" spans="1:16" x14ac:dyDescent="0.2">
      <c r="A116" s="618" t="s">
        <v>76</v>
      </c>
      <c r="B116" s="634">
        <f>+B111+B114</f>
        <v>0</v>
      </c>
      <c r="C116" s="634">
        <f>+C111+C114</f>
        <v>0</v>
      </c>
      <c r="D116" s="634">
        <f>+D111+D114</f>
        <v>0</v>
      </c>
      <c r="E116" s="634">
        <f t="shared" ref="E116:P116" si="71">+E111+E114</f>
        <v>11810</v>
      </c>
      <c r="F116" s="634">
        <f t="shared" si="71"/>
        <v>2800.1320000000051</v>
      </c>
      <c r="G116" s="634">
        <f t="shared" si="71"/>
        <v>4819.1579999999958</v>
      </c>
      <c r="H116" s="634">
        <f t="shared" si="71"/>
        <v>5293.3620100000044</v>
      </c>
      <c r="I116" s="634">
        <f t="shared" si="71"/>
        <v>8925.8160153000063</v>
      </c>
      <c r="J116" s="634">
        <f t="shared" si="71"/>
        <v>4527.13909263401</v>
      </c>
      <c r="K116" s="634">
        <f t="shared" si="71"/>
        <v>4419.3172682090371</v>
      </c>
      <c r="L116" s="634">
        <f t="shared" si="71"/>
        <v>4584.0806168322597</v>
      </c>
      <c r="M116" s="634">
        <f t="shared" si="71"/>
        <v>4717.7915518709269</v>
      </c>
      <c r="N116" s="634">
        <f t="shared" si="71"/>
        <v>4818.4412554693699</v>
      </c>
      <c r="O116" s="634">
        <f t="shared" si="71"/>
        <v>4941.1032079605648</v>
      </c>
      <c r="P116" s="634">
        <f t="shared" si="71"/>
        <v>5067.3765167176389</v>
      </c>
    </row>
    <row r="117" spans="1:16" x14ac:dyDescent="0.2">
      <c r="B117" s="621"/>
      <c r="C117" s="621"/>
      <c r="D117" s="621"/>
      <c r="E117" s="621"/>
      <c r="F117" s="621"/>
      <c r="G117" s="621"/>
      <c r="H117" s="621"/>
      <c r="I117" s="621"/>
      <c r="J117" s="621"/>
      <c r="K117" s="621"/>
      <c r="L117" s="621"/>
      <c r="M117" s="621"/>
      <c r="N117" s="621"/>
      <c r="O117" s="621"/>
      <c r="P117" s="621"/>
    </row>
    <row r="118" spans="1:16" s="601" customFormat="1" x14ac:dyDescent="0.2">
      <c r="A118" s="733" t="s">
        <v>77</v>
      </c>
      <c r="B118" s="715">
        <f>+B116</f>
        <v>0</v>
      </c>
      <c r="C118" s="734">
        <f>+C113+C116</f>
        <v>0</v>
      </c>
      <c r="D118" s="715">
        <f>+D116</f>
        <v>0</v>
      </c>
      <c r="E118" s="734">
        <f t="shared" ref="E118:P118" si="72">+E113+E116</f>
        <v>11810</v>
      </c>
      <c r="F118" s="734">
        <f t="shared" si="72"/>
        <v>2800.1320000000051</v>
      </c>
      <c r="G118" s="734">
        <f t="shared" si="72"/>
        <v>4819.1579999999958</v>
      </c>
      <c r="H118" s="734">
        <f t="shared" si="72"/>
        <v>5293.3620100000044</v>
      </c>
      <c r="I118" s="734">
        <f t="shared" si="72"/>
        <v>8925.8160153000063</v>
      </c>
      <c r="J118" s="734">
        <f t="shared" si="72"/>
        <v>4527.13909263401</v>
      </c>
      <c r="K118" s="734">
        <f t="shared" si="72"/>
        <v>4419.3172682090371</v>
      </c>
      <c r="L118" s="734">
        <f t="shared" si="72"/>
        <v>4584.0806168322597</v>
      </c>
      <c r="M118" s="734">
        <f t="shared" si="72"/>
        <v>4717.7915518709269</v>
      </c>
      <c r="N118" s="734">
        <f t="shared" si="72"/>
        <v>4818.4412554693699</v>
      </c>
      <c r="O118" s="734">
        <f t="shared" si="72"/>
        <v>4941.1032079605648</v>
      </c>
      <c r="P118" s="734">
        <f t="shared" si="72"/>
        <v>5067.3765167176389</v>
      </c>
    </row>
    <row r="119" spans="1:16" s="601" customFormat="1" ht="10.5" customHeight="1" thickBot="1" x14ac:dyDescent="0.25">
      <c r="A119" s="739" t="s">
        <v>78</v>
      </c>
      <c r="B119" s="735">
        <v>0</v>
      </c>
      <c r="C119" s="735">
        <v>0</v>
      </c>
      <c r="D119" s="735">
        <v>0</v>
      </c>
      <c r="E119" s="735">
        <v>0</v>
      </c>
      <c r="F119" s="735"/>
      <c r="G119" s="735">
        <v>0</v>
      </c>
      <c r="H119" s="735">
        <v>0</v>
      </c>
      <c r="I119" s="735">
        <v>0</v>
      </c>
      <c r="J119" s="735">
        <v>0</v>
      </c>
      <c r="K119" s="735">
        <v>0</v>
      </c>
      <c r="L119" s="735">
        <v>0</v>
      </c>
      <c r="M119" s="735">
        <v>0</v>
      </c>
      <c r="N119" s="735">
        <v>0</v>
      </c>
      <c r="O119" s="735">
        <v>0</v>
      </c>
      <c r="P119" s="735">
        <v>0</v>
      </c>
    </row>
    <row r="120" spans="1:16" ht="3.75" customHeight="1" thickTop="1" x14ac:dyDescent="0.2">
      <c r="A120" s="726"/>
      <c r="B120" s="714"/>
      <c r="C120" s="714"/>
      <c r="D120" s="710"/>
      <c r="E120" s="710"/>
      <c r="F120" s="710"/>
      <c r="G120" s="710"/>
      <c r="H120" s="710"/>
      <c r="I120" s="710"/>
      <c r="J120" s="710"/>
      <c r="K120" s="710"/>
      <c r="L120" s="710"/>
      <c r="M120" s="710"/>
      <c r="N120" s="710"/>
      <c r="O120" s="710"/>
      <c r="P120" s="710"/>
    </row>
    <row r="121" spans="1:16" ht="31.5" customHeight="1" thickBot="1" x14ac:dyDescent="0.25">
      <c r="A121" s="705" t="s">
        <v>79</v>
      </c>
      <c r="B121" s="736">
        <f>+B116-B94-B96</f>
        <v>0</v>
      </c>
      <c r="C121" s="736">
        <f>+C116-C94-C96</f>
        <v>0</v>
      </c>
      <c r="D121" s="736">
        <f>+D116-D92-D95</f>
        <v>0</v>
      </c>
      <c r="E121" s="736">
        <f t="shared" ref="E121:P121" si="73">+E116-E92-E95</f>
        <v>-2644</v>
      </c>
      <c r="F121" s="736">
        <f t="shared" si="73"/>
        <v>-97.874999999994998</v>
      </c>
      <c r="G121" s="736">
        <f t="shared" si="73"/>
        <v>1031.1909999999957</v>
      </c>
      <c r="H121" s="736">
        <f t="shared" si="73"/>
        <v>1448.9910000000045</v>
      </c>
      <c r="I121" s="736">
        <f t="shared" si="73"/>
        <v>1523.3570000000063</v>
      </c>
      <c r="J121" s="736">
        <f t="shared" si="73"/>
        <v>564.85776000000988</v>
      </c>
      <c r="K121" s="736">
        <f t="shared" si="73"/>
        <v>369.08530892235649</v>
      </c>
      <c r="L121" s="736">
        <f t="shared" si="73"/>
        <v>443.92139335984575</v>
      </c>
      <c r="M121" s="736">
        <f t="shared" si="73"/>
        <v>485.68345330406464</v>
      </c>
      <c r="N121" s="736">
        <f t="shared" si="73"/>
        <v>492.31666204054636</v>
      </c>
      <c r="O121" s="736">
        <f t="shared" si="73"/>
        <v>518.8474314502746</v>
      </c>
      <c r="P121" s="736">
        <f t="shared" si="73"/>
        <v>546.82671618392942</v>
      </c>
    </row>
    <row r="122" spans="1:16" ht="4.5" customHeight="1" thickTop="1" x14ac:dyDescent="0.2">
      <c r="A122" s="705"/>
      <c r="B122" s="734"/>
      <c r="C122" s="734"/>
      <c r="D122" s="734"/>
      <c r="E122" s="734"/>
      <c r="F122" s="734"/>
      <c r="G122" s="734"/>
      <c r="H122" s="734"/>
      <c r="I122" s="734"/>
      <c r="J122" s="734"/>
      <c r="K122" s="734"/>
      <c r="L122" s="734"/>
      <c r="M122" s="734"/>
      <c r="N122" s="734"/>
      <c r="O122" s="734"/>
      <c r="P122" s="734"/>
    </row>
    <row r="123" spans="1:16" x14ac:dyDescent="0.2">
      <c r="A123" s="730" t="s">
        <v>76</v>
      </c>
      <c r="B123" s="732">
        <f t="shared" ref="B123:P123" si="74">B116</f>
        <v>0</v>
      </c>
      <c r="C123" s="732">
        <f t="shared" si="74"/>
        <v>0</v>
      </c>
      <c r="D123" s="732">
        <f t="shared" si="74"/>
        <v>0</v>
      </c>
      <c r="E123" s="732">
        <f t="shared" si="74"/>
        <v>11810</v>
      </c>
      <c r="F123" s="732">
        <f t="shared" si="74"/>
        <v>2800.1320000000051</v>
      </c>
      <c r="G123" s="732">
        <f t="shared" si="74"/>
        <v>4819.1579999999958</v>
      </c>
      <c r="H123" s="732">
        <f t="shared" si="74"/>
        <v>5293.3620100000044</v>
      </c>
      <c r="I123" s="732">
        <f t="shared" si="74"/>
        <v>8925.8160153000063</v>
      </c>
      <c r="J123" s="732">
        <f t="shared" si="74"/>
        <v>4527.13909263401</v>
      </c>
      <c r="K123" s="732">
        <f t="shared" si="74"/>
        <v>4419.3172682090371</v>
      </c>
      <c r="L123" s="732">
        <f t="shared" si="74"/>
        <v>4584.0806168322597</v>
      </c>
      <c r="M123" s="732">
        <f t="shared" si="74"/>
        <v>4717.7915518709269</v>
      </c>
      <c r="N123" s="732">
        <f t="shared" si="74"/>
        <v>4818.4412554693699</v>
      </c>
      <c r="O123" s="732">
        <f t="shared" si="74"/>
        <v>4941.1032079605648</v>
      </c>
      <c r="P123" s="732">
        <f t="shared" si="74"/>
        <v>5067.3765167176389</v>
      </c>
    </row>
    <row r="124" spans="1:16" ht="9.75" customHeight="1" x14ac:dyDescent="0.2">
      <c r="A124" s="737" t="s">
        <v>1015</v>
      </c>
      <c r="B124" s="734"/>
      <c r="C124" s="734"/>
      <c r="D124" s="734"/>
      <c r="E124" s="734"/>
      <c r="F124" s="734"/>
      <c r="G124" s="734"/>
      <c r="H124" s="734"/>
      <c r="I124" s="734"/>
      <c r="J124" s="734"/>
      <c r="K124" s="734"/>
      <c r="L124" s="734"/>
      <c r="M124" s="734"/>
      <c r="N124" s="734"/>
      <c r="O124" s="734"/>
      <c r="P124" s="734"/>
    </row>
    <row r="125" spans="1:16" x14ac:dyDescent="0.2">
      <c r="A125" s="705" t="s">
        <v>1014</v>
      </c>
      <c r="B125" s="734"/>
      <c r="C125" s="734"/>
      <c r="D125" s="734"/>
      <c r="E125" s="734"/>
      <c r="F125" s="734"/>
      <c r="G125" s="734"/>
      <c r="H125" s="734"/>
      <c r="I125" s="734"/>
      <c r="J125" s="734"/>
      <c r="K125" s="734"/>
      <c r="L125" s="734"/>
      <c r="M125" s="734"/>
      <c r="N125" s="734"/>
      <c r="O125" s="734"/>
      <c r="P125" s="734"/>
    </row>
    <row r="126" spans="1:16" ht="1.5" customHeight="1" x14ac:dyDescent="0.2">
      <c r="A126" s="705"/>
      <c r="B126" s="734"/>
      <c r="C126" s="734"/>
      <c r="D126" s="734"/>
      <c r="E126" s="734"/>
      <c r="F126" s="734"/>
      <c r="G126" s="734"/>
      <c r="H126" s="734"/>
      <c r="I126" s="734"/>
      <c r="J126" s="734"/>
      <c r="K126" s="734"/>
      <c r="L126" s="734"/>
      <c r="M126" s="734"/>
      <c r="N126" s="734"/>
      <c r="O126" s="734"/>
      <c r="P126" s="734"/>
    </row>
    <row r="127" spans="1:16" ht="10.8" thickBot="1" x14ac:dyDescent="0.25">
      <c r="A127" s="705" t="s">
        <v>309</v>
      </c>
      <c r="B127" s="738">
        <f t="shared" ref="B127:P127" si="75">SUM(B123:B126)</f>
        <v>0</v>
      </c>
      <c r="C127" s="738">
        <f t="shared" si="75"/>
        <v>0</v>
      </c>
      <c r="D127" s="738">
        <f t="shared" si="75"/>
        <v>0</v>
      </c>
      <c r="E127" s="738">
        <f t="shared" si="75"/>
        <v>11810</v>
      </c>
      <c r="F127" s="738">
        <f t="shared" si="75"/>
        <v>2800.1320000000051</v>
      </c>
      <c r="G127" s="738">
        <f t="shared" si="75"/>
        <v>4819.1579999999958</v>
      </c>
      <c r="H127" s="738">
        <f t="shared" si="75"/>
        <v>5293.3620100000044</v>
      </c>
      <c r="I127" s="738">
        <f t="shared" si="75"/>
        <v>8925.8160153000063</v>
      </c>
      <c r="J127" s="738">
        <f t="shared" si="75"/>
        <v>4527.13909263401</v>
      </c>
      <c r="K127" s="738">
        <f t="shared" si="75"/>
        <v>4419.3172682090371</v>
      </c>
      <c r="L127" s="738">
        <f t="shared" si="75"/>
        <v>4584.0806168322597</v>
      </c>
      <c r="M127" s="738">
        <f t="shared" si="75"/>
        <v>4717.7915518709269</v>
      </c>
      <c r="N127" s="738">
        <f t="shared" si="75"/>
        <v>4818.4412554693699</v>
      </c>
      <c r="O127" s="738">
        <f t="shared" si="75"/>
        <v>4941.1032079605648</v>
      </c>
      <c r="P127" s="738">
        <f t="shared" si="75"/>
        <v>5067.3765167176389</v>
      </c>
    </row>
    <row r="128" spans="1:16" ht="10.8" thickTop="1" x14ac:dyDescent="0.2">
      <c r="A128" s="705"/>
      <c r="B128" s="732"/>
      <c r="C128" s="732"/>
      <c r="D128" s="732"/>
      <c r="E128" s="732"/>
      <c r="F128" s="732"/>
      <c r="G128" s="732"/>
      <c r="H128" s="732"/>
      <c r="I128" s="732"/>
      <c r="J128" s="732"/>
      <c r="K128" s="732"/>
      <c r="L128" s="732"/>
      <c r="M128" s="732"/>
      <c r="N128" s="732"/>
      <c r="O128" s="732"/>
      <c r="P128" s="732"/>
    </row>
    <row r="129" spans="1:27" ht="11.25" hidden="1" outlineLevel="1" x14ac:dyDescent="0.2">
      <c r="A129" s="616"/>
      <c r="B129" s="621"/>
      <c r="C129" s="621"/>
      <c r="D129" s="621"/>
      <c r="E129" s="621"/>
      <c r="F129" s="694" t="s">
        <v>3</v>
      </c>
      <c r="G129" s="694" t="s">
        <v>4</v>
      </c>
      <c r="H129" s="694" t="s">
        <v>5</v>
      </c>
      <c r="I129" s="694" t="s">
        <v>6</v>
      </c>
      <c r="J129" s="694" t="s">
        <v>7</v>
      </c>
      <c r="K129" s="694" t="s">
        <v>8</v>
      </c>
      <c r="L129" s="694" t="s">
        <v>9</v>
      </c>
      <c r="M129" s="694" t="s">
        <v>514</v>
      </c>
      <c r="N129" s="694" t="s">
        <v>515</v>
      </c>
      <c r="O129" s="694" t="s">
        <v>904</v>
      </c>
      <c r="P129" s="694" t="s">
        <v>1046</v>
      </c>
    </row>
    <row r="130" spans="1:27" ht="11.25" hidden="1" outlineLevel="1" x14ac:dyDescent="0.2">
      <c r="A130" s="604" t="s">
        <v>1081</v>
      </c>
      <c r="B130" s="621"/>
      <c r="C130" s="621"/>
      <c r="D130" s="621"/>
      <c r="E130" s="622">
        <f>E52</f>
        <v>0</v>
      </c>
      <c r="F130" s="622">
        <f>'Capital Budget -  Incl SRV'!C148/1000-F131-F132</f>
        <v>11320.422</v>
      </c>
      <c r="G130" s="622">
        <f>'Revised Capital Budget Incl SRV'!D200/1000</f>
        <v>2600.8139999999999</v>
      </c>
      <c r="H130" s="622">
        <f>'Revised Capital Budget Incl SRV'!E200/1000</f>
        <v>19306.5245</v>
      </c>
      <c r="I130" s="622">
        <f>'Revised Capital Budget Incl SRV'!F200/1000</f>
        <v>16162.895</v>
      </c>
      <c r="J130" s="622">
        <f>'Revised Capital Budget Incl SRV'!G200/1000</f>
        <v>2065.5980000000004</v>
      </c>
      <c r="K130" s="622">
        <f>'Revised Capital Budget Incl SRV'!H200/1000</f>
        <v>1445.9567</v>
      </c>
      <c r="L130" s="622">
        <f>'Revised Capital Budget Incl SRV'!I200/1000</f>
        <v>2401.4493674999999</v>
      </c>
      <c r="M130" s="622">
        <f>'Revised Capital Budget Incl SRV'!J200/1000</f>
        <v>3207.0793516875001</v>
      </c>
      <c r="N130" s="622">
        <f>'Revised Capital Budget Incl SRV'!K200/1000</f>
        <v>3212.8500854796876</v>
      </c>
      <c r="O130" s="622">
        <f>'Revised Capital Budget Incl SRV'!L200/1000</f>
        <v>3168.7650876166799</v>
      </c>
      <c r="P130" s="622">
        <f>'Revised Capital Budget Incl SRV'!M200/1000</f>
        <v>3224.8279648070966</v>
      </c>
      <c r="Q130" s="599" t="s">
        <v>32</v>
      </c>
      <c r="R130" s="606">
        <f>G130-G52</f>
        <v>-622.04400000000032</v>
      </c>
      <c r="S130" s="606">
        <f t="shared" ref="S130:AA130" si="76">H130-H52</f>
        <v>14558.5</v>
      </c>
      <c r="T130" s="606">
        <f t="shared" si="76"/>
        <v>12313.75</v>
      </c>
      <c r="U130" s="606">
        <f t="shared" si="76"/>
        <v>-1773.7499999999995</v>
      </c>
      <c r="V130" s="606">
        <f t="shared" si="76"/>
        <v>-2228.7497999999996</v>
      </c>
      <c r="W130" s="606">
        <f t="shared" si="76"/>
        <v>-1322.7497950000002</v>
      </c>
      <c r="X130" s="606">
        <f t="shared" si="76"/>
        <v>-536.84978987500017</v>
      </c>
      <c r="Y130" s="606">
        <f t="shared" si="76"/>
        <v>-841.05228462187506</v>
      </c>
      <c r="Z130" s="606">
        <f t="shared" si="76"/>
        <v>-1035.3598417374214</v>
      </c>
      <c r="AA130" s="606">
        <f t="shared" si="76"/>
        <v>-804.77508778085712</v>
      </c>
    </row>
    <row r="131" spans="1:27" ht="11.25" hidden="1" outlineLevel="1" x14ac:dyDescent="0.2">
      <c r="A131" s="817" t="s">
        <v>1111</v>
      </c>
      <c r="B131" s="621"/>
      <c r="C131" s="621"/>
      <c r="D131" s="621"/>
      <c r="E131" s="622"/>
      <c r="F131" s="622"/>
      <c r="G131" s="622"/>
      <c r="H131" s="622"/>
      <c r="I131" s="622"/>
      <c r="J131" s="622"/>
      <c r="K131" s="622"/>
      <c r="L131" s="622"/>
      <c r="M131" s="622"/>
      <c r="N131" s="622"/>
      <c r="O131" s="622"/>
      <c r="P131" s="622"/>
      <c r="R131" s="606">
        <f t="shared" ref="R131:R134" si="77">G131-G53</f>
        <v>0</v>
      </c>
      <c r="S131" s="606">
        <f t="shared" ref="S131:S134" si="78">H131-H53</f>
        <v>0</v>
      </c>
      <c r="T131" s="606">
        <f t="shared" ref="T131:T134" si="79">I131-I53</f>
        <v>0</v>
      </c>
      <c r="U131" s="606">
        <f t="shared" ref="U131:U134" si="80">J131-J53</f>
        <v>0</v>
      </c>
      <c r="V131" s="606">
        <f t="shared" ref="V131:V134" si="81">K131-K53</f>
        <v>0</v>
      </c>
      <c r="W131" s="606">
        <f t="shared" ref="W131:W134" si="82">L131-L53</f>
        <v>0</v>
      </c>
      <c r="X131" s="606">
        <f t="shared" ref="X131:X134" si="83">M131-M53</f>
        <v>0</v>
      </c>
      <c r="Y131" s="606">
        <f t="shared" ref="Y131:Y134" si="84">N131-N53</f>
        <v>0</v>
      </c>
      <c r="Z131" s="606">
        <f t="shared" ref="Z131:Z134" si="85">O131-O53</f>
        <v>0</v>
      </c>
      <c r="AA131" s="606">
        <f t="shared" ref="AA131:AA134" si="86">P131-P53</f>
        <v>0</v>
      </c>
    </row>
    <row r="132" spans="1:27" ht="11.25" hidden="1" outlineLevel="1" x14ac:dyDescent="0.2">
      <c r="A132" s="604" t="s">
        <v>1082</v>
      </c>
      <c r="B132" s="621"/>
      <c r="C132" s="621"/>
      <c r="D132" s="621"/>
      <c r="E132" s="622">
        <f>E54</f>
        <v>0</v>
      </c>
      <c r="F132" s="622">
        <f>F54</f>
        <v>0</v>
      </c>
      <c r="G132" s="622">
        <f>'Revised Capital Budget Incl SRV'!D195/1000</f>
        <v>7827.9979999999996</v>
      </c>
      <c r="H132" s="622">
        <f>'Revised Capital Budget Incl SRV'!E195/1000</f>
        <v>12264.567300000001</v>
      </c>
      <c r="I132" s="622">
        <f>'Revised Capital Budget Incl SRV'!F195/1000</f>
        <v>8940.2783949999994</v>
      </c>
      <c r="J132" s="622">
        <f>'Revised Capital Budget Incl SRV'!G195/1000</f>
        <v>8916.9354048749992</v>
      </c>
      <c r="K132" s="622">
        <f>'Revised Capital Budget Incl SRV'!H195/1000</f>
        <v>8981.5654399968753</v>
      </c>
      <c r="L132" s="622">
        <f>'Revised Capital Budget Incl SRV'!I195/1000</f>
        <v>9157.3862259967955</v>
      </c>
      <c r="M132" s="622">
        <f>'Revised Capital Budget Incl SRV'!J195/1000</f>
        <v>9799.0455316467178</v>
      </c>
      <c r="N132" s="622">
        <f>'Revised Capital Budget Incl SRV'!K195/1000</f>
        <v>9654.5641799378845</v>
      </c>
      <c r="O132" s="622">
        <f>'Revised Capital Budget Incl SRV'!L195/1000</f>
        <v>9950.9635116363297</v>
      </c>
      <c r="P132" s="622">
        <f>'Revised Capital Budget Incl SRV'!M195/1000</f>
        <v>10148.265398171241</v>
      </c>
      <c r="Q132" s="599" t="s">
        <v>32</v>
      </c>
      <c r="R132" s="606">
        <f t="shared" si="77"/>
        <v>-408.13800000000083</v>
      </c>
      <c r="S132" s="606">
        <f t="shared" si="78"/>
        <v>-335.00300000000061</v>
      </c>
      <c r="T132" s="606">
        <f t="shared" si="79"/>
        <v>580.0010000000002</v>
      </c>
      <c r="U132" s="606">
        <f t="shared" si="80"/>
        <v>410.49799999999959</v>
      </c>
      <c r="V132" s="606">
        <f t="shared" si="81"/>
        <v>289.74893999687447</v>
      </c>
      <c r="W132" s="606">
        <f t="shared" si="82"/>
        <v>315.90206349679647</v>
      </c>
      <c r="X132" s="606">
        <f t="shared" si="83"/>
        <v>773.95714008421783</v>
      </c>
      <c r="Y132" s="606">
        <f t="shared" si="84"/>
        <v>409.39929358632071</v>
      </c>
      <c r="Z132" s="606">
        <f t="shared" si="85"/>
        <v>549.23891492597977</v>
      </c>
      <c r="AA132" s="606">
        <f t="shared" si="86"/>
        <v>519.48666907913139</v>
      </c>
    </row>
    <row r="133" spans="1:27" ht="11.25" hidden="1" outlineLevel="1" x14ac:dyDescent="0.2">
      <c r="A133" s="604" t="s">
        <v>1083</v>
      </c>
      <c r="B133" s="621"/>
      <c r="C133" s="621"/>
      <c r="D133" s="621"/>
      <c r="E133" s="622">
        <f>E55</f>
        <v>0</v>
      </c>
      <c r="F133" s="622">
        <f>'Capital Budget -  Incl SRV'!C149/1000</f>
        <v>570.28700000000003</v>
      </c>
      <c r="G133" s="622">
        <f>'Revised Capital Budget Incl SRV'!D21/1000</f>
        <v>621.83900000000006</v>
      </c>
      <c r="H133" s="622">
        <f>'Revised Capital Budget Incl SRV'!E21/1000</f>
        <v>555.48599999999999</v>
      </c>
      <c r="I133" s="622">
        <f>'Revised Capital Budget Incl SRV'!F21/1000</f>
        <v>672.75099999999998</v>
      </c>
      <c r="J133" s="622">
        <f>'Revised Capital Budget Incl SRV'!G21/1000</f>
        <v>972.69899999999996</v>
      </c>
      <c r="K133" s="622">
        <f>'Revised Capital Budget Incl SRV'!H21/1000</f>
        <v>1007</v>
      </c>
      <c r="L133" s="622">
        <f>'Revised Capital Budget Incl SRV'!I21/1000</f>
        <v>1054</v>
      </c>
      <c r="M133" s="622">
        <f>'Revised Capital Budget Incl SRV'!J21/1000</f>
        <v>809</v>
      </c>
      <c r="N133" s="622">
        <f>'Revised Capital Budget Incl SRV'!K21/1000</f>
        <v>745</v>
      </c>
      <c r="O133" s="622">
        <f>'Revised Capital Budget Incl SRV'!L21/1000</f>
        <v>777</v>
      </c>
      <c r="P133" s="622">
        <f>'Revised Capital Budget Incl SRV'!M21/1000</f>
        <v>811</v>
      </c>
      <c r="Q133" s="622"/>
      <c r="R133" s="606">
        <f t="shared" si="77"/>
        <v>0</v>
      </c>
      <c r="S133" s="606">
        <f t="shared" si="78"/>
        <v>0</v>
      </c>
      <c r="T133" s="606">
        <f t="shared" si="79"/>
        <v>250.09199999999998</v>
      </c>
      <c r="U133" s="606">
        <f t="shared" si="80"/>
        <v>525.77399999999989</v>
      </c>
      <c r="V133" s="606">
        <f t="shared" si="81"/>
        <v>533</v>
      </c>
      <c r="W133" s="606">
        <f t="shared" si="82"/>
        <v>553</v>
      </c>
      <c r="X133" s="606">
        <f t="shared" si="83"/>
        <v>577</v>
      </c>
      <c r="Y133" s="606">
        <f t="shared" si="84"/>
        <v>600</v>
      </c>
      <c r="Z133" s="606">
        <f t="shared" si="85"/>
        <v>625</v>
      </c>
      <c r="AA133" s="606">
        <f t="shared" si="86"/>
        <v>651</v>
      </c>
    </row>
    <row r="134" spans="1:27" ht="11.25" hidden="1" outlineLevel="1" x14ac:dyDescent="0.2">
      <c r="A134" s="604" t="s">
        <v>1089</v>
      </c>
      <c r="B134" s="621"/>
      <c r="C134" s="621"/>
      <c r="D134" s="621"/>
      <c r="E134" s="622">
        <f>E56</f>
        <v>0</v>
      </c>
      <c r="F134" s="622">
        <f>'Capital Budget -  Incl SRV'!C150/1000</f>
        <v>1723.0070000000001</v>
      </c>
      <c r="G134" s="622">
        <f>'Revised Capital Budget Incl SRV'!D22/1000</f>
        <v>2144.2849999999999</v>
      </c>
      <c r="H134" s="622">
        <f>'Revised Capital Budget Incl SRV'!E22/1000</f>
        <v>2218.17301</v>
      </c>
      <c r="I134" s="622">
        <f>'Revised Capital Budget Incl SRV'!F22/1000</f>
        <v>2294.8213903000001</v>
      </c>
      <c r="J134" s="622">
        <f>'Revised Capital Budget Incl SRV'!G22/1000</f>
        <v>2374.3454420090002</v>
      </c>
      <c r="K134" s="622">
        <f>'Revised Capital Budget Incl SRV'!H22/1000</f>
        <v>2421.8323508491799</v>
      </c>
      <c r="L134" s="622">
        <f>'Revised Capital Budget Incl SRV'!I22/1000</f>
        <v>2470.2689978661633</v>
      </c>
      <c r="M134" s="622">
        <f>'Revised Capital Budget Incl SRV'!J22/1000</f>
        <v>2519.6743778234868</v>
      </c>
      <c r="N134" s="622">
        <f>'Revised Capital Budget Incl SRV'!K22/1000</f>
        <v>2570.0678653799564</v>
      </c>
      <c r="O134" s="622">
        <f>'Revised Capital Budget Incl SRV'!L22/1000</f>
        <v>2621.4692226875559</v>
      </c>
      <c r="P134" s="622">
        <f>'Revised Capital Budget Incl SRV'!M22/1000</f>
        <v>2673.8986071413069</v>
      </c>
      <c r="Q134" s="603" t="s">
        <v>1315</v>
      </c>
      <c r="R134" s="606">
        <f t="shared" si="77"/>
        <v>0</v>
      </c>
      <c r="S134" s="606">
        <f t="shared" si="78"/>
        <v>1.0000000000218279E-2</v>
      </c>
      <c r="T134" s="606">
        <f t="shared" si="79"/>
        <v>0</v>
      </c>
      <c r="U134" s="606">
        <f t="shared" si="80"/>
        <v>-5.999999999994543E-2</v>
      </c>
      <c r="V134" s="606">
        <f t="shared" si="81"/>
        <v>-6.1200000000098953E-2</v>
      </c>
      <c r="W134" s="606">
        <f t="shared" si="82"/>
        <v>-6.2424000000191882E-2</v>
      </c>
      <c r="X134" s="606">
        <f t="shared" si="83"/>
        <v>-6.3672480000150244E-2</v>
      </c>
      <c r="Y134" s="606">
        <f t="shared" si="84"/>
        <v>-6.4945929600526142E-2</v>
      </c>
      <c r="Z134" s="606">
        <f t="shared" si="85"/>
        <v>-6.6244848192127392E-2</v>
      </c>
      <c r="AA134" s="606">
        <f t="shared" si="86"/>
        <v>-6.7569745156106364E-2</v>
      </c>
    </row>
    <row r="135" spans="1:27" ht="11.25" hidden="1" outlineLevel="1" x14ac:dyDescent="0.2">
      <c r="A135" s="604"/>
      <c r="B135" s="621"/>
      <c r="C135" s="621"/>
      <c r="D135" s="771">
        <f>SUM(D130:D134)</f>
        <v>0</v>
      </c>
      <c r="E135" s="771">
        <f t="shared" ref="E135:P135" si="87">SUM(E130:E134)</f>
        <v>0</v>
      </c>
      <c r="F135" s="771">
        <f t="shared" si="87"/>
        <v>13613.716</v>
      </c>
      <c r="G135" s="771">
        <f t="shared" si="87"/>
        <v>13194.936</v>
      </c>
      <c r="H135" s="771">
        <f t="shared" si="87"/>
        <v>34344.750810000005</v>
      </c>
      <c r="I135" s="771">
        <f t="shared" si="87"/>
        <v>28070.745785299998</v>
      </c>
      <c r="J135" s="771">
        <f t="shared" si="87"/>
        <v>14329.577846884</v>
      </c>
      <c r="K135" s="771">
        <f t="shared" si="87"/>
        <v>13856.354490846055</v>
      </c>
      <c r="L135" s="771">
        <f t="shared" si="87"/>
        <v>15083.104591362959</v>
      </c>
      <c r="M135" s="771">
        <f t="shared" si="87"/>
        <v>16334.799261157705</v>
      </c>
      <c r="N135" s="771">
        <f t="shared" si="87"/>
        <v>16182.482130797529</v>
      </c>
      <c r="O135" s="771">
        <f t="shared" si="87"/>
        <v>16518.197821940565</v>
      </c>
      <c r="P135" s="771">
        <f t="shared" si="87"/>
        <v>16857.991970119645</v>
      </c>
    </row>
    <row r="136" spans="1:27" s="608" customFormat="1" ht="11.25" hidden="1" outlineLevel="1" x14ac:dyDescent="0.2">
      <c r="A136" s="623" t="s">
        <v>1084</v>
      </c>
      <c r="B136" s="621"/>
      <c r="C136" s="621"/>
      <c r="D136" s="621"/>
      <c r="E136" s="621"/>
      <c r="F136" s="621"/>
      <c r="G136" s="621"/>
      <c r="H136" s="621"/>
      <c r="I136" s="621"/>
      <c r="J136" s="621"/>
      <c r="K136" s="621"/>
      <c r="L136" s="621"/>
      <c r="M136" s="621"/>
      <c r="N136" s="621"/>
      <c r="O136" s="621"/>
      <c r="P136" s="621"/>
    </row>
    <row r="137" spans="1:27" ht="11.25" hidden="1" outlineLevel="1" x14ac:dyDescent="0.2">
      <c r="A137" s="604" t="s">
        <v>931</v>
      </c>
      <c r="B137" s="621"/>
      <c r="C137" s="621"/>
      <c r="D137" s="621"/>
      <c r="E137" s="621">
        <f t="shared" ref="E137:E144" si="88">E59</f>
        <v>0</v>
      </c>
      <c r="F137" s="621">
        <f>-'Capital Budget -  Incl SRV'!C136/1000</f>
        <v>-97.875</v>
      </c>
      <c r="G137" s="621">
        <f>-'Revised Capital Budget Incl SRV'!D8/1000</f>
        <v>1031.191</v>
      </c>
      <c r="H137" s="621">
        <f>-'Revised Capital Budget Incl SRV'!E8/1000</f>
        <v>1449.5909999999999</v>
      </c>
      <c r="I137" s="621">
        <f>-'Revised Capital Budget Incl SRV'!F8/1000</f>
        <v>1804.1690000000001</v>
      </c>
      <c r="J137" s="621">
        <f>-'Revised Capital Budget Incl SRV'!G8/1000</f>
        <v>705.28599999999994</v>
      </c>
      <c r="K137" s="621">
        <f>-'Revised Capital Budget Incl SRV'!H8/1000</f>
        <v>0</v>
      </c>
      <c r="L137" s="621">
        <f>-'Revised Capital Budget Incl SRV'!I8/1000</f>
        <v>0</v>
      </c>
      <c r="M137" s="621">
        <f>-'Revised Capital Budget Incl SRV'!J8/1000</f>
        <v>0</v>
      </c>
      <c r="N137" s="621">
        <f>-'Revised Capital Budget Incl SRV'!K8/1000</f>
        <v>0</v>
      </c>
      <c r="O137" s="621">
        <f>-'Revised Capital Budget Incl SRV'!L8/1000</f>
        <v>0</v>
      </c>
      <c r="P137" s="621">
        <f>-'Revised Capital Budget Incl SRV'!M8/1000</f>
        <v>0</v>
      </c>
      <c r="R137" s="606">
        <f>G137-G59</f>
        <v>519.81799999999998</v>
      </c>
      <c r="S137" s="606">
        <f t="shared" ref="S137" si="89">H137-H59</f>
        <v>780.50399999999991</v>
      </c>
      <c r="T137" s="606">
        <f t="shared" ref="T137" si="90">I137-I59</f>
        <v>874.01400000000012</v>
      </c>
      <c r="U137" s="606">
        <f t="shared" ref="U137" si="91">J137-J59</f>
        <v>-114.11300000000006</v>
      </c>
      <c r="V137" s="606">
        <f t="shared" ref="V137" si="92">K137-K59</f>
        <v>0</v>
      </c>
      <c r="W137" s="606">
        <f t="shared" ref="W137" si="93">L137-L59</f>
        <v>0</v>
      </c>
      <c r="X137" s="606">
        <f t="shared" ref="X137" si="94">M137-M59</f>
        <v>0</v>
      </c>
      <c r="Y137" s="606">
        <f t="shared" ref="Y137" si="95">N137-N59</f>
        <v>0</v>
      </c>
      <c r="Z137" s="606">
        <f t="shared" ref="Z137" si="96">O137-O59</f>
        <v>0</v>
      </c>
      <c r="AA137" s="606">
        <f t="shared" ref="AA137" si="97">P137-P59</f>
        <v>0</v>
      </c>
    </row>
    <row r="138" spans="1:27" ht="11.25" hidden="1" outlineLevel="1" x14ac:dyDescent="0.2">
      <c r="A138" s="604" t="s">
        <v>244</v>
      </c>
      <c r="B138" s="621"/>
      <c r="C138" s="621"/>
      <c r="D138" s="621"/>
      <c r="E138" s="621">
        <f t="shared" si="88"/>
        <v>0</v>
      </c>
      <c r="F138" s="621">
        <f>-'Capital Budget -  Incl SRV'!C137/1000</f>
        <v>1554.0070000000001</v>
      </c>
      <c r="G138" s="621">
        <f>-'Revised Capital Budget Incl SRV'!D9/1000</f>
        <v>1981.9670000000001</v>
      </c>
      <c r="H138" s="621">
        <f>-'Revised Capital Budget Incl SRV'!E9/1000</f>
        <v>2036.7460100000001</v>
      </c>
      <c r="I138" s="621">
        <f>-'Revised Capital Budget Incl SRV'!F9/1000</f>
        <v>2093.1683903000003</v>
      </c>
      <c r="J138" s="621">
        <f>-'Revised Capital Budget Incl SRV'!G9/1000</f>
        <v>2151.2834420090003</v>
      </c>
      <c r="K138" s="621">
        <f>-'Revised Capital Budget Incl SRV'!H9/1000</f>
        <v>2194.3091108491803</v>
      </c>
      <c r="L138" s="621">
        <f>-'Revised Capital Budget Incl SRV'!I9/1000</f>
        <v>2238.1952930661641</v>
      </c>
      <c r="M138" s="621">
        <f>-'Revised Capital Budget Incl SRV'!J9/1000</f>
        <v>2282.9591989274873</v>
      </c>
      <c r="N138" s="621">
        <f>-'Revised Capital Budget Incl SRV'!K9/1000</f>
        <v>2328.6183829060369</v>
      </c>
      <c r="O138" s="621">
        <f>-'Revised Capital Budget Incl SRV'!L9/1000</f>
        <v>2375.1907505641575</v>
      </c>
      <c r="P138" s="621">
        <f>-'Revised Capital Budget Incl SRV'!M9/1000</f>
        <v>2422.6945655754407</v>
      </c>
      <c r="R138" s="606">
        <f>G138-G60</f>
        <v>0</v>
      </c>
      <c r="S138" s="606">
        <f t="shared" ref="S138:S142" si="98">H138-H60</f>
        <v>0</v>
      </c>
      <c r="T138" s="606">
        <f t="shared" ref="T138:T142" si="99">I138-I60</f>
        <v>0</v>
      </c>
      <c r="U138" s="606">
        <f t="shared" ref="U138:U142" si="100">J138-J60</f>
        <v>0</v>
      </c>
      <c r="V138" s="606">
        <f t="shared" ref="V138:V142" si="101">K138-K60</f>
        <v>-10.756417210044674</v>
      </c>
      <c r="W138" s="606">
        <f t="shared" ref="W138:W142" si="102">L138-L60</f>
        <v>-21.996873194540967</v>
      </c>
      <c r="X138" s="606">
        <f t="shared" ref="X138:X142" si="103">M138-M60</f>
        <v>-33.737771489735678</v>
      </c>
      <c r="Y138" s="606">
        <f t="shared" ref="Y138:Y142" si="104">N138-N60</f>
        <v>-45.996011771616395</v>
      </c>
      <c r="Z138" s="606">
        <f t="shared" ref="Z138:Z142" si="105">O138-O60</f>
        <v>-58.789003980437428</v>
      </c>
      <c r="AA138" s="606">
        <f t="shared" ref="AA138:AA142" si="106">P138-P60</f>
        <v>-72.134682832768704</v>
      </c>
    </row>
    <row r="139" spans="1:27" ht="11.25" hidden="1" outlineLevel="1" x14ac:dyDescent="0.2">
      <c r="A139" s="604" t="s">
        <v>1085</v>
      </c>
      <c r="B139" s="621"/>
      <c r="C139" s="621"/>
      <c r="D139" s="621"/>
      <c r="E139" s="621">
        <f t="shared" si="88"/>
        <v>0</v>
      </c>
      <c r="F139" s="621">
        <f>-'Capital Budget -  Incl SRV'!C138/1000</f>
        <v>1266</v>
      </c>
      <c r="G139" s="621">
        <f>-'Revised Capital Budget Incl SRV'!D10/1000</f>
        <v>1741</v>
      </c>
      <c r="H139" s="621">
        <f>-'Revised Capital Budget Incl SRV'!E10/1000</f>
        <v>1741</v>
      </c>
      <c r="I139" s="621">
        <f>-'Revised Capital Budget Incl SRV'!F10/1000</f>
        <v>5241</v>
      </c>
      <c r="J139" s="621">
        <f>-'Revised Capital Budget Incl SRV'!G10/1000</f>
        <v>1741</v>
      </c>
      <c r="K139" s="621">
        <f>-'Revised Capital Budget Incl SRV'!H10/1000</f>
        <v>1784.5249999999999</v>
      </c>
      <c r="L139" s="621">
        <f>-'Revised Capital Budget Incl SRV'!I10/1000</f>
        <v>1829.1381249999995</v>
      </c>
      <c r="M139" s="621">
        <f>-'Revised Capital Budget Incl SRV'!J10/1000</f>
        <v>1874.8665781249993</v>
      </c>
      <c r="N139" s="621">
        <f>-'Revised Capital Budget Incl SRV'!K10/1000</f>
        <v>1921.7382425781241</v>
      </c>
      <c r="O139" s="621">
        <f>-'Revised Capital Budget Incl SRV'!L10/1000</f>
        <v>1969.7816986425771</v>
      </c>
      <c r="P139" s="621">
        <f>-'Revised Capital Budget Incl SRV'!M10/1000</f>
        <v>2019.0262411086412</v>
      </c>
      <c r="R139" s="606">
        <f t="shared" ref="R139:R142" si="107">G139-G61</f>
        <v>0</v>
      </c>
      <c r="S139" s="606">
        <f t="shared" si="98"/>
        <v>0</v>
      </c>
      <c r="T139" s="606">
        <f t="shared" si="99"/>
        <v>3500</v>
      </c>
      <c r="U139" s="606">
        <f t="shared" si="100"/>
        <v>0</v>
      </c>
      <c r="V139" s="606">
        <f t="shared" si="101"/>
        <v>0</v>
      </c>
      <c r="W139" s="606">
        <f t="shared" si="102"/>
        <v>0</v>
      </c>
      <c r="X139" s="606">
        <f t="shared" si="103"/>
        <v>0</v>
      </c>
      <c r="Y139" s="606">
        <f t="shared" si="104"/>
        <v>0</v>
      </c>
      <c r="Z139" s="606">
        <f t="shared" si="105"/>
        <v>0</v>
      </c>
      <c r="AA139" s="606">
        <f t="shared" si="106"/>
        <v>0</v>
      </c>
    </row>
    <row r="140" spans="1:27" ht="11.25" hidden="1" outlineLevel="1" x14ac:dyDescent="0.2">
      <c r="A140" s="604" t="s">
        <v>1086</v>
      </c>
      <c r="B140" s="621"/>
      <c r="C140" s="621"/>
      <c r="D140" s="621"/>
      <c r="E140" s="621">
        <f t="shared" si="88"/>
        <v>0</v>
      </c>
      <c r="F140" s="621">
        <f>-'Capital Budget -  Incl SRV'!C139/1000</f>
        <v>78</v>
      </c>
      <c r="G140" s="621">
        <f>-'Revised Capital Budget Incl SRV'!D11/1000</f>
        <v>65</v>
      </c>
      <c r="H140" s="621">
        <f>-'Revised Capital Budget Incl SRV'!E11/1000</f>
        <v>66.625</v>
      </c>
      <c r="I140" s="621">
        <f>-'Revised Capital Budget Incl SRV'!F11/1000</f>
        <v>68.290625000000006</v>
      </c>
      <c r="J140" s="621">
        <f>-'Revised Capital Budget Incl SRV'!G11/1000</f>
        <v>69.997890624999997</v>
      </c>
      <c r="K140" s="621">
        <f>-'Revised Capital Budget Incl SRV'!H11/1000</f>
        <v>71.397848437500002</v>
      </c>
      <c r="L140" s="621">
        <f>-'Revised Capital Budget Incl SRV'!I11/1000</f>
        <v>72.825805406249998</v>
      </c>
      <c r="M140" s="621">
        <f>-'Revised Capital Budget Incl SRV'!J11/1000</f>
        <v>74.282321514374999</v>
      </c>
      <c r="N140" s="621">
        <f>-'Revised Capital Budget Incl SRV'!K11/1000</f>
        <v>75.767967944662487</v>
      </c>
      <c r="O140" s="621">
        <f>-'Revised Capital Budget Incl SRV'!L11/1000</f>
        <v>77.283327303555751</v>
      </c>
      <c r="P140" s="621">
        <f>-'Revised Capital Budget Incl SRV'!M11/1000</f>
        <v>78.828993849626869</v>
      </c>
      <c r="R140" s="606">
        <f t="shared" si="107"/>
        <v>0</v>
      </c>
      <c r="S140" s="606">
        <f t="shared" si="98"/>
        <v>0</v>
      </c>
      <c r="T140" s="606">
        <f t="shared" si="99"/>
        <v>0</v>
      </c>
      <c r="U140" s="606">
        <f t="shared" si="100"/>
        <v>0</v>
      </c>
      <c r="V140" s="606">
        <f t="shared" si="101"/>
        <v>-0.34998945312499075</v>
      </c>
      <c r="W140" s="606">
        <f t="shared" si="102"/>
        <v>-0.71572843164061339</v>
      </c>
      <c r="X140" s="606">
        <f t="shared" si="103"/>
        <v>-1.0977506694628829</v>
      </c>
      <c r="Y140" s="606">
        <f t="shared" si="104"/>
        <v>-1.4966060437713367</v>
      </c>
      <c r="Z140" s="606">
        <f t="shared" si="105"/>
        <v>-1.9128610345889143</v>
      </c>
      <c r="AA140" s="606">
        <f t="shared" si="106"/>
        <v>-2.3470991969714134</v>
      </c>
    </row>
    <row r="141" spans="1:27" ht="11.25" hidden="1" outlineLevel="1" x14ac:dyDescent="0.2">
      <c r="A141" s="604" t="s">
        <v>33</v>
      </c>
      <c r="B141" s="621">
        <f>+B105</f>
        <v>0</v>
      </c>
      <c r="C141" s="621">
        <f>C105</f>
        <v>0</v>
      </c>
      <c r="D141" s="621">
        <f>D105</f>
        <v>0</v>
      </c>
      <c r="E141" s="621">
        <f t="shared" si="88"/>
        <v>7182</v>
      </c>
      <c r="F141" s="621">
        <f>-'Capital Budget -  Incl SRV'!C140/1000</f>
        <v>8510.6460000000006</v>
      </c>
      <c r="G141" s="621">
        <f>-'Revised Capital Budget Incl SRV'!D12/1000</f>
        <v>7355.7780000000002</v>
      </c>
      <c r="H141" s="621">
        <f>-'Revised Capital Budget Incl SRV'!E12/1000</f>
        <v>7480.78917</v>
      </c>
      <c r="I141" s="621">
        <f>-'Revised Capital Budget Incl SRV'!F12/1000</f>
        <v>7794.1176536499988</v>
      </c>
      <c r="J141" s="621">
        <f>-'Revised Capital Budget Incl SRV'!G12/1000</f>
        <v>8342.0102279792482</v>
      </c>
      <c r="K141" s="621">
        <f>-'Revised Capital Budget Incl SRV'!H12/1000</f>
        <v>8550.7501086787288</v>
      </c>
      <c r="L141" s="621">
        <f>-'Revised Capital Budget Incl SRV'!I12/1000</f>
        <v>8764.5188613956943</v>
      </c>
      <c r="M141" s="621">
        <f>-'Revised Capital Budget Incl SRV'!J12/1000</f>
        <v>8983.6318329305868</v>
      </c>
      <c r="N141" s="621">
        <f>-'Revised Capital Budget Incl SRV'!K12/1000</f>
        <v>9208.2226287538506</v>
      </c>
      <c r="O141" s="621">
        <f>-'Revised Capital Budget Incl SRV'!L12/1000</f>
        <v>9438.4281944726972</v>
      </c>
      <c r="P141" s="621">
        <f>-'Revised Capital Budget Incl SRV'!M12/1000</f>
        <v>9674.3888993345136</v>
      </c>
      <c r="R141" s="606">
        <f t="shared" si="107"/>
        <v>0</v>
      </c>
      <c r="S141" s="606">
        <f t="shared" si="98"/>
        <v>-56.997000000000298</v>
      </c>
      <c r="T141" s="606">
        <f t="shared" si="99"/>
        <v>69.828999999999724</v>
      </c>
      <c r="U141" s="606">
        <f t="shared" si="100"/>
        <v>426.57499999999982</v>
      </c>
      <c r="V141" s="606">
        <f t="shared" si="101"/>
        <v>437.23937500000011</v>
      </c>
      <c r="W141" s="606">
        <f t="shared" si="102"/>
        <v>448.17035937499895</v>
      </c>
      <c r="X141" s="606">
        <f t="shared" si="103"/>
        <v>459.37461835937575</v>
      </c>
      <c r="Y141" s="606">
        <f t="shared" si="104"/>
        <v>470.85898381835977</v>
      </c>
      <c r="Z141" s="606">
        <f t="shared" si="105"/>
        <v>482.63045841381972</v>
      </c>
      <c r="AA141" s="606">
        <f t="shared" si="106"/>
        <v>494.69621987416576</v>
      </c>
    </row>
    <row r="142" spans="1:27" ht="11.25" hidden="1" outlineLevel="1" x14ac:dyDescent="0.2">
      <c r="A142" s="604" t="s">
        <v>22</v>
      </c>
      <c r="B142" s="621"/>
      <c r="C142" s="621"/>
      <c r="D142" s="621"/>
      <c r="E142" s="621">
        <f t="shared" si="88"/>
        <v>0</v>
      </c>
      <c r="F142" s="621">
        <f>-'Capital Budget -  Incl SRV'!C141/1000</f>
        <v>2262.9380000000001</v>
      </c>
      <c r="G142" s="621">
        <f>-'Revised Capital Budget Incl SRV'!D13/1000</f>
        <v>550</v>
      </c>
      <c r="H142" s="621">
        <f>-'Revised Capital Budget Incl SRV'!E13/1000</f>
        <v>11000</v>
      </c>
      <c r="I142" s="621">
        <f>-'Revised Capital Budget Incl SRV'!F13/1000</f>
        <v>0</v>
      </c>
      <c r="J142" s="621">
        <f>-'Revised Capital Budget Incl SRV'!G13/1000</f>
        <v>0</v>
      </c>
      <c r="K142" s="621">
        <f>-'Revised Capital Budget Incl SRV'!H13/1000</f>
        <v>2200</v>
      </c>
      <c r="L142" s="621">
        <f>-'Revised Capital Budget Incl SRV'!I13/1000</f>
        <v>2244</v>
      </c>
      <c r="M142" s="621">
        <f>-'Revised Capital Budget Incl SRV'!J13/1000</f>
        <v>2288.88</v>
      </c>
      <c r="N142" s="621">
        <f>-'Revised Capital Budget Incl SRV'!K13/1000</f>
        <v>2334.6576</v>
      </c>
      <c r="O142" s="621">
        <f>-'Revised Capital Budget Incl SRV'!L13/1000</f>
        <v>2381.3507520000003</v>
      </c>
      <c r="P142" s="621">
        <f>-'Revised Capital Budget Incl SRV'!M13/1000</f>
        <v>2428.9777670400003</v>
      </c>
      <c r="Q142" s="603" t="s">
        <v>1315</v>
      </c>
      <c r="R142" s="606">
        <f t="shared" si="107"/>
        <v>-1650</v>
      </c>
      <c r="S142" s="606">
        <f t="shared" si="98"/>
        <v>3000</v>
      </c>
      <c r="T142" s="606">
        <f t="shared" si="99"/>
        <v>-2000</v>
      </c>
      <c r="U142" s="606">
        <f t="shared" si="100"/>
        <v>-2000</v>
      </c>
      <c r="V142" s="606">
        <f t="shared" si="101"/>
        <v>160</v>
      </c>
      <c r="W142" s="606">
        <f t="shared" si="102"/>
        <v>163.19999999999982</v>
      </c>
      <c r="X142" s="606">
        <f t="shared" si="103"/>
        <v>166.46399999999994</v>
      </c>
      <c r="Y142" s="606">
        <f t="shared" si="104"/>
        <v>169.79328000000032</v>
      </c>
      <c r="Z142" s="606">
        <f t="shared" si="105"/>
        <v>173.1891456000003</v>
      </c>
      <c r="AA142" s="606">
        <f t="shared" si="106"/>
        <v>176.65292851200047</v>
      </c>
    </row>
    <row r="143" spans="1:27" ht="11.25" hidden="1" outlineLevel="1" x14ac:dyDescent="0.2">
      <c r="A143" s="604" t="s">
        <v>1087</v>
      </c>
      <c r="B143" s="621"/>
      <c r="C143" s="621"/>
      <c r="D143" s="621"/>
      <c r="E143" s="621">
        <f t="shared" si="88"/>
        <v>0</v>
      </c>
      <c r="F143" s="621">
        <f>-'Capital Budget -  Incl SRV'!C142/1000</f>
        <v>0</v>
      </c>
      <c r="G143" s="621">
        <f>-'Revised Capital Budget Incl SRV'!D14/1000</f>
        <v>0</v>
      </c>
      <c r="H143" s="621">
        <f>-'Revised Capital Budget Incl SRV'!E14/1000</f>
        <v>10500</v>
      </c>
      <c r="I143" s="621">
        <f>-'Revised Capital Budget Incl SRV'!F14/1000</f>
        <v>11000</v>
      </c>
      <c r="J143" s="621">
        <f>-'Revised Capital Budget Incl SRV'!G14/1000</f>
        <v>0</v>
      </c>
      <c r="K143" s="621">
        <f>-'Revised Capital Budget Incl SRV'!H14/1000</f>
        <v>0</v>
      </c>
      <c r="L143" s="621">
        <f>-'Revised Capital Budget Incl SRV'!I14/1000</f>
        <v>0</v>
      </c>
      <c r="M143" s="621">
        <f>-'Revised Capital Budget Incl SRV'!J14/1000</f>
        <v>0</v>
      </c>
      <c r="N143" s="621">
        <f>-'Revised Capital Budget Incl SRV'!K14/1000</f>
        <v>0</v>
      </c>
      <c r="O143" s="621">
        <f>-'Revised Capital Budget Incl SRV'!L14/1000</f>
        <v>0</v>
      </c>
      <c r="P143" s="621">
        <f>-'Revised Capital Budget Incl SRV'!M14/1000</f>
        <v>0</v>
      </c>
      <c r="Q143" s="603" t="s">
        <v>1315</v>
      </c>
      <c r="R143" s="606">
        <f t="shared" ref="R143:R144" si="108">G143-G65</f>
        <v>0</v>
      </c>
      <c r="S143" s="606">
        <f t="shared" ref="S143:S144" si="109">H143-H65</f>
        <v>10500</v>
      </c>
      <c r="T143" s="606">
        <f t="shared" ref="T143:T144" si="110">I143-I65</f>
        <v>11000</v>
      </c>
      <c r="U143" s="606">
        <f t="shared" ref="U143:U144" si="111">J143-J65</f>
        <v>0</v>
      </c>
      <c r="V143" s="606">
        <f t="shared" ref="V143:V144" si="112">K143-K65</f>
        <v>0</v>
      </c>
      <c r="W143" s="606">
        <f t="shared" ref="W143:W144" si="113">L143-L65</f>
        <v>0</v>
      </c>
      <c r="X143" s="606">
        <f t="shared" ref="X143:X144" si="114">M143-M65</f>
        <v>0</v>
      </c>
      <c r="Y143" s="606">
        <f t="shared" ref="Y143:Y144" si="115">N143-N65</f>
        <v>0</v>
      </c>
      <c r="Z143" s="606">
        <f t="shared" ref="Z143:Z144" si="116">O143-O65</f>
        <v>0</v>
      </c>
      <c r="AA143" s="606">
        <f t="shared" ref="AA143:AA144" si="117">P143-P65</f>
        <v>0</v>
      </c>
    </row>
    <row r="144" spans="1:27" ht="11.25" hidden="1" outlineLevel="1" x14ac:dyDescent="0.2">
      <c r="A144" s="604" t="s">
        <v>1344</v>
      </c>
      <c r="B144" s="621"/>
      <c r="C144" s="621"/>
      <c r="D144" s="621"/>
      <c r="E144" s="621">
        <f t="shared" si="88"/>
        <v>0</v>
      </c>
      <c r="F144" s="621">
        <f>-'Capital Budget -  Incl SRV'!C143/1000</f>
        <v>70</v>
      </c>
      <c r="G144" s="621">
        <f>-'Revised Capital Budget Incl SRV'!D15/1000</f>
        <v>70</v>
      </c>
      <c r="H144" s="621">
        <f>-'Revised Capital Budget Incl SRV'!E15/1000</f>
        <v>70</v>
      </c>
      <c r="I144" s="621">
        <f>-'Revised Capital Budget Incl SRV'!F15/1000</f>
        <v>70</v>
      </c>
      <c r="J144" s="621">
        <f>-'Revised Capital Budget Incl SRV'!G15/1000</f>
        <v>70</v>
      </c>
      <c r="K144" s="621">
        <f>-'Revised Capital Budget Incl SRV'!H15/1000</f>
        <v>71.400000000000006</v>
      </c>
      <c r="L144" s="621">
        <f>-'Revised Capital Budget Incl SRV'!I15/1000</f>
        <v>72.828000000000003</v>
      </c>
      <c r="M144" s="621">
        <f>-'Revised Capital Budget Incl SRV'!J15/1000</f>
        <v>74.284559999999999</v>
      </c>
      <c r="N144" s="621">
        <f>-'Revised Capital Budget Incl SRV'!K15/1000</f>
        <v>75.770251200000004</v>
      </c>
      <c r="O144" s="621">
        <f>-'Revised Capital Budget Incl SRV'!L15/1000</f>
        <v>77.285656224000007</v>
      </c>
      <c r="P144" s="621">
        <f>-'Revised Capital Budget Incl SRV'!M15/1000</f>
        <v>78.831369348479996</v>
      </c>
      <c r="R144" s="606">
        <f t="shared" si="108"/>
        <v>0</v>
      </c>
      <c r="S144" s="606">
        <f t="shared" si="109"/>
        <v>0</v>
      </c>
      <c r="T144" s="606">
        <f t="shared" si="110"/>
        <v>0</v>
      </c>
      <c r="U144" s="606">
        <f t="shared" si="111"/>
        <v>0</v>
      </c>
      <c r="V144" s="606">
        <f t="shared" si="112"/>
        <v>0</v>
      </c>
      <c r="W144" s="606">
        <f t="shared" si="113"/>
        <v>0</v>
      </c>
      <c r="X144" s="606">
        <f t="shared" si="114"/>
        <v>0</v>
      </c>
      <c r="Y144" s="606">
        <f t="shared" si="115"/>
        <v>0</v>
      </c>
      <c r="Z144" s="606">
        <f t="shared" si="116"/>
        <v>0</v>
      </c>
      <c r="AA144" s="606">
        <f t="shared" si="117"/>
        <v>0</v>
      </c>
    </row>
    <row r="145" spans="1:27" ht="11.25" hidden="1" outlineLevel="1" x14ac:dyDescent="0.2">
      <c r="A145" s="604"/>
      <c r="B145" s="621"/>
      <c r="C145" s="621"/>
      <c r="D145" s="771">
        <f t="shared" ref="D145:P145" si="118">SUM(D137:D144)</f>
        <v>0</v>
      </c>
      <c r="E145" s="771">
        <f t="shared" si="118"/>
        <v>7182</v>
      </c>
      <c r="F145" s="771">
        <f t="shared" si="118"/>
        <v>13643.716</v>
      </c>
      <c r="G145" s="771">
        <f t="shared" si="118"/>
        <v>12794.936000000002</v>
      </c>
      <c r="H145" s="771">
        <f t="shared" si="118"/>
        <v>34344.751179999999</v>
      </c>
      <c r="I145" s="771">
        <f t="shared" si="118"/>
        <v>28070.745668949996</v>
      </c>
      <c r="J145" s="771">
        <f t="shared" si="118"/>
        <v>13079.577560613248</v>
      </c>
      <c r="K145" s="771">
        <f t="shared" si="118"/>
        <v>14872.382067965409</v>
      </c>
      <c r="L145" s="771">
        <f t="shared" si="118"/>
        <v>15221.506084868108</v>
      </c>
      <c r="M145" s="771">
        <f t="shared" si="118"/>
        <v>15578.904491497451</v>
      </c>
      <c r="N145" s="771">
        <f t="shared" si="118"/>
        <v>15944.775073382674</v>
      </c>
      <c r="O145" s="771">
        <f t="shared" si="118"/>
        <v>16319.320379206987</v>
      </c>
      <c r="P145" s="771">
        <f t="shared" si="118"/>
        <v>16702.747836256705</v>
      </c>
    </row>
    <row r="146" spans="1:27" ht="11.25" hidden="1" outlineLevel="1" x14ac:dyDescent="0.2">
      <c r="A146" s="599"/>
      <c r="B146" s="621"/>
      <c r="C146" s="621"/>
      <c r="D146" s="622"/>
      <c r="E146" s="622"/>
      <c r="F146" s="622"/>
      <c r="G146" s="622"/>
      <c r="H146" s="622"/>
      <c r="I146" s="622"/>
      <c r="J146" s="624"/>
      <c r="K146" s="624"/>
      <c r="L146" s="624"/>
      <c r="M146" s="624"/>
      <c r="N146" s="624"/>
      <c r="O146" s="624"/>
      <c r="P146" s="624"/>
      <c r="Q146" s="1412" t="s">
        <v>1513</v>
      </c>
      <c r="R146" s="1412"/>
      <c r="S146" s="1412"/>
      <c r="T146" s="1412"/>
      <c r="U146" s="1412"/>
    </row>
    <row r="147" spans="1:27" ht="11.25" hidden="1" outlineLevel="1" x14ac:dyDescent="0.2">
      <c r="A147" s="604"/>
      <c r="B147" s="621"/>
      <c r="C147" s="621"/>
      <c r="D147" s="621"/>
      <c r="E147" s="621"/>
      <c r="F147" s="621"/>
      <c r="G147" s="621"/>
      <c r="H147" s="621"/>
      <c r="I147" s="621"/>
      <c r="J147" s="621"/>
      <c r="K147" s="621"/>
      <c r="L147" s="621"/>
      <c r="M147" s="621"/>
      <c r="N147" s="621"/>
      <c r="O147" s="621"/>
      <c r="P147" s="621"/>
    </row>
    <row r="148" spans="1:27" ht="11.25" hidden="1" outlineLevel="1" x14ac:dyDescent="0.2">
      <c r="A148" s="604" t="s">
        <v>34</v>
      </c>
      <c r="B148" s="621">
        <f>+B116+SUM(B130:B147)</f>
        <v>0</v>
      </c>
      <c r="C148" s="621">
        <f>+C116+SUM(C130:C147)</f>
        <v>0</v>
      </c>
      <c r="D148" s="625">
        <f>D145-D135</f>
        <v>0</v>
      </c>
      <c r="E148" s="625">
        <f t="shared" ref="E148:P148" si="119">E145-E135</f>
        <v>7182</v>
      </c>
      <c r="F148" s="625">
        <f t="shared" si="119"/>
        <v>30</v>
      </c>
      <c r="G148" s="625">
        <f t="shared" si="119"/>
        <v>-399.99999999999818</v>
      </c>
      <c r="H148" s="625">
        <f t="shared" si="119"/>
        <v>3.6999999429099262E-4</v>
      </c>
      <c r="I148" s="625">
        <f t="shared" si="119"/>
        <v>-1.1635000191745348E-4</v>
      </c>
      <c r="J148" s="625">
        <f t="shared" si="119"/>
        <v>-1250.0002862707515</v>
      </c>
      <c r="K148" s="625">
        <f t="shared" si="119"/>
        <v>1016.0275771193537</v>
      </c>
      <c r="L148" s="625">
        <f t="shared" si="119"/>
        <v>138.40149350514912</v>
      </c>
      <c r="M148" s="625">
        <f t="shared" si="119"/>
        <v>-755.89476966025359</v>
      </c>
      <c r="N148" s="625">
        <f t="shared" si="119"/>
        <v>-237.70705741485472</v>
      </c>
      <c r="O148" s="625">
        <f t="shared" si="119"/>
        <v>-198.87744273357748</v>
      </c>
      <c r="P148" s="625">
        <f t="shared" si="119"/>
        <v>-155.24413386293963</v>
      </c>
    </row>
    <row r="149" spans="1:27" ht="11.25" hidden="1" outlineLevel="1" x14ac:dyDescent="0.2">
      <c r="A149" s="600" t="s">
        <v>451</v>
      </c>
      <c r="C149" s="606">
        <f>B150</f>
        <v>0</v>
      </c>
      <c r="D149" s="606">
        <f t="shared" ref="D149:E149" si="120">C150</f>
        <v>0</v>
      </c>
      <c r="E149" s="606">
        <f t="shared" si="120"/>
        <v>0</v>
      </c>
      <c r="F149" s="606">
        <v>0</v>
      </c>
      <c r="G149" s="606">
        <f t="shared" ref="G149:P149" si="121">F150</f>
        <v>30</v>
      </c>
      <c r="H149" s="606">
        <f t="shared" si="121"/>
        <v>-369.99999999999818</v>
      </c>
      <c r="I149" s="606">
        <f t="shared" si="121"/>
        <v>-369.99963000000389</v>
      </c>
      <c r="J149" s="606">
        <f t="shared" si="121"/>
        <v>-369.99974635000581</v>
      </c>
      <c r="K149" s="606">
        <f t="shared" si="121"/>
        <v>-1620.0000326207573</v>
      </c>
      <c r="L149" s="606">
        <f t="shared" si="121"/>
        <v>-603.9724555014036</v>
      </c>
      <c r="M149" s="606">
        <f t="shared" si="121"/>
        <v>-465.57096199625448</v>
      </c>
      <c r="N149" s="606">
        <f t="shared" si="121"/>
        <v>-1221.4657316565081</v>
      </c>
      <c r="O149" s="606">
        <f t="shared" si="121"/>
        <v>-1459.1727890713628</v>
      </c>
      <c r="P149" s="606">
        <f t="shared" si="121"/>
        <v>-1658.0502318049403</v>
      </c>
    </row>
    <row r="150" spans="1:27" ht="11.25" hidden="1" outlineLevel="1" x14ac:dyDescent="0.2">
      <c r="A150" s="620" t="s">
        <v>452</v>
      </c>
      <c r="B150" s="626"/>
      <c r="C150" s="627">
        <f>SUM(C148:C149)</f>
        <v>0</v>
      </c>
      <c r="D150" s="627">
        <f t="shared" ref="D150:P150" si="122">SUM(D148:D149)</f>
        <v>0</v>
      </c>
      <c r="E150" s="627">
        <f t="shared" si="122"/>
        <v>7182</v>
      </c>
      <c r="F150" s="627">
        <f t="shared" si="122"/>
        <v>30</v>
      </c>
      <c r="G150" s="627">
        <f t="shared" si="122"/>
        <v>-369.99999999999818</v>
      </c>
      <c r="H150" s="627">
        <f t="shared" si="122"/>
        <v>-369.99963000000389</v>
      </c>
      <c r="I150" s="627">
        <f t="shared" si="122"/>
        <v>-369.99974635000581</v>
      </c>
      <c r="J150" s="627">
        <f t="shared" si="122"/>
        <v>-1620.0000326207573</v>
      </c>
      <c r="K150" s="627">
        <f t="shared" si="122"/>
        <v>-603.9724555014036</v>
      </c>
      <c r="L150" s="627">
        <f t="shared" si="122"/>
        <v>-465.57096199625448</v>
      </c>
      <c r="M150" s="627">
        <f t="shared" si="122"/>
        <v>-1221.4657316565081</v>
      </c>
      <c r="N150" s="627">
        <f t="shared" si="122"/>
        <v>-1459.1727890713628</v>
      </c>
      <c r="O150" s="627">
        <f t="shared" si="122"/>
        <v>-1658.0502318049403</v>
      </c>
      <c r="P150" s="627">
        <f t="shared" si="122"/>
        <v>-1813.2943656678799</v>
      </c>
    </row>
    <row r="151" spans="1:27" ht="11.25" hidden="1" outlineLevel="1" x14ac:dyDescent="0.2">
      <c r="A151" s="620"/>
      <c r="B151" s="626"/>
      <c r="C151" s="627"/>
      <c r="D151" s="627"/>
      <c r="E151" s="627"/>
      <c r="F151" s="627"/>
      <c r="G151" s="627"/>
      <c r="H151" s="627"/>
      <c r="I151" s="627"/>
      <c r="J151" s="627"/>
      <c r="K151" s="627"/>
      <c r="L151" s="627"/>
      <c r="M151" s="627"/>
      <c r="N151" s="627"/>
      <c r="O151" s="627"/>
      <c r="P151" s="627"/>
    </row>
    <row r="152" spans="1:27" ht="15.6" collapsed="1" x14ac:dyDescent="0.3">
      <c r="A152" s="1091" t="s">
        <v>1247</v>
      </c>
      <c r="R152" s="1370" t="s">
        <v>1398</v>
      </c>
      <c r="S152" s="1336"/>
      <c r="T152" s="1336"/>
      <c r="U152" s="1336"/>
      <c r="V152" s="1336"/>
      <c r="W152" s="1336"/>
      <c r="X152" s="1336"/>
      <c r="Y152" s="1336"/>
      <c r="Z152" s="1336"/>
      <c r="AA152" s="1336"/>
    </row>
    <row r="153" spans="1:27" ht="12" x14ac:dyDescent="0.25">
      <c r="A153" s="635" t="s">
        <v>1066</v>
      </c>
      <c r="B153" s="586" t="s">
        <v>69</v>
      </c>
      <c r="C153" s="586" t="s">
        <v>69</v>
      </c>
      <c r="D153" s="586" t="s">
        <v>69</v>
      </c>
      <c r="E153" s="586" t="s">
        <v>69</v>
      </c>
      <c r="F153" s="586" t="s">
        <v>70</v>
      </c>
      <c r="G153" s="586" t="s">
        <v>70</v>
      </c>
      <c r="H153" s="586" t="s">
        <v>71</v>
      </c>
      <c r="I153" s="586" t="s">
        <v>71</v>
      </c>
      <c r="J153" s="586" t="s">
        <v>71</v>
      </c>
      <c r="K153" s="586" t="s">
        <v>71</v>
      </c>
      <c r="L153" s="586" t="s">
        <v>71</v>
      </c>
      <c r="M153" s="586" t="s">
        <v>71</v>
      </c>
      <c r="N153" s="586" t="s">
        <v>71</v>
      </c>
      <c r="O153" s="586" t="s">
        <v>71</v>
      </c>
      <c r="P153" s="586" t="s">
        <v>71</v>
      </c>
      <c r="R153" s="586" t="s">
        <v>70</v>
      </c>
      <c r="S153" s="586" t="s">
        <v>71</v>
      </c>
      <c r="T153" s="586" t="s">
        <v>71</v>
      </c>
      <c r="U153" s="586" t="s">
        <v>71</v>
      </c>
      <c r="V153" s="586" t="s">
        <v>71</v>
      </c>
      <c r="W153" s="586" t="s">
        <v>71</v>
      </c>
      <c r="X153" s="586" t="s">
        <v>71</v>
      </c>
      <c r="Y153" s="586" t="s">
        <v>71</v>
      </c>
      <c r="Z153" s="586" t="s">
        <v>71</v>
      </c>
      <c r="AA153" s="586" t="s">
        <v>71</v>
      </c>
    </row>
    <row r="154" spans="1:27" x14ac:dyDescent="0.2">
      <c r="A154" s="598" t="s">
        <v>73</v>
      </c>
      <c r="B154" s="741" t="s">
        <v>68</v>
      </c>
      <c r="C154" s="694" t="s">
        <v>0</v>
      </c>
      <c r="D154" s="694" t="s">
        <v>1</v>
      </c>
      <c r="E154" s="694" t="s">
        <v>2</v>
      </c>
      <c r="F154" s="694" t="s">
        <v>3</v>
      </c>
      <c r="G154" s="694" t="s">
        <v>4</v>
      </c>
      <c r="H154" s="694" t="s">
        <v>5</v>
      </c>
      <c r="I154" s="694" t="s">
        <v>6</v>
      </c>
      <c r="J154" s="694" t="s">
        <v>7</v>
      </c>
      <c r="K154" s="694" t="s">
        <v>8</v>
      </c>
      <c r="L154" s="694" t="s">
        <v>9</v>
      </c>
      <c r="M154" s="694" t="s">
        <v>514</v>
      </c>
      <c r="N154" s="694" t="s">
        <v>515</v>
      </c>
      <c r="O154" s="694" t="s">
        <v>904</v>
      </c>
      <c r="P154" s="694" t="s">
        <v>1046</v>
      </c>
      <c r="R154" s="694" t="s">
        <v>4</v>
      </c>
      <c r="S154" s="694" t="s">
        <v>5</v>
      </c>
      <c r="T154" s="694" t="s">
        <v>6</v>
      </c>
      <c r="U154" s="694" t="s">
        <v>7</v>
      </c>
      <c r="V154" s="694" t="s">
        <v>8</v>
      </c>
      <c r="W154" s="694" t="s">
        <v>9</v>
      </c>
      <c r="X154" s="694" t="s">
        <v>514</v>
      </c>
      <c r="Y154" s="694" t="s">
        <v>515</v>
      </c>
      <c r="Z154" s="694" t="s">
        <v>904</v>
      </c>
      <c r="AA154" s="694" t="s">
        <v>1046</v>
      </c>
    </row>
    <row r="155" spans="1:27" x14ac:dyDescent="0.2">
      <c r="A155" s="604" t="s">
        <v>61</v>
      </c>
      <c r="R155" s="603"/>
      <c r="S155" s="603"/>
      <c r="T155" s="603"/>
      <c r="U155" s="603"/>
      <c r="V155" s="603"/>
      <c r="W155" s="603"/>
      <c r="X155" s="603"/>
      <c r="Y155" s="603"/>
      <c r="Z155" s="603"/>
      <c r="AA155" s="603"/>
    </row>
    <row r="156" spans="1:27" x14ac:dyDescent="0.2">
      <c r="A156" s="607" t="s">
        <v>62</v>
      </c>
      <c r="R156" s="599" t="s">
        <v>1397</v>
      </c>
    </row>
    <row r="157" spans="1:27" x14ac:dyDescent="0.2">
      <c r="A157" s="600" t="s">
        <v>11</v>
      </c>
      <c r="B157" s="606">
        <f t="shared" ref="B157:C162" si="123">+B12</f>
        <v>0</v>
      </c>
      <c r="C157" s="606">
        <f t="shared" si="123"/>
        <v>0</v>
      </c>
      <c r="D157" s="606">
        <f t="shared" ref="D157:F166" si="124">D87</f>
        <v>0</v>
      </c>
      <c r="E157" s="606">
        <f t="shared" si="124"/>
        <v>13690</v>
      </c>
      <c r="F157" s="606">
        <f t="shared" si="124"/>
        <v>14450.315000000001</v>
      </c>
      <c r="G157" s="606">
        <f>G87+'Mining Revenue Impact'!D15/1000</f>
        <v>16122.328500000001</v>
      </c>
      <c r="H157" s="606">
        <f>H87+'Mining Revenue Impact'!E15/1000</f>
        <v>16449.500283500001</v>
      </c>
      <c r="I157" s="606">
        <f>I87+'Mining Revenue Impact'!F15/1000</f>
        <v>17827.920834337499</v>
      </c>
      <c r="J157" s="606">
        <f>J87+'Mining Revenue Impact'!G15/1000</f>
        <v>18677.443530195935</v>
      </c>
      <c r="K157" s="606">
        <f>K87+'Mining Revenue Impact'!H15/1000</f>
        <v>18584.194576458645</v>
      </c>
      <c r="L157" s="606">
        <f>L87+'Mining Revenue Impact'!I15/1000</f>
        <v>19048.799440870109</v>
      </c>
      <c r="M157" s="606">
        <f>M87+'Mining Revenue Impact'!J15/1000</f>
        <v>19125.360105834112</v>
      </c>
      <c r="N157" s="606">
        <f>N87+'Mining Revenue Impact'!K15/1000</f>
        <v>19603.494108479965</v>
      </c>
      <c r="O157" s="606">
        <f>O87+'Mining Revenue Impact'!L15/1000</f>
        <v>18795.068573170767</v>
      </c>
      <c r="P157" s="606">
        <f>P87+'Mining Revenue Impact'!M15/1000</f>
        <v>17257.126597965384</v>
      </c>
      <c r="R157" s="606">
        <f t="shared" ref="R157:R166" si="125">G157-G87</f>
        <v>558.35150000000067</v>
      </c>
      <c r="S157" s="606">
        <f t="shared" ref="S157:S166" si="126">H157-H87</f>
        <v>93.338283500001126</v>
      </c>
      <c r="T157" s="606">
        <f t="shared" ref="T157:T166" si="127">I157-I87</f>
        <v>362.26783433750097</v>
      </c>
      <c r="U157" s="606">
        <f t="shared" ref="U157:U166" si="128">J157-J87</f>
        <v>371.32453019593595</v>
      </c>
      <c r="V157" s="606">
        <f t="shared" ref="V157:V166" si="129">K157-K87</f>
        <v>-179.5773985413507</v>
      </c>
      <c r="W157" s="606">
        <f t="shared" ref="W157:W166" si="130">L157-L87</f>
        <v>-184.06683350488674</v>
      </c>
      <c r="X157" s="606">
        <f t="shared" ref="X157:X166" si="131">M157-M87</f>
        <v>-588.32782540025801</v>
      </c>
      <c r="Y157" s="606">
        <f t="shared" ref="Y157:Y166" si="132">N157-N87</f>
        <v>-603.03602103526282</v>
      </c>
      <c r="Z157" s="606">
        <f t="shared" ref="Z157:Z166" si="133">O157-O87</f>
        <v>-1916.6248095823394</v>
      </c>
      <c r="AA157" s="606">
        <f t="shared" ref="AA157:AA166" si="134">P157-P87</f>
        <v>-3972.359119356548</v>
      </c>
    </row>
    <row r="158" spans="1:27" x14ac:dyDescent="0.2">
      <c r="A158" s="600" t="s">
        <v>12</v>
      </c>
      <c r="B158" s="606">
        <f t="shared" si="123"/>
        <v>0</v>
      </c>
      <c r="C158" s="606">
        <f t="shared" si="123"/>
        <v>0</v>
      </c>
      <c r="D158" s="606">
        <f t="shared" si="124"/>
        <v>0</v>
      </c>
      <c r="E158" s="606">
        <f t="shared" si="124"/>
        <v>7643</v>
      </c>
      <c r="F158" s="606">
        <f t="shared" si="124"/>
        <v>6434.6660000000002</v>
      </c>
      <c r="G158" s="606">
        <f t="shared" ref="G158:J166" si="135">G88</f>
        <v>6694.2250000000004</v>
      </c>
      <c r="H158" s="606">
        <f t="shared" si="135"/>
        <v>6699.7</v>
      </c>
      <c r="I158" s="606">
        <f t="shared" si="135"/>
        <v>6981.9269999999997</v>
      </c>
      <c r="J158" s="606">
        <f t="shared" si="135"/>
        <v>7344.5609999999997</v>
      </c>
      <c r="K158" s="608">
        <f>J158*(1+'LTFP Assumptions'!$K12)</f>
        <v>7491.4522200000001</v>
      </c>
      <c r="L158" s="608">
        <f>K158*(1+'LTFP Assumptions'!$K12)</f>
        <v>7641.2812644000005</v>
      </c>
      <c r="M158" s="608">
        <f>L158*(1+'LTFP Assumptions'!$K12)</f>
        <v>7794.1068896880006</v>
      </c>
      <c r="N158" s="608">
        <f>M158*(1+'LTFP Assumptions'!$K12)</f>
        <v>7949.9890274817608</v>
      </c>
      <c r="O158" s="608">
        <f>N158*(1+'LTFP Assumptions'!$K12)</f>
        <v>8108.9888080313958</v>
      </c>
      <c r="P158" s="608">
        <f>O158*(1+'LTFP Assumptions'!$K12)</f>
        <v>8271.1685841920244</v>
      </c>
      <c r="R158" s="606">
        <f t="shared" si="125"/>
        <v>0</v>
      </c>
      <c r="S158" s="606">
        <f t="shared" si="126"/>
        <v>0</v>
      </c>
      <c r="T158" s="606">
        <f t="shared" si="127"/>
        <v>0</v>
      </c>
      <c r="U158" s="606">
        <f t="shared" si="128"/>
        <v>0</v>
      </c>
      <c r="V158" s="606">
        <f t="shared" si="129"/>
        <v>0</v>
      </c>
      <c r="W158" s="606">
        <f t="shared" si="130"/>
        <v>0</v>
      </c>
      <c r="X158" s="606">
        <f t="shared" si="131"/>
        <v>0</v>
      </c>
      <c r="Y158" s="606">
        <f t="shared" si="132"/>
        <v>0</v>
      </c>
      <c r="Z158" s="606">
        <f t="shared" si="133"/>
        <v>0</v>
      </c>
      <c r="AA158" s="606">
        <f t="shared" si="134"/>
        <v>0</v>
      </c>
    </row>
    <row r="159" spans="1:27" x14ac:dyDescent="0.2">
      <c r="A159" s="600" t="s">
        <v>13</v>
      </c>
      <c r="B159" s="606">
        <f t="shared" si="123"/>
        <v>0</v>
      </c>
      <c r="C159" s="606">
        <f t="shared" si="123"/>
        <v>0</v>
      </c>
      <c r="D159" s="606">
        <f t="shared" si="124"/>
        <v>0</v>
      </c>
      <c r="E159" s="606">
        <f t="shared" si="124"/>
        <v>1053</v>
      </c>
      <c r="F159" s="606">
        <f t="shared" si="124"/>
        <v>931.5</v>
      </c>
      <c r="G159" s="606">
        <f t="shared" si="135"/>
        <v>938.20899999999995</v>
      </c>
      <c r="H159" s="606">
        <f t="shared" si="135"/>
        <v>947.19299999999998</v>
      </c>
      <c r="I159" s="606">
        <f t="shared" si="135"/>
        <v>956.88900000000001</v>
      </c>
      <c r="J159" s="606">
        <f t="shared" si="135"/>
        <v>965.43299999999999</v>
      </c>
      <c r="K159" s="608">
        <f>'GF &amp; FF   Cash Flow'!J158*'LTFP Assumptions'!$K17+K84</f>
        <v>814.83014664369796</v>
      </c>
      <c r="L159" s="608">
        <f>'GF &amp; FF   Cash Flow'!K158*'LTFP Assumptions'!$K17+L84</f>
        <v>845.40793434835882</v>
      </c>
      <c r="M159" s="608">
        <f>'GF &amp; FF   Cash Flow'!L158*'LTFP Assumptions'!$K17+M84</f>
        <v>880.10835731807583</v>
      </c>
      <c r="N159" s="608">
        <f>'GF &amp; FF   Cash Flow'!M158*'LTFP Assumptions'!$K17+N84</f>
        <v>903.15442244952135</v>
      </c>
      <c r="O159" s="608">
        <f>'GF &amp; FF   Cash Flow'!N158*'LTFP Assumptions'!$K17+O84</f>
        <v>929.7112080165208</v>
      </c>
      <c r="P159" s="608">
        <f>'GF &amp; FF   Cash Flow'!O158*'LTFP Assumptions'!$K17+P84</f>
        <v>908.01320862305352</v>
      </c>
      <c r="R159" s="606">
        <f t="shared" si="125"/>
        <v>0</v>
      </c>
      <c r="S159" s="606">
        <f t="shared" si="126"/>
        <v>0</v>
      </c>
      <c r="T159" s="606">
        <f t="shared" si="127"/>
        <v>0</v>
      </c>
      <c r="U159" s="606">
        <f t="shared" si="128"/>
        <v>0</v>
      </c>
      <c r="V159" s="606">
        <f t="shared" si="129"/>
        <v>55.411285921338163</v>
      </c>
      <c r="W159" s="606">
        <f t="shared" si="130"/>
        <v>19.70384489751234</v>
      </c>
      <c r="X159" s="606">
        <f t="shared" si="131"/>
        <v>19.401728331811</v>
      </c>
      <c r="Y159" s="606">
        <f t="shared" si="132"/>
        <v>40.678010980938097</v>
      </c>
      <c r="Z159" s="606">
        <f t="shared" si="133"/>
        <v>43.562185702309648</v>
      </c>
      <c r="AA159" s="606">
        <f t="shared" si="134"/>
        <v>-5.3759599343086393</v>
      </c>
    </row>
    <row r="160" spans="1:27" x14ac:dyDescent="0.2">
      <c r="A160" s="600" t="s">
        <v>14</v>
      </c>
      <c r="B160" s="606">
        <f t="shared" si="123"/>
        <v>0</v>
      </c>
      <c r="C160" s="606">
        <f t="shared" si="123"/>
        <v>0</v>
      </c>
      <c r="D160" s="606">
        <f t="shared" si="124"/>
        <v>0</v>
      </c>
      <c r="E160" s="606">
        <f t="shared" si="124"/>
        <v>1018</v>
      </c>
      <c r="F160" s="606">
        <f t="shared" si="124"/>
        <v>2424.5369999999998</v>
      </c>
      <c r="G160" s="606">
        <f t="shared" si="135"/>
        <v>2409.788</v>
      </c>
      <c r="H160" s="606">
        <f t="shared" si="135"/>
        <v>2463.8040000000001</v>
      </c>
      <c r="I160" s="606">
        <f t="shared" si="135"/>
        <v>2520.3789999999999</v>
      </c>
      <c r="J160" s="606">
        <f t="shared" si="135"/>
        <v>2578.0160000000001</v>
      </c>
      <c r="K160" s="608">
        <f>J160*(1+'LTFP Assumptions'!$K12)</f>
        <v>2629.5763200000001</v>
      </c>
      <c r="L160" s="608">
        <f>K160*(1+'LTFP Assumptions'!$K12)</f>
        <v>2682.1678464000001</v>
      </c>
      <c r="M160" s="608">
        <f>L160*(1+'LTFP Assumptions'!$K12)</f>
        <v>2735.8112033280004</v>
      </c>
      <c r="N160" s="608">
        <f>M160*(1+'LTFP Assumptions'!$K12)</f>
        <v>2790.5274273945606</v>
      </c>
      <c r="O160" s="608">
        <f>N160*(1+'LTFP Assumptions'!$K12)</f>
        <v>2846.337975942452</v>
      </c>
      <c r="P160" s="608">
        <f>O160*(1+'LTFP Assumptions'!$K12)</f>
        <v>2903.2647354613009</v>
      </c>
      <c r="R160" s="606">
        <f t="shared" si="125"/>
        <v>0</v>
      </c>
      <c r="S160" s="606">
        <f t="shared" si="126"/>
        <v>0</v>
      </c>
      <c r="T160" s="606">
        <f t="shared" si="127"/>
        <v>0</v>
      </c>
      <c r="U160" s="606">
        <f t="shared" si="128"/>
        <v>0</v>
      </c>
      <c r="V160" s="606">
        <f t="shared" si="129"/>
        <v>0</v>
      </c>
      <c r="W160" s="606">
        <f t="shared" si="130"/>
        <v>0</v>
      </c>
      <c r="X160" s="606">
        <f t="shared" si="131"/>
        <v>0</v>
      </c>
      <c r="Y160" s="606">
        <f t="shared" si="132"/>
        <v>0</v>
      </c>
      <c r="Z160" s="606">
        <f t="shared" si="133"/>
        <v>0</v>
      </c>
      <c r="AA160" s="606">
        <f t="shared" si="134"/>
        <v>0</v>
      </c>
    </row>
    <row r="161" spans="1:27" ht="20.399999999999999" x14ac:dyDescent="0.2">
      <c r="A161" s="600" t="s">
        <v>15</v>
      </c>
      <c r="B161" s="606">
        <f t="shared" si="123"/>
        <v>0</v>
      </c>
      <c r="C161" s="606">
        <f t="shared" si="123"/>
        <v>0</v>
      </c>
      <c r="D161" s="606">
        <f t="shared" si="124"/>
        <v>0</v>
      </c>
      <c r="E161" s="606">
        <f t="shared" si="124"/>
        <v>8953</v>
      </c>
      <c r="F161" s="606">
        <f t="shared" si="124"/>
        <v>6174.7439999999997</v>
      </c>
      <c r="G161" s="606">
        <f t="shared" si="135"/>
        <v>5450.8890000000001</v>
      </c>
      <c r="H161" s="606">
        <f t="shared" si="135"/>
        <v>5547.3509999999997</v>
      </c>
      <c r="I161" s="606">
        <f t="shared" si="135"/>
        <v>5643.5889999999999</v>
      </c>
      <c r="J161" s="606">
        <f t="shared" si="135"/>
        <v>5741.7657600000002</v>
      </c>
      <c r="K161" s="608">
        <f>J161*(1+'LTFP Assumptions'!$K10)</f>
        <v>5885.3099039999997</v>
      </c>
      <c r="L161" s="608">
        <f>K161*(1+'LTFP Assumptions'!$K10)</f>
        <v>6032.4426515999994</v>
      </c>
      <c r="M161" s="608">
        <f>L161*(1+'LTFP Assumptions'!$K10)</f>
        <v>6183.2537178899993</v>
      </c>
      <c r="N161" s="608">
        <f>M161*(1+'LTFP Assumptions'!$K10)</f>
        <v>6337.8350608372484</v>
      </c>
      <c r="O161" s="608">
        <f>N161*(1+'LTFP Assumptions'!$K10)</f>
        <v>6496.2809373581795</v>
      </c>
      <c r="P161" s="608">
        <f>O161*(1+'LTFP Assumptions'!$K10)</f>
        <v>6658.6879607921337</v>
      </c>
      <c r="R161" s="606">
        <f t="shared" si="125"/>
        <v>0</v>
      </c>
      <c r="S161" s="606">
        <f t="shared" si="126"/>
        <v>0</v>
      </c>
      <c r="T161" s="606">
        <f t="shared" si="127"/>
        <v>0</v>
      </c>
      <c r="U161" s="606">
        <f t="shared" si="128"/>
        <v>0</v>
      </c>
      <c r="V161" s="606">
        <f t="shared" si="129"/>
        <v>0</v>
      </c>
      <c r="W161" s="606">
        <f t="shared" si="130"/>
        <v>0</v>
      </c>
      <c r="X161" s="606">
        <f t="shared" si="131"/>
        <v>0</v>
      </c>
      <c r="Y161" s="606">
        <f t="shared" si="132"/>
        <v>0</v>
      </c>
      <c r="Z161" s="606">
        <f t="shared" si="133"/>
        <v>0</v>
      </c>
      <c r="AA161" s="606">
        <f t="shared" si="134"/>
        <v>0</v>
      </c>
    </row>
    <row r="162" spans="1:27" ht="20.399999999999999" x14ac:dyDescent="0.2">
      <c r="A162" s="600" t="s">
        <v>18</v>
      </c>
      <c r="B162" s="606">
        <f t="shared" si="123"/>
        <v>0</v>
      </c>
      <c r="C162" s="606">
        <f t="shared" si="123"/>
        <v>0</v>
      </c>
      <c r="D162" s="606">
        <f t="shared" si="124"/>
        <v>0</v>
      </c>
      <c r="E162" s="606">
        <f t="shared" si="124"/>
        <v>14459</v>
      </c>
      <c r="F162" s="606">
        <f t="shared" si="124"/>
        <v>2898.0070000000001</v>
      </c>
      <c r="G162" s="606">
        <f t="shared" si="135"/>
        <v>3787.9670000000001</v>
      </c>
      <c r="H162" s="606">
        <f t="shared" si="135"/>
        <v>3844.3710099999998</v>
      </c>
      <c r="I162" s="606">
        <f t="shared" si="135"/>
        <v>7402.4590152999999</v>
      </c>
      <c r="J162" s="606">
        <f t="shared" si="135"/>
        <v>3962.2813326340001</v>
      </c>
      <c r="K162" s="608">
        <f>K207+K208+K209</f>
        <v>4041.5269592866807</v>
      </c>
      <c r="L162" s="608">
        <f t="shared" ref="L162:P162" si="136">L207+L208+L209</f>
        <v>4122.3574984724137</v>
      </c>
      <c r="M162" s="608">
        <f t="shared" si="136"/>
        <v>4204.8046484418628</v>
      </c>
      <c r="N162" s="608">
        <f t="shared" si="136"/>
        <v>4288.9007414107</v>
      </c>
      <c r="O162" s="608">
        <f t="shared" si="136"/>
        <v>4374.6787562389136</v>
      </c>
      <c r="P162" s="608">
        <f t="shared" si="136"/>
        <v>4462.1723313636921</v>
      </c>
      <c r="R162" s="606">
        <f t="shared" si="125"/>
        <v>0</v>
      </c>
      <c r="S162" s="606">
        <f t="shared" si="126"/>
        <v>0</v>
      </c>
      <c r="T162" s="606">
        <f t="shared" si="127"/>
        <v>0</v>
      </c>
      <c r="U162" s="606">
        <f t="shared" si="128"/>
        <v>0</v>
      </c>
      <c r="V162" s="606">
        <f t="shared" si="129"/>
        <v>-8.7049999999999272</v>
      </c>
      <c r="W162" s="606">
        <f t="shared" si="130"/>
        <v>-17.80172500000026</v>
      </c>
      <c r="X162" s="606">
        <f t="shared" si="131"/>
        <v>-27.303450124999472</v>
      </c>
      <c r="Y162" s="606">
        <f t="shared" si="132"/>
        <v>-37.22385201812358</v>
      </c>
      <c r="Z162" s="606">
        <f t="shared" si="133"/>
        <v>-47.577020271376568</v>
      </c>
      <c r="AA162" s="606">
        <f t="shared" si="134"/>
        <v>-58.377469170017321</v>
      </c>
    </row>
    <row r="163" spans="1:27" x14ac:dyDescent="0.2">
      <c r="A163" s="1149" t="s">
        <v>1180</v>
      </c>
      <c r="B163" s="606"/>
      <c r="C163" s="606"/>
      <c r="D163" s="606">
        <f t="shared" si="124"/>
        <v>0</v>
      </c>
      <c r="E163" s="606">
        <f t="shared" si="124"/>
        <v>0</v>
      </c>
      <c r="F163" s="606">
        <f t="shared" si="124"/>
        <v>4783.3530000000001</v>
      </c>
      <c r="G163" s="606">
        <f t="shared" si="135"/>
        <v>5059.8519999999999</v>
      </c>
      <c r="H163" s="606">
        <f t="shared" si="135"/>
        <v>5239.6229999999996</v>
      </c>
      <c r="I163" s="606">
        <f t="shared" si="135"/>
        <v>5419.1779999999999</v>
      </c>
      <c r="J163" s="606">
        <f t="shared" si="135"/>
        <v>5456.5190000000002</v>
      </c>
      <c r="K163" s="606">
        <f>J163*(1+'LTFP Assumptions'!$K$12)</f>
        <v>5565.6493800000007</v>
      </c>
      <c r="L163" s="606">
        <f>K163*(1+'LTFP Assumptions'!$K$12)</f>
        <v>5676.962367600001</v>
      </c>
      <c r="M163" s="606">
        <f>L163*(1+'LTFP Assumptions'!$K$12)</f>
        <v>5790.5016149520015</v>
      </c>
      <c r="N163" s="606">
        <f>M163*(1+'LTFP Assumptions'!$K$12)</f>
        <v>5906.3116472510419</v>
      </c>
      <c r="O163" s="606">
        <f>N163*(1+'LTFP Assumptions'!$K$12)</f>
        <v>6024.4378801960629</v>
      </c>
      <c r="P163" s="606">
        <f>O163*(1+'LTFP Assumptions'!$K$12)</f>
        <v>6144.9266377999838</v>
      </c>
      <c r="R163" s="606">
        <f t="shared" si="125"/>
        <v>0</v>
      </c>
      <c r="S163" s="606">
        <f t="shared" si="126"/>
        <v>0</v>
      </c>
      <c r="T163" s="606">
        <f t="shared" si="127"/>
        <v>0</v>
      </c>
      <c r="U163" s="606">
        <f t="shared" si="128"/>
        <v>0</v>
      </c>
      <c r="V163" s="606">
        <f t="shared" si="129"/>
        <v>0</v>
      </c>
      <c r="W163" s="606">
        <f t="shared" si="130"/>
        <v>0</v>
      </c>
      <c r="X163" s="606">
        <f t="shared" si="131"/>
        <v>0</v>
      </c>
      <c r="Y163" s="606">
        <f t="shared" si="132"/>
        <v>0</v>
      </c>
      <c r="Z163" s="606">
        <f t="shared" si="133"/>
        <v>0</v>
      </c>
      <c r="AA163" s="606">
        <f t="shared" si="134"/>
        <v>0</v>
      </c>
    </row>
    <row r="164" spans="1:27" x14ac:dyDescent="0.2">
      <c r="A164" s="607" t="s">
        <v>63</v>
      </c>
      <c r="B164" s="606"/>
      <c r="C164" s="606"/>
      <c r="D164" s="606">
        <f t="shared" si="124"/>
        <v>0</v>
      </c>
      <c r="E164" s="606">
        <f t="shared" si="124"/>
        <v>0</v>
      </c>
      <c r="F164" s="606">
        <f t="shared" si="124"/>
        <v>0</v>
      </c>
      <c r="G164" s="606">
        <f t="shared" si="135"/>
        <v>0</v>
      </c>
      <c r="H164" s="606">
        <f t="shared" si="135"/>
        <v>0</v>
      </c>
      <c r="I164" s="606">
        <f t="shared" si="135"/>
        <v>0</v>
      </c>
      <c r="J164" s="606">
        <f t="shared" si="135"/>
        <v>0</v>
      </c>
      <c r="R164" s="606">
        <f t="shared" si="125"/>
        <v>0</v>
      </c>
      <c r="S164" s="606">
        <f t="shared" si="126"/>
        <v>0</v>
      </c>
      <c r="T164" s="606">
        <f t="shared" si="127"/>
        <v>0</v>
      </c>
      <c r="U164" s="606">
        <f t="shared" si="128"/>
        <v>0</v>
      </c>
      <c r="V164" s="606">
        <f t="shared" si="129"/>
        <v>0</v>
      </c>
      <c r="W164" s="606">
        <f t="shared" si="130"/>
        <v>0</v>
      </c>
      <c r="X164" s="606">
        <f t="shared" si="131"/>
        <v>0</v>
      </c>
      <c r="Y164" s="606">
        <f t="shared" si="132"/>
        <v>0</v>
      </c>
      <c r="Z164" s="606">
        <f t="shared" si="133"/>
        <v>0</v>
      </c>
      <c r="AA164" s="606">
        <f t="shared" si="134"/>
        <v>0</v>
      </c>
    </row>
    <row r="165" spans="1:27" x14ac:dyDescent="0.2">
      <c r="A165" s="764" t="s">
        <v>74</v>
      </c>
      <c r="B165" s="765">
        <f>+B20</f>
        <v>0</v>
      </c>
      <c r="C165" s="765">
        <f>+C20</f>
        <v>0</v>
      </c>
      <c r="D165" s="606">
        <f t="shared" si="124"/>
        <v>0</v>
      </c>
      <c r="E165" s="606">
        <f t="shared" si="124"/>
        <v>-5</v>
      </c>
      <c r="F165" s="606">
        <f t="shared" si="124"/>
        <v>0</v>
      </c>
      <c r="G165" s="606">
        <f t="shared" si="135"/>
        <v>0</v>
      </c>
      <c r="H165" s="606">
        <f t="shared" si="135"/>
        <v>0</v>
      </c>
      <c r="I165" s="606">
        <f t="shared" si="135"/>
        <v>0</v>
      </c>
      <c r="J165" s="606">
        <f t="shared" si="135"/>
        <v>0</v>
      </c>
      <c r="K165" s="765">
        <f t="shared" ref="K165:P166" si="137">+K20</f>
        <v>0</v>
      </c>
      <c r="L165" s="765">
        <f t="shared" si="137"/>
        <v>0</v>
      </c>
      <c r="M165" s="765">
        <f t="shared" si="137"/>
        <v>0</v>
      </c>
      <c r="N165" s="765">
        <f t="shared" si="137"/>
        <v>0</v>
      </c>
      <c r="O165" s="765">
        <f t="shared" si="137"/>
        <v>0</v>
      </c>
      <c r="P165" s="765">
        <f t="shared" si="137"/>
        <v>0</v>
      </c>
      <c r="R165" s="606">
        <f t="shared" si="125"/>
        <v>0</v>
      </c>
      <c r="S165" s="606">
        <f t="shared" si="126"/>
        <v>0</v>
      </c>
      <c r="T165" s="606">
        <f t="shared" si="127"/>
        <v>0</v>
      </c>
      <c r="U165" s="606">
        <f t="shared" si="128"/>
        <v>0</v>
      </c>
      <c r="V165" s="606">
        <f t="shared" si="129"/>
        <v>0</v>
      </c>
      <c r="W165" s="606">
        <f t="shared" si="130"/>
        <v>0</v>
      </c>
      <c r="X165" s="606">
        <f t="shared" si="131"/>
        <v>0</v>
      </c>
      <c r="Y165" s="606">
        <f t="shared" si="132"/>
        <v>0</v>
      </c>
      <c r="Z165" s="606">
        <f t="shared" si="133"/>
        <v>0</v>
      </c>
      <c r="AA165" s="606">
        <f t="shared" si="134"/>
        <v>0</v>
      </c>
    </row>
    <row r="166" spans="1:27" x14ac:dyDescent="0.2">
      <c r="A166" s="758" t="s">
        <v>1047</v>
      </c>
      <c r="B166" s="765"/>
      <c r="C166" s="765"/>
      <c r="D166" s="606">
        <f t="shared" si="124"/>
        <v>0</v>
      </c>
      <c r="E166" s="606">
        <f t="shared" si="124"/>
        <v>2</v>
      </c>
      <c r="F166" s="606">
        <f t="shared" si="124"/>
        <v>0</v>
      </c>
      <c r="G166" s="606">
        <f t="shared" si="135"/>
        <v>0</v>
      </c>
      <c r="H166" s="606">
        <f t="shared" si="135"/>
        <v>0</v>
      </c>
      <c r="I166" s="606">
        <f t="shared" si="135"/>
        <v>0</v>
      </c>
      <c r="J166" s="606">
        <f t="shared" si="135"/>
        <v>0</v>
      </c>
      <c r="K166" s="765">
        <f t="shared" si="137"/>
        <v>0</v>
      </c>
      <c r="L166" s="765">
        <f t="shared" si="137"/>
        <v>0</v>
      </c>
      <c r="M166" s="765">
        <f t="shared" si="137"/>
        <v>0</v>
      </c>
      <c r="N166" s="765">
        <f t="shared" si="137"/>
        <v>0</v>
      </c>
      <c r="O166" s="765">
        <f t="shared" si="137"/>
        <v>0</v>
      </c>
      <c r="P166" s="765">
        <f t="shared" si="137"/>
        <v>0</v>
      </c>
      <c r="R166" s="606">
        <f t="shared" si="125"/>
        <v>0</v>
      </c>
      <c r="S166" s="606">
        <f t="shared" si="126"/>
        <v>0</v>
      </c>
      <c r="T166" s="606">
        <f t="shared" si="127"/>
        <v>0</v>
      </c>
      <c r="U166" s="606">
        <f t="shared" si="128"/>
        <v>0</v>
      </c>
      <c r="V166" s="606">
        <f t="shared" si="129"/>
        <v>0</v>
      </c>
      <c r="W166" s="606">
        <f t="shared" si="130"/>
        <v>0</v>
      </c>
      <c r="X166" s="606">
        <f t="shared" si="131"/>
        <v>0</v>
      </c>
      <c r="Y166" s="606">
        <f t="shared" si="132"/>
        <v>0</v>
      </c>
      <c r="Z166" s="606">
        <f t="shared" si="133"/>
        <v>0</v>
      </c>
      <c r="AA166" s="606">
        <f t="shared" si="134"/>
        <v>0</v>
      </c>
    </row>
    <row r="167" spans="1:27" ht="10.8" thickBot="1" x14ac:dyDescent="0.25">
      <c r="A167" s="604" t="s">
        <v>64</v>
      </c>
      <c r="B167" s="766">
        <f>SUM(B157:B165)</f>
        <v>0</v>
      </c>
      <c r="C167" s="766">
        <f>SUM(C157:C165)</f>
        <v>0</v>
      </c>
      <c r="D167" s="767">
        <f t="shared" ref="D167:P167" si="138">SUM(D157:D166)</f>
        <v>0</v>
      </c>
      <c r="E167" s="767">
        <f t="shared" si="138"/>
        <v>46813</v>
      </c>
      <c r="F167" s="767">
        <f t="shared" si="138"/>
        <v>38097.122000000003</v>
      </c>
      <c r="G167" s="767">
        <f t="shared" si="138"/>
        <v>40463.258499999996</v>
      </c>
      <c r="H167" s="767">
        <f t="shared" si="138"/>
        <v>41191.542293500002</v>
      </c>
      <c r="I167" s="767">
        <f t="shared" si="138"/>
        <v>46752.341849637502</v>
      </c>
      <c r="J167" s="767">
        <f t="shared" si="138"/>
        <v>44726.019622829932</v>
      </c>
      <c r="K167" s="767">
        <f t="shared" si="138"/>
        <v>45012.539506389025</v>
      </c>
      <c r="L167" s="767">
        <f t="shared" si="138"/>
        <v>46049.419003690884</v>
      </c>
      <c r="M167" s="767">
        <f t="shared" si="138"/>
        <v>46713.946537452059</v>
      </c>
      <c r="N167" s="767">
        <f t="shared" si="138"/>
        <v>47780.212435304798</v>
      </c>
      <c r="O167" s="767">
        <f t="shared" si="138"/>
        <v>47575.504138954289</v>
      </c>
      <c r="P167" s="767">
        <f t="shared" si="138"/>
        <v>46605.360056197569</v>
      </c>
      <c r="R167" s="1335">
        <f>SUM(R157:R166)</f>
        <v>558.35150000000067</v>
      </c>
      <c r="S167" s="1335">
        <f t="shared" ref="S167" si="139">SUM(S157:S166)</f>
        <v>93.338283500001126</v>
      </c>
      <c r="T167" s="1335">
        <f t="shared" ref="T167" si="140">SUM(T157:T166)</f>
        <v>362.26783433750097</v>
      </c>
      <c r="U167" s="1335">
        <f t="shared" ref="U167" si="141">SUM(U157:U166)</f>
        <v>371.32453019593595</v>
      </c>
      <c r="V167" s="1335">
        <f t="shared" ref="V167" si="142">SUM(V157:V166)</f>
        <v>-132.87111262001247</v>
      </c>
      <c r="W167" s="1335">
        <f t="shared" ref="W167" si="143">SUM(W157:W166)</f>
        <v>-182.16471360737467</v>
      </c>
      <c r="X167" s="1335">
        <f t="shared" ref="X167" si="144">SUM(X157:X166)</f>
        <v>-596.22954719344648</v>
      </c>
      <c r="Y167" s="1335">
        <f t="shared" ref="Y167" si="145">SUM(Y157:Y166)</f>
        <v>-599.5818620724483</v>
      </c>
      <c r="Z167" s="1335">
        <f t="shared" ref="Z167" si="146">SUM(Z157:Z166)</f>
        <v>-1920.6396441514062</v>
      </c>
      <c r="AA167" s="1335">
        <f t="shared" ref="AA167" si="147">SUM(AA157:AA166)</f>
        <v>-4036.1125484608738</v>
      </c>
    </row>
    <row r="170" spans="1:27" x14ac:dyDescent="0.2">
      <c r="A170" s="604" t="s">
        <v>65</v>
      </c>
    </row>
    <row r="171" spans="1:27" x14ac:dyDescent="0.2">
      <c r="A171" s="600" t="s">
        <v>25</v>
      </c>
      <c r="B171" s="606">
        <f>+B24</f>
        <v>0</v>
      </c>
      <c r="C171" s="606">
        <f>+C24</f>
        <v>0</v>
      </c>
      <c r="D171" s="606">
        <f t="shared" ref="D171:J178" si="148">D101</f>
        <v>0</v>
      </c>
      <c r="E171" s="606">
        <f t="shared" si="148"/>
        <v>10980</v>
      </c>
      <c r="F171" s="606">
        <f t="shared" si="148"/>
        <v>11231.316000000001</v>
      </c>
      <c r="G171" s="606">
        <f t="shared" si="148"/>
        <v>11563.034</v>
      </c>
      <c r="H171" s="606">
        <f t="shared" si="148"/>
        <v>11807.84</v>
      </c>
      <c r="I171" s="606">
        <f t="shared" si="148"/>
        <v>12311.478999999999</v>
      </c>
      <c r="J171" s="606">
        <f t="shared" si="148"/>
        <v>12863.002</v>
      </c>
      <c r="K171" s="765">
        <f>J171*(1+'LTFP Assumptions'!$K9)</f>
        <v>13248.89206</v>
      </c>
      <c r="L171" s="765">
        <f>K171*(1+'LTFP Assumptions'!$K9)</f>
        <v>13646.3588218</v>
      </c>
      <c r="M171" s="765">
        <f>L171*(1+'LTFP Assumptions'!$K9)</f>
        <v>14055.749586454001</v>
      </c>
      <c r="N171" s="765">
        <f>M171*(1+'LTFP Assumptions'!$K9)</f>
        <v>14477.422074047621</v>
      </c>
      <c r="O171" s="765">
        <f>N171*(1+'LTFP Assumptions'!$K9)</f>
        <v>14911.744736269051</v>
      </c>
      <c r="P171" s="765">
        <f>O171*(1+'LTFP Assumptions'!$K9)</f>
        <v>15359.097078357123</v>
      </c>
      <c r="R171" s="606">
        <f t="shared" ref="R171:AA178" si="149">G171-G101</f>
        <v>0</v>
      </c>
      <c r="S171" s="606">
        <f t="shared" si="149"/>
        <v>0</v>
      </c>
      <c r="T171" s="606">
        <f t="shared" si="149"/>
        <v>0</v>
      </c>
      <c r="U171" s="606">
        <f t="shared" si="149"/>
        <v>0</v>
      </c>
      <c r="V171" s="606">
        <f t="shared" si="149"/>
        <v>0</v>
      </c>
      <c r="W171" s="606">
        <f t="shared" si="149"/>
        <v>0</v>
      </c>
      <c r="X171" s="606">
        <f t="shared" si="149"/>
        <v>0</v>
      </c>
      <c r="Y171" s="606">
        <f t="shared" si="149"/>
        <v>0</v>
      </c>
      <c r="Z171" s="606">
        <f t="shared" si="149"/>
        <v>0</v>
      </c>
      <c r="AA171" s="606">
        <f t="shared" si="149"/>
        <v>0</v>
      </c>
    </row>
    <row r="172" spans="1:27" x14ac:dyDescent="0.2">
      <c r="A172" s="600" t="s">
        <v>926</v>
      </c>
      <c r="B172" s="606"/>
      <c r="C172" s="606"/>
      <c r="D172" s="606">
        <f t="shared" si="148"/>
        <v>0</v>
      </c>
      <c r="E172" s="606">
        <f t="shared" si="148"/>
        <v>743</v>
      </c>
      <c r="F172" s="606">
        <f t="shared" si="148"/>
        <v>592.12699999999995</v>
      </c>
      <c r="G172" s="606">
        <f t="shared" si="148"/>
        <v>588.93700000000001</v>
      </c>
      <c r="H172" s="606">
        <f t="shared" si="148"/>
        <v>586.08699999999999</v>
      </c>
      <c r="I172" s="606">
        <f t="shared" si="148"/>
        <v>1002.996</v>
      </c>
      <c r="J172" s="606">
        <f t="shared" si="148"/>
        <v>1433.386</v>
      </c>
      <c r="K172" s="1310">
        <f>'Gen Fund  Inc Exp Statement'!J172+(('Gen Fund  Bal Sheet'!K118+'Gen Fund  Bal Sheet'!K124)-('Gen Fund  Bal Sheet'!J118+'Gen Fund  Bal Sheet'!J124))*'LTFP Assumptions'!$K$18</f>
        <v>1393.6998808000001</v>
      </c>
      <c r="L172" s="1310">
        <f>'Gen Fund  Inc Exp Statement'!K172+(('Gen Fund  Bal Sheet'!L118+'Gen Fund  Bal Sheet'!L124)-('Gen Fund  Bal Sheet'!K118+'Gen Fund  Bal Sheet'!K124))*'LTFP Assumptions'!$K$18</f>
        <v>1353.220039216</v>
      </c>
      <c r="M172" s="1310">
        <f>'Gen Fund  Inc Exp Statement'!L172+(('Gen Fund  Bal Sheet'!M118+'Gen Fund  Bal Sheet'!M124)-('Gen Fund  Bal Sheet'!L118+'Gen Fund  Bal Sheet'!L124))*'LTFP Assumptions'!$K$18</f>
        <v>1311.93060080032</v>
      </c>
      <c r="N172" s="1310">
        <f>'Gen Fund  Inc Exp Statement'!M172+(('Gen Fund  Bal Sheet'!N118+'Gen Fund  Bal Sheet'!N124)-('Gen Fund  Bal Sheet'!M118+'Gen Fund  Bal Sheet'!M124))*'LTFP Assumptions'!$K$18</f>
        <v>1269.8153736163265</v>
      </c>
      <c r="O172" s="1310">
        <f>'Gen Fund  Inc Exp Statement'!N172+(('Gen Fund  Bal Sheet'!O118+'Gen Fund  Bal Sheet'!O124)-('Gen Fund  Bal Sheet'!N118+'Gen Fund  Bal Sheet'!N124))*'LTFP Assumptions'!$K$18</f>
        <v>1226.857841888653</v>
      </c>
      <c r="P172" s="1310">
        <f>'Gen Fund  Inc Exp Statement'!O172+(('Gen Fund  Bal Sheet'!P118+'Gen Fund  Bal Sheet'!P124)-('Gen Fund  Bal Sheet'!O118+'Gen Fund  Bal Sheet'!O124))*'LTFP Assumptions'!$K$18</f>
        <v>1183.0411595264259</v>
      </c>
      <c r="R172" s="606">
        <f t="shared" si="149"/>
        <v>0</v>
      </c>
      <c r="S172" s="606">
        <f t="shared" si="149"/>
        <v>0</v>
      </c>
      <c r="T172" s="606">
        <f t="shared" si="149"/>
        <v>0</v>
      </c>
      <c r="U172" s="606">
        <f t="shared" si="149"/>
        <v>0</v>
      </c>
      <c r="V172" s="606">
        <f t="shared" si="149"/>
        <v>0</v>
      </c>
      <c r="W172" s="606">
        <f t="shared" si="149"/>
        <v>0</v>
      </c>
      <c r="X172" s="606">
        <f t="shared" si="149"/>
        <v>0</v>
      </c>
      <c r="Y172" s="606">
        <f t="shared" si="149"/>
        <v>0</v>
      </c>
      <c r="Z172" s="606">
        <f t="shared" si="149"/>
        <v>0</v>
      </c>
      <c r="AA172" s="606">
        <f t="shared" si="149"/>
        <v>0</v>
      </c>
    </row>
    <row r="173" spans="1:27" x14ac:dyDescent="0.2">
      <c r="A173" s="600" t="s">
        <v>27</v>
      </c>
      <c r="B173" s="606">
        <f>+B26</f>
        <v>0</v>
      </c>
      <c r="C173" s="606">
        <f>+C26</f>
        <v>0</v>
      </c>
      <c r="D173" s="606">
        <f t="shared" si="148"/>
        <v>0</v>
      </c>
      <c r="E173" s="606">
        <f t="shared" si="148"/>
        <v>8901</v>
      </c>
      <c r="F173" s="606">
        <f t="shared" si="148"/>
        <v>10912.698</v>
      </c>
      <c r="G173" s="606">
        <f t="shared" si="148"/>
        <v>11347.191999999999</v>
      </c>
      <c r="H173" s="606">
        <f t="shared" si="148"/>
        <v>11614.832</v>
      </c>
      <c r="I173" s="606">
        <f t="shared" si="148"/>
        <v>11937.617</v>
      </c>
      <c r="J173" s="606">
        <f t="shared" si="148"/>
        <v>12593.618999999999</v>
      </c>
      <c r="K173" s="765">
        <f>J173*(1+'LTFP Assumptions'!$K$13)</f>
        <v>12845.491379999999</v>
      </c>
      <c r="L173" s="765">
        <f>K173*(1+'LTFP Assumptions'!$K13)</f>
        <v>13102.4012076</v>
      </c>
      <c r="M173" s="765">
        <f>L173*(1+'LTFP Assumptions'!$K13)</f>
        <v>13364.449231752</v>
      </c>
      <c r="N173" s="765">
        <f>M173*(1+'LTFP Assumptions'!$K13)</f>
        <v>13631.738216387041</v>
      </c>
      <c r="O173" s="765">
        <f>N173*(1+'LTFP Assumptions'!$K13)</f>
        <v>13904.372980714781</v>
      </c>
      <c r="P173" s="765">
        <f>O173*(1+'LTFP Assumptions'!$K13)</f>
        <v>14182.460440329078</v>
      </c>
      <c r="R173" s="606">
        <f t="shared" si="149"/>
        <v>0</v>
      </c>
      <c r="S173" s="606">
        <f t="shared" si="149"/>
        <v>0</v>
      </c>
      <c r="T173" s="606">
        <f t="shared" si="149"/>
        <v>0</v>
      </c>
      <c r="U173" s="606">
        <f t="shared" si="149"/>
        <v>0</v>
      </c>
      <c r="V173" s="606">
        <f t="shared" si="149"/>
        <v>0</v>
      </c>
      <c r="W173" s="606">
        <f t="shared" si="149"/>
        <v>0</v>
      </c>
      <c r="X173" s="606">
        <f t="shared" si="149"/>
        <v>0</v>
      </c>
      <c r="Y173" s="606">
        <f t="shared" si="149"/>
        <v>0</v>
      </c>
      <c r="Z173" s="606">
        <f t="shared" si="149"/>
        <v>0</v>
      </c>
      <c r="AA173" s="606">
        <f t="shared" si="149"/>
        <v>0</v>
      </c>
    </row>
    <row r="174" spans="1:27" x14ac:dyDescent="0.2">
      <c r="A174" s="600" t="s">
        <v>1077</v>
      </c>
      <c r="B174" s="606"/>
      <c r="C174" s="606"/>
      <c r="D174" s="606">
        <f t="shared" si="148"/>
        <v>0</v>
      </c>
      <c r="E174" s="606">
        <f t="shared" si="148"/>
        <v>0</v>
      </c>
      <c r="F174" s="606">
        <f t="shared" si="148"/>
        <v>1763.3530000000001</v>
      </c>
      <c r="G174" s="606">
        <f t="shared" si="148"/>
        <v>1835.1769999999999</v>
      </c>
      <c r="H174" s="606">
        <f t="shared" si="148"/>
        <v>1869.22</v>
      </c>
      <c r="I174" s="606">
        <f t="shared" si="148"/>
        <v>1904.4649999999999</v>
      </c>
      <c r="J174" s="606">
        <f t="shared" si="148"/>
        <v>1940.5709999999999</v>
      </c>
      <c r="K174" s="606">
        <f>J174*(1+'LTFP Assumptions'!$K$13)</f>
        <v>1979.3824199999999</v>
      </c>
      <c r="L174" s="606">
        <f>K174*(1+'LTFP Assumptions'!$K14)</f>
        <v>2018.9700683999999</v>
      </c>
      <c r="M174" s="606">
        <f>L174*(1+'LTFP Assumptions'!$K14)</f>
        <v>2059.3494697679998</v>
      </c>
      <c r="N174" s="606">
        <f>M174*(1+'LTFP Assumptions'!$K14)</f>
        <v>2100.5364591633597</v>
      </c>
      <c r="O174" s="606">
        <f>N174*(1+'LTFP Assumptions'!$K14)</f>
        <v>2142.5471883466271</v>
      </c>
      <c r="P174" s="606">
        <f>O174*(1+'LTFP Assumptions'!$K14)</f>
        <v>2185.3981321135598</v>
      </c>
      <c r="R174" s="606">
        <f t="shared" si="149"/>
        <v>0</v>
      </c>
      <c r="S174" s="606">
        <f t="shared" si="149"/>
        <v>0</v>
      </c>
      <c r="T174" s="606">
        <f t="shared" si="149"/>
        <v>0</v>
      </c>
      <c r="U174" s="606">
        <f t="shared" si="149"/>
        <v>0</v>
      </c>
      <c r="V174" s="606">
        <f t="shared" si="149"/>
        <v>0</v>
      </c>
      <c r="W174" s="606">
        <f t="shared" si="149"/>
        <v>0</v>
      </c>
      <c r="X174" s="606">
        <f t="shared" si="149"/>
        <v>0</v>
      </c>
      <c r="Y174" s="606">
        <f t="shared" si="149"/>
        <v>0</v>
      </c>
      <c r="Z174" s="606">
        <f t="shared" si="149"/>
        <v>0</v>
      </c>
      <c r="AA174" s="606">
        <f t="shared" si="149"/>
        <v>0</v>
      </c>
    </row>
    <row r="175" spans="1:27" x14ac:dyDescent="0.2">
      <c r="A175" s="600" t="s">
        <v>29</v>
      </c>
      <c r="B175" s="606">
        <f>+B28</f>
        <v>0</v>
      </c>
      <c r="C175" s="606">
        <f>+C28</f>
        <v>0</v>
      </c>
      <c r="D175" s="606">
        <f t="shared" si="148"/>
        <v>0</v>
      </c>
      <c r="E175" s="606">
        <f t="shared" si="148"/>
        <v>7182</v>
      </c>
      <c r="F175" s="606">
        <f t="shared" si="148"/>
        <v>8510.6460000000006</v>
      </c>
      <c r="G175" s="606">
        <f t="shared" si="148"/>
        <v>7355.7780000000002</v>
      </c>
      <c r="H175" s="606">
        <f t="shared" si="148"/>
        <v>7480.7889999999998</v>
      </c>
      <c r="I175" s="606">
        <f t="shared" si="148"/>
        <v>7794.1180000000004</v>
      </c>
      <c r="J175" s="606">
        <f t="shared" si="148"/>
        <v>8342.01</v>
      </c>
      <c r="K175" s="606">
        <f>J175*(1+'LTFP Assumptions'!$K16)</f>
        <v>8550.5602499999986</v>
      </c>
      <c r="L175" s="606">
        <f>K175*(1+'LTFP Assumptions'!$K16)</f>
        <v>8764.3242562499981</v>
      </c>
      <c r="M175" s="606">
        <f>L175*(1+'LTFP Assumptions'!$K16)</f>
        <v>8983.4323626562473</v>
      </c>
      <c r="N175" s="606">
        <f>M175*(1+'LTFP Assumptions'!$K16)</f>
        <v>9208.0181717226533</v>
      </c>
      <c r="O175" s="606">
        <f>N175*(1+'LTFP Assumptions'!$K16)</f>
        <v>9438.2186260157196</v>
      </c>
      <c r="P175" s="606">
        <f>O175*(1+'LTFP Assumptions'!$K16)</f>
        <v>9674.1740916661111</v>
      </c>
      <c r="R175" s="606">
        <f t="shared" si="149"/>
        <v>0</v>
      </c>
      <c r="S175" s="606">
        <f t="shared" si="149"/>
        <v>0</v>
      </c>
      <c r="T175" s="606">
        <f t="shared" si="149"/>
        <v>0</v>
      </c>
      <c r="U175" s="606">
        <f t="shared" si="149"/>
        <v>0</v>
      </c>
      <c r="V175" s="606">
        <f t="shared" si="149"/>
        <v>0</v>
      </c>
      <c r="W175" s="606">
        <f t="shared" si="149"/>
        <v>0</v>
      </c>
      <c r="X175" s="606">
        <f t="shared" si="149"/>
        <v>0</v>
      </c>
      <c r="Y175" s="606">
        <f t="shared" si="149"/>
        <v>0</v>
      </c>
      <c r="Z175" s="606">
        <f t="shared" si="149"/>
        <v>0</v>
      </c>
      <c r="AA175" s="606">
        <f t="shared" si="149"/>
        <v>0</v>
      </c>
    </row>
    <row r="176" spans="1:27" x14ac:dyDescent="0.2">
      <c r="A176" s="600" t="str">
        <f>A106</f>
        <v>Impairment</v>
      </c>
      <c r="B176" s="606"/>
      <c r="C176" s="606"/>
      <c r="D176" s="606">
        <f t="shared" si="148"/>
        <v>0</v>
      </c>
      <c r="E176" s="606">
        <f t="shared" si="148"/>
        <v>600</v>
      </c>
      <c r="F176" s="606">
        <f t="shared" si="148"/>
        <v>0</v>
      </c>
      <c r="G176" s="606">
        <f t="shared" si="148"/>
        <v>0</v>
      </c>
      <c r="H176" s="606">
        <f t="shared" si="148"/>
        <v>0</v>
      </c>
      <c r="I176" s="606">
        <f t="shared" si="148"/>
        <v>0</v>
      </c>
      <c r="J176" s="606">
        <f t="shared" si="148"/>
        <v>0</v>
      </c>
      <c r="K176" s="606">
        <f t="shared" ref="K176:P177" si="150">+K29</f>
        <v>0</v>
      </c>
      <c r="L176" s="606">
        <f t="shared" si="150"/>
        <v>0</v>
      </c>
      <c r="M176" s="606">
        <f t="shared" si="150"/>
        <v>0</v>
      </c>
      <c r="N176" s="606">
        <f t="shared" si="150"/>
        <v>0</v>
      </c>
      <c r="O176" s="606">
        <f t="shared" si="150"/>
        <v>0</v>
      </c>
      <c r="P176" s="606">
        <f t="shared" si="150"/>
        <v>0</v>
      </c>
      <c r="R176" s="606">
        <f t="shared" si="149"/>
        <v>0</v>
      </c>
      <c r="S176" s="606">
        <f t="shared" si="149"/>
        <v>0</v>
      </c>
      <c r="T176" s="606">
        <f t="shared" si="149"/>
        <v>0</v>
      </c>
      <c r="U176" s="606">
        <f t="shared" si="149"/>
        <v>0</v>
      </c>
      <c r="V176" s="606">
        <f t="shared" si="149"/>
        <v>0</v>
      </c>
      <c r="W176" s="606">
        <f t="shared" si="149"/>
        <v>0</v>
      </c>
      <c r="X176" s="606">
        <f t="shared" si="149"/>
        <v>0</v>
      </c>
      <c r="Y176" s="606">
        <f t="shared" si="149"/>
        <v>0</v>
      </c>
      <c r="Z176" s="606">
        <f t="shared" si="149"/>
        <v>0</v>
      </c>
      <c r="AA176" s="606">
        <f t="shared" si="149"/>
        <v>0</v>
      </c>
    </row>
    <row r="177" spans="1:29" x14ac:dyDescent="0.2">
      <c r="A177" s="600" t="str">
        <f>A107</f>
        <v>Net Losses from the disposal of assets</v>
      </c>
      <c r="B177" s="606"/>
      <c r="C177" s="606"/>
      <c r="D177" s="606">
        <f t="shared" si="148"/>
        <v>0</v>
      </c>
      <c r="E177" s="606">
        <f t="shared" si="148"/>
        <v>0</v>
      </c>
      <c r="F177" s="606">
        <f t="shared" si="148"/>
        <v>0</v>
      </c>
      <c r="G177" s="606">
        <f t="shared" si="148"/>
        <v>0</v>
      </c>
      <c r="H177" s="606">
        <f t="shared" si="148"/>
        <v>0</v>
      </c>
      <c r="I177" s="606">
        <f t="shared" si="148"/>
        <v>0</v>
      </c>
      <c r="J177" s="606">
        <f t="shared" si="148"/>
        <v>0</v>
      </c>
      <c r="K177" s="606">
        <f t="shared" si="150"/>
        <v>0</v>
      </c>
      <c r="L177" s="606">
        <f t="shared" si="150"/>
        <v>0</v>
      </c>
      <c r="M177" s="606">
        <f t="shared" si="150"/>
        <v>0</v>
      </c>
      <c r="N177" s="606">
        <f t="shared" si="150"/>
        <v>0</v>
      </c>
      <c r="O177" s="606">
        <f t="shared" si="150"/>
        <v>0</v>
      </c>
      <c r="P177" s="606">
        <f t="shared" si="150"/>
        <v>0</v>
      </c>
      <c r="R177" s="606">
        <f t="shared" si="149"/>
        <v>0</v>
      </c>
      <c r="S177" s="606">
        <f t="shared" si="149"/>
        <v>0</v>
      </c>
      <c r="T177" s="606">
        <f t="shared" si="149"/>
        <v>0</v>
      </c>
      <c r="U177" s="606">
        <f t="shared" si="149"/>
        <v>0</v>
      </c>
      <c r="V177" s="606">
        <f t="shared" si="149"/>
        <v>0</v>
      </c>
      <c r="W177" s="606">
        <f t="shared" si="149"/>
        <v>0</v>
      </c>
      <c r="X177" s="606">
        <f t="shared" si="149"/>
        <v>0</v>
      </c>
      <c r="Y177" s="606">
        <f t="shared" si="149"/>
        <v>0</v>
      </c>
      <c r="Z177" s="606">
        <f t="shared" si="149"/>
        <v>0</v>
      </c>
      <c r="AA177" s="606">
        <f t="shared" si="149"/>
        <v>0</v>
      </c>
    </row>
    <row r="178" spans="1:29" x14ac:dyDescent="0.2">
      <c r="A178" s="614" t="s">
        <v>28</v>
      </c>
      <c r="B178" s="606">
        <f>+B31</f>
        <v>0</v>
      </c>
      <c r="C178" s="606">
        <f>+C31</f>
        <v>0</v>
      </c>
      <c r="D178" s="606">
        <f t="shared" si="148"/>
        <v>0</v>
      </c>
      <c r="E178" s="606">
        <f t="shared" si="148"/>
        <v>6597</v>
      </c>
      <c r="F178" s="606">
        <f t="shared" si="148"/>
        <v>2286.85</v>
      </c>
      <c r="G178" s="606">
        <f t="shared" si="148"/>
        <v>2395.6309999999999</v>
      </c>
      <c r="H178" s="606">
        <f t="shared" si="148"/>
        <v>2446.0740000000001</v>
      </c>
      <c r="I178" s="606">
        <f t="shared" si="148"/>
        <v>2513.5830000000001</v>
      </c>
      <c r="J178" s="606">
        <f t="shared" si="148"/>
        <v>2654.9679999999998</v>
      </c>
      <c r="K178" s="606">
        <f>J178*(1+'LTFP Assumptions'!$K14)</f>
        <v>2708.06736</v>
      </c>
      <c r="L178" s="606">
        <f>K178*(1+'LTFP Assumptions'!$K14)</f>
        <v>2762.2287071999999</v>
      </c>
      <c r="M178" s="606">
        <f>L178*(1+'LTFP Assumptions'!$K14)</f>
        <v>2817.473281344</v>
      </c>
      <c r="N178" s="606">
        <f>M178*(1+'LTFP Assumptions'!$K14)</f>
        <v>2873.82274697088</v>
      </c>
      <c r="O178" s="606">
        <f>N178*(1+'LTFP Assumptions'!$K14)</f>
        <v>2931.2992019102976</v>
      </c>
      <c r="P178" s="606">
        <f>O178*(1+'LTFP Assumptions'!$K14)</f>
        <v>2989.9251859485034</v>
      </c>
      <c r="R178" s="606">
        <f t="shared" si="149"/>
        <v>0</v>
      </c>
      <c r="S178" s="606">
        <f t="shared" si="149"/>
        <v>0</v>
      </c>
      <c r="T178" s="606">
        <f t="shared" si="149"/>
        <v>0</v>
      </c>
      <c r="U178" s="606">
        <f t="shared" si="149"/>
        <v>0</v>
      </c>
      <c r="V178" s="606">
        <f t="shared" si="149"/>
        <v>0</v>
      </c>
      <c r="W178" s="606">
        <f t="shared" si="149"/>
        <v>0</v>
      </c>
      <c r="X178" s="606">
        <f t="shared" si="149"/>
        <v>0</v>
      </c>
      <c r="Y178" s="606">
        <f t="shared" si="149"/>
        <v>0</v>
      </c>
      <c r="Z178" s="606">
        <f t="shared" si="149"/>
        <v>0</v>
      </c>
      <c r="AA178" s="606">
        <f t="shared" si="149"/>
        <v>0</v>
      </c>
    </row>
    <row r="179" spans="1:29" ht="10.8" thickBot="1" x14ac:dyDescent="0.25">
      <c r="A179" s="604" t="s">
        <v>66</v>
      </c>
      <c r="B179" s="610">
        <f>SUM(B171:B178)</f>
        <v>0</v>
      </c>
      <c r="C179" s="610">
        <f t="shared" ref="C179:P179" si="151">SUM(C171:C178)</f>
        <v>0</v>
      </c>
      <c r="D179" s="610">
        <f t="shared" si="151"/>
        <v>0</v>
      </c>
      <c r="E179" s="610">
        <f t="shared" si="151"/>
        <v>35003</v>
      </c>
      <c r="F179" s="610">
        <f t="shared" si="151"/>
        <v>35296.99</v>
      </c>
      <c r="G179" s="610">
        <f t="shared" si="151"/>
        <v>35085.749000000003</v>
      </c>
      <c r="H179" s="610">
        <f t="shared" si="151"/>
        <v>35804.841999999997</v>
      </c>
      <c r="I179" s="610">
        <f t="shared" si="151"/>
        <v>37464.257999999994</v>
      </c>
      <c r="J179" s="610">
        <f t="shared" si="151"/>
        <v>39827.555999999997</v>
      </c>
      <c r="K179" s="610">
        <f t="shared" si="151"/>
        <v>40726.093350800002</v>
      </c>
      <c r="L179" s="610">
        <f t="shared" si="151"/>
        <v>41647.503100465998</v>
      </c>
      <c r="M179" s="610">
        <f t="shared" si="151"/>
        <v>42592.384532774566</v>
      </c>
      <c r="N179" s="610">
        <f t="shared" si="151"/>
        <v>43561.353041907882</v>
      </c>
      <c r="O179" s="610">
        <f t="shared" si="151"/>
        <v>44555.040575145133</v>
      </c>
      <c r="P179" s="610">
        <f t="shared" si="151"/>
        <v>45574.096087940801</v>
      </c>
      <c r="R179" s="1335">
        <f>SUM(R171:R178)</f>
        <v>0</v>
      </c>
      <c r="S179" s="1335">
        <f t="shared" ref="S179" si="152">SUM(S171:S178)</f>
        <v>0</v>
      </c>
      <c r="T179" s="1335">
        <f t="shared" ref="T179" si="153">SUM(T171:T178)</f>
        <v>0</v>
      </c>
      <c r="U179" s="1335">
        <f t="shared" ref="U179" si="154">SUM(U171:U178)</f>
        <v>0</v>
      </c>
      <c r="V179" s="1335">
        <f t="shared" ref="V179" si="155">SUM(V171:V178)</f>
        <v>0</v>
      </c>
      <c r="W179" s="1335">
        <f t="shared" ref="W179" si="156">SUM(W171:W178)</f>
        <v>0</v>
      </c>
      <c r="X179" s="1335">
        <f t="shared" ref="X179" si="157">SUM(X171:X178)</f>
        <v>0</v>
      </c>
      <c r="Y179" s="1335">
        <f t="shared" ref="Y179" si="158">SUM(Y171:Y178)</f>
        <v>0</v>
      </c>
      <c r="Z179" s="1335">
        <f t="shared" ref="Z179" si="159">SUM(Z171:Z178)</f>
        <v>0</v>
      </c>
      <c r="AA179" s="1335">
        <f t="shared" ref="AA179" si="160">SUM(AA171:AA178)</f>
        <v>0</v>
      </c>
    </row>
    <row r="181" spans="1:29" ht="10.8" thickBot="1" x14ac:dyDescent="0.25">
      <c r="A181" s="604" t="s">
        <v>67</v>
      </c>
      <c r="B181" s="636">
        <f t="shared" ref="B181:P181" si="161">+B167-B179</f>
        <v>0</v>
      </c>
      <c r="C181" s="636">
        <f t="shared" si="161"/>
        <v>0</v>
      </c>
      <c r="D181" s="636">
        <f t="shared" si="161"/>
        <v>0</v>
      </c>
      <c r="E181" s="636">
        <f t="shared" si="161"/>
        <v>11810</v>
      </c>
      <c r="F181" s="636">
        <f t="shared" si="161"/>
        <v>2800.1320000000051</v>
      </c>
      <c r="G181" s="636">
        <f t="shared" si="161"/>
        <v>5377.5094999999928</v>
      </c>
      <c r="H181" s="636">
        <f t="shared" si="161"/>
        <v>5386.7002935000055</v>
      </c>
      <c r="I181" s="636">
        <f t="shared" si="161"/>
        <v>9288.0838496375072</v>
      </c>
      <c r="J181" s="636">
        <f t="shared" si="161"/>
        <v>4898.463622829935</v>
      </c>
      <c r="K181" s="636">
        <f t="shared" si="161"/>
        <v>4286.446155589023</v>
      </c>
      <c r="L181" s="636">
        <f t="shared" si="161"/>
        <v>4401.9159032248863</v>
      </c>
      <c r="M181" s="636">
        <f t="shared" si="161"/>
        <v>4121.562004677493</v>
      </c>
      <c r="N181" s="636">
        <f t="shared" si="161"/>
        <v>4218.8593933969169</v>
      </c>
      <c r="O181" s="636">
        <f t="shared" si="161"/>
        <v>3020.4635638091568</v>
      </c>
      <c r="P181" s="636">
        <f t="shared" si="161"/>
        <v>1031.2639682567678</v>
      </c>
    </row>
    <row r="182" spans="1:29" x14ac:dyDescent="0.2">
      <c r="A182" s="616"/>
      <c r="B182" s="621"/>
      <c r="C182" s="621"/>
      <c r="D182" s="621"/>
      <c r="E182" s="621"/>
      <c r="F182" s="621"/>
      <c r="G182" s="621"/>
      <c r="H182" s="621"/>
      <c r="I182" s="621"/>
      <c r="J182" s="621"/>
      <c r="K182" s="621"/>
      <c r="L182" s="621"/>
      <c r="M182" s="621"/>
      <c r="N182" s="621"/>
      <c r="O182" s="621"/>
      <c r="P182" s="621"/>
    </row>
    <row r="183" spans="1:29" x14ac:dyDescent="0.2">
      <c r="A183" s="604" t="s">
        <v>75</v>
      </c>
      <c r="B183" s="621"/>
      <c r="C183" s="621"/>
      <c r="D183" s="621"/>
      <c r="E183" s="621"/>
      <c r="F183" s="621"/>
      <c r="G183" s="621"/>
      <c r="H183" s="621"/>
      <c r="I183" s="621"/>
      <c r="J183" s="621"/>
      <c r="K183" s="621"/>
      <c r="L183" s="621"/>
      <c r="M183" s="621"/>
      <c r="N183" s="621"/>
      <c r="O183" s="621"/>
      <c r="P183" s="621"/>
    </row>
    <row r="184" spans="1:29" x14ac:dyDescent="0.2">
      <c r="A184" s="614" t="s">
        <v>322</v>
      </c>
      <c r="B184" s="617">
        <v>0</v>
      </c>
      <c r="C184" s="617">
        <v>0</v>
      </c>
      <c r="D184" s="617">
        <v>0</v>
      </c>
      <c r="E184" s="617">
        <v>0</v>
      </c>
      <c r="F184" s="617">
        <v>0</v>
      </c>
      <c r="G184" s="617">
        <v>0</v>
      </c>
      <c r="H184" s="617">
        <v>0</v>
      </c>
      <c r="I184" s="617">
        <v>0</v>
      </c>
      <c r="J184" s="617">
        <v>0</v>
      </c>
      <c r="K184" s="617">
        <v>0</v>
      </c>
      <c r="L184" s="617">
        <v>0</v>
      </c>
      <c r="M184" s="617">
        <v>0</v>
      </c>
      <c r="N184" s="617">
        <v>0</v>
      </c>
      <c r="O184" s="617">
        <v>0</v>
      </c>
      <c r="P184" s="617">
        <v>0</v>
      </c>
      <c r="T184" s="601"/>
      <c r="U184" s="601"/>
      <c r="V184" s="601"/>
      <c r="W184" s="601"/>
      <c r="X184" s="601"/>
      <c r="Y184" s="601"/>
      <c r="Z184" s="601"/>
      <c r="AA184" s="601"/>
      <c r="AB184" s="601"/>
      <c r="AC184" s="601"/>
    </row>
    <row r="185" spans="1:29" x14ac:dyDescent="0.2">
      <c r="B185" s="621"/>
      <c r="C185" s="621"/>
      <c r="D185" s="621"/>
      <c r="E185" s="621"/>
      <c r="F185" s="621"/>
      <c r="G185" s="621"/>
      <c r="H185" s="621"/>
      <c r="I185" s="621"/>
      <c r="J185" s="621"/>
      <c r="K185" s="621"/>
      <c r="L185" s="621"/>
      <c r="M185" s="621"/>
      <c r="N185" s="621"/>
      <c r="O185" s="621"/>
      <c r="P185" s="621"/>
      <c r="T185" s="601"/>
      <c r="U185" s="601"/>
      <c r="V185" s="601"/>
      <c r="W185" s="601"/>
      <c r="X185" s="601"/>
      <c r="Y185" s="601"/>
      <c r="Z185" s="601"/>
      <c r="AA185" s="601"/>
      <c r="AB185" s="601"/>
      <c r="AC185" s="601"/>
    </row>
    <row r="186" spans="1:29" x14ac:dyDescent="0.2">
      <c r="A186" s="618" t="s">
        <v>76</v>
      </c>
      <c r="B186" s="634">
        <f>+B181+B184</f>
        <v>0</v>
      </c>
      <c r="C186" s="634">
        <f>+C181+C184</f>
        <v>0</v>
      </c>
      <c r="D186" s="634">
        <f>+D181+D184</f>
        <v>0</v>
      </c>
      <c r="E186" s="634">
        <f t="shared" ref="E186:P186" si="162">+E181+E184</f>
        <v>11810</v>
      </c>
      <c r="F186" s="634">
        <f t="shared" si="162"/>
        <v>2800.1320000000051</v>
      </c>
      <c r="G186" s="634">
        <f t="shared" si="162"/>
        <v>5377.5094999999928</v>
      </c>
      <c r="H186" s="634">
        <f t="shared" si="162"/>
        <v>5386.7002935000055</v>
      </c>
      <c r="I186" s="634">
        <f t="shared" si="162"/>
        <v>9288.0838496375072</v>
      </c>
      <c r="J186" s="634">
        <f t="shared" si="162"/>
        <v>4898.463622829935</v>
      </c>
      <c r="K186" s="634">
        <f t="shared" si="162"/>
        <v>4286.446155589023</v>
      </c>
      <c r="L186" s="634">
        <f t="shared" si="162"/>
        <v>4401.9159032248863</v>
      </c>
      <c r="M186" s="634">
        <f t="shared" si="162"/>
        <v>4121.562004677493</v>
      </c>
      <c r="N186" s="634">
        <f t="shared" si="162"/>
        <v>4218.8593933969169</v>
      </c>
      <c r="O186" s="634">
        <f t="shared" si="162"/>
        <v>3020.4635638091568</v>
      </c>
      <c r="P186" s="634">
        <f t="shared" si="162"/>
        <v>1031.2639682567678</v>
      </c>
    </row>
    <row r="187" spans="1:29" x14ac:dyDescent="0.2">
      <c r="B187" s="621"/>
      <c r="C187" s="621"/>
      <c r="D187" s="621"/>
      <c r="E187" s="621"/>
      <c r="F187" s="621"/>
      <c r="G187" s="621"/>
      <c r="H187" s="621"/>
      <c r="I187" s="621"/>
      <c r="J187" s="621"/>
      <c r="K187" s="621"/>
      <c r="L187" s="621"/>
      <c r="M187" s="621"/>
      <c r="N187" s="621"/>
      <c r="O187" s="621"/>
      <c r="P187" s="621"/>
    </row>
    <row r="188" spans="1:29" s="601" customFormat="1" x14ac:dyDescent="0.2">
      <c r="A188" s="733" t="s">
        <v>77</v>
      </c>
      <c r="B188" s="715">
        <f>+B186</f>
        <v>0</v>
      </c>
      <c r="C188" s="734">
        <f>+C183+C186</f>
        <v>0</v>
      </c>
      <c r="D188" s="715">
        <f>+D186</f>
        <v>0</v>
      </c>
      <c r="E188" s="734">
        <f t="shared" ref="E188:P188" si="163">+E183+E186</f>
        <v>11810</v>
      </c>
      <c r="F188" s="734">
        <f t="shared" si="163"/>
        <v>2800.1320000000051</v>
      </c>
      <c r="G188" s="734">
        <f t="shared" si="163"/>
        <v>5377.5094999999928</v>
      </c>
      <c r="H188" s="734">
        <f t="shared" si="163"/>
        <v>5386.7002935000055</v>
      </c>
      <c r="I188" s="734">
        <f t="shared" si="163"/>
        <v>9288.0838496375072</v>
      </c>
      <c r="J188" s="734">
        <f t="shared" si="163"/>
        <v>4898.463622829935</v>
      </c>
      <c r="K188" s="734">
        <f t="shared" si="163"/>
        <v>4286.446155589023</v>
      </c>
      <c r="L188" s="734">
        <f t="shared" si="163"/>
        <v>4401.9159032248863</v>
      </c>
      <c r="M188" s="734">
        <f t="shared" si="163"/>
        <v>4121.562004677493</v>
      </c>
      <c r="N188" s="734">
        <f t="shared" si="163"/>
        <v>4218.8593933969169</v>
      </c>
      <c r="O188" s="734">
        <f t="shared" si="163"/>
        <v>3020.4635638091568</v>
      </c>
      <c r="P188" s="734">
        <f t="shared" si="163"/>
        <v>1031.2639682567678</v>
      </c>
      <c r="T188" s="599"/>
      <c r="U188" s="599"/>
      <c r="V188" s="599"/>
      <c r="W188" s="599"/>
      <c r="X188" s="599"/>
      <c r="Y188" s="599"/>
      <c r="Z188" s="599"/>
      <c r="AA188" s="599"/>
      <c r="AB188" s="599"/>
      <c r="AC188" s="599"/>
    </row>
    <row r="189" spans="1:29" s="601" customFormat="1" ht="10.5" customHeight="1" thickBot="1" x14ac:dyDescent="0.25">
      <c r="A189" s="739" t="s">
        <v>78</v>
      </c>
      <c r="B189" s="735">
        <v>0</v>
      </c>
      <c r="C189" s="735">
        <v>0</v>
      </c>
      <c r="D189" s="735">
        <v>0</v>
      </c>
      <c r="E189" s="735">
        <v>0</v>
      </c>
      <c r="F189" s="735"/>
      <c r="G189" s="735">
        <v>0</v>
      </c>
      <c r="H189" s="735">
        <v>0</v>
      </c>
      <c r="I189" s="735">
        <v>0</v>
      </c>
      <c r="J189" s="735">
        <v>0</v>
      </c>
      <c r="K189" s="735">
        <v>0</v>
      </c>
      <c r="L189" s="735">
        <v>0</v>
      </c>
      <c r="M189" s="735">
        <v>0</v>
      </c>
      <c r="N189" s="735">
        <v>0</v>
      </c>
      <c r="O189" s="735">
        <v>0</v>
      </c>
      <c r="P189" s="735">
        <v>0</v>
      </c>
      <c r="T189" s="599"/>
      <c r="U189" s="599"/>
      <c r="V189" s="599"/>
      <c r="W189" s="599"/>
      <c r="X189" s="599"/>
      <c r="Y189" s="599"/>
      <c r="Z189" s="599"/>
      <c r="AA189" s="599"/>
      <c r="AB189" s="599"/>
      <c r="AC189" s="599"/>
    </row>
    <row r="190" spans="1:29" ht="3.75" customHeight="1" thickTop="1" x14ac:dyDescent="0.2">
      <c r="A190" s="726"/>
      <c r="B190" s="714"/>
      <c r="C190" s="714"/>
      <c r="D190" s="710"/>
      <c r="E190" s="710"/>
      <c r="F190" s="710"/>
      <c r="G190" s="710"/>
      <c r="H190" s="710"/>
      <c r="I190" s="710"/>
      <c r="J190" s="710"/>
      <c r="K190" s="710"/>
      <c r="L190" s="710"/>
      <c r="M190" s="710"/>
      <c r="N190" s="710"/>
      <c r="O190" s="710"/>
      <c r="P190" s="710"/>
    </row>
    <row r="191" spans="1:29" ht="31.5" customHeight="1" thickBot="1" x14ac:dyDescent="0.25">
      <c r="A191" s="705" t="s">
        <v>79</v>
      </c>
      <c r="B191" s="736">
        <f>+B186-B164-B166</f>
        <v>0</v>
      </c>
      <c r="C191" s="736">
        <f>+C186-C164-C166</f>
        <v>0</v>
      </c>
      <c r="D191" s="736">
        <f>+D186-D162-D165</f>
        <v>0</v>
      </c>
      <c r="E191" s="736">
        <f t="shared" ref="E191:P191" si="164">+E186-E162-E165</f>
        <v>-2644</v>
      </c>
      <c r="F191" s="736">
        <f t="shared" si="164"/>
        <v>-97.874999999994998</v>
      </c>
      <c r="G191" s="736">
        <f t="shared" si="164"/>
        <v>1589.5424999999927</v>
      </c>
      <c r="H191" s="736">
        <f t="shared" si="164"/>
        <v>1542.3292835000057</v>
      </c>
      <c r="I191" s="736">
        <f t="shared" si="164"/>
        <v>1885.6248343375073</v>
      </c>
      <c r="J191" s="736">
        <f t="shared" si="164"/>
        <v>936.18229019593491</v>
      </c>
      <c r="K191" s="736">
        <f t="shared" si="164"/>
        <v>244.91919630234224</v>
      </c>
      <c r="L191" s="736">
        <f t="shared" si="164"/>
        <v>279.5584047524726</v>
      </c>
      <c r="M191" s="736">
        <f t="shared" si="164"/>
        <v>-83.242643764369859</v>
      </c>
      <c r="N191" s="736">
        <f t="shared" si="164"/>
        <v>-70.041348013783136</v>
      </c>
      <c r="O191" s="736">
        <f t="shared" si="164"/>
        <v>-1354.2151924297568</v>
      </c>
      <c r="P191" s="736">
        <f t="shared" si="164"/>
        <v>-3430.9083631069243</v>
      </c>
    </row>
    <row r="192" spans="1:29" ht="4.5" customHeight="1" thickTop="1" x14ac:dyDescent="0.2">
      <c r="A192" s="705"/>
      <c r="B192" s="734"/>
      <c r="C192" s="734"/>
      <c r="D192" s="734"/>
      <c r="E192" s="734"/>
      <c r="F192" s="734"/>
      <c r="G192" s="734"/>
      <c r="H192" s="734"/>
      <c r="I192" s="734"/>
      <c r="J192" s="734"/>
      <c r="K192" s="734"/>
      <c r="L192" s="734"/>
      <c r="M192" s="734"/>
      <c r="N192" s="734"/>
      <c r="O192" s="734"/>
      <c r="P192" s="734"/>
    </row>
    <row r="193" spans="1:29" x14ac:dyDescent="0.2">
      <c r="A193" s="730" t="s">
        <v>76</v>
      </c>
      <c r="B193" s="732">
        <f t="shared" ref="B193:P193" si="165">B186</f>
        <v>0</v>
      </c>
      <c r="C193" s="732">
        <f t="shared" si="165"/>
        <v>0</v>
      </c>
      <c r="D193" s="732">
        <f t="shared" si="165"/>
        <v>0</v>
      </c>
      <c r="E193" s="732">
        <f t="shared" si="165"/>
        <v>11810</v>
      </c>
      <c r="F193" s="732">
        <f t="shared" si="165"/>
        <v>2800.1320000000051</v>
      </c>
      <c r="G193" s="732">
        <f t="shared" si="165"/>
        <v>5377.5094999999928</v>
      </c>
      <c r="H193" s="732">
        <f t="shared" si="165"/>
        <v>5386.7002935000055</v>
      </c>
      <c r="I193" s="732">
        <f t="shared" si="165"/>
        <v>9288.0838496375072</v>
      </c>
      <c r="J193" s="732">
        <f t="shared" si="165"/>
        <v>4898.463622829935</v>
      </c>
      <c r="K193" s="732">
        <f t="shared" si="165"/>
        <v>4286.446155589023</v>
      </c>
      <c r="L193" s="732">
        <f t="shared" si="165"/>
        <v>4401.9159032248863</v>
      </c>
      <c r="M193" s="732">
        <f t="shared" si="165"/>
        <v>4121.562004677493</v>
      </c>
      <c r="N193" s="732">
        <f t="shared" si="165"/>
        <v>4218.8593933969169</v>
      </c>
      <c r="O193" s="732">
        <f t="shared" si="165"/>
        <v>3020.4635638091568</v>
      </c>
      <c r="P193" s="732">
        <f t="shared" si="165"/>
        <v>1031.2639682567678</v>
      </c>
    </row>
    <row r="194" spans="1:29" ht="9.75" customHeight="1" x14ac:dyDescent="0.2">
      <c r="A194" s="737" t="s">
        <v>1015</v>
      </c>
      <c r="B194" s="734"/>
      <c r="C194" s="734"/>
      <c r="D194" s="734"/>
      <c r="E194" s="734"/>
      <c r="F194" s="734"/>
      <c r="G194" s="734"/>
      <c r="H194" s="734"/>
      <c r="I194" s="734"/>
      <c r="J194" s="734"/>
      <c r="K194" s="734"/>
      <c r="L194" s="734"/>
      <c r="M194" s="734"/>
      <c r="N194" s="734"/>
      <c r="O194" s="734"/>
      <c r="P194" s="734"/>
    </row>
    <row r="195" spans="1:29" x14ac:dyDescent="0.2">
      <c r="A195" s="705" t="s">
        <v>1014</v>
      </c>
      <c r="B195" s="734"/>
      <c r="C195" s="734"/>
      <c r="D195" s="734">
        <f>D48</f>
        <v>0</v>
      </c>
      <c r="E195" s="734"/>
      <c r="F195" s="734"/>
      <c r="G195" s="734"/>
      <c r="H195" s="734"/>
      <c r="I195" s="734"/>
      <c r="J195" s="734"/>
      <c r="K195" s="734"/>
      <c r="L195" s="734"/>
      <c r="M195" s="734"/>
      <c r="N195" s="734"/>
      <c r="O195" s="734"/>
      <c r="P195" s="734"/>
    </row>
    <row r="196" spans="1:29" ht="1.5" customHeight="1" x14ac:dyDescent="0.2">
      <c r="A196" s="705"/>
      <c r="B196" s="734"/>
      <c r="C196" s="734"/>
      <c r="D196" s="734"/>
      <c r="E196" s="734"/>
      <c r="F196" s="734"/>
      <c r="G196" s="734"/>
      <c r="H196" s="734"/>
      <c r="I196" s="734"/>
      <c r="J196" s="734"/>
      <c r="K196" s="734"/>
      <c r="L196" s="734"/>
      <c r="M196" s="734"/>
      <c r="N196" s="734"/>
      <c r="O196" s="734"/>
      <c r="P196" s="734"/>
    </row>
    <row r="197" spans="1:29" ht="10.8" thickBot="1" x14ac:dyDescent="0.25">
      <c r="A197" s="705" t="s">
        <v>309</v>
      </c>
      <c r="B197" s="738">
        <f t="shared" ref="B197:P197" si="166">SUM(B193:B196)</f>
        <v>0</v>
      </c>
      <c r="C197" s="738">
        <f t="shared" si="166"/>
        <v>0</v>
      </c>
      <c r="D197" s="738">
        <f t="shared" si="166"/>
        <v>0</v>
      </c>
      <c r="E197" s="738">
        <f t="shared" si="166"/>
        <v>11810</v>
      </c>
      <c r="F197" s="738">
        <f t="shared" si="166"/>
        <v>2800.1320000000051</v>
      </c>
      <c r="G197" s="738">
        <f t="shared" si="166"/>
        <v>5377.5094999999928</v>
      </c>
      <c r="H197" s="738">
        <f t="shared" si="166"/>
        <v>5386.7002935000055</v>
      </c>
      <c r="I197" s="738">
        <f t="shared" si="166"/>
        <v>9288.0838496375072</v>
      </c>
      <c r="J197" s="738">
        <f t="shared" si="166"/>
        <v>4898.463622829935</v>
      </c>
      <c r="K197" s="738">
        <f t="shared" si="166"/>
        <v>4286.446155589023</v>
      </c>
      <c r="L197" s="738">
        <f t="shared" si="166"/>
        <v>4401.9159032248863</v>
      </c>
      <c r="M197" s="738">
        <f t="shared" si="166"/>
        <v>4121.562004677493</v>
      </c>
      <c r="N197" s="738">
        <f t="shared" si="166"/>
        <v>4218.8593933969169</v>
      </c>
      <c r="O197" s="738">
        <f t="shared" si="166"/>
        <v>3020.4635638091568</v>
      </c>
      <c r="P197" s="738">
        <f t="shared" si="166"/>
        <v>1031.2639682567678</v>
      </c>
    </row>
    <row r="198" spans="1:29" ht="10.8" thickTop="1" x14ac:dyDescent="0.2">
      <c r="A198" s="616"/>
      <c r="B198" s="621"/>
      <c r="C198" s="621"/>
      <c r="D198" s="621"/>
      <c r="E198" s="621"/>
      <c r="F198" s="621"/>
      <c r="G198" s="621"/>
      <c r="H198" s="621"/>
      <c r="I198" s="621"/>
      <c r="J198" s="621"/>
      <c r="K198" s="621"/>
      <c r="L198" s="621"/>
      <c r="M198" s="621"/>
      <c r="N198" s="621"/>
      <c r="O198" s="621"/>
      <c r="P198" s="621"/>
    </row>
    <row r="199" spans="1:29" ht="11.25" hidden="1" outlineLevel="1" x14ac:dyDescent="0.2">
      <c r="A199" s="604" t="s">
        <v>1081</v>
      </c>
      <c r="B199" s="621"/>
      <c r="C199" s="621"/>
      <c r="D199" s="606">
        <f t="shared" ref="D199:J203" si="167">D130</f>
        <v>0</v>
      </c>
      <c r="E199" s="606">
        <f t="shared" si="167"/>
        <v>0</v>
      </c>
      <c r="F199" s="606">
        <f t="shared" si="167"/>
        <v>11320.422</v>
      </c>
      <c r="G199" s="606">
        <f t="shared" si="167"/>
        <v>2600.8139999999999</v>
      </c>
      <c r="H199" s="606">
        <f t="shared" si="167"/>
        <v>19306.5245</v>
      </c>
      <c r="I199" s="606">
        <f t="shared" si="167"/>
        <v>16162.895</v>
      </c>
      <c r="J199" s="606">
        <f t="shared" si="167"/>
        <v>2065.5980000000004</v>
      </c>
      <c r="K199" s="606">
        <f>J199*(1+'LTFP Assumptions'!$K$13)</f>
        <v>2106.9099600000004</v>
      </c>
      <c r="L199" s="606">
        <f>K199*(1+'LTFP Assumptions'!$K$13)</f>
        <v>2149.0481592000006</v>
      </c>
      <c r="M199" s="606">
        <f>L199*(1+'LTFP Assumptions'!$K$13)</f>
        <v>2192.0291223840004</v>
      </c>
      <c r="N199" s="606">
        <f>M199*(1+'LTFP Assumptions'!$K$13)</f>
        <v>2235.8697048316803</v>
      </c>
      <c r="O199" s="606">
        <f>N199*(1+'LTFP Assumptions'!$K$13)</f>
        <v>2280.5870989283139</v>
      </c>
      <c r="P199" s="606">
        <f>O199*(1+'LTFP Assumptions'!$K$13)</f>
        <v>2326.1988409068804</v>
      </c>
      <c r="Q199" s="599" t="s">
        <v>32</v>
      </c>
    </row>
    <row r="200" spans="1:29" ht="11.25" hidden="1" outlineLevel="1" x14ac:dyDescent="0.2">
      <c r="A200" s="817" t="s">
        <v>1111</v>
      </c>
      <c r="B200" s="621"/>
      <c r="C200" s="621"/>
      <c r="D200" s="606">
        <f t="shared" si="167"/>
        <v>0</v>
      </c>
      <c r="E200" s="606">
        <f t="shared" si="167"/>
        <v>0</v>
      </c>
      <c r="F200" s="606">
        <f t="shared" si="167"/>
        <v>0</v>
      </c>
      <c r="G200" s="606">
        <f t="shared" si="167"/>
        <v>0</v>
      </c>
      <c r="H200" s="606">
        <f t="shared" si="167"/>
        <v>0</v>
      </c>
      <c r="I200" s="606">
        <f t="shared" si="167"/>
        <v>0</v>
      </c>
      <c r="J200" s="606">
        <f t="shared" si="167"/>
        <v>0</v>
      </c>
      <c r="K200" s="606">
        <f>J200*(1+'LTFP Assumptions'!$K$13)</f>
        <v>0</v>
      </c>
      <c r="L200" s="606">
        <f>K200*(1+'LTFP Assumptions'!$K$13)</f>
        <v>0</v>
      </c>
      <c r="M200" s="606">
        <f>L200*(1+'LTFP Assumptions'!$K$13)</f>
        <v>0</v>
      </c>
      <c r="N200" s="606">
        <f>M200*(1+'LTFP Assumptions'!$K$13)</f>
        <v>0</v>
      </c>
      <c r="O200" s="606">
        <f>N200*(1+'LTFP Assumptions'!$K$13)</f>
        <v>0</v>
      </c>
      <c r="P200" s="606">
        <f>O200*(1+'LTFP Assumptions'!$K$13)</f>
        <v>0</v>
      </c>
    </row>
    <row r="201" spans="1:29" ht="11.25" hidden="1" outlineLevel="1" x14ac:dyDescent="0.2">
      <c r="A201" s="604" t="s">
        <v>1082</v>
      </c>
      <c r="B201" s="621"/>
      <c r="C201" s="621"/>
      <c r="D201" s="606">
        <f t="shared" si="167"/>
        <v>0</v>
      </c>
      <c r="E201" s="606">
        <f t="shared" si="167"/>
        <v>0</v>
      </c>
      <c r="F201" s="606">
        <f t="shared" si="167"/>
        <v>0</v>
      </c>
      <c r="G201" s="606">
        <f t="shared" si="167"/>
        <v>7827.9979999999996</v>
      </c>
      <c r="H201" s="606">
        <f t="shared" si="167"/>
        <v>12264.567300000001</v>
      </c>
      <c r="I201" s="606">
        <f t="shared" si="167"/>
        <v>8940.2783949999994</v>
      </c>
      <c r="J201" s="606">
        <f t="shared" si="167"/>
        <v>8916.9354048749992</v>
      </c>
      <c r="K201" s="606">
        <f>J201*(1+'LTFP Assumptions'!$K$13)</f>
        <v>9095.2741129725</v>
      </c>
      <c r="L201" s="606">
        <f>K201*(1+'LTFP Assumptions'!$K$13)</f>
        <v>9277.1795952319499</v>
      </c>
      <c r="M201" s="606">
        <f>L201*(1+'LTFP Assumptions'!$K$13)</f>
        <v>9462.7231871365893</v>
      </c>
      <c r="N201" s="606">
        <f>M201*(1+'LTFP Assumptions'!$K$13)</f>
        <v>9651.977650879322</v>
      </c>
      <c r="O201" s="606">
        <f>N201*(1+'LTFP Assumptions'!$K$13)</f>
        <v>9845.0172038969085</v>
      </c>
      <c r="P201" s="606">
        <f>O201*(1+'LTFP Assumptions'!$K$13)</f>
        <v>10041.917547974846</v>
      </c>
      <c r="Q201" s="599" t="s">
        <v>32</v>
      </c>
      <c r="T201" s="608"/>
      <c r="U201" s="608"/>
      <c r="V201" s="608"/>
      <c r="W201" s="608"/>
      <c r="X201" s="608"/>
      <c r="Y201" s="608"/>
      <c r="Z201" s="608"/>
      <c r="AA201" s="608"/>
      <c r="AB201" s="608"/>
      <c r="AC201" s="608"/>
    </row>
    <row r="202" spans="1:29" ht="11.25" hidden="1" outlineLevel="1" x14ac:dyDescent="0.2">
      <c r="A202" s="604" t="s">
        <v>1083</v>
      </c>
      <c r="B202" s="621"/>
      <c r="C202" s="621"/>
      <c r="D202" s="606">
        <f t="shared" si="167"/>
        <v>0</v>
      </c>
      <c r="E202" s="606">
        <f t="shared" si="167"/>
        <v>0</v>
      </c>
      <c r="F202" s="606">
        <f t="shared" si="167"/>
        <v>570.28700000000003</v>
      </c>
      <c r="G202" s="606">
        <f t="shared" si="167"/>
        <v>621.83900000000006</v>
      </c>
      <c r="H202" s="606">
        <f t="shared" si="167"/>
        <v>555.48599999999999</v>
      </c>
      <c r="I202" s="606">
        <f t="shared" si="167"/>
        <v>672.75099999999998</v>
      </c>
      <c r="J202" s="606">
        <f t="shared" si="167"/>
        <v>972.69899999999996</v>
      </c>
      <c r="K202" s="606">
        <f>J202*(1+'LTFP Assumptions'!$K$13)</f>
        <v>992.15297999999996</v>
      </c>
      <c r="L202" s="606">
        <f>K202*(1+'LTFP Assumptions'!$K$13)</f>
        <v>1011.9960396</v>
      </c>
      <c r="M202" s="606">
        <f>L202*(1+'LTFP Assumptions'!$K$13)</f>
        <v>1032.2359603919999</v>
      </c>
      <c r="N202" s="606">
        <f>M202*(1+'LTFP Assumptions'!$K$13)</f>
        <v>1052.8806795998401</v>
      </c>
      <c r="O202" s="606">
        <f>N202*(1+'LTFP Assumptions'!$K$13)</f>
        <v>1073.9382931918369</v>
      </c>
      <c r="P202" s="606">
        <f>O202*(1+'LTFP Assumptions'!$K$13)</f>
        <v>1095.4170590556737</v>
      </c>
    </row>
    <row r="203" spans="1:29" ht="11.25" hidden="1" outlineLevel="1" x14ac:dyDescent="0.2">
      <c r="A203" s="604" t="s">
        <v>1089</v>
      </c>
      <c r="B203" s="621"/>
      <c r="C203" s="621"/>
      <c r="D203" s="606">
        <f t="shared" si="167"/>
        <v>0</v>
      </c>
      <c r="E203" s="606">
        <f t="shared" si="167"/>
        <v>0</v>
      </c>
      <c r="F203" s="606">
        <f t="shared" si="167"/>
        <v>1723.0070000000001</v>
      </c>
      <c r="G203" s="606">
        <f t="shared" si="167"/>
        <v>2144.2849999999999</v>
      </c>
      <c r="H203" s="606">
        <f t="shared" si="167"/>
        <v>2218.17301</v>
      </c>
      <c r="I203" s="606">
        <f t="shared" si="167"/>
        <v>2294.8213903000001</v>
      </c>
      <c r="J203" s="606">
        <f t="shared" si="167"/>
        <v>2374.3454420090002</v>
      </c>
      <c r="K203" s="606">
        <f>J203*(1+'LTFP Assumptions'!$K$13)</f>
        <v>2421.8323508491803</v>
      </c>
      <c r="L203" s="606">
        <f>K203*(1+'LTFP Assumptions'!$K$13)</f>
        <v>2470.2689978661638</v>
      </c>
      <c r="M203" s="606">
        <f>L203*(1+'LTFP Assumptions'!$K$13)</f>
        <v>2519.6743778234872</v>
      </c>
      <c r="N203" s="606">
        <f>M203*(1+'LTFP Assumptions'!$K$13)</f>
        <v>2570.0678653799569</v>
      </c>
      <c r="O203" s="606">
        <f>N203*(1+'LTFP Assumptions'!$K$13)</f>
        <v>2621.4692226875559</v>
      </c>
      <c r="P203" s="606">
        <f>O203*(1+'LTFP Assumptions'!$K$13)</f>
        <v>2673.8986071413069</v>
      </c>
    </row>
    <row r="204" spans="1:29" ht="11.25" hidden="1" outlineLevel="1" x14ac:dyDescent="0.2">
      <c r="A204" s="604"/>
      <c r="B204" s="621"/>
      <c r="C204" s="621"/>
      <c r="D204" s="771">
        <f>SUM(D199:D203)</f>
        <v>0</v>
      </c>
      <c r="E204" s="771">
        <f t="shared" ref="E204:P204" si="168">SUM(E199:E203)</f>
        <v>0</v>
      </c>
      <c r="F204" s="771">
        <f t="shared" si="168"/>
        <v>13613.716</v>
      </c>
      <c r="G204" s="771">
        <f t="shared" si="168"/>
        <v>13194.936</v>
      </c>
      <c r="H204" s="771">
        <f t="shared" si="168"/>
        <v>34344.750810000005</v>
      </c>
      <c r="I204" s="771">
        <f t="shared" si="168"/>
        <v>28070.745785299998</v>
      </c>
      <c r="J204" s="771">
        <f t="shared" si="168"/>
        <v>14329.577846884</v>
      </c>
      <c r="K204" s="771">
        <f t="shared" si="168"/>
        <v>14616.169403821681</v>
      </c>
      <c r="L204" s="771">
        <f t="shared" si="168"/>
        <v>14908.492791898116</v>
      </c>
      <c r="M204" s="771">
        <f t="shared" si="168"/>
        <v>15206.662647736077</v>
      </c>
      <c r="N204" s="771">
        <f t="shared" si="168"/>
        <v>15510.7959006908</v>
      </c>
      <c r="O204" s="771">
        <f t="shared" si="168"/>
        <v>15821.011818704616</v>
      </c>
      <c r="P204" s="771">
        <f t="shared" si="168"/>
        <v>16137.432055078707</v>
      </c>
    </row>
    <row r="205" spans="1:29" s="608" customFormat="1" ht="11.25" hidden="1" outlineLevel="1" x14ac:dyDescent="0.2">
      <c r="A205" s="623" t="s">
        <v>1084</v>
      </c>
      <c r="B205" s="621"/>
      <c r="C205" s="621"/>
      <c r="D205" s="621"/>
      <c r="E205" s="621"/>
      <c r="F205" s="621"/>
      <c r="G205" s="621"/>
      <c r="H205" s="621"/>
      <c r="I205" s="621"/>
      <c r="J205" s="621"/>
      <c r="K205" s="621"/>
      <c r="L205" s="621"/>
      <c r="M205" s="621"/>
      <c r="N205" s="621"/>
      <c r="O205" s="621"/>
      <c r="P205" s="621"/>
      <c r="T205" s="599"/>
      <c r="U205" s="599"/>
      <c r="V205" s="599"/>
      <c r="W205" s="599"/>
      <c r="X205" s="599"/>
      <c r="Y205" s="599"/>
      <c r="Z205" s="599"/>
      <c r="AA205" s="599"/>
      <c r="AB205" s="599"/>
      <c r="AC205" s="599"/>
    </row>
    <row r="206" spans="1:29" ht="11.25" hidden="1" outlineLevel="1" x14ac:dyDescent="0.2">
      <c r="A206" s="604" t="s">
        <v>931</v>
      </c>
      <c r="B206" s="621"/>
      <c r="C206" s="621"/>
      <c r="D206" s="606">
        <f t="shared" ref="D206:J209" si="169">D137</f>
        <v>0</v>
      </c>
      <c r="E206" s="606">
        <f t="shared" si="169"/>
        <v>0</v>
      </c>
      <c r="F206" s="606">
        <f t="shared" si="169"/>
        <v>-97.875</v>
      </c>
      <c r="G206" s="606">
        <f t="shared" si="169"/>
        <v>1031.191</v>
      </c>
      <c r="H206" s="606">
        <f t="shared" si="169"/>
        <v>1449.5909999999999</v>
      </c>
      <c r="I206" s="606">
        <f t="shared" si="169"/>
        <v>1804.1690000000001</v>
      </c>
      <c r="J206" s="606">
        <f t="shared" si="169"/>
        <v>705.28599999999994</v>
      </c>
      <c r="K206" s="621">
        <f>K191</f>
        <v>244.91919630234224</v>
      </c>
      <c r="L206" s="621">
        <f t="shared" ref="L206:P206" si="170">L191</f>
        <v>279.5584047524726</v>
      </c>
      <c r="M206" s="621">
        <f t="shared" si="170"/>
        <v>-83.242643764369859</v>
      </c>
      <c r="N206" s="621">
        <f t="shared" si="170"/>
        <v>-70.041348013783136</v>
      </c>
      <c r="O206" s="621">
        <f t="shared" si="170"/>
        <v>-1354.2151924297568</v>
      </c>
      <c r="P206" s="621">
        <f t="shared" si="170"/>
        <v>-3430.9083631069243</v>
      </c>
    </row>
    <row r="207" spans="1:29" ht="11.25" hidden="1" outlineLevel="1" x14ac:dyDescent="0.2">
      <c r="A207" s="604" t="s">
        <v>244</v>
      </c>
      <c r="B207" s="621"/>
      <c r="C207" s="621"/>
      <c r="D207" s="606">
        <f t="shared" si="169"/>
        <v>0</v>
      </c>
      <c r="E207" s="606">
        <f t="shared" si="169"/>
        <v>0</v>
      </c>
      <c r="F207" s="606">
        <f t="shared" si="169"/>
        <v>1554.0070000000001</v>
      </c>
      <c r="G207" s="606">
        <f t="shared" si="169"/>
        <v>1981.9670000000001</v>
      </c>
      <c r="H207" s="606">
        <f t="shared" si="169"/>
        <v>2036.7460100000001</v>
      </c>
      <c r="I207" s="606">
        <f t="shared" si="169"/>
        <v>2093.1683903000003</v>
      </c>
      <c r="J207" s="606">
        <f t="shared" si="169"/>
        <v>2151.2834420090003</v>
      </c>
      <c r="K207" s="606">
        <f>J207*(1+'LTFP Assumptions'!$K$13)</f>
        <v>2194.3091108491803</v>
      </c>
      <c r="L207" s="606">
        <f>K207*(1+'LTFP Assumptions'!$K$13)</f>
        <v>2238.1952930661641</v>
      </c>
      <c r="M207" s="606">
        <f>L207*(1+'LTFP Assumptions'!$K$13)</f>
        <v>2282.9591989274873</v>
      </c>
      <c r="N207" s="606">
        <f>M207*(1+'LTFP Assumptions'!$K$13)</f>
        <v>2328.6183829060369</v>
      </c>
      <c r="O207" s="606">
        <f>N207*(1+'LTFP Assumptions'!$K$13)</f>
        <v>2375.1907505641575</v>
      </c>
      <c r="P207" s="606">
        <f>O207*(1+'LTFP Assumptions'!$K$13)</f>
        <v>2422.6945655754407</v>
      </c>
    </row>
    <row r="208" spans="1:29" ht="11.25" hidden="1" outlineLevel="1" x14ac:dyDescent="0.2">
      <c r="A208" s="604" t="s">
        <v>1085</v>
      </c>
      <c r="B208" s="621"/>
      <c r="C208" s="621"/>
      <c r="D208" s="606">
        <f t="shared" si="169"/>
        <v>0</v>
      </c>
      <c r="E208" s="606">
        <f t="shared" si="169"/>
        <v>0</v>
      </c>
      <c r="F208" s="606">
        <f t="shared" si="169"/>
        <v>1266</v>
      </c>
      <c r="G208" s="606">
        <f t="shared" si="169"/>
        <v>1741</v>
      </c>
      <c r="H208" s="606">
        <f t="shared" si="169"/>
        <v>1741</v>
      </c>
      <c r="I208" s="606">
        <f t="shared" si="169"/>
        <v>5241</v>
      </c>
      <c r="J208" s="606">
        <f t="shared" si="169"/>
        <v>1741</v>
      </c>
      <c r="K208" s="606">
        <f>J208*(1+'LTFP Assumptions'!$K$13)</f>
        <v>1775.82</v>
      </c>
      <c r="L208" s="606">
        <f>K208*(1+'LTFP Assumptions'!$K$13)</f>
        <v>1811.3363999999999</v>
      </c>
      <c r="M208" s="606">
        <f>L208*(1+'LTFP Assumptions'!$K$13)</f>
        <v>1847.563128</v>
      </c>
      <c r="N208" s="606">
        <f>M208*(1+'LTFP Assumptions'!$K$13)</f>
        <v>1884.51439056</v>
      </c>
      <c r="O208" s="606">
        <f>N208*(1+'LTFP Assumptions'!$K$13)</f>
        <v>1922.2046783712001</v>
      </c>
      <c r="P208" s="606">
        <f>O208*(1+'LTFP Assumptions'!$K$13)</f>
        <v>1960.6487719386241</v>
      </c>
    </row>
    <row r="209" spans="1:16" ht="11.25" hidden="1" outlineLevel="1" x14ac:dyDescent="0.2">
      <c r="A209" s="604" t="s">
        <v>1086</v>
      </c>
      <c r="B209" s="621"/>
      <c r="C209" s="621"/>
      <c r="D209" s="606">
        <f t="shared" si="169"/>
        <v>0</v>
      </c>
      <c r="E209" s="606">
        <f t="shared" si="169"/>
        <v>0</v>
      </c>
      <c r="F209" s="606">
        <f t="shared" si="169"/>
        <v>78</v>
      </c>
      <c r="G209" s="606">
        <f t="shared" si="169"/>
        <v>65</v>
      </c>
      <c r="H209" s="606">
        <f t="shared" si="169"/>
        <v>66.625</v>
      </c>
      <c r="I209" s="606">
        <f t="shared" si="169"/>
        <v>68.290625000000006</v>
      </c>
      <c r="J209" s="606">
        <f t="shared" si="169"/>
        <v>69.997890624999997</v>
      </c>
      <c r="K209" s="606">
        <f>J209*(1+'LTFP Assumptions'!$K$13)</f>
        <v>71.397848437500002</v>
      </c>
      <c r="L209" s="606">
        <f>K209*(1+'LTFP Assumptions'!$K$13)</f>
        <v>72.825805406249998</v>
      </c>
      <c r="M209" s="606">
        <f>L209*(1+'LTFP Assumptions'!$K$13)</f>
        <v>74.282321514374999</v>
      </c>
      <c r="N209" s="606">
        <f>M209*(1+'LTFP Assumptions'!$K$13)</f>
        <v>75.767967944662502</v>
      </c>
      <c r="O209" s="606">
        <f>N209*(1+'LTFP Assumptions'!$K$13)</f>
        <v>77.283327303555751</v>
      </c>
      <c r="P209" s="606">
        <f>O209*(1+'LTFP Assumptions'!$K$13)</f>
        <v>78.828993849626869</v>
      </c>
    </row>
    <row r="210" spans="1:16" ht="11.25" hidden="1" outlineLevel="1" x14ac:dyDescent="0.2">
      <c r="A210" s="604" t="s">
        <v>33</v>
      </c>
      <c r="B210" s="621">
        <f>+B175</f>
        <v>0</v>
      </c>
      <c r="C210" s="621">
        <f>C175</f>
        <v>0</v>
      </c>
      <c r="D210" s="621">
        <f>D175</f>
        <v>0</v>
      </c>
      <c r="E210" s="621">
        <f>E63</f>
        <v>7182</v>
      </c>
      <c r="F210" s="621">
        <f>F63</f>
        <v>8510.6460000000006</v>
      </c>
      <c r="G210" s="621">
        <f t="shared" ref="G210:P210" si="171">G175</f>
        <v>7355.7780000000002</v>
      </c>
      <c r="H210" s="621">
        <f t="shared" si="171"/>
        <v>7480.7889999999998</v>
      </c>
      <c r="I210" s="621">
        <f t="shared" si="171"/>
        <v>7794.1180000000004</v>
      </c>
      <c r="J210" s="621">
        <f t="shared" si="171"/>
        <v>8342.01</v>
      </c>
      <c r="K210" s="621">
        <f t="shared" si="171"/>
        <v>8550.5602499999986</v>
      </c>
      <c r="L210" s="621">
        <f t="shared" si="171"/>
        <v>8764.3242562499981</v>
      </c>
      <c r="M210" s="621">
        <f t="shared" si="171"/>
        <v>8983.4323626562473</v>
      </c>
      <c r="N210" s="621">
        <f t="shared" si="171"/>
        <v>9208.0181717226533</v>
      </c>
      <c r="O210" s="621">
        <f t="shared" si="171"/>
        <v>9438.2186260157196</v>
      </c>
      <c r="P210" s="621">
        <f t="shared" si="171"/>
        <v>9674.1740916661111</v>
      </c>
    </row>
    <row r="211" spans="1:16" ht="11.25" hidden="1" outlineLevel="1" x14ac:dyDescent="0.2">
      <c r="A211" s="604" t="s">
        <v>22</v>
      </c>
      <c r="B211" s="621"/>
      <c r="C211" s="621"/>
      <c r="D211" s="606">
        <f t="shared" ref="D211:P213" si="172">D142</f>
        <v>0</v>
      </c>
      <c r="E211" s="606">
        <f t="shared" si="172"/>
        <v>0</v>
      </c>
      <c r="F211" s="606">
        <f t="shared" si="172"/>
        <v>2262.9380000000001</v>
      </c>
      <c r="G211" s="606">
        <f t="shared" si="172"/>
        <v>550</v>
      </c>
      <c r="H211" s="606">
        <f t="shared" si="172"/>
        <v>11000</v>
      </c>
      <c r="I211" s="606">
        <f t="shared" si="172"/>
        <v>0</v>
      </c>
      <c r="J211" s="606">
        <f t="shared" si="172"/>
        <v>0</v>
      </c>
      <c r="K211" s="606">
        <f t="shared" si="172"/>
        <v>2200</v>
      </c>
      <c r="L211" s="606">
        <f t="shared" si="172"/>
        <v>2244</v>
      </c>
      <c r="M211" s="606">
        <f t="shared" si="172"/>
        <v>2288.88</v>
      </c>
      <c r="N211" s="606">
        <f t="shared" si="172"/>
        <v>2334.6576</v>
      </c>
      <c r="O211" s="606">
        <f t="shared" si="172"/>
        <v>2381.3507520000003</v>
      </c>
      <c r="P211" s="606">
        <f t="shared" si="172"/>
        <v>2428.9777670400003</v>
      </c>
    </row>
    <row r="212" spans="1:16" ht="11.25" hidden="1" outlineLevel="1" x14ac:dyDescent="0.2">
      <c r="A212" s="604" t="s">
        <v>1087</v>
      </c>
      <c r="B212" s="621"/>
      <c r="C212" s="621"/>
      <c r="D212" s="606">
        <f t="shared" si="172"/>
        <v>0</v>
      </c>
      <c r="E212" s="606">
        <f t="shared" si="172"/>
        <v>0</v>
      </c>
      <c r="F212" s="606">
        <f t="shared" si="172"/>
        <v>0</v>
      </c>
      <c r="G212" s="606">
        <f t="shared" si="172"/>
        <v>0</v>
      </c>
      <c r="H212" s="606">
        <f t="shared" si="172"/>
        <v>10500</v>
      </c>
      <c r="I212" s="606">
        <f t="shared" si="172"/>
        <v>11000</v>
      </c>
      <c r="J212" s="606">
        <f t="shared" si="172"/>
        <v>0</v>
      </c>
      <c r="K212" s="606">
        <f>J212*(1+'LTFP Assumptions'!$K$13)</f>
        <v>0</v>
      </c>
      <c r="L212" s="606">
        <f>K212*(1+'LTFP Assumptions'!$K$13)</f>
        <v>0</v>
      </c>
      <c r="M212" s="606">
        <f>L212*(1+'LTFP Assumptions'!$K$13)</f>
        <v>0</v>
      </c>
      <c r="N212" s="606">
        <f>M212*(1+'LTFP Assumptions'!$K$13)</f>
        <v>0</v>
      </c>
      <c r="O212" s="606">
        <f>N212*(1+'LTFP Assumptions'!$K$13)</f>
        <v>0</v>
      </c>
      <c r="P212" s="606">
        <f>O212*(1+'LTFP Assumptions'!$K$13)</f>
        <v>0</v>
      </c>
    </row>
    <row r="213" spans="1:16" ht="11.25" hidden="1" outlineLevel="1" x14ac:dyDescent="0.2">
      <c r="A213" s="604" t="s">
        <v>1344</v>
      </c>
      <c r="B213" s="621"/>
      <c r="C213" s="621"/>
      <c r="D213" s="606">
        <f t="shared" si="172"/>
        <v>0</v>
      </c>
      <c r="E213" s="606">
        <f t="shared" si="172"/>
        <v>0</v>
      </c>
      <c r="F213" s="606">
        <f t="shared" si="172"/>
        <v>70</v>
      </c>
      <c r="G213" s="606">
        <f t="shared" si="172"/>
        <v>70</v>
      </c>
      <c r="H213" s="606">
        <f t="shared" si="172"/>
        <v>70</v>
      </c>
      <c r="I213" s="606">
        <f t="shared" si="172"/>
        <v>70</v>
      </c>
      <c r="J213" s="606">
        <f t="shared" si="172"/>
        <v>70</v>
      </c>
      <c r="K213" s="606">
        <f>J213*(1+'LTFP Assumptions'!$K$13)</f>
        <v>71.400000000000006</v>
      </c>
      <c r="L213" s="606">
        <f>K213*(1+'LTFP Assumptions'!$K$13)</f>
        <v>72.828000000000003</v>
      </c>
      <c r="M213" s="606">
        <f>L213*(1+'LTFP Assumptions'!$K$13)</f>
        <v>74.284559999999999</v>
      </c>
      <c r="N213" s="606">
        <f>M213*(1+'LTFP Assumptions'!$K$13)</f>
        <v>75.770251200000004</v>
      </c>
      <c r="O213" s="606">
        <f>N213*(1+'LTFP Assumptions'!$K$13)</f>
        <v>77.285656224000007</v>
      </c>
      <c r="P213" s="606">
        <f>O213*(1+'LTFP Assumptions'!$K$13)</f>
        <v>78.83136934848001</v>
      </c>
    </row>
    <row r="214" spans="1:16" ht="11.25" hidden="1" outlineLevel="1" x14ac:dyDescent="0.2">
      <c r="A214" s="604"/>
      <c r="B214" s="621"/>
      <c r="C214" s="621"/>
      <c r="D214" s="771">
        <f t="shared" ref="D214:P214" si="173">SUM(D206:D213)</f>
        <v>0</v>
      </c>
      <c r="E214" s="771">
        <f t="shared" si="173"/>
        <v>7182</v>
      </c>
      <c r="F214" s="771">
        <f t="shared" si="173"/>
        <v>13643.716</v>
      </c>
      <c r="G214" s="771">
        <f t="shared" si="173"/>
        <v>12794.936000000002</v>
      </c>
      <c r="H214" s="771">
        <f t="shared" si="173"/>
        <v>34344.75101</v>
      </c>
      <c r="I214" s="771">
        <f t="shared" si="173"/>
        <v>28070.746015299999</v>
      </c>
      <c r="J214" s="771">
        <f t="shared" si="173"/>
        <v>13079.577332634</v>
      </c>
      <c r="K214" s="771">
        <f t="shared" si="173"/>
        <v>15108.406405589021</v>
      </c>
      <c r="L214" s="771">
        <f t="shared" si="173"/>
        <v>15483.068159474884</v>
      </c>
      <c r="M214" s="771">
        <f t="shared" si="173"/>
        <v>15468.158927333741</v>
      </c>
      <c r="N214" s="771">
        <f t="shared" si="173"/>
        <v>15837.30541631957</v>
      </c>
      <c r="O214" s="771">
        <f t="shared" si="173"/>
        <v>14917.318598048876</v>
      </c>
      <c r="P214" s="771">
        <f t="shared" si="173"/>
        <v>13213.247196311358</v>
      </c>
    </row>
    <row r="215" spans="1:16" ht="11.25" hidden="1" outlineLevel="1" x14ac:dyDescent="0.2">
      <c r="A215" s="599"/>
      <c r="B215" s="621"/>
      <c r="C215" s="621"/>
      <c r="D215" s="622"/>
      <c r="E215" s="622"/>
      <c r="F215" s="622"/>
      <c r="G215" s="622"/>
      <c r="H215" s="622"/>
      <c r="I215" s="622"/>
      <c r="J215" s="624"/>
      <c r="K215" s="624"/>
      <c r="L215" s="624"/>
      <c r="M215" s="624"/>
      <c r="N215" s="624"/>
      <c r="O215" s="624"/>
      <c r="P215" s="624"/>
    </row>
    <row r="216" spans="1:16" ht="11.25" hidden="1" outlineLevel="1" x14ac:dyDescent="0.2">
      <c r="A216" s="604"/>
      <c r="B216" s="621"/>
      <c r="C216" s="621"/>
      <c r="D216" s="621"/>
      <c r="E216" s="621"/>
      <c r="F216" s="621"/>
      <c r="G216" s="621"/>
      <c r="H216" s="621"/>
      <c r="I216" s="621"/>
      <c r="J216" s="621"/>
      <c r="K216" s="621"/>
      <c r="L216" s="621"/>
      <c r="M216" s="621"/>
      <c r="N216" s="621"/>
      <c r="O216" s="621"/>
      <c r="P216" s="621"/>
    </row>
    <row r="217" spans="1:16" ht="11.25" hidden="1" outlineLevel="1" x14ac:dyDescent="0.2">
      <c r="A217" s="604" t="s">
        <v>34</v>
      </c>
      <c r="B217" s="621">
        <f>+B186+SUM(B199:B216)</f>
        <v>0</v>
      </c>
      <c r="C217" s="621">
        <f>+C186+SUM(C199:C216)</f>
        <v>0</v>
      </c>
      <c r="D217" s="625">
        <f>D214-D204</f>
        <v>0</v>
      </c>
      <c r="E217" s="625">
        <f t="shared" ref="E217:P217" si="174">E214-E204</f>
        <v>7182</v>
      </c>
      <c r="F217" s="625">
        <f t="shared" si="174"/>
        <v>30</v>
      </c>
      <c r="G217" s="625">
        <f t="shared" si="174"/>
        <v>-399.99999999999818</v>
      </c>
      <c r="H217" s="625">
        <f t="shared" si="174"/>
        <v>1.9999999494757503E-4</v>
      </c>
      <c r="I217" s="625">
        <f t="shared" si="174"/>
        <v>2.300000014656689E-4</v>
      </c>
      <c r="J217" s="625">
        <f t="shared" si="174"/>
        <v>-1250.0005142499995</v>
      </c>
      <c r="K217" s="625">
        <f t="shared" si="174"/>
        <v>492.23700176734019</v>
      </c>
      <c r="L217" s="625">
        <f t="shared" si="174"/>
        <v>574.57536757676826</v>
      </c>
      <c r="M217" s="625">
        <f t="shared" si="174"/>
        <v>261.4962795976644</v>
      </c>
      <c r="N217" s="625">
        <f t="shared" si="174"/>
        <v>326.5095156287698</v>
      </c>
      <c r="O217" s="625">
        <f t="shared" si="174"/>
        <v>-903.69322065573942</v>
      </c>
      <c r="P217" s="625">
        <f t="shared" si="174"/>
        <v>-2924.1848587673485</v>
      </c>
    </row>
    <row r="218" spans="1:16" ht="11.25" hidden="1" outlineLevel="1" x14ac:dyDescent="0.2">
      <c r="A218" s="600" t="s">
        <v>451</v>
      </c>
      <c r="C218" s="606">
        <f>B219</f>
        <v>0</v>
      </c>
      <c r="D218" s="606">
        <f t="shared" ref="D218:E218" si="175">C219</f>
        <v>0</v>
      </c>
      <c r="E218" s="606">
        <f t="shared" si="175"/>
        <v>0</v>
      </c>
      <c r="F218" s="606">
        <v>0</v>
      </c>
      <c r="G218" s="606">
        <f t="shared" ref="G218:P218" si="176">F219</f>
        <v>30</v>
      </c>
      <c r="H218" s="606">
        <f t="shared" si="176"/>
        <v>-369.99999999999818</v>
      </c>
      <c r="I218" s="606">
        <f t="shared" si="176"/>
        <v>-369.99980000000323</v>
      </c>
      <c r="J218" s="606">
        <f t="shared" si="176"/>
        <v>-369.99957000000177</v>
      </c>
      <c r="K218" s="606">
        <f t="shared" si="176"/>
        <v>-1620.0000842500012</v>
      </c>
      <c r="L218" s="606">
        <f t="shared" si="176"/>
        <v>-1127.763082482661</v>
      </c>
      <c r="M218" s="606">
        <f t="shared" si="176"/>
        <v>-553.18771490589279</v>
      </c>
      <c r="N218" s="606">
        <f t="shared" si="176"/>
        <v>-291.69143530822839</v>
      </c>
      <c r="O218" s="606">
        <f t="shared" si="176"/>
        <v>34.818080320541412</v>
      </c>
      <c r="P218" s="606">
        <f t="shared" si="176"/>
        <v>-868.87514033519801</v>
      </c>
    </row>
    <row r="219" spans="1:16" ht="11.25" hidden="1" outlineLevel="1" x14ac:dyDescent="0.2">
      <c r="A219" s="620" t="s">
        <v>452</v>
      </c>
      <c r="B219" s="626"/>
      <c r="C219" s="627">
        <f>SUM(C217:C218)</f>
        <v>0</v>
      </c>
      <c r="D219" s="627">
        <f t="shared" ref="D219:P219" si="177">SUM(D217:D218)</f>
        <v>0</v>
      </c>
      <c r="E219" s="627">
        <f t="shared" si="177"/>
        <v>7182</v>
      </c>
      <c r="F219" s="627">
        <f t="shared" si="177"/>
        <v>30</v>
      </c>
      <c r="G219" s="627">
        <f t="shared" si="177"/>
        <v>-369.99999999999818</v>
      </c>
      <c r="H219" s="627">
        <f t="shared" si="177"/>
        <v>-369.99980000000323</v>
      </c>
      <c r="I219" s="627">
        <f t="shared" si="177"/>
        <v>-369.99957000000177</v>
      </c>
      <c r="J219" s="627">
        <f t="shared" si="177"/>
        <v>-1620.0000842500012</v>
      </c>
      <c r="K219" s="627">
        <f t="shared" si="177"/>
        <v>-1127.763082482661</v>
      </c>
      <c r="L219" s="627">
        <f t="shared" si="177"/>
        <v>-553.18771490589279</v>
      </c>
      <c r="M219" s="627">
        <f t="shared" si="177"/>
        <v>-291.69143530822839</v>
      </c>
      <c r="N219" s="627">
        <f t="shared" si="177"/>
        <v>34.818080320541412</v>
      </c>
      <c r="O219" s="627">
        <f t="shared" si="177"/>
        <v>-868.87514033519801</v>
      </c>
      <c r="P219" s="627">
        <f t="shared" si="177"/>
        <v>-3793.0599991025465</v>
      </c>
    </row>
    <row r="220" spans="1:16" collapsed="1" x14ac:dyDescent="0.2"/>
  </sheetData>
  <pageMargins left="0.74803149606299213" right="0.74803149606299213" top="0.6692913385826772" bottom="0.6692913385826772" header="0.51181102362204722" footer="0.51181102362204722"/>
  <pageSetup paperSize="9" scale="89" fitToHeight="0" orientation="landscape" r:id="rId1"/>
  <headerFooter alignWithMargins="0"/>
  <rowBreaks count="2" manualBreakCount="2">
    <brk id="50" max="16383" man="1"/>
    <brk id="128" max="16383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159"/>
  <sheetViews>
    <sheetView zoomScaleNormal="100" workbookViewId="0">
      <pane xSplit="3" ySplit="3" topLeftCell="F83" activePane="bottomRight" state="frozen"/>
      <selection pane="topRight" activeCell="D1" sqref="D1"/>
      <selection pane="bottomLeft" activeCell="A3" sqref="A3"/>
      <selection pane="bottomRight" activeCell="A11" sqref="A11:XFD11"/>
    </sheetView>
  </sheetViews>
  <sheetFormatPr defaultColWidth="9.109375" defaultRowHeight="12" outlineLevelRow="1" outlineLevelCol="1" x14ac:dyDescent="0.25"/>
  <cols>
    <col min="1" max="1" width="38.88671875" style="639" customWidth="1"/>
    <col min="2" max="2" width="16.44140625" style="639" hidden="1" customWidth="1" outlineLevel="1"/>
    <col min="3" max="3" width="12.109375" style="639" hidden="1" customWidth="1" outlineLevel="1"/>
    <col min="4" max="4" width="13.109375" style="639" hidden="1" customWidth="1" outlineLevel="1" collapsed="1"/>
    <col min="5" max="5" width="10.33203125" style="639" hidden="1" customWidth="1" outlineLevel="1"/>
    <col min="6" max="6" width="9.88671875" style="639" bestFit="1" customWidth="1" collapsed="1"/>
    <col min="7" max="16" width="9.88671875" style="639" bestFit="1" customWidth="1"/>
    <col min="17" max="16384" width="9.109375" style="639"/>
  </cols>
  <sheetData>
    <row r="1" spans="1:16" ht="12.75" x14ac:dyDescent="0.2">
      <c r="A1" s="1091" t="s">
        <v>1247</v>
      </c>
    </row>
    <row r="2" spans="1:16" s="637" customFormat="1" x14ac:dyDescent="0.2">
      <c r="A2" s="585" t="s">
        <v>1110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16" x14ac:dyDescent="0.2">
      <c r="A3" s="585" t="s">
        <v>73</v>
      </c>
      <c r="B3" s="638" t="s">
        <v>68</v>
      </c>
      <c r="C3" s="586" t="s">
        <v>0</v>
      </c>
      <c r="D3" s="586" t="s">
        <v>1</v>
      </c>
      <c r="E3" s="586" t="s">
        <v>2</v>
      </c>
      <c r="F3" s="586" t="s">
        <v>3</v>
      </c>
      <c r="G3" s="586" t="s">
        <v>4</v>
      </c>
      <c r="H3" s="586" t="s">
        <v>5</v>
      </c>
      <c r="I3" s="586" t="s">
        <v>6</v>
      </c>
      <c r="J3" s="586" t="s">
        <v>7</v>
      </c>
      <c r="K3" s="586" t="s">
        <v>8</v>
      </c>
      <c r="L3" s="586" t="s">
        <v>9</v>
      </c>
      <c r="M3" s="586" t="s">
        <v>514</v>
      </c>
      <c r="N3" s="586" t="s">
        <v>515</v>
      </c>
      <c r="O3" s="586" t="s">
        <v>904</v>
      </c>
      <c r="P3" s="586" t="s">
        <v>1046</v>
      </c>
    </row>
    <row r="5" spans="1:16" x14ac:dyDescent="0.2">
      <c r="A5" s="592" t="s">
        <v>82</v>
      </c>
    </row>
    <row r="6" spans="1:16" x14ac:dyDescent="0.2">
      <c r="A6" s="640" t="s">
        <v>83</v>
      </c>
      <c r="B6" s="590"/>
      <c r="C6" s="590"/>
      <c r="D6" s="590" t="s">
        <v>516</v>
      </c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</row>
    <row r="7" spans="1:16" x14ac:dyDescent="0.2">
      <c r="A7" s="639" t="s">
        <v>11</v>
      </c>
      <c r="B7" s="594"/>
      <c r="C7" s="594"/>
      <c r="D7" s="594">
        <v>18724</v>
      </c>
      <c r="E7" s="594">
        <v>18207</v>
      </c>
      <c r="F7" s="594">
        <f>+'Gen Fund  Inc Exp Statement'!F12</f>
        <v>14450.315000000001</v>
      </c>
      <c r="G7" s="594">
        <f>+'Gen Fund  Inc Exp Statement'!G12</f>
        <v>15263.939960000002</v>
      </c>
      <c r="H7" s="594">
        <f>+'Gen Fund  Inc Exp Statement'!H12</f>
        <v>15775.877474999999</v>
      </c>
      <c r="I7" s="594">
        <f>+'Gen Fund  Inc Exp Statement'!I12</f>
        <v>16452.106275000002</v>
      </c>
      <c r="J7" s="594">
        <f>+'Gen Fund  Inc Exp Statement'!J12</f>
        <v>16902.498425000002</v>
      </c>
      <c r="K7" s="594">
        <f>+'Gen Fund  Inc Exp Statement'!K12</f>
        <v>17325.060885625</v>
      </c>
      <c r="L7" s="594">
        <f>+'Gen Fund  Inc Exp Statement'!L12</f>
        <v>17758.187407765625</v>
      </c>
      <c r="M7" s="594">
        <f>+'Gen Fund  Inc Exp Statement'!M12</f>
        <v>18202.142092959763</v>
      </c>
      <c r="N7" s="594">
        <f>+'Gen Fund  Inc Exp Statement'!N12</f>
        <v>18657.195645283755</v>
      </c>
      <c r="O7" s="594">
        <f>+'Gen Fund  Inc Exp Statement'!O12</f>
        <v>19123.625536415846</v>
      </c>
      <c r="P7" s="594">
        <f>+'Gen Fund  Inc Exp Statement'!P12</f>
        <v>19601.716174826241</v>
      </c>
    </row>
    <row r="8" spans="1:16" x14ac:dyDescent="0.2">
      <c r="A8" s="639" t="s">
        <v>12</v>
      </c>
      <c r="B8" s="594"/>
      <c r="C8" s="594"/>
      <c r="D8" s="594">
        <v>11585</v>
      </c>
      <c r="E8" s="594">
        <v>10646</v>
      </c>
      <c r="F8" s="594">
        <f>+'Gen Fund  Inc Exp Statement'!F13</f>
        <v>6434.6660000000002</v>
      </c>
      <c r="G8" s="594">
        <f>+'Gen Fund  Inc Exp Statement'!G13</f>
        <v>6694.2250000000004</v>
      </c>
      <c r="H8" s="594">
        <f>+'Gen Fund  Inc Exp Statement'!H13</f>
        <v>6785</v>
      </c>
      <c r="I8" s="594">
        <f>+'Gen Fund  Inc Exp Statement'!I13</f>
        <v>6903.5929999999998</v>
      </c>
      <c r="J8" s="594">
        <f>+'Gen Fund  Inc Exp Statement'!J13</f>
        <v>7069.6589999999997</v>
      </c>
      <c r="K8" s="594">
        <f>+'Gen Fund  Inc Exp Statement'!K13</f>
        <v>7211.0521799999997</v>
      </c>
      <c r="L8" s="594">
        <f>+'Gen Fund  Inc Exp Statement'!L13</f>
        <v>7355.2732236000002</v>
      </c>
      <c r="M8" s="594">
        <f>+'Gen Fund  Inc Exp Statement'!M13</f>
        <v>7502.3786880719999</v>
      </c>
      <c r="N8" s="594">
        <f>+'Gen Fund  Inc Exp Statement'!N13</f>
        <v>7652.4262618334396</v>
      </c>
      <c r="O8" s="594">
        <f>+'Gen Fund  Inc Exp Statement'!O13</f>
        <v>7805.4747870701085</v>
      </c>
      <c r="P8" s="594">
        <f>+'Gen Fund  Inc Exp Statement'!P13</f>
        <v>7961.584282811511</v>
      </c>
    </row>
    <row r="9" spans="1:16" x14ac:dyDescent="0.2">
      <c r="A9" s="639" t="s">
        <v>84</v>
      </c>
      <c r="B9" s="594"/>
      <c r="C9" s="594"/>
      <c r="D9" s="594">
        <v>2499</v>
      </c>
      <c r="E9" s="594">
        <v>2571</v>
      </c>
      <c r="F9" s="594">
        <f>+'Gen Fund  Inc Exp Statement'!F14</f>
        <v>931.5</v>
      </c>
      <c r="G9" s="594">
        <f>+'Gen Fund  Inc Exp Statement'!G14</f>
        <v>938.20899999999995</v>
      </c>
      <c r="H9" s="594">
        <f>+'Gen Fund  Inc Exp Statement'!H14</f>
        <v>947.19299999999998</v>
      </c>
      <c r="I9" s="594">
        <f>+'Gen Fund  Inc Exp Statement'!I14</f>
        <v>956.88900000000001</v>
      </c>
      <c r="J9" s="594">
        <f>+'Gen Fund  Inc Exp Statement'!J14</f>
        <v>965.43299999999999</v>
      </c>
      <c r="K9" s="594">
        <f>+'Gen Fund  Inc Exp Statement'!K14</f>
        <v>640.65194612236007</v>
      </c>
      <c r="L9" s="594">
        <f>+'Gen Fund  Inc Exp Statement'!L14</f>
        <v>638.68739019024861</v>
      </c>
      <c r="M9" s="594">
        <f>+'Gen Fund  Inc Exp Statement'!M14</f>
        <v>638.81759995242737</v>
      </c>
      <c r="N9" s="594">
        <f>+'Gen Fund  Inc Exp Statement'!N14</f>
        <v>652.55747854635763</v>
      </c>
      <c r="O9" s="594">
        <f>+'Gen Fund  Inc Exp Statement'!O14</f>
        <v>660.15454873244494</v>
      </c>
      <c r="P9" s="594">
        <f>+'Gen Fund  Inc Exp Statement'!P14</f>
        <v>666.7384359843428</v>
      </c>
    </row>
    <row r="10" spans="1:16" x14ac:dyDescent="0.2">
      <c r="A10" s="639" t="s">
        <v>85</v>
      </c>
      <c r="B10" s="594"/>
      <c r="C10" s="594"/>
      <c r="D10" s="594">
        <v>26703</v>
      </c>
      <c r="E10" s="594">
        <v>24423</v>
      </c>
      <c r="F10" s="594">
        <f>+'Gen Fund  Inc Exp Statement'!F16+'GF &amp; FF  Inc Exp Statement'!F16</f>
        <v>9072.7510000000002</v>
      </c>
      <c r="G10" s="594">
        <f>+'Gen Fund  Inc Exp Statement'!G16+'GF &amp; FF  Inc Exp Statement'!G16</f>
        <v>9238.8559999999998</v>
      </c>
      <c r="H10" s="594">
        <f>+'Gen Fund  Inc Exp Statement'!H16+'GF &amp; FF  Inc Exp Statement'!H16</f>
        <v>9391.7220099999995</v>
      </c>
      <c r="I10" s="594">
        <f>+'Gen Fund  Inc Exp Statement'!I16+'GF &amp; FF  Inc Exp Statement'!I16</f>
        <v>9546.0480153000008</v>
      </c>
      <c r="J10" s="594">
        <f>+'Gen Fund  Inc Exp Statement'!J16+'GF &amp; FF  Inc Exp Statement'!J16</f>
        <v>9704.0470926340004</v>
      </c>
      <c r="K10" s="594">
        <f>+'Gen Fund  Inc Exp Statement'!K16+'GF &amp; FF  Inc Exp Statement'!K16</f>
        <v>9946.6482699498501</v>
      </c>
      <c r="L10" s="594">
        <f>+'Gen Fund  Inc Exp Statement'!L16+'GF &amp; FF  Inc Exp Statement'!L16</f>
        <v>10195.314476698593</v>
      </c>
      <c r="M10" s="594">
        <f>+'Gen Fund  Inc Exp Statement'!M16+'GF &amp; FF  Inc Exp Statement'!M16</f>
        <v>10450.197338616061</v>
      </c>
      <c r="N10" s="594">
        <f>+'Gen Fund  Inc Exp Statement'!N16+'GF &amp; FF  Inc Exp Statement'!N16</f>
        <v>10711.45227208146</v>
      </c>
      <c r="O10" s="594">
        <f>+'Gen Fund  Inc Exp Statement'!O16+'GF &amp; FF  Inc Exp Statement'!O16</f>
        <v>10979.238578883496</v>
      </c>
      <c r="P10" s="594">
        <f>+'Gen Fund  Inc Exp Statement'!P16+'GF &amp; FF  Inc Exp Statement'!P16</f>
        <v>11253.719543355583</v>
      </c>
    </row>
    <row r="11" spans="1:16" hidden="1" outlineLevel="1" x14ac:dyDescent="0.2">
      <c r="A11" s="639" t="s">
        <v>86</v>
      </c>
      <c r="B11" s="594"/>
      <c r="C11" s="594"/>
      <c r="D11" s="594">
        <v>97</v>
      </c>
      <c r="E11" s="594">
        <v>296</v>
      </c>
      <c r="F11" s="594">
        <v>0</v>
      </c>
      <c r="G11" s="594">
        <v>0</v>
      </c>
      <c r="H11" s="594">
        <v>0</v>
      </c>
      <c r="I11" s="594">
        <v>0</v>
      </c>
      <c r="J11" s="594">
        <v>0</v>
      </c>
      <c r="K11" s="594">
        <v>0</v>
      </c>
      <c r="L11" s="594">
        <v>0</v>
      </c>
      <c r="M11" s="594">
        <v>0</v>
      </c>
      <c r="N11" s="594">
        <v>0</v>
      </c>
      <c r="O11" s="594">
        <v>0</v>
      </c>
      <c r="P11" s="594">
        <v>0</v>
      </c>
    </row>
    <row r="12" spans="1:16" collapsed="1" x14ac:dyDescent="0.2">
      <c r="A12" s="639" t="s">
        <v>41</v>
      </c>
      <c r="B12" s="594"/>
      <c r="C12" s="594"/>
      <c r="D12" s="594">
        <v>5309</v>
      </c>
      <c r="E12" s="594">
        <v>4000</v>
      </c>
      <c r="F12" s="594">
        <f>+'Gen Fund  Inc Exp Statement'!F15+'Gen Fund  Inc Exp Statement'!F18</f>
        <v>7207.8899999999994</v>
      </c>
      <c r="G12" s="594">
        <f>+'Gen Fund  Inc Exp Statement'!G15+'Gen Fund  Inc Exp Statement'!G18</f>
        <v>7469.6399999999994</v>
      </c>
      <c r="H12" s="594">
        <f>+'Gen Fund  Inc Exp Statement'!H15+'Gen Fund  Inc Exp Statement'!H18</f>
        <v>7703.4269999999997</v>
      </c>
      <c r="I12" s="594">
        <f>+'Gen Fund  Inc Exp Statement'!I15+'Gen Fund  Inc Exp Statement'!I18</f>
        <v>7939.5569999999998</v>
      </c>
      <c r="J12" s="594">
        <f>+'Gen Fund  Inc Exp Statement'!J15+'Gen Fund  Inc Exp Statement'!J18</f>
        <v>8034.5349999999999</v>
      </c>
      <c r="K12" s="594">
        <f>+'Gen Fund  Inc Exp Statement'!K15+'Gen Fund  Inc Exp Statement'!K18</f>
        <v>8195.2257000000009</v>
      </c>
      <c r="L12" s="594">
        <f>+'Gen Fund  Inc Exp Statement'!L15+'Gen Fund  Inc Exp Statement'!L18</f>
        <v>8359.1302140000007</v>
      </c>
      <c r="M12" s="594">
        <f>+'Gen Fund  Inc Exp Statement'!M15+'Gen Fund  Inc Exp Statement'!M18</f>
        <v>8526.3128182800028</v>
      </c>
      <c r="N12" s="594">
        <f>+'Gen Fund  Inc Exp Statement'!N15+'Gen Fund  Inc Exp Statement'!N18</f>
        <v>8696.8390746456025</v>
      </c>
      <c r="O12" s="594">
        <f>+'Gen Fund  Inc Exp Statement'!O15+'Gen Fund  Inc Exp Statement'!O18</f>
        <v>8870.7758561385144</v>
      </c>
      <c r="P12" s="594">
        <f>+'Gen Fund  Inc Exp Statement'!P15+'Gen Fund  Inc Exp Statement'!P18</f>
        <v>9048.1913732612848</v>
      </c>
    </row>
    <row r="13" spans="1:16" ht="6" customHeight="1" x14ac:dyDescent="0.2">
      <c r="B13" s="594"/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4"/>
      <c r="O13" s="594"/>
      <c r="P13" s="594"/>
    </row>
    <row r="14" spans="1:16" x14ac:dyDescent="0.2">
      <c r="A14" s="640" t="s">
        <v>87</v>
      </c>
      <c r="B14" s="594"/>
      <c r="C14" s="594"/>
      <c r="D14" s="594"/>
      <c r="E14" s="594"/>
      <c r="F14" s="594"/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">
      <c r="A15" s="639" t="s">
        <v>25</v>
      </c>
      <c r="B15" s="594"/>
      <c r="C15" s="594"/>
      <c r="D15" s="594">
        <v>-12900</v>
      </c>
      <c r="E15" s="594">
        <v>-12519</v>
      </c>
      <c r="F15" s="594">
        <f>-'Gen Fund  Inc Exp Statement'!F24</f>
        <v>-11231.316000000001</v>
      </c>
      <c r="G15" s="594">
        <f>-'Gen Fund  Inc Exp Statement'!G24</f>
        <v>-11563.034</v>
      </c>
      <c r="H15" s="594">
        <f>-'Gen Fund  Inc Exp Statement'!H24</f>
        <v>-11981.64</v>
      </c>
      <c r="I15" s="594">
        <f>-'Gen Fund  Inc Exp Statement'!I24</f>
        <v>-12314.493</v>
      </c>
      <c r="J15" s="594">
        <f>-'Gen Fund  Inc Exp Statement'!J24</f>
        <v>-12673.002</v>
      </c>
      <c r="K15" s="594">
        <f>-'Gen Fund  Inc Exp Statement'!K24</f>
        <v>-13053.192060000001</v>
      </c>
      <c r="L15" s="594">
        <f>-'Gen Fund  Inc Exp Statement'!L24</f>
        <v>-13444.787821800002</v>
      </c>
      <c r="M15" s="594">
        <f>-'Gen Fund  Inc Exp Statement'!M24</f>
        <v>-13848.131456454003</v>
      </c>
      <c r="N15" s="594">
        <f>-'Gen Fund  Inc Exp Statement'!N24</f>
        <v>-14263.575400147623</v>
      </c>
      <c r="O15" s="594">
        <f>-'Gen Fund  Inc Exp Statement'!O24</f>
        <v>-14691.482662152053</v>
      </c>
      <c r="P15" s="594">
        <f>-'Gen Fund  Inc Exp Statement'!P24</f>
        <v>-15132.227142016616</v>
      </c>
    </row>
    <row r="16" spans="1:16" x14ac:dyDescent="0.2">
      <c r="A16" s="639" t="s">
        <v>27</v>
      </c>
      <c r="B16" s="594"/>
      <c r="C16" s="594"/>
      <c r="D16" s="594">
        <v>-9702</v>
      </c>
      <c r="E16" s="594">
        <v>-12687</v>
      </c>
      <c r="F16" s="594">
        <f>-'Gen Fund  Inc Exp Statement'!F26-'Gen Fund  Inc Exp Statement'!F27</f>
        <v>-12676.050999999999</v>
      </c>
      <c r="G16" s="594">
        <f>-'Gen Fund  Inc Exp Statement'!G26-'Gen Fund  Inc Exp Statement'!G27</f>
        <v>-13182.368999999999</v>
      </c>
      <c r="H16" s="594">
        <f>-'Gen Fund  Inc Exp Statement'!H26-'Gen Fund  Inc Exp Statement'!H27</f>
        <v>-13539.027</v>
      </c>
      <c r="I16" s="594">
        <f>-'Gen Fund  Inc Exp Statement'!I26-'Gen Fund  Inc Exp Statement'!I27</f>
        <v>-13846.143</v>
      </c>
      <c r="J16" s="594">
        <f>-'Gen Fund  Inc Exp Statement'!J26-'Gen Fund  Inc Exp Statement'!J27</f>
        <v>-14164.750999999998</v>
      </c>
      <c r="K16" s="594">
        <f>-'Gen Fund  Inc Exp Statement'!K26-'Gen Fund  Inc Exp Statement'!K27</f>
        <v>-14448.046019999998</v>
      </c>
      <c r="L16" s="594">
        <f>-'Gen Fund  Inc Exp Statement'!L26-'Gen Fund  Inc Exp Statement'!L27</f>
        <v>-14737.006940399999</v>
      </c>
      <c r="M16" s="594">
        <f>-'Gen Fund  Inc Exp Statement'!M26-'Gen Fund  Inc Exp Statement'!M27</f>
        <v>-15031.747079207998</v>
      </c>
      <c r="N16" s="594">
        <f>-'Gen Fund  Inc Exp Statement'!N26-'Gen Fund  Inc Exp Statement'!N27</f>
        <v>-15332.38202079216</v>
      </c>
      <c r="O16" s="594">
        <f>-'Gen Fund  Inc Exp Statement'!O26-'Gen Fund  Inc Exp Statement'!O27</f>
        <v>-15639.029661208002</v>
      </c>
      <c r="P16" s="594">
        <f>-'Gen Fund  Inc Exp Statement'!P26-'Gen Fund  Inc Exp Statement'!P27</f>
        <v>-15951.810254432163</v>
      </c>
    </row>
    <row r="17" spans="1:18" x14ac:dyDescent="0.2">
      <c r="A17" s="639" t="s">
        <v>926</v>
      </c>
      <c r="B17" s="594"/>
      <c r="C17" s="594"/>
      <c r="D17" s="594">
        <v>-639</v>
      </c>
      <c r="E17" s="594">
        <v>-634</v>
      </c>
      <c r="F17" s="594">
        <f>-'Gen Fund  Inc Exp Statement'!F25</f>
        <v>-592.12699999999995</v>
      </c>
      <c r="G17" s="594">
        <f>-'Gen Fund  Inc Exp Statement'!G25</f>
        <v>-588.93700000000001</v>
      </c>
      <c r="H17" s="594">
        <f>-'Gen Fund  Inc Exp Statement'!H25</f>
        <v>-586.08699999999999</v>
      </c>
      <c r="I17" s="594">
        <f>-'Gen Fund  Inc Exp Statement'!I25</f>
        <v>-583.33100000000002</v>
      </c>
      <c r="J17" s="594">
        <f>-'Gen Fund  Inc Exp Statement'!J25</f>
        <v>-580.35400000000004</v>
      </c>
      <c r="K17" s="594">
        <f>-'Gen Fund  Inc Exp Statement'!K25</f>
        <v>-561.39400000000001</v>
      </c>
      <c r="L17" s="594">
        <f>-'Gen Fund  Inc Exp Statement'!L25</f>
        <v>-541.35400000000004</v>
      </c>
      <c r="M17" s="594">
        <f>-'Gen Fund  Inc Exp Statement'!M25</f>
        <v>-532.07400000000007</v>
      </c>
      <c r="N17" s="594">
        <f>-'Gen Fund  Inc Exp Statement'!N25</f>
        <v>-526.27400000000011</v>
      </c>
      <c r="O17" s="594">
        <f>-'Gen Fund  Inc Exp Statement'!O25</f>
        <v>-520.19400000000007</v>
      </c>
      <c r="P17" s="594">
        <f>-'Gen Fund  Inc Exp Statement'!P25</f>
        <v>-513.7940000000001</v>
      </c>
    </row>
    <row r="18" spans="1:18" hidden="1" outlineLevel="1" x14ac:dyDescent="0.2">
      <c r="A18" s="639" t="s">
        <v>88</v>
      </c>
      <c r="B18" s="594"/>
      <c r="C18" s="594"/>
      <c r="D18" s="594">
        <v>-79</v>
      </c>
      <c r="E18" s="594">
        <v>-305</v>
      </c>
      <c r="F18" s="594">
        <v>0</v>
      </c>
      <c r="G18" s="594">
        <v>0</v>
      </c>
      <c r="H18" s="594">
        <v>0</v>
      </c>
      <c r="I18" s="594">
        <v>0</v>
      </c>
      <c r="J18" s="594">
        <v>0</v>
      </c>
      <c r="K18" s="594">
        <v>0</v>
      </c>
      <c r="L18" s="594">
        <v>0</v>
      </c>
      <c r="M18" s="594">
        <v>0</v>
      </c>
      <c r="N18" s="594">
        <v>0</v>
      </c>
      <c r="O18" s="594">
        <v>0</v>
      </c>
      <c r="P18" s="594">
        <v>0</v>
      </c>
    </row>
    <row r="19" spans="1:18" collapsed="1" x14ac:dyDescent="0.2">
      <c r="A19" s="641" t="s">
        <v>41</v>
      </c>
      <c r="B19" s="591"/>
      <c r="C19" s="591"/>
      <c r="D19" s="591">
        <v>-7816</v>
      </c>
      <c r="E19" s="591">
        <v>-9383</v>
      </c>
      <c r="F19" s="591">
        <f>-'Gen Fund  Inc Exp Statement'!F31</f>
        <v>-2286.85</v>
      </c>
      <c r="G19" s="591">
        <f>-'Gen Fund  Inc Exp Statement'!G31</f>
        <v>-2395.6309999999999</v>
      </c>
      <c r="H19" s="591">
        <f>-'Gen Fund  Inc Exp Statement'!H31</f>
        <v>-2446.0740000000001</v>
      </c>
      <c r="I19" s="591">
        <f>-'Gen Fund  Inc Exp Statement'!I31</f>
        <v>-2498.0070000000001</v>
      </c>
      <c r="J19" s="591">
        <f>-'Gen Fund  Inc Exp Statement'!J31</f>
        <v>-2561.64</v>
      </c>
      <c r="K19" s="591">
        <f>-'Gen Fund  Inc Exp Statement'!K31</f>
        <v>-2612.8728000000001</v>
      </c>
      <c r="L19" s="591">
        <f>-'Gen Fund  Inc Exp Statement'!L31</f>
        <v>-2665.1302560000004</v>
      </c>
      <c r="M19" s="591">
        <f>-'Gen Fund  Inc Exp Statement'!M31</f>
        <v>-2718.4328611200003</v>
      </c>
      <c r="N19" s="591">
        <f>-'Gen Fund  Inc Exp Statement'!N31</f>
        <v>-2772.8015183424004</v>
      </c>
      <c r="O19" s="591">
        <f>-'Gen Fund  Inc Exp Statement'!O31</f>
        <v>-2828.2575487092486</v>
      </c>
      <c r="P19" s="591">
        <f>-'Gen Fund  Inc Exp Statement'!P31</f>
        <v>-2884.8226996834337</v>
      </c>
    </row>
    <row r="20" spans="1:18" s="644" customFormat="1" x14ac:dyDescent="0.2">
      <c r="A20" s="642" t="s">
        <v>89</v>
      </c>
      <c r="B20" s="643">
        <f>SUM(B7:B19)</f>
        <v>0</v>
      </c>
      <c r="C20" s="643">
        <f t="shared" ref="C20:P20" si="0">SUM(C7:C19)</f>
        <v>0</v>
      </c>
      <c r="D20" s="643">
        <f t="shared" si="0"/>
        <v>33781</v>
      </c>
      <c r="E20" s="643">
        <f t="shared" si="0"/>
        <v>24615</v>
      </c>
      <c r="F20" s="643">
        <f t="shared" si="0"/>
        <v>11310.778000000004</v>
      </c>
      <c r="G20" s="643">
        <f t="shared" si="0"/>
        <v>11874.898959999999</v>
      </c>
      <c r="H20" s="643">
        <f t="shared" si="0"/>
        <v>12050.391484999995</v>
      </c>
      <c r="I20" s="643">
        <f t="shared" si="0"/>
        <v>12556.219290300003</v>
      </c>
      <c r="J20" s="643">
        <f t="shared" si="0"/>
        <v>12696.425517633999</v>
      </c>
      <c r="K20" s="643">
        <f t="shared" si="0"/>
        <v>12643.134101697215</v>
      </c>
      <c r="L20" s="643">
        <f t="shared" si="0"/>
        <v>12918.313694054465</v>
      </c>
      <c r="M20" s="643">
        <f t="shared" si="0"/>
        <v>13189.463141098258</v>
      </c>
      <c r="N20" s="643">
        <f t="shared" si="0"/>
        <v>13475.437793108435</v>
      </c>
      <c r="O20" s="643">
        <f t="shared" si="0"/>
        <v>13760.305435171102</v>
      </c>
      <c r="P20" s="643">
        <f t="shared" si="0"/>
        <v>14049.295714106749</v>
      </c>
    </row>
    <row r="21" spans="1:18" x14ac:dyDescent="0.2">
      <c r="B21" s="590"/>
      <c r="C21" s="590"/>
      <c r="D21" s="590"/>
      <c r="E21" s="590"/>
      <c r="F21" s="590"/>
      <c r="G21" s="590"/>
      <c r="H21" s="590"/>
      <c r="I21" s="590"/>
      <c r="J21" s="590"/>
      <c r="K21" s="590"/>
      <c r="L21" s="590"/>
      <c r="M21" s="590"/>
      <c r="N21" s="590"/>
      <c r="O21" s="590"/>
      <c r="P21" s="590"/>
    </row>
    <row r="22" spans="1:18" x14ac:dyDescent="0.2">
      <c r="A22" s="592" t="s">
        <v>90</v>
      </c>
      <c r="B22" s="590"/>
      <c r="C22" s="590"/>
      <c r="D22" s="590"/>
      <c r="E22" s="590"/>
      <c r="F22" s="590"/>
      <c r="G22" s="590"/>
      <c r="H22" s="590"/>
      <c r="I22" s="590"/>
      <c r="J22" s="590"/>
      <c r="K22" s="590"/>
      <c r="L22" s="590"/>
      <c r="M22" s="590"/>
      <c r="N22" s="590"/>
      <c r="O22" s="590"/>
      <c r="P22" s="590"/>
    </row>
    <row r="23" spans="1:18" x14ac:dyDescent="0.2">
      <c r="A23" s="640" t="s">
        <v>83</v>
      </c>
      <c r="B23" s="590"/>
      <c r="C23" s="590"/>
      <c r="D23" s="590"/>
      <c r="E23" s="590"/>
      <c r="F23" s="590"/>
      <c r="G23" s="590"/>
      <c r="H23" s="590"/>
      <c r="I23" s="590"/>
      <c r="J23" s="590"/>
      <c r="K23" s="590"/>
      <c r="L23" s="590"/>
      <c r="M23" s="590"/>
      <c r="N23" s="590"/>
      <c r="O23" s="590"/>
      <c r="P23" s="590"/>
    </row>
    <row r="24" spans="1:18" x14ac:dyDescent="0.2">
      <c r="A24" s="639" t="s">
        <v>431</v>
      </c>
      <c r="B24" s="594"/>
      <c r="C24" s="594"/>
      <c r="D24" s="594">
        <v>7491</v>
      </c>
      <c r="E24" s="594">
        <v>8839</v>
      </c>
      <c r="F24" s="594">
        <f>'Gen Fund  Inc Exp Statement'!F64</f>
        <v>2262.9380000000001</v>
      </c>
      <c r="G24" s="594">
        <f>'Gen Fund  Inc Exp Statement'!G64</f>
        <v>2200</v>
      </c>
      <c r="H24" s="594">
        <f>'Gen Fund  Inc Exp Statement'!H64</f>
        <v>8000</v>
      </c>
      <c r="I24" s="594">
        <f>'Gen Fund  Inc Exp Statement'!I64</f>
        <v>2000</v>
      </c>
      <c r="J24" s="594">
        <f>'Gen Fund  Inc Exp Statement'!J64</f>
        <v>2000</v>
      </c>
      <c r="K24" s="594">
        <f>'Gen Fund  Inc Exp Statement'!K64</f>
        <v>2040</v>
      </c>
      <c r="L24" s="594">
        <f>'Gen Fund  Inc Exp Statement'!L64</f>
        <v>2080.8000000000002</v>
      </c>
      <c r="M24" s="594">
        <f>'Gen Fund  Inc Exp Statement'!M64</f>
        <v>2122.4160000000002</v>
      </c>
      <c r="N24" s="594">
        <f>'Gen Fund  Inc Exp Statement'!N64</f>
        <v>2164.8643199999997</v>
      </c>
      <c r="O24" s="594">
        <f>'Gen Fund  Inc Exp Statement'!O64</f>
        <v>2208.1616064</v>
      </c>
      <c r="P24" s="594">
        <f>'Gen Fund  Inc Exp Statement'!P64</f>
        <v>2252.3248385279999</v>
      </c>
      <c r="R24" s="639" t="s">
        <v>1036</v>
      </c>
    </row>
    <row r="25" spans="1:18" x14ac:dyDescent="0.2">
      <c r="A25" s="639" t="s">
        <v>1052</v>
      </c>
      <c r="B25" s="594"/>
      <c r="C25" s="594"/>
      <c r="D25" s="594"/>
      <c r="E25" s="594"/>
      <c r="F25" s="594"/>
      <c r="G25" s="594"/>
      <c r="H25" s="594"/>
      <c r="I25" s="594"/>
      <c r="J25" s="594"/>
      <c r="K25" s="594"/>
      <c r="L25" s="594"/>
      <c r="M25" s="594"/>
      <c r="N25" s="594"/>
      <c r="O25" s="594"/>
      <c r="P25" s="594"/>
    </row>
    <row r="26" spans="1:18" x14ac:dyDescent="0.2">
      <c r="A26" s="639" t="s">
        <v>91</v>
      </c>
      <c r="B26" s="594"/>
      <c r="C26" s="594"/>
      <c r="D26" s="594"/>
      <c r="E26" s="594"/>
      <c r="F26" s="594">
        <v>0</v>
      </c>
      <c r="G26" s="594">
        <v>0</v>
      </c>
      <c r="H26" s="594">
        <v>0</v>
      </c>
      <c r="I26" s="594">
        <v>0</v>
      </c>
      <c r="J26" s="594">
        <v>0</v>
      </c>
      <c r="K26" s="594">
        <v>0</v>
      </c>
      <c r="L26" s="594">
        <v>0</v>
      </c>
      <c r="M26" s="594">
        <v>0</v>
      </c>
      <c r="N26" s="594">
        <v>0</v>
      </c>
      <c r="O26" s="594"/>
      <c r="P26" s="594">
        <v>0</v>
      </c>
    </row>
    <row r="27" spans="1:18" x14ac:dyDescent="0.2">
      <c r="A27" s="639" t="s">
        <v>92</v>
      </c>
      <c r="B27" s="594"/>
      <c r="C27" s="594"/>
      <c r="D27" s="594">
        <v>167</v>
      </c>
      <c r="E27" s="594">
        <v>339</v>
      </c>
      <c r="F27" s="594">
        <f>'Gen Fund  Inc Exp Statement'!F66</f>
        <v>70</v>
      </c>
      <c r="G27" s="594">
        <f>'Gen Fund  Inc Exp Statement'!G66</f>
        <v>70</v>
      </c>
      <c r="H27" s="594">
        <f>'Gen Fund  Inc Exp Statement'!H66</f>
        <v>70</v>
      </c>
      <c r="I27" s="594">
        <f>'Gen Fund  Inc Exp Statement'!I66</f>
        <v>70</v>
      </c>
      <c r="J27" s="594">
        <f>'Gen Fund  Inc Exp Statement'!J66</f>
        <v>70</v>
      </c>
      <c r="K27" s="594">
        <f>'Gen Fund  Inc Exp Statement'!K66</f>
        <v>71.400000000000006</v>
      </c>
      <c r="L27" s="594">
        <f>'Gen Fund  Inc Exp Statement'!L66</f>
        <v>72.828000000000003</v>
      </c>
      <c r="M27" s="594">
        <f>'Gen Fund  Inc Exp Statement'!M66</f>
        <v>74.284559999999999</v>
      </c>
      <c r="N27" s="594">
        <f>'Gen Fund  Inc Exp Statement'!N66</f>
        <v>75.770251200000004</v>
      </c>
      <c r="O27" s="594">
        <f>'Gen Fund  Inc Exp Statement'!O66</f>
        <v>77.285656224000007</v>
      </c>
      <c r="P27" s="594">
        <f>'Gen Fund  Inc Exp Statement'!P66</f>
        <v>78.831369348479996</v>
      </c>
    </row>
    <row r="28" spans="1:18" ht="5.25" customHeight="1" x14ac:dyDescent="0.2"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594"/>
    </row>
    <row r="29" spans="1:18" x14ac:dyDescent="0.2">
      <c r="A29" s="640" t="s">
        <v>87</v>
      </c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P29" s="594"/>
    </row>
    <row r="30" spans="1:18" x14ac:dyDescent="0.2">
      <c r="A30" s="639" t="s">
        <v>93</v>
      </c>
      <c r="B30" s="594"/>
      <c r="C30" s="594"/>
      <c r="D30" s="594">
        <v>-10303</v>
      </c>
      <c r="E30" s="594">
        <v>-11000</v>
      </c>
      <c r="F30" s="594">
        <f>-'Gen Fund  Inc Exp Statement'!F56</f>
        <v>-1723.0070000000001</v>
      </c>
      <c r="G30" s="594">
        <f>-'Gen Fund  Inc Exp Statement'!G56</f>
        <v>-2144.2849999999999</v>
      </c>
      <c r="H30" s="594">
        <f>-'Gen Fund  Inc Exp Statement'!H56</f>
        <v>-2218.1630099999998</v>
      </c>
      <c r="I30" s="594">
        <f>-'Gen Fund  Inc Exp Statement'!I56</f>
        <v>-2294.8213903000001</v>
      </c>
      <c r="J30" s="594">
        <f>-'Gen Fund  Inc Exp Statement'!J56</f>
        <v>-2374.4054420090001</v>
      </c>
      <c r="K30" s="594">
        <f>-'Gen Fund  Inc Exp Statement'!K56</f>
        <v>-2421.89355084918</v>
      </c>
      <c r="L30" s="594">
        <f>-'Gen Fund  Inc Exp Statement'!L56</f>
        <v>-2470.3314218661635</v>
      </c>
      <c r="M30" s="594">
        <f>-'Gen Fund  Inc Exp Statement'!M56</f>
        <v>-2519.7380503034869</v>
      </c>
      <c r="N30" s="594">
        <f>-'Gen Fund  Inc Exp Statement'!N56</f>
        <v>-2570.1328113095569</v>
      </c>
      <c r="O30" s="594">
        <f>-'Gen Fund  Inc Exp Statement'!O56</f>
        <v>-2621.535467535748</v>
      </c>
      <c r="P30" s="594">
        <f>-'Gen Fund  Inc Exp Statement'!P56</f>
        <v>-2673.966176886463</v>
      </c>
      <c r="R30" s="639" t="s">
        <v>1036</v>
      </c>
    </row>
    <row r="31" spans="1:18" x14ac:dyDescent="0.2">
      <c r="A31" s="639" t="s">
        <v>1053</v>
      </c>
      <c r="B31" s="594"/>
      <c r="C31" s="594"/>
      <c r="D31" s="594">
        <v>-2531</v>
      </c>
      <c r="E31" s="594">
        <v>-15180</v>
      </c>
      <c r="F31" s="594">
        <f>-'Gen Fund  Inc Exp Statement'!F53</f>
        <v>0</v>
      </c>
      <c r="G31" s="594">
        <f>-'Gen Fund  Inc Exp Statement'!G53</f>
        <v>0</v>
      </c>
      <c r="H31" s="594">
        <f>-'Gen Fund  Inc Exp Statement'!H53</f>
        <v>0</v>
      </c>
      <c r="I31" s="594">
        <f>-'Gen Fund  Inc Exp Statement'!I53</f>
        <v>0</v>
      </c>
      <c r="J31" s="594">
        <f>-'Gen Fund  Inc Exp Statement'!J53</f>
        <v>0</v>
      </c>
      <c r="K31" s="594">
        <f>-'Gen Fund  Inc Exp Statement'!K53</f>
        <v>0</v>
      </c>
      <c r="L31" s="594">
        <f>-'Gen Fund  Inc Exp Statement'!L53</f>
        <v>0</v>
      </c>
      <c r="M31" s="594">
        <f>-'Gen Fund  Inc Exp Statement'!M53</f>
        <v>0</v>
      </c>
      <c r="N31" s="594">
        <f>-'Gen Fund  Inc Exp Statement'!N53</f>
        <v>0</v>
      </c>
      <c r="O31" s="594">
        <f>-'Gen Fund  Inc Exp Statement'!O53</f>
        <v>0</v>
      </c>
      <c r="P31" s="594">
        <f>-'Gen Fund  Inc Exp Statement'!P53</f>
        <v>0</v>
      </c>
    </row>
    <row r="32" spans="1:18" x14ac:dyDescent="0.2">
      <c r="A32" s="639" t="s">
        <v>94</v>
      </c>
      <c r="B32" s="594"/>
      <c r="C32" s="594"/>
      <c r="D32" s="594">
        <v>-26369</v>
      </c>
      <c r="E32" s="594">
        <v>-25288</v>
      </c>
      <c r="F32" s="816">
        <f>-SUM('Gen Fund  Inc Exp Statement'!F52:'Gen Fund  Inc Exp Statement'!F54)-F31-F33</f>
        <v>-11320.421999999999</v>
      </c>
      <c r="G32" s="816">
        <f>-SUM('Gen Fund  Inc Exp Statement'!G52:'Gen Fund  Inc Exp Statement'!G54)-G31-G33</f>
        <v>-11458.994000000001</v>
      </c>
      <c r="H32" s="816">
        <f>-SUM('Gen Fund  Inc Exp Statement'!H52:'Gen Fund  Inc Exp Statement'!H54)-H31-H33</f>
        <v>-17347.594800000003</v>
      </c>
      <c r="I32" s="816">
        <f>-SUM('Gen Fund  Inc Exp Statement'!I52:'Gen Fund  Inc Exp Statement'!I54)-I31-I33</f>
        <v>-12209.422395</v>
      </c>
      <c r="J32" s="816">
        <f>-SUM('Gen Fund  Inc Exp Statement'!J52:'Gen Fund  Inc Exp Statement'!J54)-J31-J33</f>
        <v>-12345.785404875</v>
      </c>
      <c r="K32" s="816">
        <f>-SUM('Gen Fund  Inc Exp Statement'!K52:'Gen Fund  Inc Exp Statement'!K54)-K31-K33</f>
        <v>-12366.523000000001</v>
      </c>
      <c r="L32" s="816">
        <f>-SUM('Gen Fund  Inc Exp Statement'!L52:'Gen Fund  Inc Exp Statement'!L54)-L31-L33</f>
        <v>-12565.683324999998</v>
      </c>
      <c r="M32" s="816">
        <f>-SUM('Gen Fund  Inc Exp Statement'!M52:'Gen Fund  Inc Exp Statement'!M54)-M31-M33</f>
        <v>-12769.017533124999</v>
      </c>
      <c r="N32" s="816">
        <f>-SUM('Gen Fund  Inc Exp Statement'!N52:'Gen Fund  Inc Exp Statement'!N54)-N31-N33</f>
        <v>-13299.067256453127</v>
      </c>
      <c r="O32" s="816">
        <f>-SUM('Gen Fund  Inc Exp Statement'!O52:'Gen Fund  Inc Exp Statement'!O54)-O31-O33</f>
        <v>-13605.849526064452</v>
      </c>
      <c r="P32" s="816">
        <f>-SUM('Gen Fund  Inc Exp Statement'!P52:'Gen Fund  Inc Exp Statement'!P54)-P31-P33</f>
        <v>-13658.381781680064</v>
      </c>
    </row>
    <row r="33" spans="1:18" x14ac:dyDescent="0.2">
      <c r="A33" s="641" t="s">
        <v>95</v>
      </c>
      <c r="B33" s="591"/>
      <c r="C33" s="591"/>
      <c r="D33" s="591">
        <v>-26</v>
      </c>
      <c r="E33" s="591">
        <v>-26</v>
      </c>
      <c r="F33" s="591">
        <v>0</v>
      </c>
      <c r="G33" s="591">
        <v>0</v>
      </c>
      <c r="H33" s="591">
        <v>0</v>
      </c>
      <c r="I33" s="591">
        <v>0</v>
      </c>
      <c r="J33" s="591">
        <v>0</v>
      </c>
      <c r="K33" s="591">
        <v>0</v>
      </c>
      <c r="L33" s="591">
        <v>0</v>
      </c>
      <c r="M33" s="591">
        <v>0</v>
      </c>
      <c r="N33" s="591">
        <v>0</v>
      </c>
      <c r="O33" s="591">
        <v>0</v>
      </c>
      <c r="P33" s="591">
        <f>O33</f>
        <v>0</v>
      </c>
    </row>
    <row r="34" spans="1:18" s="644" customFormat="1" x14ac:dyDescent="0.2">
      <c r="A34" s="642" t="s">
        <v>110</v>
      </c>
      <c r="B34" s="593">
        <f>SUM(B24:B33)</f>
        <v>0</v>
      </c>
      <c r="C34" s="593">
        <f t="shared" ref="C34:P34" si="1">SUM(C24:C33)</f>
        <v>0</v>
      </c>
      <c r="D34" s="593">
        <f t="shared" si="1"/>
        <v>-31571</v>
      </c>
      <c r="E34" s="593">
        <f t="shared" si="1"/>
        <v>-42316</v>
      </c>
      <c r="F34" s="593">
        <f t="shared" si="1"/>
        <v>-10710.490999999998</v>
      </c>
      <c r="G34" s="593">
        <f t="shared" si="1"/>
        <v>-11333.279</v>
      </c>
      <c r="H34" s="593">
        <f t="shared" si="1"/>
        <v>-11495.757810000003</v>
      </c>
      <c r="I34" s="593">
        <f t="shared" si="1"/>
        <v>-12434.243785299999</v>
      </c>
      <c r="J34" s="593">
        <f t="shared" si="1"/>
        <v>-12650.190846883999</v>
      </c>
      <c r="K34" s="593">
        <f t="shared" si="1"/>
        <v>-12677.016550849181</v>
      </c>
      <c r="L34" s="593">
        <f t="shared" si="1"/>
        <v>-12882.386746866161</v>
      </c>
      <c r="M34" s="593">
        <f t="shared" si="1"/>
        <v>-13092.055023428486</v>
      </c>
      <c r="N34" s="593">
        <f t="shared" si="1"/>
        <v>-13628.565496562684</v>
      </c>
      <c r="O34" s="593">
        <f t="shared" si="1"/>
        <v>-13941.9377309762</v>
      </c>
      <c r="P34" s="593">
        <f t="shared" si="1"/>
        <v>-14001.191750690046</v>
      </c>
    </row>
    <row r="35" spans="1:18" ht="9" customHeight="1" x14ac:dyDescent="0.2">
      <c r="B35" s="594"/>
      <c r="C35" s="594"/>
      <c r="D35" s="594"/>
      <c r="E35" s="594"/>
      <c r="F35" s="594"/>
      <c r="G35" s="594"/>
      <c r="H35" s="594"/>
      <c r="I35" s="594"/>
      <c r="J35" s="594"/>
      <c r="K35" s="594"/>
      <c r="L35" s="594"/>
      <c r="M35" s="594"/>
      <c r="N35" s="594"/>
      <c r="O35" s="594"/>
      <c r="P35" s="594"/>
    </row>
    <row r="36" spans="1:18" x14ac:dyDescent="0.2">
      <c r="A36" s="592" t="s">
        <v>1054</v>
      </c>
      <c r="B36" s="590"/>
      <c r="C36" s="590"/>
      <c r="D36" s="590"/>
      <c r="E36" s="590"/>
      <c r="F36" s="590"/>
      <c r="G36" s="590"/>
      <c r="H36" s="590"/>
      <c r="I36" s="590"/>
      <c r="J36" s="590"/>
      <c r="K36" s="590"/>
      <c r="L36" s="590"/>
      <c r="M36" s="590"/>
      <c r="N36" s="590"/>
      <c r="O36" s="590"/>
      <c r="P36" s="590"/>
    </row>
    <row r="37" spans="1:18" x14ac:dyDescent="0.2">
      <c r="A37" s="640" t="s">
        <v>83</v>
      </c>
      <c r="B37" s="590"/>
      <c r="C37" s="590"/>
      <c r="D37" s="590"/>
      <c r="E37" s="590"/>
      <c r="F37" s="590"/>
      <c r="G37" s="590"/>
      <c r="H37" s="590"/>
      <c r="I37" s="590"/>
      <c r="J37" s="590"/>
      <c r="K37" s="590"/>
      <c r="L37" s="590"/>
      <c r="M37" s="590"/>
      <c r="N37" s="590"/>
      <c r="O37" s="590"/>
      <c r="P37" s="590"/>
    </row>
    <row r="38" spans="1:18" x14ac:dyDescent="0.2">
      <c r="A38" s="639" t="s">
        <v>1055</v>
      </c>
      <c r="B38" s="594"/>
      <c r="C38" s="594"/>
      <c r="D38" s="594">
        <v>5350</v>
      </c>
      <c r="E38" s="594">
        <v>13500</v>
      </c>
      <c r="F38" s="594">
        <f>'Gen Fund  Inc Exp Statement'!F65</f>
        <v>0</v>
      </c>
      <c r="G38" s="594">
        <f>'Gen Fund  Inc Exp Statement'!G65</f>
        <v>0</v>
      </c>
      <c r="H38" s="594">
        <f>'Gen Fund  Inc Exp Statement'!H65</f>
        <v>0</v>
      </c>
      <c r="I38" s="594">
        <f>'Gen Fund  Inc Exp Statement'!I65</f>
        <v>0</v>
      </c>
      <c r="J38" s="594">
        <f>'Gen Fund  Inc Exp Statement'!J65</f>
        <v>0</v>
      </c>
      <c r="K38" s="594">
        <f>'Gen Fund  Inc Exp Statement'!K65</f>
        <v>0</v>
      </c>
      <c r="L38" s="594">
        <f>'Gen Fund  Inc Exp Statement'!L65</f>
        <v>0</v>
      </c>
      <c r="M38" s="594">
        <f>'Gen Fund  Inc Exp Statement'!M65</f>
        <v>0</v>
      </c>
      <c r="N38" s="594">
        <f>'Gen Fund  Inc Exp Statement'!N65</f>
        <v>0</v>
      </c>
      <c r="O38" s="594">
        <f>'Gen Fund  Inc Exp Statement'!O65</f>
        <v>0</v>
      </c>
      <c r="P38" s="594">
        <f>'Gen Fund  Inc Exp Statement'!P65</f>
        <v>0</v>
      </c>
      <c r="R38" s="639" t="s">
        <v>1036</v>
      </c>
    </row>
    <row r="39" spans="1:18" ht="5.25" customHeight="1" x14ac:dyDescent="0.2">
      <c r="B39" s="594"/>
      <c r="C39" s="594"/>
      <c r="D39" s="594"/>
      <c r="E39" s="594"/>
      <c r="F39" s="594"/>
      <c r="G39" s="594"/>
      <c r="H39" s="594"/>
      <c r="I39" s="594"/>
      <c r="J39" s="594"/>
      <c r="K39" s="594"/>
      <c r="L39" s="594"/>
      <c r="M39" s="594"/>
      <c r="N39" s="594"/>
      <c r="O39" s="594"/>
      <c r="P39" s="594"/>
    </row>
    <row r="40" spans="1:18" x14ac:dyDescent="0.2">
      <c r="A40" s="640" t="s">
        <v>87</v>
      </c>
      <c r="B40" s="594"/>
      <c r="C40" s="594"/>
      <c r="D40" s="594"/>
      <c r="E40" s="594"/>
      <c r="F40" s="594"/>
      <c r="G40" s="594"/>
      <c r="H40" s="594"/>
      <c r="I40" s="594"/>
      <c r="J40" s="594"/>
      <c r="K40" s="594"/>
      <c r="L40" s="594"/>
      <c r="M40" s="594"/>
      <c r="N40" s="594"/>
      <c r="O40" s="594"/>
      <c r="P40" s="594"/>
    </row>
    <row r="41" spans="1:18" x14ac:dyDescent="0.2">
      <c r="A41" s="639" t="s">
        <v>1056</v>
      </c>
      <c r="B41" s="594"/>
      <c r="C41" s="594"/>
      <c r="D41" s="594">
        <v>-1616</v>
      </c>
      <c r="E41" s="594">
        <v>-2776</v>
      </c>
      <c r="F41" s="594">
        <f>-'Gen Fund  Inc Exp Statement'!F55</f>
        <v>-570.28700000000003</v>
      </c>
      <c r="G41" s="594">
        <f>-'Gen Fund  Inc Exp Statement'!G55</f>
        <v>-621.83900000000006</v>
      </c>
      <c r="H41" s="594">
        <f>-'Gen Fund  Inc Exp Statement'!H55</f>
        <v>-555.48599999999999</v>
      </c>
      <c r="I41" s="594">
        <f>-'Gen Fund  Inc Exp Statement'!I55</f>
        <v>-422.65899999999999</v>
      </c>
      <c r="J41" s="594">
        <f>-'Gen Fund  Inc Exp Statement'!J55</f>
        <v>-446.92500000000001</v>
      </c>
      <c r="K41" s="594">
        <f>-'Gen Fund  Inc Exp Statement'!K55</f>
        <v>-474</v>
      </c>
      <c r="L41" s="594">
        <f>-'Gen Fund  Inc Exp Statement'!L55</f>
        <v>-501</v>
      </c>
      <c r="M41" s="594">
        <f>-'Gen Fund  Inc Exp Statement'!M55</f>
        <v>-232</v>
      </c>
      <c r="N41" s="594">
        <f>-'Gen Fund  Inc Exp Statement'!N55</f>
        <v>-145</v>
      </c>
      <c r="O41" s="594">
        <f>-'Gen Fund  Inc Exp Statement'!O55</f>
        <v>-152</v>
      </c>
      <c r="P41" s="594">
        <f>-'Gen Fund  Inc Exp Statement'!P55</f>
        <v>-160</v>
      </c>
      <c r="R41" s="639" t="s">
        <v>1036</v>
      </c>
    </row>
    <row r="42" spans="1:18" s="644" customFormat="1" x14ac:dyDescent="0.2">
      <c r="A42" s="770" t="s">
        <v>110</v>
      </c>
      <c r="B42" s="772">
        <f t="shared" ref="B42:P42" si="2">SUM(B38:B41)</f>
        <v>0</v>
      </c>
      <c r="C42" s="772">
        <f t="shared" si="2"/>
        <v>0</v>
      </c>
      <c r="D42" s="772">
        <f t="shared" si="2"/>
        <v>3734</v>
      </c>
      <c r="E42" s="772">
        <f t="shared" si="2"/>
        <v>10724</v>
      </c>
      <c r="F42" s="772">
        <f t="shared" si="2"/>
        <v>-570.28700000000003</v>
      </c>
      <c r="G42" s="772">
        <f t="shared" si="2"/>
        <v>-621.83900000000006</v>
      </c>
      <c r="H42" s="772">
        <f t="shared" si="2"/>
        <v>-555.48599999999999</v>
      </c>
      <c r="I42" s="772">
        <f t="shared" si="2"/>
        <v>-422.65899999999999</v>
      </c>
      <c r="J42" s="772">
        <f t="shared" si="2"/>
        <v>-446.92500000000001</v>
      </c>
      <c r="K42" s="772">
        <f t="shared" si="2"/>
        <v>-474</v>
      </c>
      <c r="L42" s="772">
        <f t="shared" si="2"/>
        <v>-501</v>
      </c>
      <c r="M42" s="772">
        <f t="shared" si="2"/>
        <v>-232</v>
      </c>
      <c r="N42" s="772">
        <f t="shared" si="2"/>
        <v>-145</v>
      </c>
      <c r="O42" s="772">
        <f t="shared" si="2"/>
        <v>-152</v>
      </c>
      <c r="P42" s="772">
        <f t="shared" si="2"/>
        <v>-160</v>
      </c>
    </row>
    <row r="43" spans="1:18" ht="3.75" customHeight="1" x14ac:dyDescent="0.2">
      <c r="B43" s="594"/>
      <c r="C43" s="594"/>
      <c r="D43" s="594"/>
      <c r="E43" s="594"/>
      <c r="F43" s="594"/>
      <c r="G43" s="594"/>
      <c r="H43" s="594"/>
      <c r="I43" s="594"/>
      <c r="J43" s="594"/>
      <c r="K43" s="594"/>
      <c r="L43" s="594"/>
      <c r="M43" s="594"/>
      <c r="N43" s="594"/>
      <c r="O43" s="594"/>
      <c r="P43" s="594"/>
    </row>
    <row r="44" spans="1:18" x14ac:dyDescent="0.2">
      <c r="A44" s="592" t="s">
        <v>321</v>
      </c>
      <c r="B44" s="594">
        <f>+B20+B34</f>
        <v>0</v>
      </c>
      <c r="C44" s="594">
        <f>+C20+C34</f>
        <v>0</v>
      </c>
      <c r="D44" s="594">
        <f>+D20+D34+D42</f>
        <v>5944</v>
      </c>
      <c r="E44" s="594">
        <f t="shared" ref="E44:P44" si="3">+E20+E34+E42</f>
        <v>-6977</v>
      </c>
      <c r="F44" s="594">
        <f t="shared" si="3"/>
        <v>30.000000000005684</v>
      </c>
      <c r="G44" s="594">
        <f t="shared" si="3"/>
        <v>-80.219040000001883</v>
      </c>
      <c r="H44" s="594">
        <f t="shared" si="3"/>
        <v>-0.85232500000813616</v>
      </c>
      <c r="I44" s="594">
        <f t="shared" si="3"/>
        <v>-300.68349499999601</v>
      </c>
      <c r="J44" s="594">
        <f t="shared" si="3"/>
        <v>-400.69032924999993</v>
      </c>
      <c r="K44" s="594">
        <f t="shared" si="3"/>
        <v>-507.88244915196628</v>
      </c>
      <c r="L44" s="594">
        <f t="shared" si="3"/>
        <v>-465.07305281169647</v>
      </c>
      <c r="M44" s="594">
        <f t="shared" si="3"/>
        <v>-134.59188233022724</v>
      </c>
      <c r="N44" s="594">
        <f t="shared" si="3"/>
        <v>-298.12770345424906</v>
      </c>
      <c r="O44" s="594">
        <f t="shared" si="3"/>
        <v>-333.63229580509869</v>
      </c>
      <c r="P44" s="594">
        <f t="shared" si="3"/>
        <v>-111.89603658329725</v>
      </c>
    </row>
    <row r="45" spans="1:18" ht="3.75" customHeight="1" x14ac:dyDescent="0.2">
      <c r="A45" s="644"/>
      <c r="B45" s="594"/>
      <c r="C45" s="594"/>
      <c r="D45" s="594"/>
      <c r="E45" s="594"/>
      <c r="F45" s="594"/>
      <c r="G45" s="594"/>
      <c r="H45" s="594"/>
      <c r="I45" s="594"/>
      <c r="J45" s="594"/>
      <c r="K45" s="594"/>
      <c r="L45" s="594"/>
      <c r="M45" s="594"/>
      <c r="N45" s="594"/>
      <c r="O45" s="594"/>
      <c r="P45" s="594"/>
    </row>
    <row r="46" spans="1:18" x14ac:dyDescent="0.2">
      <c r="A46" s="592" t="s">
        <v>96</v>
      </c>
      <c r="B46" s="594"/>
      <c r="C46" s="594">
        <f>+B48</f>
        <v>0</v>
      </c>
      <c r="D46" s="594">
        <v>3352</v>
      </c>
      <c r="E46" s="594">
        <f t="shared" ref="E46:P46" si="4">+D48</f>
        <v>9296</v>
      </c>
      <c r="F46" s="594">
        <f t="shared" si="4"/>
        <v>2319</v>
      </c>
      <c r="G46" s="594">
        <f t="shared" si="4"/>
        <v>2349.0000000000055</v>
      </c>
      <c r="H46" s="594">
        <f t="shared" si="4"/>
        <v>2268.7809600000037</v>
      </c>
      <c r="I46" s="594">
        <f t="shared" si="4"/>
        <v>2267.9286349999957</v>
      </c>
      <c r="J46" s="594">
        <f t="shared" si="4"/>
        <v>1967.2451399999995</v>
      </c>
      <c r="K46" s="594">
        <f t="shared" si="4"/>
        <v>1566.5548107499997</v>
      </c>
      <c r="L46" s="594">
        <f t="shared" si="4"/>
        <v>1058.6723615980334</v>
      </c>
      <c r="M46" s="594">
        <f t="shared" si="4"/>
        <v>593.59930878633691</v>
      </c>
      <c r="N46" s="594">
        <f t="shared" si="4"/>
        <v>459.00742645610967</v>
      </c>
      <c r="O46" s="594">
        <f t="shared" si="4"/>
        <v>160.87972300186061</v>
      </c>
      <c r="P46" s="594">
        <f t="shared" si="4"/>
        <v>-172.75257280323808</v>
      </c>
    </row>
    <row r="47" spans="1:18" ht="4.5" customHeight="1" x14ac:dyDescent="0.2">
      <c r="B47" s="594"/>
      <c r="C47" s="594"/>
      <c r="D47" s="594"/>
      <c r="E47" s="594"/>
      <c r="F47" s="594"/>
      <c r="G47" s="594"/>
      <c r="H47" s="594"/>
      <c r="I47" s="594"/>
      <c r="J47" s="594"/>
      <c r="K47" s="594"/>
      <c r="L47" s="594"/>
      <c r="M47" s="594"/>
      <c r="N47" s="594"/>
      <c r="O47" s="594"/>
      <c r="P47" s="594"/>
    </row>
    <row r="48" spans="1:18" s="592" customFormat="1" ht="12.75" thickBot="1" x14ac:dyDescent="0.25">
      <c r="A48" s="592" t="s">
        <v>97</v>
      </c>
      <c r="B48" s="645">
        <f>+B44+B46</f>
        <v>0</v>
      </c>
      <c r="C48" s="645">
        <f t="shared" ref="C48:P48" si="5">+C44+C46</f>
        <v>0</v>
      </c>
      <c r="D48" s="645">
        <f t="shared" si="5"/>
        <v>9296</v>
      </c>
      <c r="E48" s="645">
        <f t="shared" si="5"/>
        <v>2319</v>
      </c>
      <c r="F48" s="645">
        <f t="shared" si="5"/>
        <v>2349.0000000000055</v>
      </c>
      <c r="G48" s="645">
        <f t="shared" si="5"/>
        <v>2268.7809600000037</v>
      </c>
      <c r="H48" s="645">
        <f t="shared" si="5"/>
        <v>2267.9286349999957</v>
      </c>
      <c r="I48" s="645">
        <f t="shared" si="5"/>
        <v>1967.2451399999995</v>
      </c>
      <c r="J48" s="645">
        <f t="shared" si="5"/>
        <v>1566.5548107499997</v>
      </c>
      <c r="K48" s="645">
        <f t="shared" si="5"/>
        <v>1058.6723615980334</v>
      </c>
      <c r="L48" s="645">
        <f t="shared" si="5"/>
        <v>593.59930878633691</v>
      </c>
      <c r="M48" s="645">
        <f t="shared" si="5"/>
        <v>459.00742645610967</v>
      </c>
      <c r="N48" s="645">
        <f t="shared" si="5"/>
        <v>160.87972300186061</v>
      </c>
      <c r="O48" s="645">
        <f t="shared" si="5"/>
        <v>-172.75257280323808</v>
      </c>
      <c r="P48" s="645">
        <f t="shared" si="5"/>
        <v>-284.64860938653533</v>
      </c>
    </row>
    <row r="49" spans="1:16" ht="4.5" customHeight="1" x14ac:dyDescent="0.2"/>
    <row r="50" spans="1:16" x14ac:dyDescent="0.2">
      <c r="A50" s="639" t="s">
        <v>98</v>
      </c>
      <c r="B50" s="590"/>
      <c r="C50" s="590">
        <f>B50-C30-C24</f>
        <v>0</v>
      </c>
      <c r="D50" s="590">
        <f>'GF &amp; FF  Bal Sheet'!D8+'GF &amp; FF  Bal Sheet'!D15</f>
        <v>46112</v>
      </c>
      <c r="E50" s="590">
        <f>'GF &amp; FF  Bal Sheet'!E8+'GF &amp; FF  Bal Sheet'!E15</f>
        <v>17083</v>
      </c>
      <c r="F50" s="590">
        <f t="shared" ref="F50:P50" si="6">E50-F30-F24</f>
        <v>16543.069000000003</v>
      </c>
      <c r="G50" s="590">
        <f t="shared" si="6"/>
        <v>16487.354000000003</v>
      </c>
      <c r="H50" s="590">
        <f t="shared" si="6"/>
        <v>10705.517010000003</v>
      </c>
      <c r="I50" s="590">
        <f t="shared" si="6"/>
        <v>11000.338400300003</v>
      </c>
      <c r="J50" s="590">
        <f t="shared" si="6"/>
        <v>11374.743842309003</v>
      </c>
      <c r="K50" s="590">
        <f t="shared" si="6"/>
        <v>11756.637393158182</v>
      </c>
      <c r="L50" s="590">
        <f t="shared" si="6"/>
        <v>12146.168815024346</v>
      </c>
      <c r="M50" s="590">
        <f t="shared" si="6"/>
        <v>12543.490865327833</v>
      </c>
      <c r="N50" s="590">
        <f t="shared" si="6"/>
        <v>12948.759356637391</v>
      </c>
      <c r="O50" s="590">
        <f t="shared" si="6"/>
        <v>13362.133217773138</v>
      </c>
      <c r="P50" s="590">
        <f t="shared" si="6"/>
        <v>13783.774556131601</v>
      </c>
    </row>
    <row r="51" spans="1:16" ht="3.75" customHeight="1" x14ac:dyDescent="0.2">
      <c r="B51" s="590"/>
      <c r="C51" s="590"/>
      <c r="D51" s="590"/>
      <c r="E51" s="590"/>
      <c r="F51" s="590"/>
      <c r="G51" s="590"/>
      <c r="H51" s="590"/>
      <c r="I51" s="590"/>
      <c r="J51" s="590"/>
      <c r="K51" s="590"/>
      <c r="L51" s="590"/>
      <c r="M51" s="590"/>
      <c r="N51" s="590"/>
      <c r="O51" s="590"/>
      <c r="P51" s="590"/>
    </row>
    <row r="52" spans="1:16" s="644" customFormat="1" ht="12.75" thickBot="1" x14ac:dyDescent="0.25">
      <c r="A52" s="592" t="s">
        <v>99</v>
      </c>
      <c r="B52" s="646">
        <f>+B48+B50</f>
        <v>0</v>
      </c>
      <c r="C52" s="646">
        <f t="shared" ref="C52:P52" si="7">+C48+C50</f>
        <v>0</v>
      </c>
      <c r="D52" s="646">
        <f t="shared" si="7"/>
        <v>55408</v>
      </c>
      <c r="E52" s="646">
        <f t="shared" si="7"/>
        <v>19402</v>
      </c>
      <c r="F52" s="646">
        <f t="shared" si="7"/>
        <v>18892.06900000001</v>
      </c>
      <c r="G52" s="646">
        <f t="shared" si="7"/>
        <v>18756.134960000007</v>
      </c>
      <c r="H52" s="646">
        <f t="shared" si="7"/>
        <v>12973.445645</v>
      </c>
      <c r="I52" s="646">
        <f t="shared" si="7"/>
        <v>12967.583540300002</v>
      </c>
      <c r="J52" s="646">
        <f t="shared" si="7"/>
        <v>12941.298653059002</v>
      </c>
      <c r="K52" s="646">
        <f t="shared" si="7"/>
        <v>12815.309754756216</v>
      </c>
      <c r="L52" s="646">
        <f t="shared" si="7"/>
        <v>12739.768123810683</v>
      </c>
      <c r="M52" s="646">
        <f t="shared" si="7"/>
        <v>13002.498291783942</v>
      </c>
      <c r="N52" s="646">
        <f t="shared" si="7"/>
        <v>13109.639079639252</v>
      </c>
      <c r="O52" s="646">
        <f t="shared" si="7"/>
        <v>13189.3806449699</v>
      </c>
      <c r="P52" s="646">
        <f t="shared" si="7"/>
        <v>13499.125946745065</v>
      </c>
    </row>
    <row r="53" spans="1:16" ht="12.75" thickTop="1" x14ac:dyDescent="0.2">
      <c r="B53" s="590"/>
      <c r="C53" s="590"/>
      <c r="D53" s="590"/>
      <c r="E53" s="590"/>
      <c r="F53" s="590"/>
      <c r="G53" s="590"/>
      <c r="H53" s="590"/>
      <c r="I53" s="590"/>
      <c r="J53" s="590"/>
      <c r="K53" s="590"/>
      <c r="L53" s="590"/>
      <c r="M53" s="590"/>
      <c r="N53" s="590"/>
      <c r="O53" s="590"/>
      <c r="P53" s="590"/>
    </row>
    <row r="54" spans="1:16" ht="12.75" x14ac:dyDescent="0.2">
      <c r="A54" s="1091" t="s">
        <v>1247</v>
      </c>
      <c r="B54" s="590"/>
      <c r="C54" s="590"/>
      <c r="D54" s="590"/>
      <c r="E54" s="590"/>
      <c r="F54" s="590"/>
      <c r="G54" s="590"/>
      <c r="H54" s="590"/>
      <c r="I54" s="590"/>
      <c r="J54" s="590"/>
      <c r="K54" s="590"/>
      <c r="L54" s="590"/>
      <c r="M54" s="590"/>
      <c r="N54" s="590"/>
      <c r="O54" s="590"/>
      <c r="P54" s="590"/>
    </row>
    <row r="55" spans="1:16" x14ac:dyDescent="0.2">
      <c r="A55" s="596" t="s">
        <v>1068</v>
      </c>
      <c r="B55" s="586" t="s">
        <v>69</v>
      </c>
      <c r="C55" s="586" t="s">
        <v>69</v>
      </c>
      <c r="D55" s="586" t="str">
        <f t="shared" ref="D55:P55" si="8">D2</f>
        <v>Actual</v>
      </c>
      <c r="E55" s="586" t="str">
        <f t="shared" si="8"/>
        <v>Actual</v>
      </c>
      <c r="F55" s="586" t="str">
        <f t="shared" si="8"/>
        <v>Budget</v>
      </c>
      <c r="G55" s="586" t="str">
        <f t="shared" si="8"/>
        <v>Budget</v>
      </c>
      <c r="H55" s="586" t="str">
        <f t="shared" si="8"/>
        <v>Projected</v>
      </c>
      <c r="I55" s="586" t="str">
        <f t="shared" si="8"/>
        <v>Projected</v>
      </c>
      <c r="J55" s="586" t="str">
        <f t="shared" si="8"/>
        <v>Projected</v>
      </c>
      <c r="K55" s="586" t="str">
        <f t="shared" si="8"/>
        <v>Projected</v>
      </c>
      <c r="L55" s="586" t="str">
        <f t="shared" si="8"/>
        <v>Projected</v>
      </c>
      <c r="M55" s="586" t="str">
        <f t="shared" si="8"/>
        <v>Projected</v>
      </c>
      <c r="N55" s="586" t="str">
        <f t="shared" si="8"/>
        <v>Projected</v>
      </c>
      <c r="O55" s="586" t="str">
        <f t="shared" si="8"/>
        <v>Projected</v>
      </c>
      <c r="P55" s="586" t="str">
        <f t="shared" si="8"/>
        <v>Projected</v>
      </c>
    </row>
    <row r="56" spans="1:16" x14ac:dyDescent="0.2">
      <c r="A56" s="585" t="s">
        <v>73</v>
      </c>
      <c r="B56" s="638" t="s">
        <v>68</v>
      </c>
      <c r="C56" s="586" t="s">
        <v>0</v>
      </c>
      <c r="D56" s="586" t="s">
        <v>1</v>
      </c>
      <c r="E56" s="586" t="s">
        <v>2</v>
      </c>
      <c r="F56" s="586" t="s">
        <v>3</v>
      </c>
      <c r="G56" s="586" t="s">
        <v>4</v>
      </c>
      <c r="H56" s="586" t="s">
        <v>5</v>
      </c>
      <c r="I56" s="586" t="s">
        <v>6</v>
      </c>
      <c r="J56" s="586" t="s">
        <v>7</v>
      </c>
      <c r="K56" s="586" t="s">
        <v>8</v>
      </c>
      <c r="L56" s="586" t="s">
        <v>9</v>
      </c>
      <c r="M56" s="586" t="s">
        <v>514</v>
      </c>
      <c r="N56" s="586" t="s">
        <v>515</v>
      </c>
      <c r="O56" s="586" t="s">
        <v>904</v>
      </c>
      <c r="P56" s="586" t="s">
        <v>1046</v>
      </c>
    </row>
    <row r="58" spans="1:16" x14ac:dyDescent="0.2">
      <c r="A58" s="592" t="s">
        <v>82</v>
      </c>
    </row>
    <row r="59" spans="1:16" x14ac:dyDescent="0.2">
      <c r="A59" s="640" t="s">
        <v>83</v>
      </c>
      <c r="B59" s="590"/>
      <c r="C59" s="590"/>
      <c r="D59" s="590"/>
      <c r="E59" s="590"/>
      <c r="F59" s="590"/>
      <c r="G59" s="590"/>
      <c r="H59" s="590"/>
      <c r="I59" s="590"/>
      <c r="J59" s="590"/>
      <c r="K59" s="590"/>
      <c r="L59" s="590"/>
      <c r="M59" s="590"/>
      <c r="N59" s="590"/>
      <c r="O59" s="590"/>
      <c r="P59" s="590"/>
    </row>
    <row r="60" spans="1:16" x14ac:dyDescent="0.2">
      <c r="A60" s="639" t="s">
        <v>11</v>
      </c>
      <c r="B60" s="594"/>
      <c r="C60" s="594">
        <f t="shared" ref="C60:E65" si="9">C7</f>
        <v>0</v>
      </c>
      <c r="D60" s="594">
        <f t="shared" si="9"/>
        <v>18724</v>
      </c>
      <c r="E60" s="594">
        <f t="shared" si="9"/>
        <v>18207</v>
      </c>
      <c r="F60" s="594">
        <f>+'Gen Fund  Inc Exp Statement'!F87</f>
        <v>14450.315000000001</v>
      </c>
      <c r="G60" s="594">
        <f>+'Gen Fund  Inc Exp Statement'!G87</f>
        <v>15563.977000000001</v>
      </c>
      <c r="H60" s="594">
        <f>+'Gen Fund  Inc Exp Statement'!H87</f>
        <v>16356.162</v>
      </c>
      <c r="I60" s="594">
        <f>+'Gen Fund  Inc Exp Statement'!I87</f>
        <v>17465.652999999998</v>
      </c>
      <c r="J60" s="594">
        <f>+'Gen Fund  Inc Exp Statement'!J87</f>
        <v>18306.118999999999</v>
      </c>
      <c r="K60" s="594">
        <f>+'Gen Fund  Inc Exp Statement'!K87</f>
        <v>18763.771974999996</v>
      </c>
      <c r="L60" s="594">
        <f>+'Gen Fund  Inc Exp Statement'!L87</f>
        <v>19232.866274374996</v>
      </c>
      <c r="M60" s="594">
        <f>+'Gen Fund  Inc Exp Statement'!M87</f>
        <v>19713.68793123437</v>
      </c>
      <c r="N60" s="594">
        <f>+'Gen Fund  Inc Exp Statement'!N87</f>
        <v>20206.530129515228</v>
      </c>
      <c r="O60" s="594">
        <f>+'Gen Fund  Inc Exp Statement'!O87</f>
        <v>20711.693382753107</v>
      </c>
      <c r="P60" s="594">
        <f>+'Gen Fund  Inc Exp Statement'!P87</f>
        <v>21229.485717321932</v>
      </c>
    </row>
    <row r="61" spans="1:16" x14ac:dyDescent="0.2">
      <c r="A61" s="639" t="s">
        <v>12</v>
      </c>
      <c r="B61" s="594"/>
      <c r="C61" s="594">
        <f t="shared" si="9"/>
        <v>0</v>
      </c>
      <c r="D61" s="594">
        <f t="shared" si="9"/>
        <v>11585</v>
      </c>
      <c r="E61" s="594">
        <f t="shared" si="9"/>
        <v>10646</v>
      </c>
      <c r="F61" s="594">
        <f>+'Gen Fund  Inc Exp Statement'!F88</f>
        <v>6434.6660000000002</v>
      </c>
      <c r="G61" s="594">
        <f>+'Gen Fund  Inc Exp Statement'!G88</f>
        <v>6694.2250000000004</v>
      </c>
      <c r="H61" s="594">
        <f>+'Gen Fund  Inc Exp Statement'!H88</f>
        <v>6699.7</v>
      </c>
      <c r="I61" s="594">
        <f>+'Gen Fund  Inc Exp Statement'!I88</f>
        <v>6981.9269999999997</v>
      </c>
      <c r="J61" s="594">
        <f>+'Gen Fund  Inc Exp Statement'!J88</f>
        <v>7344.5609999999997</v>
      </c>
      <c r="K61" s="594">
        <f>+'Gen Fund  Inc Exp Statement'!K88</f>
        <v>7491.4522200000001</v>
      </c>
      <c r="L61" s="594">
        <f>+'Gen Fund  Inc Exp Statement'!L88</f>
        <v>7641.2812644000005</v>
      </c>
      <c r="M61" s="594">
        <f>+'Gen Fund  Inc Exp Statement'!M88</f>
        <v>7794.1068896880006</v>
      </c>
      <c r="N61" s="594">
        <f>+'Gen Fund  Inc Exp Statement'!N88</f>
        <v>7949.9890274817608</v>
      </c>
      <c r="O61" s="594">
        <f>+'Gen Fund  Inc Exp Statement'!O88</f>
        <v>8108.9888080313958</v>
      </c>
      <c r="P61" s="594">
        <f>+'Gen Fund  Inc Exp Statement'!P88</f>
        <v>8271.1685841920244</v>
      </c>
    </row>
    <row r="62" spans="1:16" x14ac:dyDescent="0.2">
      <c r="A62" s="639" t="s">
        <v>84</v>
      </c>
      <c r="B62" s="594"/>
      <c r="C62" s="594">
        <f t="shared" si="9"/>
        <v>0</v>
      </c>
      <c r="D62" s="594">
        <f t="shared" si="9"/>
        <v>2499</v>
      </c>
      <c r="E62" s="594">
        <f t="shared" si="9"/>
        <v>2571</v>
      </c>
      <c r="F62" s="594">
        <f>+'Gen Fund  Inc Exp Statement'!F89</f>
        <v>931.5</v>
      </c>
      <c r="G62" s="594">
        <f>+'Gen Fund  Inc Exp Statement'!G89</f>
        <v>938.20899999999995</v>
      </c>
      <c r="H62" s="594">
        <f>+'Gen Fund  Inc Exp Statement'!H89</f>
        <v>947.19299999999998</v>
      </c>
      <c r="I62" s="594">
        <f>+'Gen Fund  Inc Exp Statement'!I89</f>
        <v>956.88900000000001</v>
      </c>
      <c r="J62" s="594">
        <f>+'Gen Fund  Inc Exp Statement'!J89</f>
        <v>965.43299999999999</v>
      </c>
      <c r="K62" s="594">
        <f>+'Gen Fund  Inc Exp Statement'!K89</f>
        <v>759.4188607223598</v>
      </c>
      <c r="L62" s="594">
        <f>+'Gen Fund  Inc Exp Statement'!L89</f>
        <v>825.70408945084648</v>
      </c>
      <c r="M62" s="594">
        <f>+'Gen Fund  Inc Exp Statement'!M89</f>
        <v>860.70662898626483</v>
      </c>
      <c r="N62" s="594">
        <f>+'Gen Fund  Inc Exp Statement'!N89</f>
        <v>862.47641146858325</v>
      </c>
      <c r="O62" s="594">
        <f>+'Gen Fund  Inc Exp Statement'!O89</f>
        <v>886.14902231421115</v>
      </c>
      <c r="P62" s="594">
        <f>+'Gen Fund  Inc Exp Statement'!P89</f>
        <v>913.38916855736215</v>
      </c>
    </row>
    <row r="63" spans="1:16" x14ac:dyDescent="0.2">
      <c r="A63" s="639" t="s">
        <v>85</v>
      </c>
      <c r="B63" s="594"/>
      <c r="C63" s="594">
        <f t="shared" si="9"/>
        <v>0</v>
      </c>
      <c r="D63" s="594">
        <f t="shared" si="9"/>
        <v>26703</v>
      </c>
      <c r="E63" s="594">
        <f t="shared" si="9"/>
        <v>24423</v>
      </c>
      <c r="F63" s="594">
        <f>+'Gen Fund  Inc Exp Statement'!F91+'Gen Fund  Inc Exp Statement'!F92</f>
        <v>9072.7510000000002</v>
      </c>
      <c r="G63" s="594">
        <f>+'Gen Fund  Inc Exp Statement'!G91+'Gen Fund  Inc Exp Statement'!G92</f>
        <v>9238.8559999999998</v>
      </c>
      <c r="H63" s="594">
        <f>+'Gen Fund  Inc Exp Statement'!H91+'Gen Fund  Inc Exp Statement'!H92</f>
        <v>9391.7220099999995</v>
      </c>
      <c r="I63" s="594">
        <f>+'Gen Fund  Inc Exp Statement'!I91+'Gen Fund  Inc Exp Statement'!I92</f>
        <v>13046.048015299999</v>
      </c>
      <c r="J63" s="594">
        <f>+'Gen Fund  Inc Exp Statement'!J91+'Gen Fund  Inc Exp Statement'!J92</f>
        <v>9704.0470926340004</v>
      </c>
      <c r="K63" s="594">
        <f>+'Gen Fund  Inc Exp Statement'!K91+'Gen Fund  Inc Exp Statement'!K92</f>
        <v>9935.5418632866804</v>
      </c>
      <c r="L63" s="594">
        <f>+'Gen Fund  Inc Exp Statement'!L91+'Gen Fund  Inc Exp Statement'!L92</f>
        <v>10172.601875072414</v>
      </c>
      <c r="M63" s="594">
        <f>+'Gen Fund  Inc Exp Statement'!M91+'Gen Fund  Inc Exp Statement'!M92</f>
        <v>10415.361816456862</v>
      </c>
      <c r="N63" s="594">
        <f>+'Gen Fund  Inc Exp Statement'!N91+'Gen Fund  Inc Exp Statement'!N92</f>
        <v>10663.959654266073</v>
      </c>
      <c r="O63" s="594">
        <f>+'Gen Fund  Inc Exp Statement'!O91+'Gen Fund  Inc Exp Statement'!O92</f>
        <v>10918.536713868471</v>
      </c>
      <c r="P63" s="594">
        <f>+'Gen Fund  Inc Exp Statement'!P91+'Gen Fund  Inc Exp Statement'!P92</f>
        <v>11179.237761325843</v>
      </c>
    </row>
    <row r="64" spans="1:16" hidden="1" outlineLevel="1" x14ac:dyDescent="0.2">
      <c r="A64" s="639" t="s">
        <v>86</v>
      </c>
      <c r="B64" s="594"/>
      <c r="C64" s="594">
        <f t="shared" si="9"/>
        <v>0</v>
      </c>
      <c r="D64" s="594">
        <f t="shared" si="9"/>
        <v>97</v>
      </c>
      <c r="E64" s="594">
        <f t="shared" si="9"/>
        <v>296</v>
      </c>
      <c r="F64" s="594">
        <v>0</v>
      </c>
      <c r="G64" s="594">
        <v>0</v>
      </c>
      <c r="H64" s="594">
        <v>0</v>
      </c>
      <c r="I64" s="594">
        <v>0</v>
      </c>
      <c r="J64" s="594">
        <v>0</v>
      </c>
      <c r="K64" s="594">
        <v>0</v>
      </c>
      <c r="L64" s="594">
        <v>0</v>
      </c>
      <c r="M64" s="594">
        <v>0</v>
      </c>
      <c r="N64" s="594">
        <v>0</v>
      </c>
      <c r="O64" s="594">
        <v>0</v>
      </c>
      <c r="P64" s="594">
        <v>0</v>
      </c>
    </row>
    <row r="65" spans="1:16" collapsed="1" x14ac:dyDescent="0.2">
      <c r="A65" s="639" t="s">
        <v>41</v>
      </c>
      <c r="B65" s="594"/>
      <c r="C65" s="594">
        <f t="shared" si="9"/>
        <v>0</v>
      </c>
      <c r="D65" s="594">
        <f t="shared" si="9"/>
        <v>5309</v>
      </c>
      <c r="E65" s="594">
        <f t="shared" si="9"/>
        <v>4000</v>
      </c>
      <c r="F65" s="594">
        <f>+'Gen Fund  Inc Exp Statement'!F90+'Gen Fund  Inc Exp Statement'!F93</f>
        <v>7207.8899999999994</v>
      </c>
      <c r="G65" s="594">
        <f>+'Gen Fund  Inc Exp Statement'!G90+'Gen Fund  Inc Exp Statement'!G93</f>
        <v>7469.6399999999994</v>
      </c>
      <c r="H65" s="594">
        <f>+'Gen Fund  Inc Exp Statement'!H90+'Gen Fund  Inc Exp Statement'!H93</f>
        <v>7703.4269999999997</v>
      </c>
      <c r="I65" s="594">
        <f>+'Gen Fund  Inc Exp Statement'!I90+'Gen Fund  Inc Exp Statement'!I93</f>
        <v>7939.5569999999998</v>
      </c>
      <c r="J65" s="594">
        <f>+'Gen Fund  Inc Exp Statement'!J90+'Gen Fund  Inc Exp Statement'!J93</f>
        <v>8034.5349999999999</v>
      </c>
      <c r="K65" s="594">
        <f>+'Gen Fund  Inc Exp Statement'!K90+'Gen Fund  Inc Exp Statement'!K93</f>
        <v>8195.2257000000009</v>
      </c>
      <c r="L65" s="594">
        <f>+'Gen Fund  Inc Exp Statement'!L90+'Gen Fund  Inc Exp Statement'!L93</f>
        <v>8359.1302140000007</v>
      </c>
      <c r="M65" s="594">
        <f>+'Gen Fund  Inc Exp Statement'!M90+'Gen Fund  Inc Exp Statement'!M93</f>
        <v>8526.3128182800028</v>
      </c>
      <c r="N65" s="594">
        <f>+'Gen Fund  Inc Exp Statement'!N90+'Gen Fund  Inc Exp Statement'!N93</f>
        <v>8696.8390746456025</v>
      </c>
      <c r="O65" s="594">
        <f>+'Gen Fund  Inc Exp Statement'!O90+'Gen Fund  Inc Exp Statement'!O93</f>
        <v>8870.7758561385144</v>
      </c>
      <c r="P65" s="594">
        <f>+'Gen Fund  Inc Exp Statement'!P90+'Gen Fund  Inc Exp Statement'!P93</f>
        <v>9048.1913732612848</v>
      </c>
    </row>
    <row r="66" spans="1:16" x14ac:dyDescent="0.2">
      <c r="B66" s="594"/>
      <c r="C66" s="594"/>
      <c r="D66" s="594"/>
      <c r="E66" s="594"/>
      <c r="F66" s="594"/>
      <c r="G66" s="594"/>
      <c r="H66" s="594"/>
      <c r="I66" s="594"/>
      <c r="J66" s="594"/>
      <c r="K66" s="594"/>
      <c r="L66" s="594"/>
      <c r="M66" s="594"/>
      <c r="N66" s="594"/>
      <c r="O66" s="594"/>
      <c r="P66" s="594"/>
    </row>
    <row r="67" spans="1:16" x14ac:dyDescent="0.2">
      <c r="A67" s="640" t="s">
        <v>87</v>
      </c>
      <c r="B67" s="594"/>
      <c r="C67" s="594"/>
      <c r="D67" s="594"/>
      <c r="E67" s="594"/>
      <c r="F67" s="594"/>
      <c r="G67" s="594"/>
      <c r="H67" s="594"/>
      <c r="I67" s="594"/>
      <c r="J67" s="594"/>
      <c r="K67" s="594"/>
      <c r="L67" s="594"/>
      <c r="M67" s="594"/>
      <c r="N67" s="594"/>
      <c r="O67" s="594"/>
      <c r="P67" s="594"/>
    </row>
    <row r="68" spans="1:16" x14ac:dyDescent="0.2">
      <c r="A68" s="639" t="s">
        <v>25</v>
      </c>
      <c r="B68" s="594"/>
      <c r="C68" s="594">
        <f t="shared" ref="C68:E70" si="10">C15</f>
        <v>0</v>
      </c>
      <c r="D68" s="594">
        <f t="shared" si="10"/>
        <v>-12900</v>
      </c>
      <c r="E68" s="594">
        <f t="shared" si="10"/>
        <v>-12519</v>
      </c>
      <c r="F68" s="594">
        <f>-'Gen Fund  Inc Exp Statement'!F101</f>
        <v>-11231.316000000001</v>
      </c>
      <c r="G68" s="594">
        <f>-'Gen Fund  Inc Exp Statement'!G101</f>
        <v>-11563.034</v>
      </c>
      <c r="H68" s="594">
        <f>-'Gen Fund  Inc Exp Statement'!H101</f>
        <v>-11807.84</v>
      </c>
      <c r="I68" s="594">
        <f>-'Gen Fund  Inc Exp Statement'!I101</f>
        <v>-12311.478999999999</v>
      </c>
      <c r="J68" s="594">
        <f>-'Gen Fund  Inc Exp Statement'!J101</f>
        <v>-12863.002</v>
      </c>
      <c r="K68" s="594">
        <f>-'Gen Fund  Inc Exp Statement'!K101</f>
        <v>-13248.89206</v>
      </c>
      <c r="L68" s="594">
        <f>-'Gen Fund  Inc Exp Statement'!L101</f>
        <v>-13646.3588218</v>
      </c>
      <c r="M68" s="594">
        <f>-'Gen Fund  Inc Exp Statement'!M101</f>
        <v>-14055.749586454001</v>
      </c>
      <c r="N68" s="594">
        <f>-'Gen Fund  Inc Exp Statement'!N101</f>
        <v>-14477.422074047621</v>
      </c>
      <c r="O68" s="594">
        <f>-'Gen Fund  Inc Exp Statement'!O101</f>
        <v>-14911.744736269051</v>
      </c>
      <c r="P68" s="594">
        <f>-'Gen Fund  Inc Exp Statement'!P101</f>
        <v>-15359.097078357123</v>
      </c>
    </row>
    <row r="69" spans="1:16" x14ac:dyDescent="0.2">
      <c r="A69" s="639" t="s">
        <v>27</v>
      </c>
      <c r="B69" s="594"/>
      <c r="C69" s="594">
        <f t="shared" si="10"/>
        <v>0</v>
      </c>
      <c r="D69" s="594">
        <f t="shared" si="10"/>
        <v>-9702</v>
      </c>
      <c r="E69" s="594">
        <f t="shared" si="10"/>
        <v>-12687</v>
      </c>
      <c r="F69" s="594">
        <f>-'Gen Fund  Inc Exp Statement'!F103-'Gen Fund  Inc Exp Statement'!F104</f>
        <v>-12676.050999999999</v>
      </c>
      <c r="G69" s="594">
        <f>-'Gen Fund  Inc Exp Statement'!G103-'Gen Fund  Inc Exp Statement'!G104</f>
        <v>-13182.368999999999</v>
      </c>
      <c r="H69" s="594">
        <f>-'Gen Fund  Inc Exp Statement'!H103-'Gen Fund  Inc Exp Statement'!H104</f>
        <v>-13484.052</v>
      </c>
      <c r="I69" s="594">
        <f>-'Gen Fund  Inc Exp Statement'!I103-'Gen Fund  Inc Exp Statement'!I104</f>
        <v>-13842.082</v>
      </c>
      <c r="J69" s="594">
        <f>-'Gen Fund  Inc Exp Statement'!J103-'Gen Fund  Inc Exp Statement'!J104</f>
        <v>-14534.189999999999</v>
      </c>
      <c r="K69" s="594">
        <f>-'Gen Fund  Inc Exp Statement'!K103-'Gen Fund  Inc Exp Statement'!K104</f>
        <v>-14824.873799999999</v>
      </c>
      <c r="L69" s="594">
        <f>-'Gen Fund  Inc Exp Statement'!L103-'Gen Fund  Inc Exp Statement'!L104</f>
        <v>-15121.371276</v>
      </c>
      <c r="M69" s="594">
        <f>-'Gen Fund  Inc Exp Statement'!M103-'Gen Fund  Inc Exp Statement'!M104</f>
        <v>-15423.79870152</v>
      </c>
      <c r="N69" s="594">
        <f>-'Gen Fund  Inc Exp Statement'!N103-'Gen Fund  Inc Exp Statement'!N104</f>
        <v>-15732.274675550401</v>
      </c>
      <c r="O69" s="594">
        <f>-'Gen Fund  Inc Exp Statement'!O103-'Gen Fund  Inc Exp Statement'!O104</f>
        <v>-16046.920169061408</v>
      </c>
      <c r="P69" s="594">
        <f>-'Gen Fund  Inc Exp Statement'!P103-'Gen Fund  Inc Exp Statement'!P104</f>
        <v>-16367.858572442638</v>
      </c>
    </row>
    <row r="70" spans="1:16" x14ac:dyDescent="0.2">
      <c r="A70" s="639" t="s">
        <v>926</v>
      </c>
      <c r="B70" s="594"/>
      <c r="C70" s="594"/>
      <c r="D70" s="594">
        <f>D17</f>
        <v>-639</v>
      </c>
      <c r="E70" s="594">
        <f t="shared" si="10"/>
        <v>-634</v>
      </c>
      <c r="F70" s="594">
        <f>-'Gen Fund  Inc Exp Statement'!F102</f>
        <v>-592.12699999999995</v>
      </c>
      <c r="G70" s="594">
        <f>-'Gen Fund  Inc Exp Statement'!G102</f>
        <v>-588.93700000000001</v>
      </c>
      <c r="H70" s="594">
        <f>-'Gen Fund  Inc Exp Statement'!H102</f>
        <v>-586.08699999999999</v>
      </c>
      <c r="I70" s="594">
        <f>-'Gen Fund  Inc Exp Statement'!I102</f>
        <v>-1002.996</v>
      </c>
      <c r="J70" s="594">
        <f>-'Gen Fund  Inc Exp Statement'!J102</f>
        <v>-1433.386</v>
      </c>
      <c r="K70" s="594">
        <f>-'Gen Fund  Inc Exp Statement'!K102</f>
        <v>-1393.6998808000001</v>
      </c>
      <c r="L70" s="594">
        <f>-'Gen Fund  Inc Exp Statement'!L102</f>
        <v>-1353.220039216</v>
      </c>
      <c r="M70" s="594">
        <f>-'Gen Fund  Inc Exp Statement'!M102</f>
        <v>-1311.93060080032</v>
      </c>
      <c r="N70" s="594">
        <f>-'Gen Fund  Inc Exp Statement'!N102</f>
        <v>-1269.8153736163265</v>
      </c>
      <c r="O70" s="594">
        <f>-'Gen Fund  Inc Exp Statement'!O102</f>
        <v>-1226.857841888653</v>
      </c>
      <c r="P70" s="594">
        <f>-'Gen Fund  Inc Exp Statement'!P102</f>
        <v>-1183.0411595264259</v>
      </c>
    </row>
    <row r="71" spans="1:16" hidden="1" outlineLevel="1" x14ac:dyDescent="0.2">
      <c r="A71" s="639" t="s">
        <v>88</v>
      </c>
      <c r="B71" s="594"/>
      <c r="C71" s="594">
        <f>C18</f>
        <v>0</v>
      </c>
      <c r="D71" s="594">
        <f>D18</f>
        <v>-79</v>
      </c>
      <c r="E71" s="594">
        <f>E18</f>
        <v>-305</v>
      </c>
      <c r="F71" s="594">
        <v>0</v>
      </c>
      <c r="G71" s="594">
        <v>0</v>
      </c>
      <c r="H71" s="594">
        <v>0</v>
      </c>
      <c r="I71" s="594">
        <v>0</v>
      </c>
      <c r="J71" s="594">
        <v>0</v>
      </c>
      <c r="K71" s="594">
        <v>0</v>
      </c>
      <c r="L71" s="594">
        <v>0</v>
      </c>
      <c r="M71" s="594">
        <v>0</v>
      </c>
      <c r="N71" s="594">
        <v>0</v>
      </c>
      <c r="O71" s="594">
        <v>0</v>
      </c>
      <c r="P71" s="594">
        <v>0</v>
      </c>
    </row>
    <row r="72" spans="1:16" collapsed="1" x14ac:dyDescent="0.2">
      <c r="A72" s="641" t="s">
        <v>41</v>
      </c>
      <c r="B72" s="591"/>
      <c r="C72" s="594">
        <f>C19</f>
        <v>0</v>
      </c>
      <c r="D72" s="594">
        <f>D19</f>
        <v>-7816</v>
      </c>
      <c r="E72" s="594">
        <f>E19</f>
        <v>-9383</v>
      </c>
      <c r="F72" s="591">
        <f>-'Gen Fund  Inc Exp Statement'!F108</f>
        <v>-2286.85</v>
      </c>
      <c r="G72" s="591">
        <f>-'Gen Fund  Inc Exp Statement'!G108</f>
        <v>-2395.6309999999999</v>
      </c>
      <c r="H72" s="591">
        <f>-'Gen Fund  Inc Exp Statement'!H108</f>
        <v>-2446.0740000000001</v>
      </c>
      <c r="I72" s="591">
        <f>-'Gen Fund  Inc Exp Statement'!I108</f>
        <v>-2513.5830000000001</v>
      </c>
      <c r="J72" s="591">
        <f>-'Gen Fund  Inc Exp Statement'!J108</f>
        <v>-2654.9679999999998</v>
      </c>
      <c r="K72" s="591">
        <f>-'Gen Fund  Inc Exp Statement'!K108</f>
        <v>-2708.06736</v>
      </c>
      <c r="L72" s="591">
        <f>-'Gen Fund  Inc Exp Statement'!L108</f>
        <v>-2762.2287071999999</v>
      </c>
      <c r="M72" s="591">
        <f>-'Gen Fund  Inc Exp Statement'!M108</f>
        <v>-2817.473281344</v>
      </c>
      <c r="N72" s="591">
        <f>-'Gen Fund  Inc Exp Statement'!N108</f>
        <v>-2873.82274697088</v>
      </c>
      <c r="O72" s="591">
        <f>-'Gen Fund  Inc Exp Statement'!O108</f>
        <v>-2931.2992019102976</v>
      </c>
      <c r="P72" s="591">
        <f>-'Gen Fund  Inc Exp Statement'!P108</f>
        <v>-2989.9251859485034</v>
      </c>
    </row>
    <row r="73" spans="1:16" x14ac:dyDescent="0.2">
      <c r="A73" s="642" t="s">
        <v>89</v>
      </c>
      <c r="B73" s="643">
        <f>SUM(B60:B72)</f>
        <v>0</v>
      </c>
      <c r="C73" s="643">
        <f t="shared" ref="C73:P73" si="11">SUM(C60:C72)</f>
        <v>0</v>
      </c>
      <c r="D73" s="643">
        <f t="shared" si="11"/>
        <v>33781</v>
      </c>
      <c r="E73" s="643">
        <f t="shared" si="11"/>
        <v>24615</v>
      </c>
      <c r="F73" s="643">
        <f t="shared" si="11"/>
        <v>11310.778000000004</v>
      </c>
      <c r="G73" s="643">
        <f t="shared" si="11"/>
        <v>12174.936000000002</v>
      </c>
      <c r="H73" s="643">
        <f t="shared" si="11"/>
        <v>12774.151010000001</v>
      </c>
      <c r="I73" s="643">
        <f t="shared" si="11"/>
        <v>16719.934015299994</v>
      </c>
      <c r="J73" s="643">
        <f t="shared" si="11"/>
        <v>12869.149092634008</v>
      </c>
      <c r="K73" s="647">
        <f t="shared" si="11"/>
        <v>12969.877518209039</v>
      </c>
      <c r="L73" s="647">
        <f t="shared" si="11"/>
        <v>13348.40487308226</v>
      </c>
      <c r="M73" s="647">
        <f t="shared" si="11"/>
        <v>13701.22391452718</v>
      </c>
      <c r="N73" s="647">
        <f t="shared" si="11"/>
        <v>14026.459427192014</v>
      </c>
      <c r="O73" s="647">
        <f t="shared" si="11"/>
        <v>14379.32183397629</v>
      </c>
      <c r="P73" s="647">
        <f t="shared" si="11"/>
        <v>14741.550608383748</v>
      </c>
    </row>
    <row r="74" spans="1:16" x14ac:dyDescent="0.2">
      <c r="B74" s="590"/>
      <c r="C74" s="590"/>
      <c r="D74" s="590"/>
      <c r="E74" s="590"/>
      <c r="F74" s="590"/>
      <c r="G74" s="590"/>
      <c r="H74" s="590"/>
      <c r="I74" s="590"/>
      <c r="J74" s="590"/>
      <c r="K74" s="590"/>
      <c r="L74" s="590"/>
      <c r="M74" s="590"/>
      <c r="N74" s="590"/>
      <c r="O74" s="590"/>
      <c r="P74" s="590"/>
    </row>
    <row r="75" spans="1:16" x14ac:dyDescent="0.2">
      <c r="A75" s="592" t="s">
        <v>90</v>
      </c>
      <c r="B75" s="590"/>
      <c r="C75" s="590"/>
      <c r="D75" s="590"/>
      <c r="E75" s="590"/>
      <c r="F75" s="590"/>
      <c r="G75" s="590"/>
      <c r="H75" s="590"/>
      <c r="I75" s="590"/>
      <c r="J75" s="590"/>
      <c r="K75" s="590"/>
      <c r="L75" s="590"/>
      <c r="M75" s="590"/>
      <c r="N75" s="590"/>
      <c r="O75" s="590"/>
      <c r="P75" s="590"/>
    </row>
    <row r="76" spans="1:16" x14ac:dyDescent="0.2">
      <c r="A76" s="640" t="s">
        <v>83</v>
      </c>
      <c r="B76" s="590"/>
      <c r="C76" s="590"/>
      <c r="D76" s="590"/>
      <c r="E76" s="590"/>
      <c r="F76" s="590"/>
      <c r="G76" s="590"/>
      <c r="H76" s="590"/>
      <c r="I76" s="590"/>
      <c r="J76" s="590"/>
      <c r="K76" s="590"/>
      <c r="L76" s="590"/>
      <c r="M76" s="590"/>
      <c r="N76" s="590"/>
      <c r="O76" s="590"/>
      <c r="P76" s="590"/>
    </row>
    <row r="77" spans="1:16" x14ac:dyDescent="0.2">
      <c r="A77" s="639" t="s">
        <v>431</v>
      </c>
      <c r="B77" s="590"/>
      <c r="C77" s="590">
        <f>C24</f>
        <v>0</v>
      </c>
      <c r="D77" s="590">
        <f>D24</f>
        <v>7491</v>
      </c>
      <c r="E77" s="590">
        <f>E24</f>
        <v>8839</v>
      </c>
      <c r="F77" s="1537">
        <f>'Gen Fund  Inc Exp Statement'!F142</f>
        <v>2262.9380000000001</v>
      </c>
      <c r="G77" s="1537">
        <f>'Gen Fund  Inc Exp Statement'!G142</f>
        <v>550</v>
      </c>
      <c r="H77" s="1537">
        <f>'Gen Fund  Inc Exp Statement'!H142</f>
        <v>11000</v>
      </c>
      <c r="I77" s="1537">
        <f>'Gen Fund  Inc Exp Statement'!I142</f>
        <v>0</v>
      </c>
      <c r="J77" s="1537">
        <f>'Gen Fund  Inc Exp Statement'!J142</f>
        <v>0</v>
      </c>
      <c r="K77" s="1537">
        <f>'Gen Fund  Inc Exp Statement'!K142</f>
        <v>2200</v>
      </c>
      <c r="L77" s="1537">
        <f>'Gen Fund  Inc Exp Statement'!L142</f>
        <v>2244</v>
      </c>
      <c r="M77" s="1537">
        <f>'Gen Fund  Inc Exp Statement'!M142</f>
        <v>2288.88</v>
      </c>
      <c r="N77" s="1537">
        <f>'Gen Fund  Inc Exp Statement'!N142</f>
        <v>2334.6576</v>
      </c>
      <c r="O77" s="1537">
        <f>'Gen Fund  Inc Exp Statement'!O142</f>
        <v>2381.3507520000003</v>
      </c>
      <c r="P77" s="1537">
        <f>'Gen Fund  Inc Exp Statement'!P142</f>
        <v>2428.9777670400003</v>
      </c>
    </row>
    <row r="78" spans="1:16" x14ac:dyDescent="0.2">
      <c r="A78" s="590" t="str">
        <f>A25</f>
        <v>Sale of Investment Property</v>
      </c>
      <c r="B78" s="590"/>
      <c r="C78" s="590"/>
      <c r="D78" s="590">
        <f>D25</f>
        <v>0</v>
      </c>
      <c r="E78" s="590">
        <f t="shared" ref="E78:P78" si="12">E25</f>
        <v>0</v>
      </c>
      <c r="F78" s="1537">
        <f t="shared" si="12"/>
        <v>0</v>
      </c>
      <c r="G78" s="1537">
        <f t="shared" si="12"/>
        <v>0</v>
      </c>
      <c r="H78" s="1537">
        <f t="shared" si="12"/>
        <v>0</v>
      </c>
      <c r="I78" s="1537">
        <f t="shared" si="12"/>
        <v>0</v>
      </c>
      <c r="J78" s="1537">
        <f t="shared" si="12"/>
        <v>0</v>
      </c>
      <c r="K78" s="1537">
        <f t="shared" si="12"/>
        <v>0</v>
      </c>
      <c r="L78" s="1537">
        <f t="shared" si="12"/>
        <v>0</v>
      </c>
      <c r="M78" s="1537">
        <f t="shared" si="12"/>
        <v>0</v>
      </c>
      <c r="N78" s="1537">
        <f t="shared" si="12"/>
        <v>0</v>
      </c>
      <c r="O78" s="1537">
        <f t="shared" si="12"/>
        <v>0</v>
      </c>
      <c r="P78" s="1537">
        <f t="shared" si="12"/>
        <v>0</v>
      </c>
    </row>
    <row r="79" spans="1:16" x14ac:dyDescent="0.2">
      <c r="A79" s="639" t="s">
        <v>91</v>
      </c>
      <c r="B79" s="594"/>
      <c r="C79" s="590">
        <f>C26</f>
        <v>0</v>
      </c>
      <c r="D79" s="590">
        <f>D26</f>
        <v>0</v>
      </c>
      <c r="E79" s="590">
        <f>E26</f>
        <v>0</v>
      </c>
      <c r="F79" s="1538">
        <v>0</v>
      </c>
      <c r="G79" s="1538">
        <v>0</v>
      </c>
      <c r="H79" s="1538">
        <v>0</v>
      </c>
      <c r="I79" s="1538">
        <v>0</v>
      </c>
      <c r="J79" s="1538">
        <v>0</v>
      </c>
      <c r="K79" s="1538">
        <v>0</v>
      </c>
      <c r="L79" s="1538">
        <v>0</v>
      </c>
      <c r="M79" s="1538">
        <v>0</v>
      </c>
      <c r="N79" s="1538">
        <v>0</v>
      </c>
      <c r="O79" s="1538">
        <v>0</v>
      </c>
      <c r="P79" s="1538">
        <v>0</v>
      </c>
    </row>
    <row r="80" spans="1:16" x14ac:dyDescent="0.2">
      <c r="A80" s="639" t="s">
        <v>92</v>
      </c>
      <c r="B80" s="594"/>
      <c r="C80" s="590">
        <f>C27</f>
        <v>0</v>
      </c>
      <c r="D80" s="590">
        <f>D27</f>
        <v>167</v>
      </c>
      <c r="E80" s="590">
        <f>E27</f>
        <v>339</v>
      </c>
      <c r="F80" s="1538">
        <f>'Gen Fund  Inc Exp Statement'!F144</f>
        <v>70</v>
      </c>
      <c r="G80" s="1538">
        <f>'Gen Fund  Inc Exp Statement'!G144</f>
        <v>70</v>
      </c>
      <c r="H80" s="1538">
        <f>'Gen Fund  Inc Exp Statement'!H144</f>
        <v>70</v>
      </c>
      <c r="I80" s="1538">
        <f>'Gen Fund  Inc Exp Statement'!I144</f>
        <v>70</v>
      </c>
      <c r="J80" s="1538">
        <f>'Gen Fund  Inc Exp Statement'!J144</f>
        <v>70</v>
      </c>
      <c r="K80" s="1538">
        <f>'Gen Fund  Inc Exp Statement'!K144</f>
        <v>71.400000000000006</v>
      </c>
      <c r="L80" s="1538">
        <f>'Gen Fund  Inc Exp Statement'!L144</f>
        <v>72.828000000000003</v>
      </c>
      <c r="M80" s="1538">
        <f>'Gen Fund  Inc Exp Statement'!M144</f>
        <v>74.284559999999999</v>
      </c>
      <c r="N80" s="1538">
        <f>'Gen Fund  Inc Exp Statement'!N144</f>
        <v>75.770251200000004</v>
      </c>
      <c r="O80" s="1538">
        <f>'Gen Fund  Inc Exp Statement'!O144</f>
        <v>77.285656224000007</v>
      </c>
      <c r="P80" s="1538">
        <f>'Gen Fund  Inc Exp Statement'!P144</f>
        <v>78.831369348479996</v>
      </c>
    </row>
    <row r="81" spans="1:16" x14ac:dyDescent="0.2">
      <c r="B81" s="594"/>
      <c r="C81" s="594"/>
      <c r="D81" s="594"/>
      <c r="E81" s="594"/>
      <c r="F81" s="1538"/>
      <c r="G81" s="1538"/>
      <c r="H81" s="1538"/>
      <c r="I81" s="1538"/>
      <c r="J81" s="1538"/>
      <c r="K81" s="1538"/>
      <c r="L81" s="1538"/>
      <c r="M81" s="1538"/>
      <c r="N81" s="1538"/>
      <c r="O81" s="1538"/>
      <c r="P81" s="1538"/>
    </row>
    <row r="82" spans="1:16" x14ac:dyDescent="0.2">
      <c r="A82" s="640" t="s">
        <v>87</v>
      </c>
      <c r="B82" s="594"/>
      <c r="C82" s="594"/>
      <c r="D82" s="594"/>
      <c r="E82" s="594"/>
      <c r="F82" s="1538"/>
      <c r="G82" s="1538"/>
      <c r="H82" s="1538"/>
      <c r="I82" s="1538"/>
      <c r="J82" s="1538"/>
      <c r="K82" s="1538"/>
      <c r="L82" s="1538"/>
      <c r="M82" s="1538"/>
      <c r="N82" s="1538"/>
      <c r="O82" s="1538"/>
      <c r="P82" s="1538"/>
    </row>
    <row r="83" spans="1:16" x14ac:dyDescent="0.2">
      <c r="A83" s="639" t="s">
        <v>93</v>
      </c>
      <c r="B83" s="594"/>
      <c r="C83" s="648">
        <f>C30</f>
        <v>0</v>
      </c>
      <c r="D83" s="648">
        <f>D30</f>
        <v>-10303</v>
      </c>
      <c r="E83" s="648">
        <f>E30</f>
        <v>-11000</v>
      </c>
      <c r="F83" s="1538">
        <f>-'Gen Fund  Inc Exp Statement'!F134</f>
        <v>-1723.0070000000001</v>
      </c>
      <c r="G83" s="1538">
        <f>-'Gen Fund  Inc Exp Statement'!G134</f>
        <v>-2144.2849999999999</v>
      </c>
      <c r="H83" s="1538">
        <f>-'Gen Fund  Inc Exp Statement'!H134</f>
        <v>-2218.17301</v>
      </c>
      <c r="I83" s="1538">
        <f>-'Gen Fund  Inc Exp Statement'!I134</f>
        <v>-2294.8213903000001</v>
      </c>
      <c r="J83" s="1538">
        <f>-'Gen Fund  Inc Exp Statement'!J134</f>
        <v>-2374.3454420090002</v>
      </c>
      <c r="K83" s="1538">
        <f>-'Gen Fund  Inc Exp Statement'!K134</f>
        <v>-2421.8323508491799</v>
      </c>
      <c r="L83" s="1538">
        <f>-'Gen Fund  Inc Exp Statement'!L134</f>
        <v>-2470.2689978661633</v>
      </c>
      <c r="M83" s="1538">
        <f>-'Gen Fund  Inc Exp Statement'!M134</f>
        <v>-2519.6743778234868</v>
      </c>
      <c r="N83" s="1538">
        <f>-'Gen Fund  Inc Exp Statement'!N134</f>
        <v>-2570.0678653799564</v>
      </c>
      <c r="O83" s="1538">
        <f>-'Gen Fund  Inc Exp Statement'!O134</f>
        <v>-2621.4692226875559</v>
      </c>
      <c r="P83" s="1538">
        <f>-'Gen Fund  Inc Exp Statement'!P134</f>
        <v>-2673.8986071413069</v>
      </c>
    </row>
    <row r="84" spans="1:16" x14ac:dyDescent="0.2">
      <c r="A84" s="648" t="str">
        <f>A31</f>
        <v>Purchase of Investment Property</v>
      </c>
      <c r="B84" s="594"/>
      <c r="C84" s="648"/>
      <c r="D84" s="648">
        <f>D31</f>
        <v>-2531</v>
      </c>
      <c r="E84" s="648">
        <f t="shared" ref="E84" si="13">E31</f>
        <v>-15180</v>
      </c>
      <c r="F84" s="1537">
        <f>-'Gen Fund  Inc Exp Statement'!F131</f>
        <v>0</v>
      </c>
      <c r="G84" s="1537">
        <f>-'Gen Fund  Inc Exp Statement'!G131</f>
        <v>0</v>
      </c>
      <c r="H84" s="1537">
        <f>-'Gen Fund  Inc Exp Statement'!H131</f>
        <v>0</v>
      </c>
      <c r="I84" s="1537">
        <f>-'Gen Fund  Inc Exp Statement'!I131</f>
        <v>0</v>
      </c>
      <c r="J84" s="1537">
        <f>-'Gen Fund  Inc Exp Statement'!J131</f>
        <v>0</v>
      </c>
      <c r="K84" s="1537">
        <f>-'Gen Fund  Inc Exp Statement'!K131</f>
        <v>0</v>
      </c>
      <c r="L84" s="1537">
        <f>-'Gen Fund  Inc Exp Statement'!L131</f>
        <v>0</v>
      </c>
      <c r="M84" s="1537">
        <f>-'Gen Fund  Inc Exp Statement'!M131</f>
        <v>0</v>
      </c>
      <c r="N84" s="1537">
        <f>-'Gen Fund  Inc Exp Statement'!N131</f>
        <v>0</v>
      </c>
      <c r="O84" s="1537">
        <f>-'Gen Fund  Inc Exp Statement'!O131</f>
        <v>0</v>
      </c>
      <c r="P84" s="1537">
        <f>-'Gen Fund  Inc Exp Statement'!P131</f>
        <v>0</v>
      </c>
    </row>
    <row r="85" spans="1:16" x14ac:dyDescent="0.2">
      <c r="A85" s="639" t="s">
        <v>94</v>
      </c>
      <c r="B85" s="594"/>
      <c r="C85" s="648">
        <f>C32</f>
        <v>0</v>
      </c>
      <c r="D85" s="648">
        <f>D32</f>
        <v>-26369</v>
      </c>
      <c r="E85" s="648">
        <f>E32</f>
        <v>-25288</v>
      </c>
      <c r="F85" s="1538">
        <f>-SUM('Gen Fund  Inc Exp Statement'!F130:'Gen Fund  Inc Exp Statement'!F132)-F84-F86</f>
        <v>-11320.422</v>
      </c>
      <c r="G85" s="1538">
        <f>-SUM('Gen Fund  Inc Exp Statement'!G130:'Gen Fund  Inc Exp Statement'!G132)-G84-G86</f>
        <v>-10428.812</v>
      </c>
      <c r="H85" s="1538">
        <f>-SUM('Gen Fund  Inc Exp Statement'!H130:'Gen Fund  Inc Exp Statement'!H132)-H84-H86</f>
        <v>-31571.091800000002</v>
      </c>
      <c r="I85" s="1538">
        <f>-SUM('Gen Fund  Inc Exp Statement'!I130:'Gen Fund  Inc Exp Statement'!I132)-I84-I86</f>
        <v>-25103.173394999998</v>
      </c>
      <c r="J85" s="1538">
        <f>-SUM('Gen Fund  Inc Exp Statement'!J130:'Gen Fund  Inc Exp Statement'!J132)-J84-J86</f>
        <v>-10982.533404874999</v>
      </c>
      <c r="K85" s="1538">
        <f>-SUM('Gen Fund  Inc Exp Statement'!K130:'Gen Fund  Inc Exp Statement'!K132)-K84-K86</f>
        <v>-10427.522139996876</v>
      </c>
      <c r="L85" s="1538">
        <f>-SUM('Gen Fund  Inc Exp Statement'!L130:'Gen Fund  Inc Exp Statement'!L132)-L84-L86</f>
        <v>-11558.835593496795</v>
      </c>
      <c r="M85" s="1538">
        <f>-SUM('Gen Fund  Inc Exp Statement'!M130:'Gen Fund  Inc Exp Statement'!M132)-M84-M86</f>
        <v>-13006.124883334218</v>
      </c>
      <c r="N85" s="1538">
        <f>-SUM('Gen Fund  Inc Exp Statement'!N130:'Gen Fund  Inc Exp Statement'!N132)-N84-N86</f>
        <v>-12867.414265417572</v>
      </c>
      <c r="O85" s="1538">
        <f>-SUM('Gen Fund  Inc Exp Statement'!O130:'Gen Fund  Inc Exp Statement'!O132)-O84-O86</f>
        <v>-13119.728599253009</v>
      </c>
      <c r="P85" s="1538">
        <f>-SUM('Gen Fund  Inc Exp Statement'!P130:'Gen Fund  Inc Exp Statement'!P132)-P84-P86</f>
        <v>-13373.093362978338</v>
      </c>
    </row>
    <row r="86" spans="1:16" x14ac:dyDescent="0.2">
      <c r="A86" s="641" t="s">
        <v>95</v>
      </c>
      <c r="B86" s="591"/>
      <c r="C86" s="649">
        <f>C33</f>
        <v>0</v>
      </c>
      <c r="D86" s="648">
        <f>D33</f>
        <v>-26</v>
      </c>
      <c r="E86" s="648">
        <f t="shared" ref="E86:P86" si="14">E33</f>
        <v>-26</v>
      </c>
      <c r="F86" s="1537">
        <f t="shared" si="14"/>
        <v>0</v>
      </c>
      <c r="G86" s="1537">
        <f t="shared" si="14"/>
        <v>0</v>
      </c>
      <c r="H86" s="1537">
        <f t="shared" si="14"/>
        <v>0</v>
      </c>
      <c r="I86" s="1537">
        <f t="shared" si="14"/>
        <v>0</v>
      </c>
      <c r="J86" s="1537">
        <f t="shared" si="14"/>
        <v>0</v>
      </c>
      <c r="K86" s="1537">
        <f t="shared" si="14"/>
        <v>0</v>
      </c>
      <c r="L86" s="1537">
        <f t="shared" si="14"/>
        <v>0</v>
      </c>
      <c r="M86" s="1537">
        <f t="shared" si="14"/>
        <v>0</v>
      </c>
      <c r="N86" s="1537">
        <f t="shared" si="14"/>
        <v>0</v>
      </c>
      <c r="O86" s="1537">
        <f t="shared" si="14"/>
        <v>0</v>
      </c>
      <c r="P86" s="1537">
        <f t="shared" si="14"/>
        <v>0</v>
      </c>
    </row>
    <row r="87" spans="1:16" x14ac:dyDescent="0.2">
      <c r="A87" s="642" t="s">
        <v>110</v>
      </c>
      <c r="B87" s="593">
        <f>SUM(B77:B86)</f>
        <v>0</v>
      </c>
      <c r="C87" s="593">
        <f t="shared" ref="C87:P87" si="15">SUM(C77:C86)</f>
        <v>0</v>
      </c>
      <c r="D87" s="772">
        <f t="shared" si="15"/>
        <v>-31571</v>
      </c>
      <c r="E87" s="772">
        <f t="shared" si="15"/>
        <v>-42316</v>
      </c>
      <c r="F87" s="772">
        <f t="shared" si="15"/>
        <v>-10710.491</v>
      </c>
      <c r="G87" s="772">
        <f t="shared" si="15"/>
        <v>-11953.097</v>
      </c>
      <c r="H87" s="772">
        <f t="shared" si="15"/>
        <v>-22719.264810000001</v>
      </c>
      <c r="I87" s="772">
        <f t="shared" si="15"/>
        <v>-27327.994785299998</v>
      </c>
      <c r="J87" s="772">
        <f t="shared" si="15"/>
        <v>-13286.878846883999</v>
      </c>
      <c r="K87" s="772">
        <f t="shared" si="15"/>
        <v>-10577.954490846056</v>
      </c>
      <c r="L87" s="772">
        <f t="shared" si="15"/>
        <v>-11712.276591362959</v>
      </c>
      <c r="M87" s="772">
        <f t="shared" si="15"/>
        <v>-13162.634701157705</v>
      </c>
      <c r="N87" s="772">
        <f t="shared" si="15"/>
        <v>-13027.054279597529</v>
      </c>
      <c r="O87" s="772">
        <f t="shared" si="15"/>
        <v>-13282.561413716565</v>
      </c>
      <c r="P87" s="772">
        <f t="shared" si="15"/>
        <v>-13539.182833731164</v>
      </c>
    </row>
    <row r="88" spans="1:16" ht="7.5" customHeight="1" x14ac:dyDescent="0.2">
      <c r="B88" s="594"/>
      <c r="C88" s="594"/>
      <c r="D88" s="594"/>
      <c r="E88" s="594"/>
      <c r="F88" s="594"/>
      <c r="G88" s="594"/>
      <c r="H88" s="594"/>
      <c r="I88" s="594"/>
      <c r="J88" s="594"/>
      <c r="K88" s="594"/>
      <c r="L88" s="594"/>
      <c r="M88" s="594"/>
      <c r="N88" s="594"/>
      <c r="O88" s="594"/>
      <c r="P88" s="594"/>
    </row>
    <row r="89" spans="1:16" x14ac:dyDescent="0.2">
      <c r="A89" s="592" t="s">
        <v>1054</v>
      </c>
      <c r="B89" s="590"/>
      <c r="C89" s="590"/>
      <c r="D89" s="590"/>
      <c r="E89" s="590"/>
      <c r="F89" s="590"/>
      <c r="G89" s="590"/>
      <c r="H89" s="590"/>
      <c r="I89" s="590"/>
      <c r="J89" s="590"/>
      <c r="K89" s="590"/>
      <c r="L89" s="590"/>
      <c r="M89" s="590"/>
      <c r="N89" s="590"/>
      <c r="O89" s="590"/>
      <c r="P89" s="590"/>
    </row>
    <row r="90" spans="1:16" x14ac:dyDescent="0.2">
      <c r="A90" s="640" t="s">
        <v>83</v>
      </c>
      <c r="B90" s="590"/>
      <c r="C90" s="590"/>
      <c r="D90" s="590"/>
      <c r="E90" s="590"/>
      <c r="F90" s="590"/>
      <c r="G90" s="590"/>
      <c r="H90" s="590"/>
      <c r="I90" s="590"/>
      <c r="J90" s="590"/>
      <c r="K90" s="590"/>
      <c r="L90" s="590"/>
      <c r="M90" s="590"/>
      <c r="N90" s="590"/>
      <c r="O90" s="590"/>
      <c r="P90" s="590"/>
    </row>
    <row r="91" spans="1:16" x14ac:dyDescent="0.2">
      <c r="A91" s="639" t="s">
        <v>1055</v>
      </c>
      <c r="B91" s="594"/>
      <c r="C91" s="594"/>
      <c r="D91" s="594">
        <f>D38</f>
        <v>5350</v>
      </c>
      <c r="E91" s="594">
        <f t="shared" ref="E91" si="16">E38</f>
        <v>13500</v>
      </c>
      <c r="F91" s="594">
        <f>'Gen Fund  Inc Exp Statement'!F143</f>
        <v>0</v>
      </c>
      <c r="G91" s="594">
        <f>'Gen Fund  Inc Exp Statement'!G143</f>
        <v>0</v>
      </c>
      <c r="H91" s="594">
        <f>'Gen Fund  Inc Exp Statement'!H143</f>
        <v>10500</v>
      </c>
      <c r="I91" s="594">
        <f>'Gen Fund  Inc Exp Statement'!I143</f>
        <v>11000</v>
      </c>
      <c r="J91" s="594">
        <f>'Gen Fund  Inc Exp Statement'!J143</f>
        <v>0</v>
      </c>
      <c r="K91" s="594">
        <f>'Gen Fund  Inc Exp Statement'!K143</f>
        <v>0</v>
      </c>
      <c r="L91" s="594">
        <f>'Gen Fund  Inc Exp Statement'!L143</f>
        <v>0</v>
      </c>
      <c r="M91" s="594">
        <f>'Gen Fund  Inc Exp Statement'!M143</f>
        <v>0</v>
      </c>
      <c r="N91" s="594">
        <f>'Gen Fund  Inc Exp Statement'!N143</f>
        <v>0</v>
      </c>
      <c r="O91" s="594">
        <f>'Gen Fund  Inc Exp Statement'!O143</f>
        <v>0</v>
      </c>
      <c r="P91" s="594">
        <f>'Gen Fund  Inc Exp Statement'!P143</f>
        <v>0</v>
      </c>
    </row>
    <row r="92" spans="1:16" ht="5.25" customHeight="1" x14ac:dyDescent="0.2">
      <c r="B92" s="594"/>
      <c r="C92" s="594"/>
      <c r="D92" s="594"/>
      <c r="E92" s="594"/>
      <c r="F92" s="594"/>
      <c r="G92" s="594"/>
      <c r="H92" s="594"/>
      <c r="I92" s="594"/>
      <c r="J92" s="594"/>
      <c r="K92" s="594"/>
      <c r="L92" s="594"/>
      <c r="M92" s="594"/>
      <c r="N92" s="594"/>
      <c r="O92" s="594"/>
      <c r="P92" s="594"/>
    </row>
    <row r="93" spans="1:16" x14ac:dyDescent="0.2">
      <c r="A93" s="640" t="s">
        <v>87</v>
      </c>
      <c r="B93" s="594"/>
      <c r="C93" s="594"/>
      <c r="D93" s="594"/>
      <c r="E93" s="594"/>
      <c r="F93" s="594"/>
      <c r="G93" s="594"/>
      <c r="H93" s="594"/>
      <c r="I93" s="594"/>
      <c r="J93" s="594"/>
      <c r="K93" s="594"/>
      <c r="L93" s="594"/>
      <c r="M93" s="594"/>
      <c r="N93" s="594"/>
      <c r="O93" s="594"/>
      <c r="P93" s="594"/>
    </row>
    <row r="94" spans="1:16" x14ac:dyDescent="0.2">
      <c r="A94" s="639" t="s">
        <v>1056</v>
      </c>
      <c r="B94" s="594"/>
      <c r="C94" s="594"/>
      <c r="D94" s="594">
        <f>D41</f>
        <v>-1616</v>
      </c>
      <c r="E94" s="594">
        <f t="shared" ref="E94" si="17">E41</f>
        <v>-2776</v>
      </c>
      <c r="F94" s="594">
        <f>-'Gen Fund  Inc Exp Statement'!F133</f>
        <v>-570.28700000000003</v>
      </c>
      <c r="G94" s="594">
        <f>-'Gen Fund  Inc Exp Statement'!G133</f>
        <v>-621.83900000000006</v>
      </c>
      <c r="H94" s="594">
        <f>-'Gen Fund  Inc Exp Statement'!H133</f>
        <v>-555.48599999999999</v>
      </c>
      <c r="I94" s="594">
        <f>-'Gen Fund  Inc Exp Statement'!I133</f>
        <v>-672.75099999999998</v>
      </c>
      <c r="J94" s="594">
        <f>-'Gen Fund  Inc Exp Statement'!J133</f>
        <v>-972.69899999999996</v>
      </c>
      <c r="K94" s="594">
        <f>-'Gen Fund  Inc Exp Statement'!K133</f>
        <v>-1007</v>
      </c>
      <c r="L94" s="594">
        <f>-'Gen Fund  Inc Exp Statement'!L133</f>
        <v>-1054</v>
      </c>
      <c r="M94" s="594">
        <f>-'Gen Fund  Inc Exp Statement'!M133</f>
        <v>-809</v>
      </c>
      <c r="N94" s="594">
        <f>-'Gen Fund  Inc Exp Statement'!N133</f>
        <v>-745</v>
      </c>
      <c r="O94" s="594">
        <f>-'Gen Fund  Inc Exp Statement'!O133</f>
        <v>-777</v>
      </c>
      <c r="P94" s="594">
        <f>-'Gen Fund  Inc Exp Statement'!P133</f>
        <v>-811</v>
      </c>
    </row>
    <row r="95" spans="1:16" s="644" customFormat="1" x14ac:dyDescent="0.2">
      <c r="A95" s="770" t="s">
        <v>110</v>
      </c>
      <c r="B95" s="772">
        <f t="shared" ref="B95:P95" si="18">SUM(B91:B94)</f>
        <v>0</v>
      </c>
      <c r="C95" s="772">
        <f t="shared" si="18"/>
        <v>0</v>
      </c>
      <c r="D95" s="772">
        <f t="shared" si="18"/>
        <v>3734</v>
      </c>
      <c r="E95" s="772">
        <f t="shared" si="18"/>
        <v>10724</v>
      </c>
      <c r="F95" s="772">
        <f t="shared" si="18"/>
        <v>-570.28700000000003</v>
      </c>
      <c r="G95" s="772">
        <f t="shared" si="18"/>
        <v>-621.83900000000006</v>
      </c>
      <c r="H95" s="772">
        <f t="shared" si="18"/>
        <v>9944.5139999999992</v>
      </c>
      <c r="I95" s="772">
        <f t="shared" si="18"/>
        <v>10327.249</v>
      </c>
      <c r="J95" s="772">
        <f t="shared" si="18"/>
        <v>-972.69899999999996</v>
      </c>
      <c r="K95" s="772">
        <f t="shared" si="18"/>
        <v>-1007</v>
      </c>
      <c r="L95" s="772">
        <f t="shared" si="18"/>
        <v>-1054</v>
      </c>
      <c r="M95" s="772">
        <f t="shared" si="18"/>
        <v>-809</v>
      </c>
      <c r="N95" s="772">
        <f t="shared" si="18"/>
        <v>-745</v>
      </c>
      <c r="O95" s="772">
        <f t="shared" si="18"/>
        <v>-777</v>
      </c>
      <c r="P95" s="772">
        <f t="shared" si="18"/>
        <v>-811</v>
      </c>
    </row>
    <row r="96" spans="1:16" ht="3.75" customHeight="1" x14ac:dyDescent="0.2">
      <c r="B96" s="594"/>
      <c r="C96" s="594"/>
      <c r="D96" s="594"/>
      <c r="E96" s="594"/>
      <c r="F96" s="594"/>
      <c r="G96" s="594"/>
      <c r="H96" s="594"/>
      <c r="I96" s="594"/>
      <c r="J96" s="594"/>
      <c r="K96" s="594"/>
      <c r="L96" s="594"/>
      <c r="M96" s="594"/>
      <c r="N96" s="594"/>
      <c r="O96" s="594"/>
      <c r="P96" s="594"/>
    </row>
    <row r="97" spans="1:16" x14ac:dyDescent="0.2">
      <c r="A97" s="592" t="s">
        <v>321</v>
      </c>
      <c r="B97" s="594">
        <f>+B73+B87</f>
        <v>0</v>
      </c>
      <c r="C97" s="594">
        <f>+C73+C87</f>
        <v>0</v>
      </c>
      <c r="D97" s="594">
        <f>+D73+D87+D95</f>
        <v>5944</v>
      </c>
      <c r="E97" s="594">
        <f t="shared" ref="E97:P97" si="19">+E73+E87+E95</f>
        <v>-6977</v>
      </c>
      <c r="F97" s="594">
        <f t="shared" si="19"/>
        <v>30.000000000003865</v>
      </c>
      <c r="G97" s="594">
        <f t="shared" si="19"/>
        <v>-399.99999999999829</v>
      </c>
      <c r="H97" s="594">
        <f t="shared" si="19"/>
        <v>-0.59979999999995925</v>
      </c>
      <c r="I97" s="594">
        <f t="shared" si="19"/>
        <v>-280.81177000000389</v>
      </c>
      <c r="J97" s="594">
        <f t="shared" si="19"/>
        <v>-1390.428754249991</v>
      </c>
      <c r="K97" s="594">
        <f t="shared" si="19"/>
        <v>1384.9230273629837</v>
      </c>
      <c r="L97" s="594">
        <f t="shared" si="19"/>
        <v>582.1282817193005</v>
      </c>
      <c r="M97" s="594">
        <f t="shared" si="19"/>
        <v>-270.41078663052576</v>
      </c>
      <c r="N97" s="594">
        <f t="shared" si="19"/>
        <v>254.40514759448524</v>
      </c>
      <c r="O97" s="594">
        <f t="shared" si="19"/>
        <v>319.76042025972492</v>
      </c>
      <c r="P97" s="594">
        <f t="shared" si="19"/>
        <v>391.36777465258456</v>
      </c>
    </row>
    <row r="98" spans="1:16" x14ac:dyDescent="0.2">
      <c r="A98" s="644"/>
      <c r="B98" s="594"/>
      <c r="C98" s="594"/>
      <c r="D98" s="594"/>
      <c r="E98" s="594"/>
      <c r="F98" s="594"/>
      <c r="G98" s="594"/>
      <c r="H98" s="594"/>
      <c r="I98" s="594"/>
      <c r="J98" s="594"/>
      <c r="K98" s="594"/>
      <c r="L98" s="594"/>
      <c r="M98" s="594"/>
      <c r="N98" s="594"/>
      <c r="O98" s="594"/>
      <c r="P98" s="594"/>
    </row>
    <row r="99" spans="1:16" x14ac:dyDescent="0.2">
      <c r="A99" s="592" t="s">
        <v>96</v>
      </c>
      <c r="B99" s="594"/>
      <c r="C99" s="594">
        <f>+B101</f>
        <v>0</v>
      </c>
      <c r="D99" s="594">
        <f>D46</f>
        <v>3352</v>
      </c>
      <c r="E99" s="594">
        <f t="shared" ref="E99:P99" si="20">+D101</f>
        <v>9296</v>
      </c>
      <c r="F99" s="594">
        <f t="shared" si="20"/>
        <v>2319</v>
      </c>
      <c r="G99" s="594">
        <f t="shared" si="20"/>
        <v>2349.0000000000036</v>
      </c>
      <c r="H99" s="594">
        <f t="shared" si="20"/>
        <v>1949.0000000000055</v>
      </c>
      <c r="I99" s="594">
        <f t="shared" si="20"/>
        <v>1948.4002000000055</v>
      </c>
      <c r="J99" s="594">
        <f t="shared" si="20"/>
        <v>1667.5884300000016</v>
      </c>
      <c r="K99" s="594">
        <f t="shared" si="20"/>
        <v>277.15967575001059</v>
      </c>
      <c r="L99" s="594">
        <f t="shared" si="20"/>
        <v>1662.0827031129943</v>
      </c>
      <c r="M99" s="594">
        <f t="shared" si="20"/>
        <v>2244.2109848322948</v>
      </c>
      <c r="N99" s="594">
        <f t="shared" si="20"/>
        <v>1973.800198201769</v>
      </c>
      <c r="O99" s="594">
        <f t="shared" si="20"/>
        <v>2228.2053457962543</v>
      </c>
      <c r="P99" s="594">
        <f t="shared" si="20"/>
        <v>2547.9657660559792</v>
      </c>
    </row>
    <row r="100" spans="1:16" ht="6" customHeight="1" x14ac:dyDescent="0.2">
      <c r="B100" s="594"/>
      <c r="C100" s="594"/>
      <c r="D100" s="594"/>
      <c r="E100" s="594"/>
      <c r="F100" s="594"/>
      <c r="G100" s="594"/>
      <c r="H100" s="594"/>
      <c r="I100" s="594"/>
      <c r="J100" s="594"/>
      <c r="K100" s="594"/>
      <c r="L100" s="594"/>
      <c r="M100" s="594"/>
      <c r="N100" s="594"/>
      <c r="O100" s="594"/>
      <c r="P100" s="594"/>
    </row>
    <row r="101" spans="1:16" ht="12.75" thickBot="1" x14ac:dyDescent="0.25">
      <c r="A101" s="592" t="s">
        <v>97</v>
      </c>
      <c r="B101" s="645">
        <f>+B97+B99</f>
        <v>0</v>
      </c>
      <c r="C101" s="645">
        <f t="shared" ref="C101:P101" si="21">+C97+C99</f>
        <v>0</v>
      </c>
      <c r="D101" s="645">
        <f t="shared" si="21"/>
        <v>9296</v>
      </c>
      <c r="E101" s="650">
        <f t="shared" si="21"/>
        <v>2319</v>
      </c>
      <c r="F101" s="650">
        <f t="shared" si="21"/>
        <v>2349.0000000000036</v>
      </c>
      <c r="G101" s="650">
        <f t="shared" si="21"/>
        <v>1949.0000000000055</v>
      </c>
      <c r="H101" s="650">
        <f t="shared" si="21"/>
        <v>1948.4002000000055</v>
      </c>
      <c r="I101" s="650">
        <f t="shared" si="21"/>
        <v>1667.5884300000016</v>
      </c>
      <c r="J101" s="650">
        <f t="shared" si="21"/>
        <v>277.15967575001059</v>
      </c>
      <c r="K101" s="650">
        <f t="shared" si="21"/>
        <v>1662.0827031129943</v>
      </c>
      <c r="L101" s="650">
        <f t="shared" si="21"/>
        <v>2244.2109848322948</v>
      </c>
      <c r="M101" s="650">
        <f t="shared" si="21"/>
        <v>1973.800198201769</v>
      </c>
      <c r="N101" s="650">
        <f t="shared" si="21"/>
        <v>2228.2053457962543</v>
      </c>
      <c r="O101" s="650">
        <f t="shared" si="21"/>
        <v>2547.9657660559792</v>
      </c>
      <c r="P101" s="650">
        <f t="shared" si="21"/>
        <v>2939.3335407085638</v>
      </c>
    </row>
    <row r="102" spans="1:16" ht="5.25" customHeight="1" x14ac:dyDescent="0.2"/>
    <row r="103" spans="1:16" x14ac:dyDescent="0.2">
      <c r="A103" s="639" t="s">
        <v>98</v>
      </c>
      <c r="B103" s="590"/>
      <c r="C103" s="590">
        <f>B103-C83-C77</f>
        <v>0</v>
      </c>
      <c r="D103" s="590">
        <f>D50</f>
        <v>46112</v>
      </c>
      <c r="E103" s="590">
        <f>'GF &amp; FF  Bal Sheet'!E54+'GF &amp; FF  Bal Sheet'!E61</f>
        <v>17083</v>
      </c>
      <c r="F103" s="590">
        <f t="shared" ref="F103:P103" si="22">E103-F83-F77</f>
        <v>16543.069000000003</v>
      </c>
      <c r="G103" s="590">
        <f t="shared" si="22"/>
        <v>18137.354000000003</v>
      </c>
      <c r="H103" s="590">
        <f t="shared" si="22"/>
        <v>9355.5270100000016</v>
      </c>
      <c r="I103" s="590">
        <f t="shared" si="22"/>
        <v>11650.348400300001</v>
      </c>
      <c r="J103" s="590">
        <f t="shared" si="22"/>
        <v>14024.693842309001</v>
      </c>
      <c r="K103" s="590">
        <f t="shared" si="22"/>
        <v>14246.526193158181</v>
      </c>
      <c r="L103" s="590">
        <f t="shared" si="22"/>
        <v>14472.795191024343</v>
      </c>
      <c r="M103" s="590">
        <f t="shared" si="22"/>
        <v>14703.58956884783</v>
      </c>
      <c r="N103" s="590">
        <f t="shared" si="22"/>
        <v>14938.999834227785</v>
      </c>
      <c r="O103" s="590">
        <f t="shared" si="22"/>
        <v>15179.118304915339</v>
      </c>
      <c r="P103" s="590">
        <f t="shared" si="22"/>
        <v>15424.039145016646</v>
      </c>
    </row>
    <row r="104" spans="1:16" ht="6" customHeight="1" x14ac:dyDescent="0.2">
      <c r="B104" s="590"/>
      <c r="C104" s="590"/>
      <c r="D104" s="590"/>
      <c r="E104" s="590"/>
      <c r="F104" s="590"/>
      <c r="G104" s="590"/>
      <c r="H104" s="590"/>
      <c r="I104" s="590"/>
      <c r="J104" s="590"/>
      <c r="K104" s="590"/>
      <c r="L104" s="590"/>
      <c r="M104" s="590"/>
      <c r="N104" s="590"/>
      <c r="O104" s="590"/>
      <c r="P104" s="590"/>
    </row>
    <row r="105" spans="1:16" ht="12.75" thickBot="1" x14ac:dyDescent="0.25">
      <c r="A105" s="592" t="s">
        <v>99</v>
      </c>
      <c r="B105" s="646">
        <f>+B101+B103</f>
        <v>0</v>
      </c>
      <c r="C105" s="646">
        <f t="shared" ref="C105:P105" si="23">+C101+C103</f>
        <v>0</v>
      </c>
      <c r="D105" s="646">
        <f t="shared" si="23"/>
        <v>55408</v>
      </c>
      <c r="E105" s="646">
        <f t="shared" si="23"/>
        <v>19402</v>
      </c>
      <c r="F105" s="646">
        <f t="shared" si="23"/>
        <v>18892.069000000007</v>
      </c>
      <c r="G105" s="646">
        <f t="shared" si="23"/>
        <v>20086.354000000007</v>
      </c>
      <c r="H105" s="646">
        <f t="shared" si="23"/>
        <v>11303.927210000007</v>
      </c>
      <c r="I105" s="646">
        <f t="shared" si="23"/>
        <v>13317.936830300003</v>
      </c>
      <c r="J105" s="595">
        <f t="shared" si="23"/>
        <v>14301.853518059012</v>
      </c>
      <c r="K105" s="595">
        <f t="shared" si="23"/>
        <v>15908.608896271175</v>
      </c>
      <c r="L105" s="595">
        <f t="shared" si="23"/>
        <v>16717.006175856637</v>
      </c>
      <c r="M105" s="595">
        <f t="shared" si="23"/>
        <v>16677.389767049601</v>
      </c>
      <c r="N105" s="595">
        <f t="shared" si="23"/>
        <v>17167.205180024041</v>
      </c>
      <c r="O105" s="595">
        <f t="shared" si="23"/>
        <v>17727.084070971319</v>
      </c>
      <c r="P105" s="595">
        <f t="shared" si="23"/>
        <v>18363.372685725211</v>
      </c>
    </row>
    <row r="106" spans="1:16" ht="12.75" thickTop="1" x14ac:dyDescent="0.2"/>
    <row r="107" spans="1:16" ht="12.75" x14ac:dyDescent="0.2">
      <c r="A107" s="1091" t="s">
        <v>1247</v>
      </c>
    </row>
    <row r="108" spans="1:16" x14ac:dyDescent="0.2">
      <c r="A108" s="597" t="s">
        <v>1067</v>
      </c>
      <c r="B108" s="586" t="s">
        <v>69</v>
      </c>
      <c r="C108" s="586" t="s">
        <v>69</v>
      </c>
      <c r="D108" s="586" t="str">
        <f t="shared" ref="D108:P108" si="24">D55</f>
        <v>Actual</v>
      </c>
      <c r="E108" s="586" t="str">
        <f t="shared" si="24"/>
        <v>Actual</v>
      </c>
      <c r="F108" s="586" t="str">
        <f t="shared" si="24"/>
        <v>Budget</v>
      </c>
      <c r="G108" s="586" t="str">
        <f t="shared" si="24"/>
        <v>Budget</v>
      </c>
      <c r="H108" s="586" t="str">
        <f t="shared" si="24"/>
        <v>Projected</v>
      </c>
      <c r="I108" s="586" t="str">
        <f t="shared" si="24"/>
        <v>Projected</v>
      </c>
      <c r="J108" s="586" t="str">
        <f t="shared" si="24"/>
        <v>Projected</v>
      </c>
      <c r="K108" s="586" t="str">
        <f t="shared" si="24"/>
        <v>Projected</v>
      </c>
      <c r="L108" s="586" t="str">
        <f t="shared" si="24"/>
        <v>Projected</v>
      </c>
      <c r="M108" s="586" t="str">
        <f t="shared" si="24"/>
        <v>Projected</v>
      </c>
      <c r="N108" s="586" t="str">
        <f t="shared" si="24"/>
        <v>Projected</v>
      </c>
      <c r="O108" s="586" t="str">
        <f t="shared" si="24"/>
        <v>Projected</v>
      </c>
      <c r="P108" s="586" t="str">
        <f t="shared" si="24"/>
        <v>Projected</v>
      </c>
    </row>
    <row r="109" spans="1:16" x14ac:dyDescent="0.2">
      <c r="A109" s="585" t="s">
        <v>73</v>
      </c>
      <c r="B109" s="638" t="s">
        <v>68</v>
      </c>
      <c r="C109" s="586" t="s">
        <v>0</v>
      </c>
      <c r="D109" s="586" t="s">
        <v>1</v>
      </c>
      <c r="E109" s="586" t="s">
        <v>2</v>
      </c>
      <c r="F109" s="586" t="s">
        <v>3</v>
      </c>
      <c r="G109" s="586" t="s">
        <v>4</v>
      </c>
      <c r="H109" s="586" t="s">
        <v>5</v>
      </c>
      <c r="I109" s="586" t="s">
        <v>6</v>
      </c>
      <c r="J109" s="586" t="s">
        <v>7</v>
      </c>
      <c r="K109" s="586" t="s">
        <v>8</v>
      </c>
      <c r="L109" s="586" t="s">
        <v>9</v>
      </c>
      <c r="M109" s="586" t="s">
        <v>514</v>
      </c>
      <c r="N109" s="586" t="s">
        <v>515</v>
      </c>
      <c r="O109" s="586" t="s">
        <v>904</v>
      </c>
      <c r="P109" s="586" t="s">
        <v>1046</v>
      </c>
    </row>
    <row r="111" spans="1:16" x14ac:dyDescent="0.2">
      <c r="A111" s="592" t="s">
        <v>82</v>
      </c>
    </row>
    <row r="112" spans="1:16" x14ac:dyDescent="0.2">
      <c r="A112" s="640" t="s">
        <v>83</v>
      </c>
      <c r="B112" s="590"/>
      <c r="C112" s="590"/>
      <c r="D112" s="590"/>
      <c r="E112" s="590"/>
      <c r="F112" s="590"/>
      <c r="G112" s="590"/>
      <c r="H112" s="590"/>
      <c r="I112" s="590"/>
      <c r="J112" s="590"/>
      <c r="K112" s="590"/>
      <c r="L112" s="590"/>
      <c r="M112" s="590"/>
      <c r="N112" s="590"/>
      <c r="O112" s="590"/>
      <c r="P112" s="590"/>
    </row>
    <row r="113" spans="1:16" x14ac:dyDescent="0.2">
      <c r="A113" s="639" t="s">
        <v>11</v>
      </c>
      <c r="B113" s="594"/>
      <c r="C113" s="594">
        <f t="shared" ref="C113:E118" si="25">C60</f>
        <v>0</v>
      </c>
      <c r="D113" s="594">
        <f t="shared" si="25"/>
        <v>18724</v>
      </c>
      <c r="E113" s="594">
        <f t="shared" si="25"/>
        <v>18207</v>
      </c>
      <c r="F113" s="594">
        <f>+'Gen Fund  Inc Exp Statement'!F157</f>
        <v>14450.315000000001</v>
      </c>
      <c r="G113" s="594">
        <f>+'Gen Fund  Inc Exp Statement'!G157</f>
        <v>16122.328500000001</v>
      </c>
      <c r="H113" s="594">
        <f>+'Gen Fund  Inc Exp Statement'!H157</f>
        <v>16449.500283500001</v>
      </c>
      <c r="I113" s="594">
        <f>+'Gen Fund  Inc Exp Statement'!I157</f>
        <v>17827.920834337499</v>
      </c>
      <c r="J113" s="594">
        <f>+'Gen Fund  Inc Exp Statement'!J157</f>
        <v>18677.443530195935</v>
      </c>
      <c r="K113" s="594">
        <f>+'Gen Fund  Inc Exp Statement'!K157</f>
        <v>18584.194576458645</v>
      </c>
      <c r="L113" s="594">
        <f>+'Gen Fund  Inc Exp Statement'!L157</f>
        <v>19048.799440870109</v>
      </c>
      <c r="M113" s="594">
        <f>+'Gen Fund  Inc Exp Statement'!M157</f>
        <v>19125.360105834112</v>
      </c>
      <c r="N113" s="594">
        <f>+'Gen Fund  Inc Exp Statement'!N157</f>
        <v>19603.494108479965</v>
      </c>
      <c r="O113" s="594">
        <f>+'Gen Fund  Inc Exp Statement'!O157</f>
        <v>18795.068573170767</v>
      </c>
      <c r="P113" s="594">
        <f>+'Gen Fund  Inc Exp Statement'!P157</f>
        <v>17257.126597965384</v>
      </c>
    </row>
    <row r="114" spans="1:16" x14ac:dyDescent="0.2">
      <c r="A114" s="639" t="s">
        <v>12</v>
      </c>
      <c r="B114" s="594"/>
      <c r="C114" s="594">
        <f t="shared" si="25"/>
        <v>0</v>
      </c>
      <c r="D114" s="594">
        <f t="shared" si="25"/>
        <v>11585</v>
      </c>
      <c r="E114" s="594">
        <f t="shared" si="25"/>
        <v>10646</v>
      </c>
      <c r="F114" s="594">
        <f>+'Gen Fund  Inc Exp Statement'!F158</f>
        <v>6434.6660000000002</v>
      </c>
      <c r="G114" s="594">
        <f>+'Gen Fund  Inc Exp Statement'!G158</f>
        <v>6694.2250000000004</v>
      </c>
      <c r="H114" s="594">
        <f>+'Gen Fund  Inc Exp Statement'!H158</f>
        <v>6699.7</v>
      </c>
      <c r="I114" s="594">
        <f>+'Gen Fund  Inc Exp Statement'!I158</f>
        <v>6981.9269999999997</v>
      </c>
      <c r="J114" s="594">
        <f>+'Gen Fund  Inc Exp Statement'!J158</f>
        <v>7344.5609999999997</v>
      </c>
      <c r="K114" s="594">
        <f>+'Gen Fund  Inc Exp Statement'!K158</f>
        <v>7491.4522200000001</v>
      </c>
      <c r="L114" s="594">
        <f>+'Gen Fund  Inc Exp Statement'!L158</f>
        <v>7641.2812644000005</v>
      </c>
      <c r="M114" s="594">
        <f>+'Gen Fund  Inc Exp Statement'!M158</f>
        <v>7794.1068896880006</v>
      </c>
      <c r="N114" s="594">
        <f>+'Gen Fund  Inc Exp Statement'!N158</f>
        <v>7949.9890274817608</v>
      </c>
      <c r="O114" s="594">
        <f>+'Gen Fund  Inc Exp Statement'!O158</f>
        <v>8108.9888080313958</v>
      </c>
      <c r="P114" s="594">
        <f>+'Gen Fund  Inc Exp Statement'!P158</f>
        <v>8271.1685841920244</v>
      </c>
    </row>
    <row r="115" spans="1:16" x14ac:dyDescent="0.2">
      <c r="A115" s="639" t="s">
        <v>84</v>
      </c>
      <c r="B115" s="594"/>
      <c r="C115" s="594">
        <f t="shared" si="25"/>
        <v>0</v>
      </c>
      <c r="D115" s="594">
        <f t="shared" si="25"/>
        <v>2499</v>
      </c>
      <c r="E115" s="594">
        <f t="shared" si="25"/>
        <v>2571</v>
      </c>
      <c r="F115" s="594">
        <f>+'Gen Fund  Inc Exp Statement'!F159</f>
        <v>931.5</v>
      </c>
      <c r="G115" s="594">
        <f>+'Gen Fund  Inc Exp Statement'!G159</f>
        <v>938.20899999999995</v>
      </c>
      <c r="H115" s="594">
        <f>+'Gen Fund  Inc Exp Statement'!H159</f>
        <v>947.19299999999998</v>
      </c>
      <c r="I115" s="594">
        <f>+'Gen Fund  Inc Exp Statement'!I159</f>
        <v>956.88900000000001</v>
      </c>
      <c r="J115" s="594">
        <f>+'Gen Fund  Inc Exp Statement'!J159</f>
        <v>965.43299999999999</v>
      </c>
      <c r="K115" s="594">
        <f>+'Gen Fund  Inc Exp Statement'!K159</f>
        <v>814.83014664369796</v>
      </c>
      <c r="L115" s="594">
        <f>+'Gen Fund  Inc Exp Statement'!L159</f>
        <v>845.40793434835882</v>
      </c>
      <c r="M115" s="594">
        <f>+'Gen Fund  Inc Exp Statement'!M159</f>
        <v>880.10835731807583</v>
      </c>
      <c r="N115" s="594">
        <f>+'Gen Fund  Inc Exp Statement'!N159</f>
        <v>903.15442244952135</v>
      </c>
      <c r="O115" s="594">
        <f>+'Gen Fund  Inc Exp Statement'!O159</f>
        <v>929.7112080165208</v>
      </c>
      <c r="P115" s="594">
        <f>+'Gen Fund  Inc Exp Statement'!P159</f>
        <v>908.01320862305352</v>
      </c>
    </row>
    <row r="116" spans="1:16" x14ac:dyDescent="0.2">
      <c r="A116" s="639" t="s">
        <v>85</v>
      </c>
      <c r="B116" s="594"/>
      <c r="C116" s="594">
        <f t="shared" si="25"/>
        <v>0</v>
      </c>
      <c r="D116" s="594">
        <f t="shared" si="25"/>
        <v>26703</v>
      </c>
      <c r="E116" s="594">
        <f t="shared" si="25"/>
        <v>24423</v>
      </c>
      <c r="F116" s="594">
        <f>+'Gen Fund  Inc Exp Statement'!F161+'Gen Fund  Inc Exp Statement'!F162</f>
        <v>9072.7510000000002</v>
      </c>
      <c r="G116" s="594">
        <f>+'Gen Fund  Inc Exp Statement'!G161+'Gen Fund  Inc Exp Statement'!G162</f>
        <v>9238.8559999999998</v>
      </c>
      <c r="H116" s="594">
        <f>+'Gen Fund  Inc Exp Statement'!H161+'Gen Fund  Inc Exp Statement'!H162</f>
        <v>9391.7220099999995</v>
      </c>
      <c r="I116" s="594">
        <f>+'Gen Fund  Inc Exp Statement'!I161+'Gen Fund  Inc Exp Statement'!I162</f>
        <v>13046.048015299999</v>
      </c>
      <c r="J116" s="594">
        <f>+'Gen Fund  Inc Exp Statement'!J161+'Gen Fund  Inc Exp Statement'!J162</f>
        <v>9704.0470926340004</v>
      </c>
      <c r="K116" s="594">
        <f>+'Gen Fund  Inc Exp Statement'!K161+'Gen Fund  Inc Exp Statement'!K162</f>
        <v>9926.8368632866805</v>
      </c>
      <c r="L116" s="594">
        <f>+'Gen Fund  Inc Exp Statement'!L161+'Gen Fund  Inc Exp Statement'!L162</f>
        <v>10154.800150072413</v>
      </c>
      <c r="M116" s="594">
        <f>+'Gen Fund  Inc Exp Statement'!M161+'Gen Fund  Inc Exp Statement'!M162</f>
        <v>10388.058366331861</v>
      </c>
      <c r="N116" s="594">
        <f>+'Gen Fund  Inc Exp Statement'!N161+'Gen Fund  Inc Exp Statement'!N162</f>
        <v>10626.735802247949</v>
      </c>
      <c r="O116" s="594">
        <f>+'Gen Fund  Inc Exp Statement'!O161+'Gen Fund  Inc Exp Statement'!O162</f>
        <v>10870.959693597093</v>
      </c>
      <c r="P116" s="594">
        <f>+'Gen Fund  Inc Exp Statement'!P161+'Gen Fund  Inc Exp Statement'!P162</f>
        <v>11120.860292155827</v>
      </c>
    </row>
    <row r="117" spans="1:16" hidden="1" outlineLevel="1" x14ac:dyDescent="0.2">
      <c r="A117" s="639" t="s">
        <v>86</v>
      </c>
      <c r="B117" s="594"/>
      <c r="C117" s="594">
        <f t="shared" si="25"/>
        <v>0</v>
      </c>
      <c r="D117" s="594">
        <f t="shared" si="25"/>
        <v>97</v>
      </c>
      <c r="E117" s="594">
        <f t="shared" si="25"/>
        <v>296</v>
      </c>
      <c r="F117" s="594">
        <v>0</v>
      </c>
      <c r="G117" s="594">
        <v>0</v>
      </c>
      <c r="H117" s="594">
        <v>0</v>
      </c>
      <c r="I117" s="594">
        <v>0</v>
      </c>
      <c r="J117" s="594">
        <v>0</v>
      </c>
      <c r="K117" s="594">
        <v>0</v>
      </c>
      <c r="L117" s="594">
        <v>0</v>
      </c>
      <c r="M117" s="594">
        <v>0</v>
      </c>
      <c r="N117" s="594">
        <v>0</v>
      </c>
      <c r="O117" s="594">
        <v>0</v>
      </c>
      <c r="P117" s="594">
        <v>0</v>
      </c>
    </row>
    <row r="118" spans="1:16" collapsed="1" x14ac:dyDescent="0.2">
      <c r="A118" s="639" t="s">
        <v>41</v>
      </c>
      <c r="B118" s="594"/>
      <c r="C118" s="594">
        <f t="shared" si="25"/>
        <v>0</v>
      </c>
      <c r="D118" s="594">
        <f t="shared" si="25"/>
        <v>5309</v>
      </c>
      <c r="E118" s="594">
        <f t="shared" si="25"/>
        <v>4000</v>
      </c>
      <c r="F118" s="594">
        <f>+'Gen Fund  Inc Exp Statement'!F160+'Gen Fund  Inc Exp Statement'!F163</f>
        <v>7207.8899999999994</v>
      </c>
      <c r="G118" s="594">
        <f>+'Gen Fund  Inc Exp Statement'!G160+'Gen Fund  Inc Exp Statement'!G163</f>
        <v>7469.6399999999994</v>
      </c>
      <c r="H118" s="594">
        <f>+'Gen Fund  Inc Exp Statement'!H160+'Gen Fund  Inc Exp Statement'!H163</f>
        <v>7703.4269999999997</v>
      </c>
      <c r="I118" s="594">
        <f>+'Gen Fund  Inc Exp Statement'!I160+'Gen Fund  Inc Exp Statement'!I163</f>
        <v>7939.5569999999998</v>
      </c>
      <c r="J118" s="594">
        <f>+'Gen Fund  Inc Exp Statement'!J160+'Gen Fund  Inc Exp Statement'!J163</f>
        <v>8034.5349999999999</v>
      </c>
      <c r="K118" s="594">
        <f>+'Gen Fund  Inc Exp Statement'!K160+'Gen Fund  Inc Exp Statement'!K163</f>
        <v>8195.2257000000009</v>
      </c>
      <c r="L118" s="594">
        <f>+'Gen Fund  Inc Exp Statement'!L160+'Gen Fund  Inc Exp Statement'!L163</f>
        <v>8359.1302140000007</v>
      </c>
      <c r="M118" s="594">
        <f>+'Gen Fund  Inc Exp Statement'!M160+'Gen Fund  Inc Exp Statement'!M163</f>
        <v>8526.3128182800028</v>
      </c>
      <c r="N118" s="594">
        <f>+'Gen Fund  Inc Exp Statement'!N160+'Gen Fund  Inc Exp Statement'!N163</f>
        <v>8696.8390746456025</v>
      </c>
      <c r="O118" s="594">
        <f>+'Gen Fund  Inc Exp Statement'!O160+'Gen Fund  Inc Exp Statement'!O163</f>
        <v>8870.7758561385144</v>
      </c>
      <c r="P118" s="594">
        <f>+'Gen Fund  Inc Exp Statement'!P160+'Gen Fund  Inc Exp Statement'!P163</f>
        <v>9048.1913732612848</v>
      </c>
    </row>
    <row r="119" spans="1:16" ht="9.75" customHeight="1" x14ac:dyDescent="0.2"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</row>
    <row r="120" spans="1:16" x14ac:dyDescent="0.2">
      <c r="A120" s="640" t="s">
        <v>87</v>
      </c>
      <c r="B120" s="594"/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</row>
    <row r="121" spans="1:16" x14ac:dyDescent="0.2">
      <c r="A121" s="639" t="s">
        <v>25</v>
      </c>
      <c r="B121" s="594"/>
      <c r="C121" s="594">
        <f t="shared" ref="C121:E123" si="26">C68</f>
        <v>0</v>
      </c>
      <c r="D121" s="594">
        <f t="shared" si="26"/>
        <v>-12900</v>
      </c>
      <c r="E121" s="594">
        <f t="shared" si="26"/>
        <v>-12519</v>
      </c>
      <c r="F121" s="594">
        <f>-'Gen Fund  Inc Exp Statement'!F171</f>
        <v>-11231.316000000001</v>
      </c>
      <c r="G121" s="594">
        <f>-'Gen Fund  Inc Exp Statement'!G171</f>
        <v>-11563.034</v>
      </c>
      <c r="H121" s="594">
        <f>-'Gen Fund  Inc Exp Statement'!H171</f>
        <v>-11807.84</v>
      </c>
      <c r="I121" s="594">
        <f>-'Gen Fund  Inc Exp Statement'!I171</f>
        <v>-12311.478999999999</v>
      </c>
      <c r="J121" s="594">
        <f>-'Gen Fund  Inc Exp Statement'!J171</f>
        <v>-12863.002</v>
      </c>
      <c r="K121" s="594">
        <f>-'Gen Fund  Inc Exp Statement'!K171</f>
        <v>-13248.89206</v>
      </c>
      <c r="L121" s="594">
        <f>-'Gen Fund  Inc Exp Statement'!L171</f>
        <v>-13646.3588218</v>
      </c>
      <c r="M121" s="594">
        <f>-'Gen Fund  Inc Exp Statement'!M171</f>
        <v>-14055.749586454001</v>
      </c>
      <c r="N121" s="594">
        <f>-'Gen Fund  Inc Exp Statement'!N171</f>
        <v>-14477.422074047621</v>
      </c>
      <c r="O121" s="594">
        <f>-'Gen Fund  Inc Exp Statement'!O171</f>
        <v>-14911.744736269051</v>
      </c>
      <c r="P121" s="594">
        <f>-'Gen Fund  Inc Exp Statement'!P171</f>
        <v>-15359.097078357123</v>
      </c>
    </row>
    <row r="122" spans="1:16" x14ac:dyDescent="0.2">
      <c r="A122" s="639" t="s">
        <v>27</v>
      </c>
      <c r="B122" s="594"/>
      <c r="C122" s="594">
        <f t="shared" si="26"/>
        <v>0</v>
      </c>
      <c r="D122" s="594">
        <f t="shared" si="26"/>
        <v>-9702</v>
      </c>
      <c r="E122" s="594">
        <f t="shared" si="26"/>
        <v>-12687</v>
      </c>
      <c r="F122" s="594">
        <f>-'Gen Fund  Inc Exp Statement'!F173-'Gen Fund  Inc Exp Statement'!F174</f>
        <v>-12676.050999999999</v>
      </c>
      <c r="G122" s="594">
        <f>-'Gen Fund  Inc Exp Statement'!G173-'Gen Fund  Inc Exp Statement'!G174</f>
        <v>-13182.368999999999</v>
      </c>
      <c r="H122" s="594">
        <f>-'Gen Fund  Inc Exp Statement'!H173-'Gen Fund  Inc Exp Statement'!H174</f>
        <v>-13484.052</v>
      </c>
      <c r="I122" s="594">
        <f>-'Gen Fund  Inc Exp Statement'!I173-'Gen Fund  Inc Exp Statement'!I174</f>
        <v>-13842.082</v>
      </c>
      <c r="J122" s="594">
        <f>-'Gen Fund  Inc Exp Statement'!J173-'Gen Fund  Inc Exp Statement'!J174</f>
        <v>-14534.189999999999</v>
      </c>
      <c r="K122" s="594">
        <f>-'Gen Fund  Inc Exp Statement'!K173-'Gen Fund  Inc Exp Statement'!K174</f>
        <v>-14824.873799999999</v>
      </c>
      <c r="L122" s="594">
        <f>-'Gen Fund  Inc Exp Statement'!L173-'Gen Fund  Inc Exp Statement'!L174</f>
        <v>-15121.371276</v>
      </c>
      <c r="M122" s="594">
        <f>-'Gen Fund  Inc Exp Statement'!M173-'Gen Fund  Inc Exp Statement'!M174</f>
        <v>-15423.79870152</v>
      </c>
      <c r="N122" s="594">
        <f>-'Gen Fund  Inc Exp Statement'!N173-'Gen Fund  Inc Exp Statement'!N174</f>
        <v>-15732.274675550401</v>
      </c>
      <c r="O122" s="594">
        <f>-'Gen Fund  Inc Exp Statement'!O173-'Gen Fund  Inc Exp Statement'!O174</f>
        <v>-16046.920169061408</v>
      </c>
      <c r="P122" s="594">
        <f>-'Gen Fund  Inc Exp Statement'!P173-'Gen Fund  Inc Exp Statement'!P174</f>
        <v>-16367.858572442638</v>
      </c>
    </row>
    <row r="123" spans="1:16" x14ac:dyDescent="0.2">
      <c r="A123" s="639" t="s">
        <v>926</v>
      </c>
      <c r="B123" s="594"/>
      <c r="C123" s="594"/>
      <c r="D123" s="594">
        <f>D70</f>
        <v>-639</v>
      </c>
      <c r="E123" s="594">
        <f t="shared" si="26"/>
        <v>-634</v>
      </c>
      <c r="F123" s="594">
        <f>-'Gen Fund  Inc Exp Statement'!F172</f>
        <v>-592.12699999999995</v>
      </c>
      <c r="G123" s="594">
        <f>-'Gen Fund  Inc Exp Statement'!G172</f>
        <v>-588.93700000000001</v>
      </c>
      <c r="H123" s="594">
        <f>-'Gen Fund  Inc Exp Statement'!H172</f>
        <v>-586.08699999999999</v>
      </c>
      <c r="I123" s="594">
        <f>-'Gen Fund  Inc Exp Statement'!I172</f>
        <v>-1002.996</v>
      </c>
      <c r="J123" s="594">
        <f>-'Gen Fund  Inc Exp Statement'!J172</f>
        <v>-1433.386</v>
      </c>
      <c r="K123" s="594">
        <f>-'Gen Fund  Inc Exp Statement'!K172</f>
        <v>-1393.6998808000001</v>
      </c>
      <c r="L123" s="594">
        <f>-'Gen Fund  Inc Exp Statement'!L172</f>
        <v>-1353.220039216</v>
      </c>
      <c r="M123" s="594">
        <f>-'Gen Fund  Inc Exp Statement'!M172</f>
        <v>-1311.93060080032</v>
      </c>
      <c r="N123" s="594">
        <f>-'Gen Fund  Inc Exp Statement'!N172</f>
        <v>-1269.8153736163265</v>
      </c>
      <c r="O123" s="594">
        <f>-'Gen Fund  Inc Exp Statement'!O172</f>
        <v>-1226.857841888653</v>
      </c>
      <c r="P123" s="594">
        <f>-'Gen Fund  Inc Exp Statement'!P172</f>
        <v>-1183.0411595264259</v>
      </c>
    </row>
    <row r="124" spans="1:16" hidden="1" outlineLevel="1" x14ac:dyDescent="0.2">
      <c r="A124" s="639" t="s">
        <v>88</v>
      </c>
      <c r="B124" s="594"/>
      <c r="C124" s="594">
        <f>C71</f>
        <v>0</v>
      </c>
      <c r="D124" s="594">
        <f>D71</f>
        <v>-79</v>
      </c>
      <c r="E124" s="594">
        <f>E71</f>
        <v>-305</v>
      </c>
      <c r="F124" s="594">
        <v>0</v>
      </c>
      <c r="G124" s="594">
        <v>0</v>
      </c>
      <c r="H124" s="594">
        <v>0</v>
      </c>
      <c r="I124" s="594">
        <v>0</v>
      </c>
      <c r="J124" s="594">
        <v>0</v>
      </c>
      <c r="K124" s="594">
        <v>0</v>
      </c>
      <c r="L124" s="594">
        <v>0</v>
      </c>
      <c r="M124" s="594">
        <v>0</v>
      </c>
      <c r="N124" s="594">
        <v>0</v>
      </c>
      <c r="O124" s="594">
        <v>0</v>
      </c>
      <c r="P124" s="594">
        <v>0</v>
      </c>
    </row>
    <row r="125" spans="1:16" collapsed="1" x14ac:dyDescent="0.2">
      <c r="A125" s="641" t="s">
        <v>41</v>
      </c>
      <c r="B125" s="591"/>
      <c r="C125" s="594">
        <f>C72</f>
        <v>0</v>
      </c>
      <c r="D125" s="594">
        <f>D72</f>
        <v>-7816</v>
      </c>
      <c r="E125" s="594">
        <f>E72</f>
        <v>-9383</v>
      </c>
      <c r="F125" s="591">
        <f>-'Gen Fund  Inc Exp Statement'!F178</f>
        <v>-2286.85</v>
      </c>
      <c r="G125" s="591">
        <f>-'Gen Fund  Inc Exp Statement'!G178</f>
        <v>-2395.6309999999999</v>
      </c>
      <c r="H125" s="591">
        <f>-'Gen Fund  Inc Exp Statement'!H178</f>
        <v>-2446.0740000000001</v>
      </c>
      <c r="I125" s="591">
        <f>-'Gen Fund  Inc Exp Statement'!I178</f>
        <v>-2513.5830000000001</v>
      </c>
      <c r="J125" s="591">
        <f>-'Gen Fund  Inc Exp Statement'!J178</f>
        <v>-2654.9679999999998</v>
      </c>
      <c r="K125" s="591">
        <f>-'Gen Fund  Inc Exp Statement'!K178</f>
        <v>-2708.06736</v>
      </c>
      <c r="L125" s="591">
        <f>-'Gen Fund  Inc Exp Statement'!L178</f>
        <v>-2762.2287071999999</v>
      </c>
      <c r="M125" s="591">
        <f>-'Gen Fund  Inc Exp Statement'!M178</f>
        <v>-2817.473281344</v>
      </c>
      <c r="N125" s="591">
        <f>-'Gen Fund  Inc Exp Statement'!N178</f>
        <v>-2873.82274697088</v>
      </c>
      <c r="O125" s="591">
        <f>-'Gen Fund  Inc Exp Statement'!O178</f>
        <v>-2931.2992019102976</v>
      </c>
      <c r="P125" s="591">
        <f>-'Gen Fund  Inc Exp Statement'!P178</f>
        <v>-2989.9251859485034</v>
      </c>
    </row>
    <row r="126" spans="1:16" x14ac:dyDescent="0.2">
      <c r="A126" s="642" t="s">
        <v>89</v>
      </c>
      <c r="B126" s="643">
        <f>SUM(B113:B125)</f>
        <v>0</v>
      </c>
      <c r="C126" s="643">
        <f t="shared" ref="C126:P126" si="27">SUM(C113:C125)</f>
        <v>0</v>
      </c>
      <c r="D126" s="643">
        <f t="shared" si="27"/>
        <v>33781</v>
      </c>
      <c r="E126" s="643">
        <f t="shared" si="27"/>
        <v>24615</v>
      </c>
      <c r="F126" s="643">
        <f t="shared" si="27"/>
        <v>11310.778000000004</v>
      </c>
      <c r="G126" s="643">
        <f t="shared" si="27"/>
        <v>12733.287499999999</v>
      </c>
      <c r="H126" s="643">
        <f t="shared" si="27"/>
        <v>12867.489293499995</v>
      </c>
      <c r="I126" s="643">
        <f t="shared" si="27"/>
        <v>17082.201849637495</v>
      </c>
      <c r="J126" s="643">
        <f t="shared" si="27"/>
        <v>13240.473622829933</v>
      </c>
      <c r="K126" s="643">
        <f t="shared" si="27"/>
        <v>12837.006405589025</v>
      </c>
      <c r="L126" s="643">
        <f t="shared" si="27"/>
        <v>13166.240159474886</v>
      </c>
      <c r="M126" s="643">
        <f t="shared" si="27"/>
        <v>13104.994367333729</v>
      </c>
      <c r="N126" s="643">
        <f t="shared" si="27"/>
        <v>13426.877565119568</v>
      </c>
      <c r="O126" s="643">
        <f t="shared" si="27"/>
        <v>12458.682189824882</v>
      </c>
      <c r="P126" s="643">
        <f t="shared" si="27"/>
        <v>10705.438059922884</v>
      </c>
    </row>
    <row r="127" spans="1:16" ht="9.75" customHeight="1" x14ac:dyDescent="0.25">
      <c r="B127" s="590"/>
      <c r="C127" s="590"/>
      <c r="D127" s="590"/>
      <c r="E127" s="590"/>
      <c r="F127" s="590"/>
      <c r="G127" s="590"/>
      <c r="H127" s="590"/>
      <c r="I127" s="590"/>
      <c r="J127" s="590"/>
      <c r="K127" s="590"/>
      <c r="L127" s="590"/>
      <c r="M127" s="590"/>
      <c r="N127" s="590"/>
      <c r="O127" s="590"/>
      <c r="P127" s="590"/>
    </row>
    <row r="128" spans="1:16" x14ac:dyDescent="0.25">
      <c r="A128" s="592" t="s">
        <v>90</v>
      </c>
      <c r="B128" s="590"/>
      <c r="C128" s="590"/>
      <c r="D128" s="590"/>
      <c r="E128" s="590"/>
      <c r="F128" s="590"/>
      <c r="G128" s="590"/>
      <c r="H128" s="590"/>
      <c r="I128" s="590"/>
      <c r="J128" s="590"/>
      <c r="K128" s="590"/>
      <c r="L128" s="590"/>
      <c r="M128" s="590"/>
      <c r="N128" s="590"/>
      <c r="O128" s="590"/>
      <c r="P128" s="590"/>
    </row>
    <row r="129" spans="1:16" x14ac:dyDescent="0.25">
      <c r="A129" s="640" t="s">
        <v>83</v>
      </c>
      <c r="B129" s="590"/>
      <c r="C129" s="590"/>
      <c r="D129" s="590"/>
      <c r="E129" s="590"/>
      <c r="F129" s="590"/>
      <c r="G129" s="590"/>
      <c r="H129" s="590"/>
      <c r="I129" s="590"/>
      <c r="J129" s="590"/>
      <c r="K129" s="590"/>
      <c r="L129" s="590"/>
      <c r="M129" s="590"/>
      <c r="N129" s="590"/>
      <c r="O129" s="590"/>
      <c r="P129" s="590"/>
    </row>
    <row r="130" spans="1:16" x14ac:dyDescent="0.25">
      <c r="A130" s="639" t="s">
        <v>431</v>
      </c>
      <c r="B130" s="590"/>
      <c r="C130" s="590">
        <f>C77</f>
        <v>0</v>
      </c>
      <c r="D130" s="594">
        <f>D77</f>
        <v>7491</v>
      </c>
      <c r="E130" s="594">
        <f>E77</f>
        <v>8839</v>
      </c>
      <c r="F130" s="594">
        <f>'Gen Fund  Inc Exp Statement'!F211</f>
        <v>2262.9380000000001</v>
      </c>
      <c r="G130" s="594">
        <f>'Gen Fund  Inc Exp Statement'!G211</f>
        <v>550</v>
      </c>
      <c r="H130" s="594">
        <f>'Gen Fund  Inc Exp Statement'!H211</f>
        <v>11000</v>
      </c>
      <c r="I130" s="594">
        <f>'Gen Fund  Inc Exp Statement'!I211</f>
        <v>0</v>
      </c>
      <c r="J130" s="594">
        <f>'Gen Fund  Inc Exp Statement'!J211</f>
        <v>0</v>
      </c>
      <c r="K130" s="594">
        <f>'Gen Fund  Inc Exp Statement'!K211</f>
        <v>2200</v>
      </c>
      <c r="L130" s="594">
        <f>'Gen Fund  Inc Exp Statement'!L211</f>
        <v>2244</v>
      </c>
      <c r="M130" s="594">
        <f>'Gen Fund  Inc Exp Statement'!M211</f>
        <v>2288.88</v>
      </c>
      <c r="N130" s="594">
        <f>'Gen Fund  Inc Exp Statement'!N211</f>
        <v>2334.6576</v>
      </c>
      <c r="O130" s="594">
        <f>'Gen Fund  Inc Exp Statement'!O211</f>
        <v>2381.3507520000003</v>
      </c>
      <c r="P130" s="594">
        <f>'Gen Fund  Inc Exp Statement'!P211</f>
        <v>2428.9777670400003</v>
      </c>
    </row>
    <row r="131" spans="1:16" x14ac:dyDescent="0.25">
      <c r="A131" s="594" t="str">
        <f>A78</f>
        <v>Sale of Investment Property</v>
      </c>
      <c r="B131" s="590"/>
      <c r="C131" s="590"/>
      <c r="D131" s="594">
        <f t="shared" ref="D131:P133" si="28">D78</f>
        <v>0</v>
      </c>
      <c r="E131" s="594">
        <f t="shared" si="28"/>
        <v>0</v>
      </c>
      <c r="F131" s="594">
        <f t="shared" si="28"/>
        <v>0</v>
      </c>
      <c r="G131" s="594">
        <f t="shared" si="28"/>
        <v>0</v>
      </c>
      <c r="H131" s="594">
        <f t="shared" si="28"/>
        <v>0</v>
      </c>
      <c r="I131" s="594">
        <f t="shared" si="28"/>
        <v>0</v>
      </c>
      <c r="J131" s="594">
        <f t="shared" si="28"/>
        <v>0</v>
      </c>
      <c r="K131" s="594">
        <f t="shared" si="28"/>
        <v>0</v>
      </c>
      <c r="L131" s="594">
        <f t="shared" si="28"/>
        <v>0</v>
      </c>
      <c r="M131" s="594">
        <f t="shared" si="28"/>
        <v>0</v>
      </c>
      <c r="N131" s="594">
        <f t="shared" si="28"/>
        <v>0</v>
      </c>
      <c r="O131" s="594">
        <f t="shared" si="28"/>
        <v>0</v>
      </c>
      <c r="P131" s="594">
        <f t="shared" si="28"/>
        <v>0</v>
      </c>
    </row>
    <row r="132" spans="1:16" x14ac:dyDescent="0.25">
      <c r="A132" s="639" t="s">
        <v>91</v>
      </c>
      <c r="B132" s="594"/>
      <c r="C132" s="590">
        <f>C79</f>
        <v>0</v>
      </c>
      <c r="D132" s="594">
        <f t="shared" si="28"/>
        <v>0</v>
      </c>
      <c r="E132" s="594">
        <f t="shared" si="28"/>
        <v>0</v>
      </c>
      <c r="F132" s="594">
        <v>0</v>
      </c>
      <c r="G132" s="594">
        <v>0</v>
      </c>
      <c r="H132" s="594">
        <v>0</v>
      </c>
      <c r="I132" s="594">
        <v>0</v>
      </c>
      <c r="J132" s="594">
        <v>0</v>
      </c>
      <c r="K132" s="594">
        <v>0</v>
      </c>
      <c r="L132" s="594">
        <v>0</v>
      </c>
      <c r="M132" s="594">
        <v>0</v>
      </c>
      <c r="N132" s="594">
        <v>0</v>
      </c>
      <c r="O132" s="594">
        <v>0</v>
      </c>
      <c r="P132" s="594">
        <v>0</v>
      </c>
    </row>
    <row r="133" spans="1:16" x14ac:dyDescent="0.25">
      <c r="A133" s="639" t="s">
        <v>92</v>
      </c>
      <c r="B133" s="594"/>
      <c r="C133" s="590">
        <f>C80</f>
        <v>0</v>
      </c>
      <c r="D133" s="594">
        <f t="shared" si="28"/>
        <v>167</v>
      </c>
      <c r="E133" s="594">
        <f t="shared" si="28"/>
        <v>339</v>
      </c>
      <c r="F133" s="594">
        <f>'Gen Fund  Inc Exp Statement'!F213</f>
        <v>70</v>
      </c>
      <c r="G133" s="594">
        <f>'Gen Fund  Inc Exp Statement'!G213</f>
        <v>70</v>
      </c>
      <c r="H133" s="594">
        <f>'Gen Fund  Inc Exp Statement'!H213</f>
        <v>70</v>
      </c>
      <c r="I133" s="594">
        <f>'Gen Fund  Inc Exp Statement'!I213</f>
        <v>70</v>
      </c>
      <c r="J133" s="594">
        <f>'Gen Fund  Inc Exp Statement'!J213</f>
        <v>70</v>
      </c>
      <c r="K133" s="594">
        <f>'Gen Fund  Inc Exp Statement'!K213</f>
        <v>71.400000000000006</v>
      </c>
      <c r="L133" s="594">
        <f>'Gen Fund  Inc Exp Statement'!L213</f>
        <v>72.828000000000003</v>
      </c>
      <c r="M133" s="594">
        <f>'Gen Fund  Inc Exp Statement'!M213</f>
        <v>74.284559999999999</v>
      </c>
      <c r="N133" s="594">
        <f>'Gen Fund  Inc Exp Statement'!N213</f>
        <v>75.770251200000004</v>
      </c>
      <c r="O133" s="594">
        <f>'Gen Fund  Inc Exp Statement'!O213</f>
        <v>77.285656224000007</v>
      </c>
      <c r="P133" s="594">
        <f>'Gen Fund  Inc Exp Statement'!P213</f>
        <v>78.83136934848001</v>
      </c>
    </row>
    <row r="134" spans="1:16" ht="5.25" customHeight="1" x14ac:dyDescent="0.25">
      <c r="B134" s="594"/>
      <c r="C134" s="594"/>
      <c r="D134" s="594"/>
      <c r="E134" s="594"/>
      <c r="F134" s="594"/>
      <c r="G134" s="594"/>
      <c r="H134" s="594"/>
      <c r="I134" s="594"/>
      <c r="J134" s="594"/>
      <c r="K134" s="594"/>
      <c r="L134" s="594"/>
      <c r="M134" s="594"/>
      <c r="N134" s="594"/>
      <c r="O134" s="594"/>
      <c r="P134" s="594"/>
    </row>
    <row r="135" spans="1:16" x14ac:dyDescent="0.25">
      <c r="A135" s="640" t="s">
        <v>87</v>
      </c>
      <c r="B135" s="594"/>
      <c r="C135" s="594"/>
      <c r="D135" s="594"/>
      <c r="E135" s="594"/>
      <c r="F135" s="594"/>
      <c r="G135" s="594"/>
      <c r="H135" s="594"/>
      <c r="I135" s="594"/>
      <c r="J135" s="594"/>
      <c r="K135" s="594"/>
      <c r="L135" s="594"/>
      <c r="M135" s="594"/>
      <c r="N135" s="594"/>
      <c r="O135" s="594"/>
      <c r="P135" s="594"/>
    </row>
    <row r="136" spans="1:16" x14ac:dyDescent="0.25">
      <c r="A136" s="639" t="s">
        <v>93</v>
      </c>
      <c r="B136" s="594"/>
      <c r="C136" s="594">
        <f>C83</f>
        <v>0</v>
      </c>
      <c r="D136" s="594">
        <f>D83</f>
        <v>-10303</v>
      </c>
      <c r="E136" s="594">
        <f>E83</f>
        <v>-11000</v>
      </c>
      <c r="F136" s="594">
        <f>-'Gen Fund  Inc Exp Statement'!F203</f>
        <v>-1723.0070000000001</v>
      </c>
      <c r="G136" s="594">
        <f>-'Gen Fund  Inc Exp Statement'!G203</f>
        <v>-2144.2849999999999</v>
      </c>
      <c r="H136" s="594">
        <f>-'Gen Fund  Inc Exp Statement'!H203</f>
        <v>-2218.17301</v>
      </c>
      <c r="I136" s="594">
        <f>-'Gen Fund  Inc Exp Statement'!I203</f>
        <v>-2294.8213903000001</v>
      </c>
      <c r="J136" s="594">
        <f>-'Gen Fund  Inc Exp Statement'!J203</f>
        <v>-2374.3454420090002</v>
      </c>
      <c r="K136" s="594">
        <f>-'Gen Fund  Inc Exp Statement'!K203</f>
        <v>-2421.8323508491803</v>
      </c>
      <c r="L136" s="594">
        <f>-'Gen Fund  Inc Exp Statement'!L203</f>
        <v>-2470.2689978661638</v>
      </c>
      <c r="M136" s="594">
        <f>-'Gen Fund  Inc Exp Statement'!M203</f>
        <v>-2519.6743778234872</v>
      </c>
      <c r="N136" s="594">
        <f>-'Gen Fund  Inc Exp Statement'!N203</f>
        <v>-2570.0678653799569</v>
      </c>
      <c r="O136" s="594">
        <f>-'Gen Fund  Inc Exp Statement'!O203</f>
        <v>-2621.4692226875559</v>
      </c>
      <c r="P136" s="594">
        <f>-'Gen Fund  Inc Exp Statement'!P203</f>
        <v>-2673.8986071413069</v>
      </c>
    </row>
    <row r="137" spans="1:16" x14ac:dyDescent="0.25">
      <c r="A137" s="594" t="str">
        <f>A84</f>
        <v>Purchase of Investment Property</v>
      </c>
      <c r="B137" s="594"/>
      <c r="C137" s="594"/>
      <c r="D137" s="594">
        <f>D84</f>
        <v>-2531</v>
      </c>
      <c r="E137" s="594">
        <f t="shared" ref="E137" si="29">E84</f>
        <v>-15180</v>
      </c>
      <c r="F137" s="594">
        <f>-'Gen Fund  Inc Exp Statement'!F200</f>
        <v>0</v>
      </c>
      <c r="G137" s="594">
        <f>-'Gen Fund  Inc Exp Statement'!G200</f>
        <v>0</v>
      </c>
      <c r="H137" s="594">
        <f>-'Gen Fund  Inc Exp Statement'!H200</f>
        <v>0</v>
      </c>
      <c r="I137" s="594">
        <f>-'Gen Fund  Inc Exp Statement'!I200</f>
        <v>0</v>
      </c>
      <c r="J137" s="594">
        <f>-'Gen Fund  Inc Exp Statement'!J200</f>
        <v>0</v>
      </c>
      <c r="K137" s="594">
        <f>-'Gen Fund  Inc Exp Statement'!K200</f>
        <v>0</v>
      </c>
      <c r="L137" s="594">
        <f>-'Gen Fund  Inc Exp Statement'!L200</f>
        <v>0</v>
      </c>
      <c r="M137" s="594">
        <f>-'Gen Fund  Inc Exp Statement'!M200</f>
        <v>0</v>
      </c>
      <c r="N137" s="594">
        <f>-'Gen Fund  Inc Exp Statement'!N200</f>
        <v>0</v>
      </c>
      <c r="O137" s="594">
        <f>-'Gen Fund  Inc Exp Statement'!O200</f>
        <v>0</v>
      </c>
      <c r="P137" s="594">
        <f>-'Gen Fund  Inc Exp Statement'!P200</f>
        <v>0</v>
      </c>
    </row>
    <row r="138" spans="1:16" x14ac:dyDescent="0.25">
      <c r="A138" s="639" t="s">
        <v>94</v>
      </c>
      <c r="B138" s="594"/>
      <c r="C138" s="594">
        <f>C85</f>
        <v>0</v>
      </c>
      <c r="D138" s="594">
        <f>D85</f>
        <v>-26369</v>
      </c>
      <c r="E138" s="594">
        <f>E85</f>
        <v>-25288</v>
      </c>
      <c r="F138" s="594">
        <f>-SUM('Gen Fund  Inc Exp Statement'!F199:'Gen Fund  Inc Exp Statement'!F201)-F137-F139</f>
        <v>-11320.422</v>
      </c>
      <c r="G138" s="594">
        <f>-SUM('Gen Fund  Inc Exp Statement'!G199:'Gen Fund  Inc Exp Statement'!G201)-G137-G139</f>
        <v>-10428.812</v>
      </c>
      <c r="H138" s="594">
        <f>-SUM('Gen Fund  Inc Exp Statement'!H199:'Gen Fund  Inc Exp Statement'!H201)-H137-H139</f>
        <v>-31571.091800000002</v>
      </c>
      <c r="I138" s="594">
        <f>-SUM('Gen Fund  Inc Exp Statement'!I199:'Gen Fund  Inc Exp Statement'!I201)-I137-I139</f>
        <v>-25103.173394999998</v>
      </c>
      <c r="J138" s="594">
        <f>-SUM('Gen Fund  Inc Exp Statement'!J199:'Gen Fund  Inc Exp Statement'!J201)-J137-J139</f>
        <v>-10982.533404874999</v>
      </c>
      <c r="K138" s="594">
        <f>-SUM('Gen Fund  Inc Exp Statement'!K199:'Gen Fund  Inc Exp Statement'!K201)-K137-K139</f>
        <v>-11202.184072972501</v>
      </c>
      <c r="L138" s="594">
        <f>-SUM('Gen Fund  Inc Exp Statement'!L199:'Gen Fund  Inc Exp Statement'!L201)-L137-L139</f>
        <v>-11426.227754431951</v>
      </c>
      <c r="M138" s="594">
        <f>-SUM('Gen Fund  Inc Exp Statement'!M199:'Gen Fund  Inc Exp Statement'!M201)-M137-M139</f>
        <v>-11654.752309520591</v>
      </c>
      <c r="N138" s="594">
        <f>-SUM('Gen Fund  Inc Exp Statement'!N199:'Gen Fund  Inc Exp Statement'!N201)-N137-N139</f>
        <v>-11887.847355711003</v>
      </c>
      <c r="O138" s="594">
        <f>-SUM('Gen Fund  Inc Exp Statement'!O199:'Gen Fund  Inc Exp Statement'!O201)-O137-O139</f>
        <v>-12125.604302825222</v>
      </c>
      <c r="P138" s="594">
        <f>-SUM('Gen Fund  Inc Exp Statement'!P199:'Gen Fund  Inc Exp Statement'!P201)-P137-P139</f>
        <v>-12368.116388881726</v>
      </c>
    </row>
    <row r="139" spans="1:16" x14ac:dyDescent="0.25">
      <c r="A139" s="641" t="s">
        <v>95</v>
      </c>
      <c r="B139" s="591"/>
      <c r="C139" s="591">
        <f>C86</f>
        <v>0</v>
      </c>
      <c r="D139" s="591">
        <f>D86</f>
        <v>-26</v>
      </c>
      <c r="E139" s="591">
        <f>E86</f>
        <v>-26</v>
      </c>
      <c r="F139" s="591">
        <f t="shared" ref="F139:P139" si="30">F86</f>
        <v>0</v>
      </c>
      <c r="G139" s="591">
        <f t="shared" si="30"/>
        <v>0</v>
      </c>
      <c r="H139" s="591">
        <f t="shared" si="30"/>
        <v>0</v>
      </c>
      <c r="I139" s="591">
        <f t="shared" si="30"/>
        <v>0</v>
      </c>
      <c r="J139" s="591">
        <f t="shared" si="30"/>
        <v>0</v>
      </c>
      <c r="K139" s="591">
        <f t="shared" si="30"/>
        <v>0</v>
      </c>
      <c r="L139" s="591">
        <f t="shared" si="30"/>
        <v>0</v>
      </c>
      <c r="M139" s="591">
        <f t="shared" si="30"/>
        <v>0</v>
      </c>
      <c r="N139" s="591">
        <f t="shared" si="30"/>
        <v>0</v>
      </c>
      <c r="O139" s="591">
        <f t="shared" si="30"/>
        <v>0</v>
      </c>
      <c r="P139" s="591">
        <f t="shared" si="30"/>
        <v>0</v>
      </c>
    </row>
    <row r="140" spans="1:16" x14ac:dyDescent="0.25">
      <c r="A140" s="642" t="s">
        <v>110</v>
      </c>
      <c r="B140" s="593">
        <f>SUM(B130:B139)</f>
        <v>0</v>
      </c>
      <c r="C140" s="593">
        <f t="shared" ref="C140:P140" si="31">SUM(C130:C139)</f>
        <v>0</v>
      </c>
      <c r="D140" s="593">
        <f t="shared" si="31"/>
        <v>-31571</v>
      </c>
      <c r="E140" s="593">
        <f t="shared" si="31"/>
        <v>-42316</v>
      </c>
      <c r="F140" s="593">
        <f t="shared" si="31"/>
        <v>-10710.491</v>
      </c>
      <c r="G140" s="593">
        <f t="shared" si="31"/>
        <v>-11953.097</v>
      </c>
      <c r="H140" s="593">
        <f t="shared" si="31"/>
        <v>-22719.264810000001</v>
      </c>
      <c r="I140" s="593">
        <f t="shared" si="31"/>
        <v>-27327.994785299998</v>
      </c>
      <c r="J140" s="593">
        <f t="shared" si="31"/>
        <v>-13286.878846883999</v>
      </c>
      <c r="K140" s="593">
        <f t="shared" si="31"/>
        <v>-11352.616423821681</v>
      </c>
      <c r="L140" s="593">
        <f t="shared" si="31"/>
        <v>-11579.668752298116</v>
      </c>
      <c r="M140" s="593">
        <f t="shared" si="31"/>
        <v>-11811.262127344078</v>
      </c>
      <c r="N140" s="593">
        <f t="shared" si="31"/>
        <v>-12047.48736989096</v>
      </c>
      <c r="O140" s="593">
        <f t="shared" si="31"/>
        <v>-12288.437117288779</v>
      </c>
      <c r="P140" s="593">
        <f t="shared" si="31"/>
        <v>-12534.205859634552</v>
      </c>
    </row>
    <row r="141" spans="1:16" ht="6.75" customHeight="1" x14ac:dyDescent="0.25">
      <c r="B141" s="594"/>
      <c r="C141" s="594"/>
      <c r="D141" s="594"/>
      <c r="E141" s="594"/>
      <c r="F141" s="594"/>
      <c r="G141" s="594"/>
      <c r="H141" s="594"/>
      <c r="I141" s="594"/>
      <c r="J141" s="594"/>
      <c r="K141" s="594"/>
      <c r="L141" s="594"/>
      <c r="M141" s="594"/>
      <c r="N141" s="594"/>
      <c r="O141" s="594"/>
      <c r="P141" s="594"/>
    </row>
    <row r="142" spans="1:16" x14ac:dyDescent="0.25">
      <c r="A142" s="592" t="s">
        <v>1054</v>
      </c>
      <c r="B142" s="590"/>
      <c r="C142" s="590"/>
      <c r="D142" s="590"/>
      <c r="E142" s="590"/>
      <c r="F142" s="590"/>
      <c r="G142" s="590"/>
      <c r="H142" s="590"/>
      <c r="I142" s="590"/>
      <c r="J142" s="590"/>
      <c r="K142" s="590"/>
      <c r="L142" s="590"/>
      <c r="M142" s="590"/>
      <c r="N142" s="590"/>
      <c r="O142" s="590"/>
      <c r="P142" s="590"/>
    </row>
    <row r="143" spans="1:16" x14ac:dyDescent="0.25">
      <c r="A143" s="640" t="s">
        <v>83</v>
      </c>
      <c r="B143" s="590"/>
      <c r="C143" s="590"/>
      <c r="D143" s="590"/>
      <c r="E143" s="590"/>
      <c r="F143" s="590"/>
      <c r="G143" s="590"/>
      <c r="H143" s="590"/>
      <c r="I143" s="590"/>
      <c r="J143" s="590"/>
      <c r="K143" s="590"/>
      <c r="L143" s="590"/>
      <c r="M143" s="590"/>
      <c r="N143" s="590"/>
      <c r="O143" s="590"/>
      <c r="P143" s="590"/>
    </row>
    <row r="144" spans="1:16" x14ac:dyDescent="0.25">
      <c r="A144" s="639" t="s">
        <v>1055</v>
      </c>
      <c r="B144" s="594"/>
      <c r="C144" s="594"/>
      <c r="D144" s="594">
        <f>D38</f>
        <v>5350</v>
      </c>
      <c r="E144" s="594">
        <f t="shared" ref="E144" si="32">E38</f>
        <v>13500</v>
      </c>
      <c r="F144" s="594">
        <f>'Gen Fund  Inc Exp Statement'!F212</f>
        <v>0</v>
      </c>
      <c r="G144" s="594">
        <f>'Gen Fund  Inc Exp Statement'!G212</f>
        <v>0</v>
      </c>
      <c r="H144" s="594">
        <f>'Gen Fund  Inc Exp Statement'!H212</f>
        <v>10500</v>
      </c>
      <c r="I144" s="594">
        <f>'Gen Fund  Inc Exp Statement'!I212</f>
        <v>11000</v>
      </c>
      <c r="J144" s="594">
        <f>'Gen Fund  Inc Exp Statement'!J212</f>
        <v>0</v>
      </c>
      <c r="K144" s="594">
        <f>'Gen Fund  Inc Exp Statement'!K212</f>
        <v>0</v>
      </c>
      <c r="L144" s="594">
        <f>'Gen Fund  Inc Exp Statement'!L212</f>
        <v>0</v>
      </c>
      <c r="M144" s="594">
        <f>'Gen Fund  Inc Exp Statement'!M212</f>
        <v>0</v>
      </c>
      <c r="N144" s="594">
        <f>'Gen Fund  Inc Exp Statement'!N212</f>
        <v>0</v>
      </c>
      <c r="O144" s="594">
        <f>'Gen Fund  Inc Exp Statement'!O212</f>
        <v>0</v>
      </c>
      <c r="P144" s="594">
        <f>'Gen Fund  Inc Exp Statement'!P212</f>
        <v>0</v>
      </c>
    </row>
    <row r="145" spans="1:16" ht="5.25" customHeight="1" x14ac:dyDescent="0.25">
      <c r="B145" s="594"/>
      <c r="C145" s="594"/>
      <c r="D145" s="594"/>
      <c r="E145" s="594"/>
      <c r="F145" s="594"/>
      <c r="G145" s="594"/>
      <c r="H145" s="594"/>
      <c r="I145" s="594"/>
      <c r="J145" s="594"/>
      <c r="K145" s="594"/>
      <c r="L145" s="594"/>
      <c r="M145" s="594"/>
      <c r="N145" s="594"/>
      <c r="O145" s="594"/>
      <c r="P145" s="594"/>
    </row>
    <row r="146" spans="1:16" x14ac:dyDescent="0.25">
      <c r="A146" s="640" t="s">
        <v>87</v>
      </c>
      <c r="B146" s="594"/>
      <c r="C146" s="594"/>
      <c r="D146" s="594"/>
      <c r="E146" s="594"/>
      <c r="F146" s="594"/>
      <c r="G146" s="594"/>
      <c r="H146" s="594"/>
      <c r="I146" s="594"/>
      <c r="J146" s="594"/>
      <c r="K146" s="594"/>
      <c r="L146" s="594"/>
      <c r="M146" s="594"/>
      <c r="N146" s="594"/>
      <c r="O146" s="594"/>
      <c r="P146" s="594"/>
    </row>
    <row r="147" spans="1:16" x14ac:dyDescent="0.25">
      <c r="A147" s="639" t="s">
        <v>1056</v>
      </c>
      <c r="B147" s="594"/>
      <c r="C147" s="594"/>
      <c r="D147" s="594">
        <f>D41</f>
        <v>-1616</v>
      </c>
      <c r="E147" s="594">
        <f t="shared" ref="E147" si="33">E41</f>
        <v>-2776</v>
      </c>
      <c r="F147" s="594">
        <f>-'Gen Fund  Inc Exp Statement'!F202</f>
        <v>-570.28700000000003</v>
      </c>
      <c r="G147" s="594">
        <f>-'Gen Fund  Inc Exp Statement'!G202</f>
        <v>-621.83900000000006</v>
      </c>
      <c r="H147" s="594">
        <f>-'Gen Fund  Inc Exp Statement'!H202</f>
        <v>-555.48599999999999</v>
      </c>
      <c r="I147" s="594">
        <f>-'Gen Fund  Inc Exp Statement'!I202</f>
        <v>-672.75099999999998</v>
      </c>
      <c r="J147" s="594">
        <f>-'Gen Fund  Inc Exp Statement'!J202</f>
        <v>-972.69899999999996</v>
      </c>
      <c r="K147" s="594">
        <f>-'Gen Fund  Inc Exp Statement'!K202</f>
        <v>-992.15297999999996</v>
      </c>
      <c r="L147" s="594">
        <f>-'Gen Fund  Inc Exp Statement'!L202</f>
        <v>-1011.9960396</v>
      </c>
      <c r="M147" s="594">
        <f>-'Gen Fund  Inc Exp Statement'!M202</f>
        <v>-1032.2359603919999</v>
      </c>
      <c r="N147" s="594">
        <f>-'Gen Fund  Inc Exp Statement'!N202</f>
        <v>-1052.8806795998401</v>
      </c>
      <c r="O147" s="594">
        <f>-'Gen Fund  Inc Exp Statement'!O202</f>
        <v>-1073.9382931918369</v>
      </c>
      <c r="P147" s="594">
        <f>-'Gen Fund  Inc Exp Statement'!P202</f>
        <v>-1095.4170590556737</v>
      </c>
    </row>
    <row r="148" spans="1:16" s="644" customFormat="1" x14ac:dyDescent="0.25">
      <c r="A148" s="770" t="s">
        <v>110</v>
      </c>
      <c r="B148" s="772">
        <f t="shared" ref="B148:P148" si="34">SUM(B144:B147)</f>
        <v>0</v>
      </c>
      <c r="C148" s="772">
        <f t="shared" si="34"/>
        <v>0</v>
      </c>
      <c r="D148" s="772">
        <f t="shared" si="34"/>
        <v>3734</v>
      </c>
      <c r="E148" s="772">
        <f t="shared" si="34"/>
        <v>10724</v>
      </c>
      <c r="F148" s="772">
        <f t="shared" si="34"/>
        <v>-570.28700000000003</v>
      </c>
      <c r="G148" s="772">
        <f t="shared" si="34"/>
        <v>-621.83900000000006</v>
      </c>
      <c r="H148" s="772">
        <f t="shared" si="34"/>
        <v>9944.5139999999992</v>
      </c>
      <c r="I148" s="772">
        <f t="shared" si="34"/>
        <v>10327.249</v>
      </c>
      <c r="J148" s="772">
        <f t="shared" si="34"/>
        <v>-972.69899999999996</v>
      </c>
      <c r="K148" s="772">
        <f t="shared" si="34"/>
        <v>-992.15297999999996</v>
      </c>
      <c r="L148" s="772">
        <f t="shared" si="34"/>
        <v>-1011.9960396</v>
      </c>
      <c r="M148" s="772">
        <f t="shared" si="34"/>
        <v>-1032.2359603919999</v>
      </c>
      <c r="N148" s="772">
        <f t="shared" si="34"/>
        <v>-1052.8806795998401</v>
      </c>
      <c r="O148" s="772">
        <f t="shared" si="34"/>
        <v>-1073.9382931918369</v>
      </c>
      <c r="P148" s="772">
        <f t="shared" si="34"/>
        <v>-1095.4170590556737</v>
      </c>
    </row>
    <row r="149" spans="1:16" s="644" customFormat="1" x14ac:dyDescent="0.25">
      <c r="A149" s="642"/>
      <c r="B149" s="593"/>
      <c r="C149" s="593"/>
      <c r="D149" s="593"/>
      <c r="E149" s="593"/>
      <c r="F149" s="593"/>
      <c r="G149" s="593"/>
      <c r="H149" s="593"/>
      <c r="I149" s="593"/>
      <c r="J149" s="593"/>
      <c r="K149" s="593"/>
      <c r="L149" s="593"/>
      <c r="M149" s="593"/>
      <c r="N149" s="593"/>
      <c r="O149" s="593"/>
      <c r="P149" s="593"/>
    </row>
    <row r="150" spans="1:16" x14ac:dyDescent="0.25">
      <c r="A150" s="592" t="s">
        <v>321</v>
      </c>
      <c r="B150" s="594">
        <f>+B126+B140</f>
        <v>0</v>
      </c>
      <c r="C150" s="594">
        <f>+C126+C140</f>
        <v>0</v>
      </c>
      <c r="D150" s="594">
        <f>+D126+D140+D148</f>
        <v>5944</v>
      </c>
      <c r="E150" s="594">
        <f t="shared" ref="E150:P150" si="35">+E126+E140+E148</f>
        <v>-6977</v>
      </c>
      <c r="F150" s="594">
        <f t="shared" si="35"/>
        <v>30.000000000003865</v>
      </c>
      <c r="G150" s="594">
        <f t="shared" si="35"/>
        <v>158.35149999999874</v>
      </c>
      <c r="H150" s="594">
        <f t="shared" si="35"/>
        <v>92.73848349999389</v>
      </c>
      <c r="I150" s="594">
        <f t="shared" si="35"/>
        <v>81.456064337497082</v>
      </c>
      <c r="J150" s="594">
        <f t="shared" si="35"/>
        <v>-1019.1042240540659</v>
      </c>
      <c r="K150" s="594">
        <f t="shared" si="35"/>
        <v>492.23700176734462</v>
      </c>
      <c r="L150" s="594">
        <f t="shared" si="35"/>
        <v>574.57536757677065</v>
      </c>
      <c r="M150" s="594">
        <f t="shared" si="35"/>
        <v>261.49627959765121</v>
      </c>
      <c r="N150" s="594">
        <f t="shared" si="35"/>
        <v>326.50951562876867</v>
      </c>
      <c r="O150" s="594">
        <f t="shared" si="35"/>
        <v>-903.69322065573374</v>
      </c>
      <c r="P150" s="594">
        <f t="shared" si="35"/>
        <v>-2924.1848587673417</v>
      </c>
    </row>
    <row r="151" spans="1:16" x14ac:dyDescent="0.25">
      <c r="A151" s="644"/>
      <c r="B151" s="594"/>
      <c r="C151" s="594"/>
      <c r="D151" s="594"/>
      <c r="E151" s="594"/>
      <c r="F151" s="594"/>
      <c r="G151" s="594"/>
      <c r="H151" s="594"/>
      <c r="I151" s="594"/>
      <c r="J151" s="594"/>
      <c r="K151" s="594"/>
      <c r="L151" s="594"/>
      <c r="M151" s="594"/>
      <c r="N151" s="594"/>
      <c r="O151" s="594"/>
      <c r="P151" s="594"/>
    </row>
    <row r="152" spans="1:16" x14ac:dyDescent="0.25">
      <c r="A152" s="592" t="s">
        <v>96</v>
      </c>
      <c r="B152" s="594"/>
      <c r="C152" s="594">
        <f>+B154</f>
        <v>0</v>
      </c>
      <c r="D152" s="594">
        <f t="shared" ref="D152" si="36">D99</f>
        <v>3352</v>
      </c>
      <c r="E152" s="594">
        <f t="shared" ref="E152:P152" si="37">+D154</f>
        <v>9296</v>
      </c>
      <c r="F152" s="594">
        <f t="shared" si="37"/>
        <v>2319</v>
      </c>
      <c r="G152" s="594">
        <f t="shared" si="37"/>
        <v>2349.0000000000036</v>
      </c>
      <c r="H152" s="594">
        <f t="shared" si="37"/>
        <v>2507.3515000000025</v>
      </c>
      <c r="I152" s="594">
        <f t="shared" si="37"/>
        <v>2600.0899834999964</v>
      </c>
      <c r="J152" s="594">
        <f t="shared" si="37"/>
        <v>2681.5460478374935</v>
      </c>
      <c r="K152" s="594">
        <f t="shared" si="37"/>
        <v>1662.4418237834275</v>
      </c>
      <c r="L152" s="594">
        <f t="shared" si="37"/>
        <v>2154.6788255507722</v>
      </c>
      <c r="M152" s="594">
        <f t="shared" si="37"/>
        <v>2729.2541931275427</v>
      </c>
      <c r="N152" s="594">
        <f t="shared" si="37"/>
        <v>2990.750472725194</v>
      </c>
      <c r="O152" s="594">
        <f t="shared" si="37"/>
        <v>3317.2599883539624</v>
      </c>
      <c r="P152" s="594">
        <f t="shared" si="37"/>
        <v>2413.5667676982284</v>
      </c>
    </row>
    <row r="153" spans="1:16" x14ac:dyDescent="0.25">
      <c r="B153" s="594"/>
      <c r="C153" s="594"/>
      <c r="D153" s="594"/>
      <c r="E153" s="594"/>
      <c r="F153" s="594"/>
      <c r="G153" s="594"/>
      <c r="H153" s="594"/>
      <c r="I153" s="594"/>
      <c r="J153" s="594"/>
      <c r="K153" s="594"/>
      <c r="L153" s="594"/>
      <c r="M153" s="594"/>
      <c r="N153" s="594"/>
      <c r="O153" s="594"/>
      <c r="P153" s="594"/>
    </row>
    <row r="154" spans="1:16" ht="12.6" thickBot="1" x14ac:dyDescent="0.3">
      <c r="A154" s="592" t="s">
        <v>97</v>
      </c>
      <c r="B154" s="645">
        <f>+B150+B152</f>
        <v>0</v>
      </c>
      <c r="C154" s="645">
        <f t="shared" ref="C154:P154" si="38">+C150+C152</f>
        <v>0</v>
      </c>
      <c r="D154" s="645">
        <f t="shared" si="38"/>
        <v>9296</v>
      </c>
      <c r="E154" s="645">
        <f t="shared" si="38"/>
        <v>2319</v>
      </c>
      <c r="F154" s="645">
        <f t="shared" si="38"/>
        <v>2349.0000000000036</v>
      </c>
      <c r="G154" s="645">
        <f t="shared" si="38"/>
        <v>2507.3515000000025</v>
      </c>
      <c r="H154" s="645">
        <f t="shared" si="38"/>
        <v>2600.0899834999964</v>
      </c>
      <c r="I154" s="645">
        <f t="shared" si="38"/>
        <v>2681.5460478374935</v>
      </c>
      <c r="J154" s="645">
        <f t="shared" si="38"/>
        <v>1662.4418237834275</v>
      </c>
      <c r="K154" s="651">
        <f t="shared" si="38"/>
        <v>2154.6788255507722</v>
      </c>
      <c r="L154" s="645">
        <f t="shared" si="38"/>
        <v>2729.2541931275427</v>
      </c>
      <c r="M154" s="645">
        <f t="shared" si="38"/>
        <v>2990.750472725194</v>
      </c>
      <c r="N154" s="645">
        <f t="shared" si="38"/>
        <v>3317.2599883539624</v>
      </c>
      <c r="O154" s="645">
        <f t="shared" si="38"/>
        <v>2413.5667676982284</v>
      </c>
      <c r="P154" s="645">
        <f t="shared" si="38"/>
        <v>-510.61809106911323</v>
      </c>
    </row>
    <row r="155" spans="1:16" ht="4.5" customHeight="1" x14ac:dyDescent="0.25"/>
    <row r="156" spans="1:16" x14ac:dyDescent="0.25">
      <c r="A156" s="639" t="s">
        <v>98</v>
      </c>
      <c r="B156" s="590"/>
      <c r="C156" s="590">
        <f>B156-C136-C130</f>
        <v>0</v>
      </c>
      <c r="D156" s="590">
        <f>D103</f>
        <v>46112</v>
      </c>
      <c r="E156" s="590">
        <f>'GF &amp; FF  Bal Sheet'!E100+'GF &amp; FF  Bal Sheet'!E107</f>
        <v>17083</v>
      </c>
      <c r="F156" s="590">
        <f t="shared" ref="F156:P156" si="39">E156-F136-F130</f>
        <v>16543.069000000003</v>
      </c>
      <c r="G156" s="590">
        <f t="shared" si="39"/>
        <v>18137.354000000003</v>
      </c>
      <c r="H156" s="590">
        <f t="shared" si="39"/>
        <v>9355.5270100000016</v>
      </c>
      <c r="I156" s="590">
        <f t="shared" si="39"/>
        <v>11650.348400300001</v>
      </c>
      <c r="J156" s="590">
        <f t="shared" si="39"/>
        <v>14024.693842309001</v>
      </c>
      <c r="K156" s="590">
        <f t="shared" si="39"/>
        <v>14246.526193158181</v>
      </c>
      <c r="L156" s="590">
        <f t="shared" si="39"/>
        <v>14472.795191024343</v>
      </c>
      <c r="M156" s="590">
        <f t="shared" si="39"/>
        <v>14703.58956884783</v>
      </c>
      <c r="N156" s="590">
        <f t="shared" si="39"/>
        <v>14938.999834227789</v>
      </c>
      <c r="O156" s="590">
        <f t="shared" si="39"/>
        <v>15179.118304915346</v>
      </c>
      <c r="P156" s="590">
        <f t="shared" si="39"/>
        <v>15424.039145016653</v>
      </c>
    </row>
    <row r="157" spans="1:16" ht="4.5" customHeight="1" x14ac:dyDescent="0.25">
      <c r="B157" s="590"/>
      <c r="C157" s="590"/>
      <c r="D157" s="590"/>
      <c r="E157" s="590"/>
      <c r="F157" s="590"/>
      <c r="G157" s="590"/>
      <c r="H157" s="590"/>
      <c r="I157" s="590"/>
      <c r="J157" s="590"/>
      <c r="K157" s="590"/>
      <c r="L157" s="590"/>
      <c r="M157" s="590"/>
      <c r="N157" s="590"/>
      <c r="O157" s="590"/>
      <c r="P157" s="590"/>
    </row>
    <row r="158" spans="1:16" ht="12.6" thickBot="1" x14ac:dyDescent="0.3">
      <c r="A158" s="592" t="s">
        <v>99</v>
      </c>
      <c r="B158" s="646">
        <f>+B154+B156</f>
        <v>0</v>
      </c>
      <c r="C158" s="646">
        <f t="shared" ref="C158:P158" si="40">+C154+C156</f>
        <v>0</v>
      </c>
      <c r="D158" s="646">
        <f t="shared" si="40"/>
        <v>55408</v>
      </c>
      <c r="E158" s="646">
        <f t="shared" si="40"/>
        <v>19402</v>
      </c>
      <c r="F158" s="646">
        <f t="shared" si="40"/>
        <v>18892.069000000007</v>
      </c>
      <c r="G158" s="646">
        <f t="shared" si="40"/>
        <v>20644.705500000004</v>
      </c>
      <c r="H158" s="646">
        <f t="shared" si="40"/>
        <v>11955.616993499998</v>
      </c>
      <c r="I158" s="646">
        <f t="shared" si="40"/>
        <v>14331.894448137495</v>
      </c>
      <c r="J158" s="646">
        <f t="shared" si="40"/>
        <v>15687.135666092428</v>
      </c>
      <c r="K158" s="646">
        <f t="shared" si="40"/>
        <v>16401.205018708952</v>
      </c>
      <c r="L158" s="646">
        <f t="shared" si="40"/>
        <v>17202.049384151884</v>
      </c>
      <c r="M158" s="646">
        <f t="shared" si="40"/>
        <v>17694.340041573025</v>
      </c>
      <c r="N158" s="646">
        <f t="shared" si="40"/>
        <v>18256.259822581749</v>
      </c>
      <c r="O158" s="646">
        <f t="shared" si="40"/>
        <v>17592.685072613574</v>
      </c>
      <c r="P158" s="646">
        <f t="shared" si="40"/>
        <v>14913.421053947541</v>
      </c>
    </row>
    <row r="159" spans="1:16" ht="12.6" thickTop="1" x14ac:dyDescent="0.25"/>
  </sheetData>
  <pageMargins left="0.70866141732283472" right="0.70866141732283472" top="0.74803149606299213" bottom="0.74803149606299213" header="0.31496062992125984" footer="0.31496062992125984"/>
  <pageSetup paperSize="9" scale="88" fitToHeight="0" orientation="landscape" r:id="rId1"/>
  <rowBreaks count="2" manualBreakCount="2">
    <brk id="53" max="16383" man="1"/>
    <brk id="10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137"/>
  <sheetViews>
    <sheetView workbookViewId="0">
      <pane xSplit="3" ySplit="3" topLeftCell="F4" activePane="bottomRight" state="frozen"/>
      <selection pane="topRight" activeCell="D1" sqref="D1"/>
      <selection pane="bottomLeft" activeCell="A3" sqref="A3"/>
      <selection pane="bottomRight" activeCell="P134" sqref="A1:P134"/>
    </sheetView>
  </sheetViews>
  <sheetFormatPr defaultColWidth="9.109375" defaultRowHeight="10.199999999999999" outlineLevelRow="1" outlineLevelCol="1" x14ac:dyDescent="0.2"/>
  <cols>
    <col min="1" max="1" width="31" style="653" customWidth="1"/>
    <col min="2" max="3" width="13.109375" style="653" hidden="1" customWidth="1" outlineLevel="1"/>
    <col min="4" max="4" width="13.109375" style="653" hidden="1" customWidth="1" outlineLevel="1" collapsed="1"/>
    <col min="5" max="5" width="9.88671875" style="653" hidden="1" customWidth="1" outlineLevel="1" collapsed="1"/>
    <col min="6" max="6" width="9.88671875" style="653" bestFit="1" customWidth="1" collapsed="1"/>
    <col min="7" max="16" width="9.88671875" style="653" bestFit="1" customWidth="1"/>
    <col min="17" max="16384" width="9.109375" style="653"/>
  </cols>
  <sheetData>
    <row r="1" spans="1:16" ht="12.75" x14ac:dyDescent="0.2">
      <c r="A1" s="1091" t="s">
        <v>1247</v>
      </c>
    </row>
    <row r="2" spans="1:16" s="660" customFormat="1" ht="12" x14ac:dyDescent="0.2">
      <c r="A2" s="652" t="s">
        <v>1071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16" ht="11.25" x14ac:dyDescent="0.2">
      <c r="A3" s="652" t="s">
        <v>72</v>
      </c>
      <c r="B3" s="741" t="s">
        <v>68</v>
      </c>
      <c r="C3" s="694" t="s">
        <v>0</v>
      </c>
      <c r="D3" s="694" t="s">
        <v>1</v>
      </c>
      <c r="E3" s="694" t="s">
        <v>2</v>
      </c>
      <c r="F3" s="694" t="s">
        <v>3</v>
      </c>
      <c r="G3" s="694" t="s">
        <v>4</v>
      </c>
      <c r="H3" s="694" t="s">
        <v>5</v>
      </c>
      <c r="I3" s="694" t="s">
        <v>6</v>
      </c>
      <c r="J3" s="694" t="s">
        <v>7</v>
      </c>
      <c r="K3" s="694" t="s">
        <v>8</v>
      </c>
      <c r="L3" s="694" t="s">
        <v>9</v>
      </c>
      <c r="M3" s="694" t="s">
        <v>514</v>
      </c>
      <c r="N3" s="694" t="s">
        <v>515</v>
      </c>
      <c r="O3" s="694" t="s">
        <v>904</v>
      </c>
      <c r="P3" s="694" t="s">
        <v>1046</v>
      </c>
    </row>
    <row r="4" spans="1:16" s="664" customFormat="1" ht="11.25" x14ac:dyDescent="0.2">
      <c r="A4" s="661"/>
      <c r="B4" s="662"/>
      <c r="C4" s="662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</row>
    <row r="5" spans="1:16" ht="11.25" x14ac:dyDescent="0.2">
      <c r="A5" s="654" t="s">
        <v>35</v>
      </c>
      <c r="B5" s="608"/>
      <c r="C5" s="608"/>
      <c r="D5" s="608"/>
      <c r="E5" s="608"/>
      <c r="F5" s="608"/>
      <c r="G5" s="608"/>
      <c r="H5" s="608"/>
      <c r="I5" s="608"/>
      <c r="J5" s="608"/>
      <c r="K5" s="608"/>
      <c r="L5" s="608"/>
      <c r="M5" s="608"/>
      <c r="N5" s="608"/>
      <c r="O5" s="608"/>
      <c r="P5" s="608"/>
    </row>
    <row r="6" spans="1:16" ht="11.25" x14ac:dyDescent="0.2">
      <c r="A6" s="654" t="s">
        <v>36</v>
      </c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</row>
    <row r="7" spans="1:16" ht="11.25" x14ac:dyDescent="0.2">
      <c r="A7" s="653" t="s">
        <v>37</v>
      </c>
      <c r="B7" s="608"/>
      <c r="C7" s="608"/>
      <c r="D7" s="608">
        <v>9296</v>
      </c>
      <c r="E7" s="608">
        <v>2319</v>
      </c>
      <c r="F7" s="608">
        <f>+'Gen Fund  Cash Flow'!F48</f>
        <v>2349.0000000000055</v>
      </c>
      <c r="G7" s="608">
        <f>+'Gen Fund  Cash Flow'!G48</f>
        <v>2268.7809600000037</v>
      </c>
      <c r="H7" s="608">
        <f>+'Gen Fund  Cash Flow'!H48</f>
        <v>2267.9286349999957</v>
      </c>
      <c r="I7" s="608">
        <f>+'Gen Fund  Cash Flow'!I48</f>
        <v>1967.2451399999995</v>
      </c>
      <c r="J7" s="608">
        <f>+'Gen Fund  Cash Flow'!J48</f>
        <v>1566.5548107499997</v>
      </c>
      <c r="K7" s="608">
        <f>+'Gen Fund  Cash Flow'!K48</f>
        <v>1058.6723615980334</v>
      </c>
      <c r="L7" s="608">
        <f>+'Gen Fund  Cash Flow'!L48</f>
        <v>593.59930878633691</v>
      </c>
      <c r="M7" s="608">
        <f>+'Gen Fund  Cash Flow'!M48</f>
        <v>459.00742645610967</v>
      </c>
      <c r="N7" s="608">
        <f>+'Gen Fund  Cash Flow'!N48</f>
        <v>160.87972300186061</v>
      </c>
      <c r="O7" s="608">
        <f>+'Gen Fund  Cash Flow'!O48</f>
        <v>-172.75257280323808</v>
      </c>
      <c r="P7" s="608">
        <f>+'Gen Fund  Cash Flow'!P48</f>
        <v>-284.64860938653533</v>
      </c>
    </row>
    <row r="8" spans="1:16" ht="11.25" x14ac:dyDescent="0.2">
      <c r="A8" s="653" t="s">
        <v>38</v>
      </c>
      <c r="B8" s="608"/>
      <c r="C8" s="608"/>
      <c r="D8" s="608">
        <v>7148</v>
      </c>
      <c r="E8" s="608">
        <f>83+1629</f>
        <v>1712</v>
      </c>
      <c r="F8" s="608">
        <f>+'Gen Fund  Cash Flow'!F50-F15</f>
        <v>1172.0690000000031</v>
      </c>
      <c r="G8" s="608">
        <f>+'Gen Fund  Cash Flow'!G50-G15</f>
        <v>1116.354000000003</v>
      </c>
      <c r="H8" s="608">
        <f>+'Gen Fund  Cash Flow'!H50-H15</f>
        <v>-1665.4829899999968</v>
      </c>
      <c r="I8" s="608">
        <f>+'Gen Fund  Cash Flow'!I50-I15</f>
        <v>-1370.6615996999972</v>
      </c>
      <c r="J8" s="608">
        <f>+'Gen Fund  Cash Flow'!J50-J15</f>
        <v>-996.2561576909975</v>
      </c>
      <c r="K8" s="608">
        <f>+'Gen Fund  Cash Flow'!K50-K15</f>
        <v>-614.36260684181798</v>
      </c>
      <c r="L8" s="608">
        <f>+'Gen Fund  Cash Flow'!L50-L15</f>
        <v>-224.83118497565374</v>
      </c>
      <c r="M8" s="608">
        <f>+'Gen Fund  Cash Flow'!M50-M15</f>
        <v>172.49086532783258</v>
      </c>
      <c r="N8" s="608">
        <f>+'Gen Fund  Cash Flow'!N50-N15</f>
        <v>577.75935663739074</v>
      </c>
      <c r="O8" s="608">
        <f>+'Gen Fund  Cash Flow'!O50-O15</f>
        <v>991.13321777313831</v>
      </c>
      <c r="P8" s="608">
        <f>+'Gen Fund  Cash Flow'!P50-P15</f>
        <v>1412.7745561316005</v>
      </c>
    </row>
    <row r="9" spans="1:16" ht="11.25" x14ac:dyDescent="0.2">
      <c r="A9" s="653" t="s">
        <v>39</v>
      </c>
      <c r="B9" s="608"/>
      <c r="C9" s="608"/>
      <c r="D9" s="608">
        <v>5459</v>
      </c>
      <c r="E9" s="608">
        <f>168+6598</f>
        <v>6766</v>
      </c>
      <c r="F9" s="608">
        <f t="shared" ref="F9:P11" si="0">+E9</f>
        <v>6766</v>
      </c>
      <c r="G9" s="608">
        <f t="shared" si="0"/>
        <v>6766</v>
      </c>
      <c r="H9" s="608">
        <f t="shared" si="0"/>
        <v>6766</v>
      </c>
      <c r="I9" s="608">
        <f t="shared" si="0"/>
        <v>6766</v>
      </c>
      <c r="J9" s="608">
        <f t="shared" si="0"/>
        <v>6766</v>
      </c>
      <c r="K9" s="608">
        <f t="shared" si="0"/>
        <v>6766</v>
      </c>
      <c r="L9" s="608">
        <f t="shared" si="0"/>
        <v>6766</v>
      </c>
      <c r="M9" s="608">
        <f t="shared" si="0"/>
        <v>6766</v>
      </c>
      <c r="N9" s="608">
        <f t="shared" si="0"/>
        <v>6766</v>
      </c>
      <c r="O9" s="608">
        <f t="shared" si="0"/>
        <v>6766</v>
      </c>
      <c r="P9" s="608">
        <f t="shared" si="0"/>
        <v>6766</v>
      </c>
    </row>
    <row r="10" spans="1:16" ht="11.25" x14ac:dyDescent="0.2">
      <c r="A10" s="653" t="s">
        <v>40</v>
      </c>
      <c r="B10" s="608"/>
      <c r="C10" s="608"/>
      <c r="D10" s="608">
        <v>2131</v>
      </c>
      <c r="E10" s="608">
        <v>2116</v>
      </c>
      <c r="F10" s="608">
        <f t="shared" si="0"/>
        <v>2116</v>
      </c>
      <c r="G10" s="608">
        <f t="shared" si="0"/>
        <v>2116</v>
      </c>
      <c r="H10" s="608">
        <f t="shared" si="0"/>
        <v>2116</v>
      </c>
      <c r="I10" s="608">
        <f t="shared" si="0"/>
        <v>2116</v>
      </c>
      <c r="J10" s="608">
        <f t="shared" si="0"/>
        <v>2116</v>
      </c>
      <c r="K10" s="608">
        <f t="shared" si="0"/>
        <v>2116</v>
      </c>
      <c r="L10" s="608">
        <f t="shared" si="0"/>
        <v>2116</v>
      </c>
      <c r="M10" s="608">
        <f t="shared" si="0"/>
        <v>2116</v>
      </c>
      <c r="N10" s="608">
        <f t="shared" si="0"/>
        <v>2116</v>
      </c>
      <c r="O10" s="608">
        <f t="shared" si="0"/>
        <v>2116</v>
      </c>
      <c r="P10" s="608">
        <f t="shared" si="0"/>
        <v>2116</v>
      </c>
    </row>
    <row r="11" spans="1:16" ht="11.25" x14ac:dyDescent="0.2">
      <c r="A11" s="655" t="s">
        <v>41</v>
      </c>
      <c r="B11" s="615"/>
      <c r="C11" s="608"/>
      <c r="D11" s="608">
        <v>28</v>
      </c>
      <c r="E11" s="608">
        <v>102</v>
      </c>
      <c r="F11" s="608">
        <f t="shared" si="0"/>
        <v>102</v>
      </c>
      <c r="G11" s="608">
        <f t="shared" si="0"/>
        <v>102</v>
      </c>
      <c r="H11" s="608">
        <f t="shared" si="0"/>
        <v>102</v>
      </c>
      <c r="I11" s="608">
        <f t="shared" si="0"/>
        <v>102</v>
      </c>
      <c r="J11" s="608">
        <f t="shared" si="0"/>
        <v>102</v>
      </c>
      <c r="K11" s="608">
        <f t="shared" si="0"/>
        <v>102</v>
      </c>
      <c r="L11" s="608">
        <f t="shared" si="0"/>
        <v>102</v>
      </c>
      <c r="M11" s="608">
        <f t="shared" si="0"/>
        <v>102</v>
      </c>
      <c r="N11" s="608">
        <f t="shared" si="0"/>
        <v>102</v>
      </c>
      <c r="O11" s="608">
        <f t="shared" si="0"/>
        <v>102</v>
      </c>
      <c r="P11" s="608">
        <f t="shared" si="0"/>
        <v>102</v>
      </c>
    </row>
    <row r="12" spans="1:16" s="657" customFormat="1" ht="11.25" x14ac:dyDescent="0.2">
      <c r="A12" s="654" t="s">
        <v>42</v>
      </c>
      <c r="B12" s="656">
        <f>SUM(B7:B11)</f>
        <v>0</v>
      </c>
      <c r="C12" s="656">
        <f t="shared" ref="C12:P12" si="1">SUM(C7:C11)</f>
        <v>0</v>
      </c>
      <c r="D12" s="656">
        <f t="shared" si="1"/>
        <v>24062</v>
      </c>
      <c r="E12" s="656">
        <f t="shared" si="1"/>
        <v>13015</v>
      </c>
      <c r="F12" s="656">
        <f t="shared" si="1"/>
        <v>12505.069000000009</v>
      </c>
      <c r="G12" s="656">
        <f t="shared" si="1"/>
        <v>12369.134960000007</v>
      </c>
      <c r="H12" s="656">
        <f t="shared" si="1"/>
        <v>9586.4456449999998</v>
      </c>
      <c r="I12" s="656">
        <f t="shared" si="1"/>
        <v>9580.5835403000019</v>
      </c>
      <c r="J12" s="656">
        <f t="shared" si="1"/>
        <v>9554.2986530590024</v>
      </c>
      <c r="K12" s="656">
        <f t="shared" si="1"/>
        <v>9428.3097547562156</v>
      </c>
      <c r="L12" s="656">
        <f t="shared" si="1"/>
        <v>9352.7681238106834</v>
      </c>
      <c r="M12" s="656">
        <f t="shared" si="1"/>
        <v>9615.4982917839425</v>
      </c>
      <c r="N12" s="656">
        <f t="shared" si="1"/>
        <v>9722.6390796392516</v>
      </c>
      <c r="O12" s="656">
        <f t="shared" si="1"/>
        <v>9802.3806449699005</v>
      </c>
      <c r="P12" s="656">
        <f t="shared" si="1"/>
        <v>10112.125946745065</v>
      </c>
    </row>
    <row r="13" spans="1:16" ht="11.25" x14ac:dyDescent="0.2">
      <c r="B13" s="608"/>
      <c r="C13" s="608"/>
      <c r="D13" s="608"/>
      <c r="E13" s="608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</row>
    <row r="14" spans="1:16" ht="11.25" x14ac:dyDescent="0.2">
      <c r="A14" s="654" t="s">
        <v>43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</row>
    <row r="15" spans="1:16" ht="11.25" x14ac:dyDescent="0.2">
      <c r="A15" s="763" t="s">
        <v>38</v>
      </c>
      <c r="B15" s="608"/>
      <c r="C15" s="608"/>
      <c r="D15" s="608">
        <v>38964</v>
      </c>
      <c r="E15" s="608">
        <f>273+15098</f>
        <v>15371</v>
      </c>
      <c r="F15" s="608">
        <f>E15</f>
        <v>15371</v>
      </c>
      <c r="G15" s="608">
        <f t="shared" ref="G15:P15" si="2">F15</f>
        <v>15371</v>
      </c>
      <c r="H15" s="608">
        <f>G15-3000</f>
        <v>12371</v>
      </c>
      <c r="I15" s="608">
        <f t="shared" si="2"/>
        <v>12371</v>
      </c>
      <c r="J15" s="608">
        <f t="shared" si="2"/>
        <v>12371</v>
      </c>
      <c r="K15" s="608">
        <f t="shared" si="2"/>
        <v>12371</v>
      </c>
      <c r="L15" s="608">
        <f t="shared" si="2"/>
        <v>12371</v>
      </c>
      <c r="M15" s="608">
        <f t="shared" si="2"/>
        <v>12371</v>
      </c>
      <c r="N15" s="608">
        <f t="shared" si="2"/>
        <v>12371</v>
      </c>
      <c r="O15" s="608">
        <f t="shared" si="2"/>
        <v>12371</v>
      </c>
      <c r="P15" s="608">
        <f t="shared" si="2"/>
        <v>12371</v>
      </c>
    </row>
    <row r="16" spans="1:16" ht="11.25" x14ac:dyDescent="0.2">
      <c r="A16" s="760" t="s">
        <v>44</v>
      </c>
      <c r="B16" s="608"/>
      <c r="C16" s="608"/>
      <c r="D16" s="608">
        <v>550049</v>
      </c>
      <c r="E16" s="608">
        <f>461754</f>
        <v>461754</v>
      </c>
      <c r="F16" s="608">
        <f>+E16-'Gen Fund  Inc Exp Statement'!F28+SUM('Gen Fund  Inc Exp Statement'!F52:F54)-'Gen Fund  Inc Exp Statement'!F53-'Gen Fund  Inc Exp Statement'!F66</f>
        <v>464493.77600000001</v>
      </c>
      <c r="G16" s="608">
        <f>+F16-'Gen Fund  Inc Exp Statement'!G28+SUM('Gen Fund  Inc Exp Statement'!G52:G54)-'Gen Fund  Inc Exp Statement'!G53-'Gen Fund  Inc Exp Statement'!G66</f>
        <v>468526.99200000003</v>
      </c>
      <c r="H16" s="608">
        <f>+G16-'Gen Fund  Inc Exp Statement'!H28+SUM('Gen Fund  Inc Exp Statement'!H52:H54)-'Gen Fund  Inc Exp Statement'!H53-'Gen Fund  Inc Exp Statement'!H66</f>
        <v>478266.80080000003</v>
      </c>
      <c r="I16" s="608">
        <f>+H16-'Gen Fund  Inc Exp Statement'!I28+SUM('Gen Fund  Inc Exp Statement'!I52:I54)-'Gen Fund  Inc Exp Statement'!I53-'Gen Fund  Inc Exp Statement'!I66</f>
        <v>482681.93419500004</v>
      </c>
      <c r="J16" s="608">
        <f>+I16-'Gen Fund  Inc Exp Statement'!J28+SUM('Gen Fund  Inc Exp Statement'!J52:J54)-'Gen Fund  Inc Exp Statement'!J53-'Gen Fund  Inc Exp Statement'!J66</f>
        <v>487042.28459987504</v>
      </c>
      <c r="K16" s="608">
        <f>+J16-'Gen Fund  Inc Exp Statement'!K28+SUM('Gen Fund  Inc Exp Statement'!K52:K54)-'Gen Fund  Inc Exp Statement'!K53-'Gen Fund  Inc Exp Statement'!K66</f>
        <v>491224.08672487503</v>
      </c>
      <c r="L16" s="608">
        <f>+K16-'Gen Fund  Inc Exp Statement'!L28+SUM('Gen Fund  Inc Exp Statement'!L52:L54)-'Gen Fund  Inc Exp Statement'!L53-'Gen Fund  Inc Exp Statement'!L66</f>
        <v>495400.78815300006</v>
      </c>
      <c r="M16" s="608">
        <f>+L16-'Gen Fund  Inc Exp Statement'!M28+SUM('Gen Fund  Inc Exp Statement'!M52:M54)-'Gen Fund  Inc Exp Statement'!M53-'Gen Fund  Inc Exp Statement'!M66</f>
        <v>499571.46338182822</v>
      </c>
      <c r="N16" s="608">
        <f>+M16-'Gen Fund  Inc Exp Statement'!N28+SUM('Gen Fund  Inc Exp Statement'!N52:N54)-'Gen Fund  Inc Exp Statement'!N53-'Gen Fund  Inc Exp Statement'!N66</f>
        <v>504057.60119917704</v>
      </c>
      <c r="O16" s="608">
        <f>+N16-'Gen Fund  Inc Exp Statement'!O28+SUM('Gen Fund  Inc Exp Statement'!O52:O54)-'Gen Fund  Inc Exp Statement'!O53-'Gen Fund  Inc Exp Statement'!O66</f>
        <v>508630.5769014156</v>
      </c>
      <c r="P16" s="608">
        <f>+O16-'Gen Fund  Inc Exp Statement'!P28+SUM('Gen Fund  Inc Exp Statement'!P52:P54)-'Gen Fund  Inc Exp Statement'!P53-'Gen Fund  Inc Exp Statement'!P66</f>
        <v>513030.64944195526</v>
      </c>
    </row>
    <row r="17" spans="1:16" ht="11.25" x14ac:dyDescent="0.2">
      <c r="A17" s="760" t="s">
        <v>1050</v>
      </c>
      <c r="B17" s="608"/>
      <c r="C17" s="608"/>
      <c r="D17" s="608">
        <v>89</v>
      </c>
      <c r="E17" s="608">
        <v>91</v>
      </c>
      <c r="F17" s="608">
        <f>E17</f>
        <v>91</v>
      </c>
      <c r="G17" s="608">
        <f t="shared" ref="G17:P17" si="3">F17</f>
        <v>91</v>
      </c>
      <c r="H17" s="608">
        <f t="shared" si="3"/>
        <v>91</v>
      </c>
      <c r="I17" s="608">
        <f t="shared" si="3"/>
        <v>91</v>
      </c>
      <c r="J17" s="608">
        <f t="shared" si="3"/>
        <v>91</v>
      </c>
      <c r="K17" s="608">
        <f t="shared" si="3"/>
        <v>91</v>
      </c>
      <c r="L17" s="608">
        <f t="shared" si="3"/>
        <v>91</v>
      </c>
      <c r="M17" s="608">
        <f t="shared" si="3"/>
        <v>91</v>
      </c>
      <c r="N17" s="608">
        <f t="shared" si="3"/>
        <v>91</v>
      </c>
      <c r="O17" s="608">
        <f t="shared" si="3"/>
        <v>91</v>
      </c>
      <c r="P17" s="608">
        <f t="shared" si="3"/>
        <v>91</v>
      </c>
    </row>
    <row r="18" spans="1:16" s="760" customFormat="1" ht="11.25" x14ac:dyDescent="0.2">
      <c r="A18" s="760" t="s">
        <v>939</v>
      </c>
      <c r="B18" s="608"/>
      <c r="C18" s="608"/>
      <c r="D18" s="608">
        <v>8861</v>
      </c>
      <c r="E18" s="608">
        <v>20675</v>
      </c>
      <c r="F18" s="608">
        <f>E18+'Gen Fund  Inc Exp Statement'!F53</f>
        <v>20675</v>
      </c>
      <c r="G18" s="608">
        <f>F18+'Gen Fund  Inc Exp Statement'!G53</f>
        <v>20675</v>
      </c>
      <c r="H18" s="608">
        <f>G18+'Gen Fund  Inc Exp Statement'!H53</f>
        <v>20675</v>
      </c>
      <c r="I18" s="608">
        <f>H18+'Gen Fund  Inc Exp Statement'!I53</f>
        <v>20675</v>
      </c>
      <c r="J18" s="608">
        <f>I18+'Gen Fund  Inc Exp Statement'!J53</f>
        <v>20675</v>
      </c>
      <c r="K18" s="608">
        <f>J18+'Gen Fund  Inc Exp Statement'!K53</f>
        <v>20675</v>
      </c>
      <c r="L18" s="608">
        <f>K18+'Gen Fund  Inc Exp Statement'!L53</f>
        <v>20675</v>
      </c>
      <c r="M18" s="608">
        <f>L18+'Gen Fund  Inc Exp Statement'!M53</f>
        <v>20675</v>
      </c>
      <c r="N18" s="608">
        <f>M18+'Gen Fund  Inc Exp Statement'!N53</f>
        <v>20675</v>
      </c>
      <c r="O18" s="608">
        <f>N18+'Gen Fund  Inc Exp Statement'!O53</f>
        <v>20675</v>
      </c>
      <c r="P18" s="608">
        <f>O18+'Gen Fund  Inc Exp Statement'!P53</f>
        <v>20675</v>
      </c>
    </row>
    <row r="19" spans="1:16" s="657" customFormat="1" ht="11.25" x14ac:dyDescent="0.2">
      <c r="A19" s="761" t="s">
        <v>45</v>
      </c>
      <c r="B19" s="762">
        <f>SUM(B16)</f>
        <v>0</v>
      </c>
      <c r="C19" s="762">
        <f t="shared" ref="C19" si="4">SUM(C16)</f>
        <v>0</v>
      </c>
      <c r="D19" s="762">
        <f>SUM(D14:D18)</f>
        <v>597963</v>
      </c>
      <c r="E19" s="762">
        <f t="shared" ref="E19:P19" si="5">SUM(E14:E18)</f>
        <v>497891</v>
      </c>
      <c r="F19" s="762">
        <f t="shared" si="5"/>
        <v>500630.77600000001</v>
      </c>
      <c r="G19" s="762">
        <f t="shared" si="5"/>
        <v>504663.99200000003</v>
      </c>
      <c r="H19" s="762">
        <f t="shared" si="5"/>
        <v>511403.80080000003</v>
      </c>
      <c r="I19" s="762">
        <f t="shared" si="5"/>
        <v>515818.93419500004</v>
      </c>
      <c r="J19" s="762">
        <f t="shared" si="5"/>
        <v>520179.28459987504</v>
      </c>
      <c r="K19" s="762">
        <f t="shared" si="5"/>
        <v>524361.08672487503</v>
      </c>
      <c r="L19" s="762">
        <f t="shared" si="5"/>
        <v>528537.78815300006</v>
      </c>
      <c r="M19" s="762">
        <f t="shared" si="5"/>
        <v>532708.46338182827</v>
      </c>
      <c r="N19" s="762">
        <f t="shared" si="5"/>
        <v>537194.60119917709</v>
      </c>
      <c r="O19" s="762">
        <f t="shared" si="5"/>
        <v>541767.5769014156</v>
      </c>
      <c r="P19" s="762">
        <f t="shared" si="5"/>
        <v>546167.64944195526</v>
      </c>
    </row>
    <row r="20" spans="1:16" ht="9" customHeight="1" x14ac:dyDescent="0.2">
      <c r="B20" s="608"/>
      <c r="C20" s="608"/>
      <c r="D20" s="608"/>
      <c r="E20" s="608"/>
      <c r="F20" s="608"/>
      <c r="G20" s="608"/>
      <c r="H20" s="608"/>
      <c r="I20" s="608"/>
      <c r="J20" s="608"/>
      <c r="K20" s="608"/>
      <c r="L20" s="608"/>
      <c r="M20" s="608"/>
      <c r="N20" s="608"/>
      <c r="O20" s="608"/>
      <c r="P20" s="608"/>
    </row>
    <row r="21" spans="1:16" s="657" customFormat="1" ht="12" thickBot="1" x14ac:dyDescent="0.25">
      <c r="A21" s="654" t="s">
        <v>46</v>
      </c>
      <c r="B21" s="665">
        <f>+B12+B19</f>
        <v>0</v>
      </c>
      <c r="C21" s="665">
        <f t="shared" ref="C21:P21" si="6">+C12+C19</f>
        <v>0</v>
      </c>
      <c r="D21" s="665">
        <f t="shared" si="6"/>
        <v>622025</v>
      </c>
      <c r="E21" s="665">
        <f t="shared" si="6"/>
        <v>510906</v>
      </c>
      <c r="F21" s="665">
        <f t="shared" si="6"/>
        <v>513135.84500000003</v>
      </c>
      <c r="G21" s="665">
        <f t="shared" si="6"/>
        <v>517033.12696000002</v>
      </c>
      <c r="H21" s="665">
        <f t="shared" si="6"/>
        <v>520990.24644500006</v>
      </c>
      <c r="I21" s="665">
        <f t="shared" si="6"/>
        <v>525399.5177353</v>
      </c>
      <c r="J21" s="665">
        <f t="shared" si="6"/>
        <v>529733.58325293404</v>
      </c>
      <c r="K21" s="665">
        <f t="shared" si="6"/>
        <v>533789.39647963119</v>
      </c>
      <c r="L21" s="665">
        <f t="shared" si="6"/>
        <v>537890.5562768107</v>
      </c>
      <c r="M21" s="665">
        <f t="shared" si="6"/>
        <v>542323.96167361224</v>
      </c>
      <c r="N21" s="665">
        <f t="shared" si="6"/>
        <v>546917.24027881632</v>
      </c>
      <c r="O21" s="665">
        <f t="shared" si="6"/>
        <v>551569.95754638547</v>
      </c>
      <c r="P21" s="665">
        <f t="shared" si="6"/>
        <v>556279.77538870031</v>
      </c>
    </row>
    <row r="22" spans="1:16" ht="11.25" x14ac:dyDescent="0.2">
      <c r="B22" s="608"/>
      <c r="C22" s="608"/>
      <c r="D22" s="608"/>
      <c r="E22" s="608"/>
      <c r="F22" s="608"/>
      <c r="G22" s="608"/>
      <c r="H22" s="608"/>
      <c r="I22" s="608"/>
      <c r="J22" s="608"/>
      <c r="K22" s="608"/>
      <c r="L22" s="608"/>
      <c r="M22" s="608"/>
      <c r="N22" s="608"/>
      <c r="O22" s="608"/>
      <c r="P22" s="608"/>
    </row>
    <row r="23" spans="1:16" ht="11.25" x14ac:dyDescent="0.2">
      <c r="A23" s="654" t="s">
        <v>47</v>
      </c>
      <c r="B23" s="608"/>
      <c r="C23" s="608"/>
      <c r="D23" s="608"/>
      <c r="E23" s="608"/>
      <c r="F23" s="608"/>
      <c r="G23" s="608"/>
      <c r="H23" s="608"/>
      <c r="I23" s="608"/>
      <c r="J23" s="608"/>
      <c r="K23" s="608"/>
      <c r="L23" s="608"/>
      <c r="M23" s="608"/>
      <c r="N23" s="608"/>
      <c r="O23" s="608"/>
      <c r="P23" s="608"/>
    </row>
    <row r="24" spans="1:16" ht="11.25" x14ac:dyDescent="0.2">
      <c r="A24" s="654" t="s">
        <v>48</v>
      </c>
      <c r="B24" s="608"/>
      <c r="C24" s="608"/>
      <c r="D24" s="608"/>
      <c r="E24" s="608"/>
      <c r="F24" s="608"/>
      <c r="G24" s="608"/>
      <c r="H24" s="608"/>
      <c r="I24" s="608"/>
      <c r="J24" s="608"/>
      <c r="K24" s="608"/>
      <c r="L24" s="608"/>
      <c r="M24" s="608"/>
      <c r="N24" s="608"/>
      <c r="O24" s="608"/>
      <c r="P24" s="608"/>
    </row>
    <row r="25" spans="1:16" ht="11.25" x14ac:dyDescent="0.2">
      <c r="A25" s="666" t="s">
        <v>49</v>
      </c>
      <c r="B25" s="608"/>
      <c r="C25" s="608"/>
      <c r="D25" s="608">
        <v>5504</v>
      </c>
      <c r="E25" s="608">
        <f>68+4402</f>
        <v>4470</v>
      </c>
      <c r="F25" s="608">
        <f t="shared" ref="F25:P27" si="7">+E25</f>
        <v>4470</v>
      </c>
      <c r="G25" s="608">
        <f t="shared" si="7"/>
        <v>4470</v>
      </c>
      <c r="H25" s="608">
        <f t="shared" si="7"/>
        <v>4470</v>
      </c>
      <c r="I25" s="608">
        <f t="shared" si="7"/>
        <v>4470</v>
      </c>
      <c r="J25" s="608">
        <f t="shared" si="7"/>
        <v>4470</v>
      </c>
      <c r="K25" s="608">
        <f t="shared" si="7"/>
        <v>4470</v>
      </c>
      <c r="L25" s="608">
        <f t="shared" si="7"/>
        <v>4470</v>
      </c>
      <c r="M25" s="608">
        <f t="shared" si="7"/>
        <v>4470</v>
      </c>
      <c r="N25" s="608">
        <f t="shared" si="7"/>
        <v>4470</v>
      </c>
      <c r="O25" s="608">
        <f t="shared" si="7"/>
        <v>4470</v>
      </c>
      <c r="P25" s="608">
        <f t="shared" si="7"/>
        <v>4470</v>
      </c>
    </row>
    <row r="26" spans="1:16" ht="11.25" x14ac:dyDescent="0.2">
      <c r="A26" s="666" t="s">
        <v>1051</v>
      </c>
      <c r="B26" s="608"/>
      <c r="C26" s="608"/>
      <c r="D26" s="608">
        <v>2925</v>
      </c>
      <c r="E26" s="608">
        <f>667</f>
        <v>667</v>
      </c>
      <c r="F26" s="608">
        <f>'Gen Fund  Inc Exp Statement'!G55</f>
        <v>621.83900000000006</v>
      </c>
      <c r="G26" s="608">
        <f>'Gen Fund  Inc Exp Statement'!H55</f>
        <v>555.48599999999999</v>
      </c>
      <c r="H26" s="608">
        <f>'Gen Fund  Inc Exp Statement'!I55</f>
        <v>422.65899999999999</v>
      </c>
      <c r="I26" s="608">
        <f>'Gen Fund  Inc Exp Statement'!J55</f>
        <v>446.92500000000001</v>
      </c>
      <c r="J26" s="608">
        <f>'Gen Fund  Inc Exp Statement'!K55</f>
        <v>474</v>
      </c>
      <c r="K26" s="608">
        <f>'Gen Fund  Inc Exp Statement'!L55</f>
        <v>501</v>
      </c>
      <c r="L26" s="608">
        <f>'Gen Fund  Inc Exp Statement'!M55</f>
        <v>232</v>
      </c>
      <c r="M26" s="608">
        <f>'Gen Fund  Inc Exp Statement'!N55</f>
        <v>145</v>
      </c>
      <c r="N26" s="608">
        <f>'Gen Fund  Inc Exp Statement'!O55</f>
        <v>152</v>
      </c>
      <c r="O26" s="608">
        <f>'Gen Fund  Inc Exp Statement'!P55</f>
        <v>160</v>
      </c>
      <c r="P26" s="608">
        <f>'Gen Fund  Inc Exp Statement'!Q55</f>
        <v>0</v>
      </c>
    </row>
    <row r="27" spans="1:16" ht="11.25" x14ac:dyDescent="0.2">
      <c r="A27" s="667" t="s">
        <v>50</v>
      </c>
      <c r="B27" s="615"/>
      <c r="C27" s="608"/>
      <c r="D27" s="608">
        <v>2773</v>
      </c>
      <c r="E27" s="608">
        <v>2577</v>
      </c>
      <c r="F27" s="608">
        <f t="shared" si="7"/>
        <v>2577</v>
      </c>
      <c r="G27" s="608">
        <f t="shared" si="7"/>
        <v>2577</v>
      </c>
      <c r="H27" s="608">
        <f t="shared" si="7"/>
        <v>2577</v>
      </c>
      <c r="I27" s="608">
        <f t="shared" si="7"/>
        <v>2577</v>
      </c>
      <c r="J27" s="608">
        <f t="shared" si="7"/>
        <v>2577</v>
      </c>
      <c r="K27" s="608">
        <f t="shared" si="7"/>
        <v>2577</v>
      </c>
      <c r="L27" s="608">
        <f t="shared" si="7"/>
        <v>2577</v>
      </c>
      <c r="M27" s="608">
        <f t="shared" si="7"/>
        <v>2577</v>
      </c>
      <c r="N27" s="608">
        <f t="shared" si="7"/>
        <v>2577</v>
      </c>
      <c r="O27" s="608">
        <f t="shared" si="7"/>
        <v>2577</v>
      </c>
      <c r="P27" s="608">
        <f t="shared" si="7"/>
        <v>2577</v>
      </c>
    </row>
    <row r="28" spans="1:16" s="657" customFormat="1" ht="11.25" x14ac:dyDescent="0.2">
      <c r="A28" s="654" t="s">
        <v>51</v>
      </c>
      <c r="B28" s="656">
        <f>SUM(B25:B27)</f>
        <v>0</v>
      </c>
      <c r="C28" s="656">
        <f t="shared" ref="C28:P28" si="8">SUM(C25:C27)</f>
        <v>0</v>
      </c>
      <c r="D28" s="656">
        <f t="shared" si="8"/>
        <v>11202</v>
      </c>
      <c r="E28" s="656">
        <f t="shared" si="8"/>
        <v>7714</v>
      </c>
      <c r="F28" s="656">
        <f t="shared" si="8"/>
        <v>7668.8389999999999</v>
      </c>
      <c r="G28" s="656">
        <f t="shared" si="8"/>
        <v>7602.4859999999999</v>
      </c>
      <c r="H28" s="656">
        <f t="shared" si="8"/>
        <v>7469.6589999999997</v>
      </c>
      <c r="I28" s="656">
        <f t="shared" si="8"/>
        <v>7493.9250000000002</v>
      </c>
      <c r="J28" s="656">
        <f t="shared" si="8"/>
        <v>7521</v>
      </c>
      <c r="K28" s="656">
        <f t="shared" si="8"/>
        <v>7548</v>
      </c>
      <c r="L28" s="656">
        <f t="shared" si="8"/>
        <v>7279</v>
      </c>
      <c r="M28" s="656">
        <f t="shared" si="8"/>
        <v>7192</v>
      </c>
      <c r="N28" s="656">
        <f t="shared" si="8"/>
        <v>7199</v>
      </c>
      <c r="O28" s="656">
        <f t="shared" si="8"/>
        <v>7207</v>
      </c>
      <c r="P28" s="656">
        <f t="shared" si="8"/>
        <v>7047</v>
      </c>
    </row>
    <row r="29" spans="1:16" ht="11.25" x14ac:dyDescent="0.2">
      <c r="B29" s="608"/>
      <c r="C29" s="608"/>
      <c r="D29" s="608"/>
      <c r="E29" s="608"/>
      <c r="F29" s="608"/>
      <c r="G29" s="608"/>
      <c r="H29" s="608"/>
      <c r="I29" s="608"/>
      <c r="J29" s="608"/>
      <c r="K29" s="608"/>
      <c r="L29" s="608"/>
      <c r="M29" s="608"/>
      <c r="N29" s="608"/>
      <c r="O29" s="608"/>
      <c r="P29" s="608"/>
    </row>
    <row r="30" spans="1:16" ht="11.25" x14ac:dyDescent="0.2">
      <c r="A30" s="654" t="s">
        <v>52</v>
      </c>
      <c r="B30" s="608"/>
      <c r="C30" s="608"/>
      <c r="D30" s="608"/>
      <c r="E30" s="608"/>
      <c r="F30" s="608"/>
      <c r="G30" s="608"/>
      <c r="H30" s="608"/>
      <c r="I30" s="608"/>
      <c r="J30" s="608"/>
      <c r="K30" s="608"/>
      <c r="L30" s="608"/>
      <c r="M30" s="608"/>
      <c r="N30" s="608"/>
      <c r="O30" s="608"/>
      <c r="P30" s="608"/>
    </row>
    <row r="31" spans="1:16" ht="11.25" x14ac:dyDescent="0.2">
      <c r="A31" s="653" t="s">
        <v>49</v>
      </c>
      <c r="B31" s="608"/>
      <c r="C31" s="608"/>
      <c r="D31" s="608">
        <v>0</v>
      </c>
      <c r="E31" s="608">
        <v>0</v>
      </c>
      <c r="F31" s="608">
        <f t="shared" ref="F31:P33" si="9">+E31</f>
        <v>0</v>
      </c>
      <c r="G31" s="608">
        <f t="shared" si="9"/>
        <v>0</v>
      </c>
      <c r="H31" s="608">
        <f t="shared" si="9"/>
        <v>0</v>
      </c>
      <c r="I31" s="608">
        <f t="shared" si="9"/>
        <v>0</v>
      </c>
      <c r="J31" s="608">
        <f t="shared" si="9"/>
        <v>0</v>
      </c>
      <c r="K31" s="608">
        <f t="shared" si="9"/>
        <v>0</v>
      </c>
      <c r="L31" s="608">
        <f t="shared" si="9"/>
        <v>0</v>
      </c>
      <c r="M31" s="608">
        <f t="shared" si="9"/>
        <v>0</v>
      </c>
      <c r="N31" s="608">
        <f t="shared" si="9"/>
        <v>0</v>
      </c>
      <c r="O31" s="608">
        <f t="shared" si="9"/>
        <v>0</v>
      </c>
      <c r="P31" s="608">
        <f t="shared" si="9"/>
        <v>0</v>
      </c>
    </row>
    <row r="32" spans="1:16" ht="11.25" x14ac:dyDescent="0.2">
      <c r="A32" s="653" t="s">
        <v>1051</v>
      </c>
      <c r="B32" s="608"/>
      <c r="C32" s="608"/>
      <c r="D32" s="608">
        <v>13675</v>
      </c>
      <c r="E32" s="608">
        <f>6000-E26</f>
        <v>5333</v>
      </c>
      <c r="F32" s="608">
        <f>E26+E32+'Gen Fund  Cash Flow'!F38+'Gen Fund  Cash Flow'!F41-'Gen Fund  Bal Sheet'!F26</f>
        <v>4807.8739999999998</v>
      </c>
      <c r="G32" s="608">
        <f>F26+F32+'Gen Fund  Cash Flow'!G38+'Gen Fund  Cash Flow'!G41-'Gen Fund  Bal Sheet'!G26</f>
        <v>4252.3879999999999</v>
      </c>
      <c r="H32" s="608">
        <f>G26+G32+'Gen Fund  Cash Flow'!H38+'Gen Fund  Cash Flow'!H41-'Gen Fund  Bal Sheet'!H26</f>
        <v>3829.7289999999998</v>
      </c>
      <c r="I32" s="608">
        <f>H26+H32+'Gen Fund  Cash Flow'!I38+'Gen Fund  Cash Flow'!I41-'Gen Fund  Bal Sheet'!I26</f>
        <v>3382.8039999999996</v>
      </c>
      <c r="J32" s="608">
        <f>I26+I32+'Gen Fund  Cash Flow'!J38+'Gen Fund  Cash Flow'!J41-'Gen Fund  Bal Sheet'!J26</f>
        <v>2908.8039999999996</v>
      </c>
      <c r="K32" s="608">
        <f>J26+J32+'Gen Fund  Cash Flow'!K38+'Gen Fund  Cash Flow'!K41-'Gen Fund  Bal Sheet'!K26</f>
        <v>2407.8039999999996</v>
      </c>
      <c r="L32" s="608">
        <f>K26+K32+'Gen Fund  Cash Flow'!L38+'Gen Fund  Cash Flow'!L41-'Gen Fund  Bal Sheet'!L26</f>
        <v>2175.8039999999996</v>
      </c>
      <c r="M32" s="608">
        <f>L26+L32+'Gen Fund  Cash Flow'!M38+'Gen Fund  Cash Flow'!M41-'Gen Fund  Bal Sheet'!M26</f>
        <v>2030.8039999999996</v>
      </c>
      <c r="N32" s="608">
        <f>M26+M32+'Gen Fund  Cash Flow'!N38+'Gen Fund  Cash Flow'!N41-'Gen Fund  Bal Sheet'!N26</f>
        <v>1878.8039999999996</v>
      </c>
      <c r="O32" s="608">
        <f>N26+N32+'Gen Fund  Cash Flow'!O38+'Gen Fund  Cash Flow'!O41-'Gen Fund  Bal Sheet'!O26</f>
        <v>1718.8039999999996</v>
      </c>
      <c r="P32" s="608">
        <f>O26+O32+'Gen Fund  Cash Flow'!P38+'Gen Fund  Cash Flow'!P41-'Gen Fund  Bal Sheet'!P26</f>
        <v>1718.8039999999996</v>
      </c>
    </row>
    <row r="33" spans="1:16" ht="11.25" x14ac:dyDescent="0.2">
      <c r="A33" s="655" t="s">
        <v>50</v>
      </c>
      <c r="B33" s="615"/>
      <c r="C33" s="608"/>
      <c r="D33" s="608">
        <v>5056</v>
      </c>
      <c r="E33" s="608">
        <v>5284</v>
      </c>
      <c r="F33" s="608">
        <f t="shared" si="9"/>
        <v>5284</v>
      </c>
      <c r="G33" s="608">
        <f t="shared" si="9"/>
        <v>5284</v>
      </c>
      <c r="H33" s="608">
        <f t="shared" si="9"/>
        <v>5284</v>
      </c>
      <c r="I33" s="608">
        <f t="shared" si="9"/>
        <v>5284</v>
      </c>
      <c r="J33" s="608">
        <f t="shared" si="9"/>
        <v>5284</v>
      </c>
      <c r="K33" s="608">
        <f t="shared" si="9"/>
        <v>5284</v>
      </c>
      <c r="L33" s="608">
        <f t="shared" si="9"/>
        <v>5284</v>
      </c>
      <c r="M33" s="608">
        <f t="shared" si="9"/>
        <v>5284</v>
      </c>
      <c r="N33" s="608">
        <f t="shared" si="9"/>
        <v>5284</v>
      </c>
      <c r="O33" s="608">
        <f t="shared" si="9"/>
        <v>5284</v>
      </c>
      <c r="P33" s="608">
        <f t="shared" si="9"/>
        <v>5284</v>
      </c>
    </row>
    <row r="34" spans="1:16" s="657" customFormat="1" ht="11.25" x14ac:dyDescent="0.2">
      <c r="A34" s="654" t="s">
        <v>53</v>
      </c>
      <c r="B34" s="656">
        <f>SUM(B31:B33)</f>
        <v>0</v>
      </c>
      <c r="C34" s="656">
        <f t="shared" ref="C34:P34" si="10">SUM(C31:C33)</f>
        <v>0</v>
      </c>
      <c r="D34" s="656">
        <f t="shared" si="10"/>
        <v>18731</v>
      </c>
      <c r="E34" s="656">
        <f t="shared" si="10"/>
        <v>10617</v>
      </c>
      <c r="F34" s="656">
        <f t="shared" si="10"/>
        <v>10091.874</v>
      </c>
      <c r="G34" s="656">
        <f t="shared" si="10"/>
        <v>9536.387999999999</v>
      </c>
      <c r="H34" s="656">
        <f t="shared" si="10"/>
        <v>9113.7289999999994</v>
      </c>
      <c r="I34" s="656">
        <f t="shared" si="10"/>
        <v>8666.8040000000001</v>
      </c>
      <c r="J34" s="656">
        <f t="shared" si="10"/>
        <v>8192.8040000000001</v>
      </c>
      <c r="K34" s="656">
        <f t="shared" si="10"/>
        <v>7691.8040000000001</v>
      </c>
      <c r="L34" s="656">
        <f t="shared" si="10"/>
        <v>7459.8040000000001</v>
      </c>
      <c r="M34" s="656">
        <f t="shared" si="10"/>
        <v>7314.8040000000001</v>
      </c>
      <c r="N34" s="656">
        <f t="shared" si="10"/>
        <v>7162.8040000000001</v>
      </c>
      <c r="O34" s="656">
        <f t="shared" si="10"/>
        <v>7002.8040000000001</v>
      </c>
      <c r="P34" s="656">
        <f t="shared" si="10"/>
        <v>7002.8040000000001</v>
      </c>
    </row>
    <row r="35" spans="1:16" ht="9" customHeight="1" x14ac:dyDescent="0.2">
      <c r="B35" s="608"/>
      <c r="C35" s="608"/>
      <c r="D35" s="608"/>
      <c r="E35" s="608"/>
      <c r="F35" s="608"/>
      <c r="G35" s="608"/>
      <c r="H35" s="608"/>
      <c r="I35" s="608"/>
      <c r="J35" s="608"/>
      <c r="K35" s="608"/>
      <c r="L35" s="608"/>
      <c r="M35" s="608"/>
      <c r="N35" s="608"/>
      <c r="O35" s="608"/>
      <c r="P35" s="608"/>
    </row>
    <row r="36" spans="1:16" s="657" customFormat="1" ht="12" thickBot="1" x14ac:dyDescent="0.25">
      <c r="A36" s="654" t="s">
        <v>54</v>
      </c>
      <c r="B36" s="665">
        <f>+B28+B34</f>
        <v>0</v>
      </c>
      <c r="C36" s="665">
        <f t="shared" ref="C36:P36" si="11">+C28+C34</f>
        <v>0</v>
      </c>
      <c r="D36" s="665">
        <f t="shared" si="11"/>
        <v>29933</v>
      </c>
      <c r="E36" s="665">
        <f t="shared" si="11"/>
        <v>18331</v>
      </c>
      <c r="F36" s="665">
        <f t="shared" si="11"/>
        <v>17760.713</v>
      </c>
      <c r="G36" s="665">
        <f t="shared" si="11"/>
        <v>17138.874</v>
      </c>
      <c r="H36" s="665">
        <f t="shared" si="11"/>
        <v>16583.387999999999</v>
      </c>
      <c r="I36" s="665">
        <f t="shared" si="11"/>
        <v>16160.728999999999</v>
      </c>
      <c r="J36" s="665">
        <f t="shared" si="11"/>
        <v>15713.804</v>
      </c>
      <c r="K36" s="665">
        <f t="shared" si="11"/>
        <v>15239.804</v>
      </c>
      <c r="L36" s="665">
        <f t="shared" si="11"/>
        <v>14738.804</v>
      </c>
      <c r="M36" s="665">
        <f t="shared" si="11"/>
        <v>14506.804</v>
      </c>
      <c r="N36" s="665">
        <f t="shared" si="11"/>
        <v>14361.804</v>
      </c>
      <c r="O36" s="665">
        <f t="shared" si="11"/>
        <v>14209.804</v>
      </c>
      <c r="P36" s="665">
        <f t="shared" si="11"/>
        <v>14049.804</v>
      </c>
    </row>
    <row r="37" spans="1:16" s="657" customFormat="1" ht="12" thickBot="1" x14ac:dyDescent="0.25">
      <c r="A37" s="654" t="s">
        <v>55</v>
      </c>
      <c r="B37" s="668">
        <f>+B21-B36</f>
        <v>0</v>
      </c>
      <c r="C37" s="668">
        <f t="shared" ref="C37:P37" si="12">+C21-C36</f>
        <v>0</v>
      </c>
      <c r="D37" s="668">
        <f t="shared" si="12"/>
        <v>592092</v>
      </c>
      <c r="E37" s="668">
        <f t="shared" si="12"/>
        <v>492575</v>
      </c>
      <c r="F37" s="668">
        <f t="shared" si="12"/>
        <v>495375.13200000004</v>
      </c>
      <c r="G37" s="668">
        <f t="shared" si="12"/>
        <v>499894.25296000001</v>
      </c>
      <c r="H37" s="668">
        <f t="shared" si="12"/>
        <v>504406.85844500008</v>
      </c>
      <c r="I37" s="668">
        <f t="shared" si="12"/>
        <v>509238.78873530001</v>
      </c>
      <c r="J37" s="668">
        <f t="shared" si="12"/>
        <v>514019.77925293404</v>
      </c>
      <c r="K37" s="668">
        <f t="shared" si="12"/>
        <v>518549.59247963119</v>
      </c>
      <c r="L37" s="668">
        <f t="shared" si="12"/>
        <v>523151.7522768107</v>
      </c>
      <c r="M37" s="668">
        <f t="shared" si="12"/>
        <v>527817.15767361224</v>
      </c>
      <c r="N37" s="668">
        <f t="shared" si="12"/>
        <v>532555.43627881631</v>
      </c>
      <c r="O37" s="668">
        <f t="shared" si="12"/>
        <v>537360.15354638547</v>
      </c>
      <c r="P37" s="668">
        <f t="shared" si="12"/>
        <v>542229.9713887003</v>
      </c>
    </row>
    <row r="38" spans="1:16" ht="12" thickTop="1" x14ac:dyDescent="0.2">
      <c r="B38" s="608"/>
      <c r="C38" s="608"/>
      <c r="D38" s="608"/>
      <c r="E38" s="608"/>
      <c r="F38" s="608"/>
      <c r="G38" s="608"/>
      <c r="H38" s="608"/>
      <c r="I38" s="608"/>
      <c r="J38" s="608"/>
      <c r="K38" s="608"/>
      <c r="L38" s="608"/>
      <c r="M38" s="608"/>
      <c r="N38" s="608"/>
      <c r="O38" s="608"/>
      <c r="P38" s="608"/>
    </row>
    <row r="39" spans="1:16" ht="11.25" x14ac:dyDescent="0.2">
      <c r="A39" s="654" t="s">
        <v>56</v>
      </c>
      <c r="B39" s="608"/>
      <c r="C39" s="608"/>
      <c r="D39" s="608"/>
      <c r="E39" s="608"/>
      <c r="F39" s="608"/>
      <c r="G39" s="608"/>
      <c r="H39" s="608"/>
      <c r="I39" s="608"/>
      <c r="J39" s="608"/>
      <c r="K39" s="608"/>
      <c r="L39" s="608"/>
      <c r="M39" s="608"/>
      <c r="N39" s="608"/>
      <c r="O39" s="608"/>
      <c r="P39" s="608"/>
    </row>
    <row r="40" spans="1:16" ht="11.25" x14ac:dyDescent="0.2">
      <c r="A40" s="653" t="s">
        <v>57</v>
      </c>
      <c r="B40" s="608"/>
      <c r="C40" s="608"/>
      <c r="D40" s="608">
        <v>291432</v>
      </c>
      <c r="E40" s="608">
        <f>456+223454+18059</f>
        <v>241969</v>
      </c>
      <c r="F40" s="608">
        <f>+'General Fund  Equity Statement'!F13</f>
        <v>226710.13200000001</v>
      </c>
      <c r="G40" s="608">
        <f>+'General Fund  Equity Statement'!G13</f>
        <v>231229.25296000001</v>
      </c>
      <c r="H40" s="608">
        <f>+'General Fund  Equity Statement'!H13</f>
        <v>235741.85844500002</v>
      </c>
      <c r="I40" s="608">
        <f>+'General Fund  Equity Statement'!I13</f>
        <v>240573.78873530001</v>
      </c>
      <c r="J40" s="608">
        <f>+'General Fund  Equity Statement'!J13</f>
        <v>245354.77925293401</v>
      </c>
      <c r="K40" s="608">
        <f>+'General Fund  Equity Statement'!K13</f>
        <v>249884.59247963122</v>
      </c>
      <c r="L40" s="608">
        <f>+'General Fund  Equity Statement'!L13</f>
        <v>254486.7522768107</v>
      </c>
      <c r="M40" s="608">
        <f>+'General Fund  Equity Statement'!M13</f>
        <v>259152.15767361206</v>
      </c>
      <c r="N40" s="608">
        <f>+'General Fund  Equity Statement'!N13</f>
        <v>263890.4362788162</v>
      </c>
      <c r="O40" s="608">
        <f>+'General Fund  Equity Statement'!O13</f>
        <v>268695.15354638541</v>
      </c>
      <c r="P40" s="608">
        <f>+'General Fund  Equity Statement'!P13</f>
        <v>273564.97138870019</v>
      </c>
    </row>
    <row r="41" spans="1:16" ht="12" thickBot="1" x14ac:dyDescent="0.25">
      <c r="A41" s="653" t="s">
        <v>58</v>
      </c>
      <c r="B41" s="669"/>
      <c r="C41" s="669"/>
      <c r="D41" s="669">
        <v>300660</v>
      </c>
      <c r="E41" s="669">
        <v>250606</v>
      </c>
      <c r="F41" s="669">
        <f>+'General Fund  Equity Statement'!F22</f>
        <v>250606</v>
      </c>
      <c r="G41" s="669">
        <f>+'General Fund  Equity Statement'!G22</f>
        <v>250606</v>
      </c>
      <c r="H41" s="669">
        <f>+'General Fund  Equity Statement'!H22</f>
        <v>250606</v>
      </c>
      <c r="I41" s="669">
        <f>+'General Fund  Equity Statement'!I22</f>
        <v>250606</v>
      </c>
      <c r="J41" s="669">
        <f>+'General Fund  Equity Statement'!J22</f>
        <v>250606</v>
      </c>
      <c r="K41" s="669">
        <f>+'General Fund  Equity Statement'!K22</f>
        <v>250606</v>
      </c>
      <c r="L41" s="669">
        <f>+'General Fund  Equity Statement'!L22</f>
        <v>250606</v>
      </c>
      <c r="M41" s="669">
        <f>+'General Fund  Equity Statement'!M22</f>
        <v>250606</v>
      </c>
      <c r="N41" s="669">
        <f>+'General Fund  Equity Statement'!N22</f>
        <v>250606</v>
      </c>
      <c r="O41" s="669">
        <f>+'General Fund  Equity Statement'!O22</f>
        <v>250606</v>
      </c>
      <c r="P41" s="669">
        <f>+'General Fund  Equity Statement'!P22</f>
        <v>250606</v>
      </c>
    </row>
    <row r="42" spans="1:16" s="657" customFormat="1" ht="12" thickBot="1" x14ac:dyDescent="0.25">
      <c r="A42" s="654" t="s">
        <v>59</v>
      </c>
      <c r="B42" s="668">
        <f>SUM(B40:B41)</f>
        <v>0</v>
      </c>
      <c r="C42" s="668">
        <f t="shared" ref="C42:P42" si="13">SUM(C40:C41)</f>
        <v>0</v>
      </c>
      <c r="D42" s="668">
        <f t="shared" si="13"/>
        <v>592092</v>
      </c>
      <c r="E42" s="668">
        <f t="shared" si="13"/>
        <v>492575</v>
      </c>
      <c r="F42" s="668">
        <f t="shared" si="13"/>
        <v>477316.13199999998</v>
      </c>
      <c r="G42" s="668">
        <f t="shared" si="13"/>
        <v>481835.25296000001</v>
      </c>
      <c r="H42" s="668">
        <f t="shared" si="13"/>
        <v>486347.85844500002</v>
      </c>
      <c r="I42" s="668">
        <f t="shared" si="13"/>
        <v>491179.78873530001</v>
      </c>
      <c r="J42" s="668">
        <f t="shared" si="13"/>
        <v>495960.77925293404</v>
      </c>
      <c r="K42" s="668">
        <f t="shared" si="13"/>
        <v>500490.59247963119</v>
      </c>
      <c r="L42" s="668">
        <f t="shared" si="13"/>
        <v>505092.7522768107</v>
      </c>
      <c r="M42" s="668">
        <f t="shared" si="13"/>
        <v>509758.15767361206</v>
      </c>
      <c r="N42" s="668">
        <f t="shared" si="13"/>
        <v>514496.4362788162</v>
      </c>
      <c r="O42" s="668">
        <f t="shared" si="13"/>
        <v>519301.15354638541</v>
      </c>
      <c r="P42" s="668">
        <f t="shared" si="13"/>
        <v>524170.97138870019</v>
      </c>
    </row>
    <row r="43" spans="1:16" ht="12" thickTop="1" x14ac:dyDescent="0.2">
      <c r="B43" s="608"/>
      <c r="C43" s="608"/>
      <c r="D43" s="608"/>
      <c r="E43" s="608"/>
      <c r="F43" s="608"/>
      <c r="G43" s="608"/>
      <c r="H43" s="608"/>
      <c r="I43" s="608"/>
      <c r="J43" s="608"/>
      <c r="K43" s="608"/>
      <c r="L43" s="608"/>
      <c r="M43" s="608"/>
      <c r="N43" s="608"/>
      <c r="O43" s="608"/>
      <c r="P43" s="608"/>
    </row>
    <row r="44" spans="1:16" ht="11.25" hidden="1" outlineLevel="1" x14ac:dyDescent="0.2">
      <c r="A44" s="653" t="s">
        <v>111</v>
      </c>
      <c r="B44" s="621">
        <f>+B37-B42</f>
        <v>0</v>
      </c>
      <c r="C44" s="621">
        <f t="shared" ref="C44:P44" si="14">+C37-C42</f>
        <v>0</v>
      </c>
      <c r="D44" s="621">
        <f t="shared" si="14"/>
        <v>0</v>
      </c>
      <c r="E44" s="621">
        <f t="shared" si="14"/>
        <v>0</v>
      </c>
      <c r="F44" s="621">
        <f t="shared" si="14"/>
        <v>18059.000000000058</v>
      </c>
      <c r="G44" s="621">
        <f t="shared" si="14"/>
        <v>18059</v>
      </c>
      <c r="H44" s="621">
        <f t="shared" si="14"/>
        <v>18059.000000000058</v>
      </c>
      <c r="I44" s="621">
        <f t="shared" si="14"/>
        <v>18059</v>
      </c>
      <c r="J44" s="621">
        <f t="shared" si="14"/>
        <v>18059</v>
      </c>
      <c r="K44" s="621">
        <f t="shared" si="14"/>
        <v>18059</v>
      </c>
      <c r="L44" s="621">
        <f t="shared" si="14"/>
        <v>18059</v>
      </c>
      <c r="M44" s="621">
        <f t="shared" si="14"/>
        <v>18059.000000000175</v>
      </c>
      <c r="N44" s="621">
        <f t="shared" si="14"/>
        <v>18059.000000000116</v>
      </c>
      <c r="O44" s="621">
        <f t="shared" si="14"/>
        <v>18059.000000000058</v>
      </c>
      <c r="P44" s="621">
        <f t="shared" si="14"/>
        <v>18059.000000000116</v>
      </c>
    </row>
    <row r="45" spans="1:16" ht="11.25" hidden="1" outlineLevel="1" x14ac:dyDescent="0.2">
      <c r="A45" s="653" t="s">
        <v>112</v>
      </c>
      <c r="B45" s="621">
        <f>+B42-'GF &amp; FF  Equity Statement'!B33</f>
        <v>0</v>
      </c>
      <c r="C45" s="621">
        <f>+C42-'GF &amp; FF  Equity Statement'!C33</f>
        <v>0</v>
      </c>
      <c r="D45" s="621">
        <f>+D42-'GF &amp; FF  Equity Statement'!D33</f>
        <v>19960</v>
      </c>
      <c r="E45" s="621">
        <f>+E42-'GF &amp; FF  Equity Statement'!E33</f>
        <v>18059</v>
      </c>
      <c r="F45" s="621">
        <f>+F42-'General Fund  Equity Statement'!F33</f>
        <v>0</v>
      </c>
      <c r="G45" s="621">
        <f>+G42-'General Fund  Equity Statement'!G33</f>
        <v>0</v>
      </c>
      <c r="H45" s="621">
        <f>+H42-'General Fund  Equity Statement'!H33</f>
        <v>0</v>
      </c>
      <c r="I45" s="621">
        <f>+I42-'General Fund  Equity Statement'!I33</f>
        <v>0</v>
      </c>
      <c r="J45" s="621">
        <f>+J42-'General Fund  Equity Statement'!J33</f>
        <v>0</v>
      </c>
      <c r="K45" s="621">
        <f>+K42-'General Fund  Equity Statement'!K33</f>
        <v>0</v>
      </c>
      <c r="L45" s="621">
        <f>+L42-'General Fund  Equity Statement'!L33</f>
        <v>0</v>
      </c>
      <c r="M45" s="621">
        <f>+M42-'General Fund  Equity Statement'!M33</f>
        <v>0</v>
      </c>
      <c r="N45" s="621">
        <f>+N42-'General Fund  Equity Statement'!N33</f>
        <v>0</v>
      </c>
      <c r="O45" s="621">
        <f>+O42-'General Fund  Equity Statement'!O33</f>
        <v>0</v>
      </c>
      <c r="P45" s="621">
        <f>+P42-'General Fund  Equity Statement'!P33</f>
        <v>0</v>
      </c>
    </row>
    <row r="46" spans="1:16" ht="11.25" collapsed="1" x14ac:dyDescent="0.2">
      <c r="D46" s="670"/>
      <c r="E46" s="670"/>
      <c r="F46" s="670"/>
      <c r="G46" s="670"/>
      <c r="H46" s="670"/>
      <c r="I46" s="670"/>
      <c r="J46" s="670"/>
      <c r="K46" s="670"/>
      <c r="L46" s="670"/>
      <c r="M46" s="670"/>
      <c r="N46" s="670"/>
      <c r="O46" s="670"/>
      <c r="P46" s="670"/>
    </row>
    <row r="47" spans="1:16" ht="12.75" x14ac:dyDescent="0.2">
      <c r="A47" s="1091" t="s">
        <v>1247</v>
      </c>
    </row>
    <row r="48" spans="1:16" s="660" customFormat="1" ht="12" x14ac:dyDescent="0.2">
      <c r="A48" s="671" t="s">
        <v>1070</v>
      </c>
      <c r="B48" s="586" t="s">
        <v>69</v>
      </c>
      <c r="C48" s="586" t="s">
        <v>69</v>
      </c>
      <c r="D48" s="586" t="s">
        <v>69</v>
      </c>
      <c r="E48" s="586" t="s">
        <v>69</v>
      </c>
      <c r="F48" s="586" t="s">
        <v>70</v>
      </c>
      <c r="G48" s="586" t="s">
        <v>70</v>
      </c>
      <c r="H48" s="586" t="s">
        <v>71</v>
      </c>
      <c r="I48" s="586" t="s">
        <v>71</v>
      </c>
      <c r="J48" s="586" t="s">
        <v>71</v>
      </c>
      <c r="K48" s="586" t="s">
        <v>71</v>
      </c>
      <c r="L48" s="586" t="s">
        <v>71</v>
      </c>
      <c r="M48" s="586" t="s">
        <v>71</v>
      </c>
      <c r="N48" s="586" t="s">
        <v>71</v>
      </c>
      <c r="O48" s="586" t="s">
        <v>71</v>
      </c>
      <c r="P48" s="586" t="s">
        <v>71</v>
      </c>
    </row>
    <row r="49" spans="1:18" x14ac:dyDescent="0.2">
      <c r="A49" s="652" t="s">
        <v>72</v>
      </c>
      <c r="B49" s="741" t="s">
        <v>68</v>
      </c>
      <c r="C49" s="694" t="s">
        <v>0</v>
      </c>
      <c r="D49" s="694" t="s">
        <v>1</v>
      </c>
      <c r="E49" s="694" t="s">
        <v>2</v>
      </c>
      <c r="F49" s="694" t="s">
        <v>3</v>
      </c>
      <c r="G49" s="694" t="s">
        <v>4</v>
      </c>
      <c r="H49" s="694" t="s">
        <v>5</v>
      </c>
      <c r="I49" s="694" t="s">
        <v>6</v>
      </c>
      <c r="J49" s="694" t="s">
        <v>7</v>
      </c>
      <c r="K49" s="694" t="s">
        <v>8</v>
      </c>
      <c r="L49" s="694" t="s">
        <v>9</v>
      </c>
      <c r="M49" s="694" t="s">
        <v>514</v>
      </c>
      <c r="N49" s="694" t="s">
        <v>515</v>
      </c>
      <c r="O49" s="694" t="s">
        <v>904</v>
      </c>
      <c r="P49" s="694" t="s">
        <v>1046</v>
      </c>
    </row>
    <row r="50" spans="1:18" s="664" customFormat="1" x14ac:dyDescent="0.2">
      <c r="A50" s="661"/>
      <c r="B50" s="662"/>
      <c r="C50" s="662"/>
      <c r="D50" s="663"/>
      <c r="E50" s="663"/>
      <c r="F50" s="663"/>
      <c r="G50" s="663"/>
      <c r="H50" s="663"/>
      <c r="I50" s="663"/>
      <c r="J50" s="663"/>
      <c r="K50" s="663"/>
      <c r="L50" s="663"/>
      <c r="M50" s="663"/>
      <c r="N50" s="663"/>
      <c r="O50" s="663"/>
      <c r="P50" s="663"/>
    </row>
    <row r="51" spans="1:18" x14ac:dyDescent="0.2">
      <c r="A51" s="654" t="s">
        <v>35</v>
      </c>
      <c r="B51" s="608"/>
      <c r="C51" s="608"/>
      <c r="D51" s="608"/>
      <c r="E51" s="608"/>
      <c r="F51" s="608"/>
      <c r="G51" s="608"/>
      <c r="H51" s="608"/>
      <c r="I51" s="608"/>
      <c r="J51" s="608"/>
      <c r="K51" s="608"/>
      <c r="L51" s="608"/>
      <c r="M51" s="608"/>
      <c r="N51" s="608"/>
      <c r="O51" s="608"/>
      <c r="P51" s="608"/>
    </row>
    <row r="52" spans="1:18" x14ac:dyDescent="0.2">
      <c r="A52" s="654" t="s">
        <v>36</v>
      </c>
      <c r="B52" s="608"/>
      <c r="C52" s="608"/>
      <c r="D52" s="608"/>
      <c r="E52" s="608"/>
      <c r="F52" s="608"/>
      <c r="G52" s="608"/>
      <c r="H52" s="608"/>
      <c r="I52" s="608"/>
      <c r="J52" s="608"/>
      <c r="K52" s="608"/>
      <c r="L52" s="608"/>
      <c r="M52" s="608"/>
      <c r="N52" s="608"/>
      <c r="O52" s="608"/>
      <c r="P52" s="608"/>
    </row>
    <row r="53" spans="1:18" x14ac:dyDescent="0.2">
      <c r="A53" s="653" t="s">
        <v>37</v>
      </c>
      <c r="B53" s="608"/>
      <c r="C53" s="608"/>
      <c r="D53" s="608">
        <f>D7</f>
        <v>9296</v>
      </c>
      <c r="E53" s="608">
        <f t="shared" ref="E53:E57" si="15">E7</f>
        <v>2319</v>
      </c>
      <c r="F53" s="621">
        <f>+'Gen Fund  Cash Flow'!F101</f>
        <v>2349.0000000000036</v>
      </c>
      <c r="G53" s="621">
        <f>+'Gen Fund  Cash Flow'!G101</f>
        <v>1949.0000000000055</v>
      </c>
      <c r="H53" s="621">
        <f>+'Gen Fund  Cash Flow'!H101</f>
        <v>1948.4002000000055</v>
      </c>
      <c r="I53" s="621">
        <f>+'Gen Fund  Cash Flow'!I101</f>
        <v>1667.5884300000016</v>
      </c>
      <c r="J53" s="621">
        <f>+'Gen Fund  Cash Flow'!J101</f>
        <v>277.15967575001059</v>
      </c>
      <c r="K53" s="621">
        <f>+'Gen Fund  Cash Flow'!K101</f>
        <v>1662.0827031129943</v>
      </c>
      <c r="L53" s="621">
        <f>+'Gen Fund  Cash Flow'!L101</f>
        <v>2244.2109848322948</v>
      </c>
      <c r="M53" s="621">
        <f>+'Gen Fund  Cash Flow'!M101</f>
        <v>1973.800198201769</v>
      </c>
      <c r="N53" s="621">
        <f>+'Gen Fund  Cash Flow'!N101</f>
        <v>2228.2053457962543</v>
      </c>
      <c r="O53" s="621">
        <f>+'Gen Fund  Cash Flow'!O101</f>
        <v>2547.9657660559792</v>
      </c>
      <c r="P53" s="621">
        <f>+'Gen Fund  Cash Flow'!P101</f>
        <v>2939.3335407085638</v>
      </c>
    </row>
    <row r="54" spans="1:18" x14ac:dyDescent="0.2">
      <c r="A54" s="653" t="s">
        <v>38</v>
      </c>
      <c r="B54" s="608"/>
      <c r="C54" s="608"/>
      <c r="D54" s="608">
        <f>D8</f>
        <v>7148</v>
      </c>
      <c r="E54" s="608">
        <f t="shared" si="15"/>
        <v>1712</v>
      </c>
      <c r="F54" s="608">
        <f>+'Gen Fund  Cash Flow'!F103-F61</f>
        <v>1172.0690000000031</v>
      </c>
      <c r="G54" s="608">
        <f>+'Gen Fund  Cash Flow'!G103-G61</f>
        <v>2766.354000000003</v>
      </c>
      <c r="H54" s="608">
        <f>+'Gen Fund  Cash Flow'!H103-H61</f>
        <v>-3015.4729899999984</v>
      </c>
      <c r="I54" s="608">
        <f>+'Gen Fund  Cash Flow'!I103-I61</f>
        <v>-720.65159969999877</v>
      </c>
      <c r="J54" s="608">
        <f>+'Gen Fund  Cash Flow'!J103-J61</f>
        <v>1653.6938423090014</v>
      </c>
      <c r="K54" s="608">
        <f>+'Gen Fund  Cash Flow'!K103-K61</f>
        <v>1875.5261931581808</v>
      </c>
      <c r="L54" s="608">
        <f>+'Gen Fund  Cash Flow'!L103-L61</f>
        <v>2101.7951910243428</v>
      </c>
      <c r="M54" s="608">
        <f>+'Gen Fund  Cash Flow'!M103-M61</f>
        <v>2332.5895688478304</v>
      </c>
      <c r="N54" s="608">
        <f>+'Gen Fund  Cash Flow'!N103-N61</f>
        <v>2567.999834227785</v>
      </c>
      <c r="O54" s="608">
        <f>+'Gen Fund  Cash Flow'!O103-O61</f>
        <v>2808.1183049153387</v>
      </c>
      <c r="P54" s="608">
        <f>+'Gen Fund  Cash Flow'!P103-P61</f>
        <v>3053.0391450166462</v>
      </c>
    </row>
    <row r="55" spans="1:18" x14ac:dyDescent="0.2">
      <c r="A55" s="653" t="s">
        <v>39</v>
      </c>
      <c r="B55" s="608"/>
      <c r="C55" s="608"/>
      <c r="D55" s="608">
        <f>D9</f>
        <v>5459</v>
      </c>
      <c r="E55" s="608">
        <f t="shared" si="15"/>
        <v>6766</v>
      </c>
      <c r="F55" s="608">
        <f t="shared" ref="F55:P57" si="16">+E55</f>
        <v>6766</v>
      </c>
      <c r="G55" s="608">
        <f t="shared" si="16"/>
        <v>6766</v>
      </c>
      <c r="H55" s="608">
        <f t="shared" si="16"/>
        <v>6766</v>
      </c>
      <c r="I55" s="608">
        <f t="shared" si="16"/>
        <v>6766</v>
      </c>
      <c r="J55" s="608">
        <f t="shared" si="16"/>
        <v>6766</v>
      </c>
      <c r="K55" s="608">
        <f t="shared" si="16"/>
        <v>6766</v>
      </c>
      <c r="L55" s="608">
        <f t="shared" si="16"/>
        <v>6766</v>
      </c>
      <c r="M55" s="608">
        <f t="shared" si="16"/>
        <v>6766</v>
      </c>
      <c r="N55" s="608">
        <f t="shared" si="16"/>
        <v>6766</v>
      </c>
      <c r="O55" s="608">
        <f t="shared" si="16"/>
        <v>6766</v>
      </c>
      <c r="P55" s="608">
        <f t="shared" si="16"/>
        <v>6766</v>
      </c>
    </row>
    <row r="56" spans="1:18" x14ac:dyDescent="0.2">
      <c r="A56" s="653" t="s">
        <v>40</v>
      </c>
      <c r="B56" s="608"/>
      <c r="C56" s="608"/>
      <c r="D56" s="608">
        <f>D10</f>
        <v>2131</v>
      </c>
      <c r="E56" s="608">
        <f t="shared" si="15"/>
        <v>2116</v>
      </c>
      <c r="F56" s="608">
        <f t="shared" si="16"/>
        <v>2116</v>
      </c>
      <c r="G56" s="608">
        <f t="shared" si="16"/>
        <v>2116</v>
      </c>
      <c r="H56" s="608">
        <f t="shared" si="16"/>
        <v>2116</v>
      </c>
      <c r="I56" s="608">
        <f t="shared" si="16"/>
        <v>2116</v>
      </c>
      <c r="J56" s="608">
        <f t="shared" si="16"/>
        <v>2116</v>
      </c>
      <c r="K56" s="608">
        <f t="shared" si="16"/>
        <v>2116</v>
      </c>
      <c r="L56" s="608">
        <f t="shared" si="16"/>
        <v>2116</v>
      </c>
      <c r="M56" s="608">
        <f t="shared" si="16"/>
        <v>2116</v>
      </c>
      <c r="N56" s="608">
        <f t="shared" si="16"/>
        <v>2116</v>
      </c>
      <c r="O56" s="608">
        <f t="shared" si="16"/>
        <v>2116</v>
      </c>
      <c r="P56" s="608">
        <f t="shared" si="16"/>
        <v>2116</v>
      </c>
    </row>
    <row r="57" spans="1:18" x14ac:dyDescent="0.2">
      <c r="A57" s="655" t="s">
        <v>41</v>
      </c>
      <c r="B57" s="615"/>
      <c r="C57" s="608"/>
      <c r="D57" s="608">
        <f>D11</f>
        <v>28</v>
      </c>
      <c r="E57" s="608">
        <f t="shared" si="15"/>
        <v>102</v>
      </c>
      <c r="F57" s="608">
        <f t="shared" si="16"/>
        <v>102</v>
      </c>
      <c r="G57" s="608">
        <f t="shared" si="16"/>
        <v>102</v>
      </c>
      <c r="H57" s="608">
        <f t="shared" si="16"/>
        <v>102</v>
      </c>
      <c r="I57" s="608">
        <f t="shared" si="16"/>
        <v>102</v>
      </c>
      <c r="J57" s="608">
        <f t="shared" si="16"/>
        <v>102</v>
      </c>
      <c r="K57" s="608">
        <f t="shared" si="16"/>
        <v>102</v>
      </c>
      <c r="L57" s="608">
        <f t="shared" si="16"/>
        <v>102</v>
      </c>
      <c r="M57" s="608">
        <f t="shared" si="16"/>
        <v>102</v>
      </c>
      <c r="N57" s="608">
        <f t="shared" si="16"/>
        <v>102</v>
      </c>
      <c r="O57" s="608">
        <f t="shared" si="16"/>
        <v>102</v>
      </c>
      <c r="P57" s="608">
        <f t="shared" si="16"/>
        <v>102</v>
      </c>
    </row>
    <row r="58" spans="1:18" s="657" customFormat="1" x14ac:dyDescent="0.2">
      <c r="A58" s="654" t="s">
        <v>42</v>
      </c>
      <c r="B58" s="656">
        <f>SUM(B53:B57)</f>
        <v>0</v>
      </c>
      <c r="C58" s="656">
        <f t="shared" ref="C58:P58" si="17">SUM(C53:C57)</f>
        <v>0</v>
      </c>
      <c r="D58" s="656">
        <f t="shared" si="17"/>
        <v>24062</v>
      </c>
      <c r="E58" s="656">
        <f t="shared" si="17"/>
        <v>13015</v>
      </c>
      <c r="F58" s="656">
        <f t="shared" si="17"/>
        <v>12505.069000000007</v>
      </c>
      <c r="G58" s="656">
        <f t="shared" si="17"/>
        <v>13699.354000000008</v>
      </c>
      <c r="H58" s="656">
        <f t="shared" si="17"/>
        <v>7916.9272100000071</v>
      </c>
      <c r="I58" s="656">
        <f t="shared" si="17"/>
        <v>9930.9368303000028</v>
      </c>
      <c r="J58" s="672">
        <f t="shared" si="17"/>
        <v>10914.853518059012</v>
      </c>
      <c r="K58" s="672">
        <f t="shared" si="17"/>
        <v>12521.608896271175</v>
      </c>
      <c r="L58" s="672">
        <f t="shared" si="17"/>
        <v>13330.006175856637</v>
      </c>
      <c r="M58" s="672">
        <f t="shared" si="17"/>
        <v>13290.389767049599</v>
      </c>
      <c r="N58" s="672">
        <f t="shared" si="17"/>
        <v>13780.205180024039</v>
      </c>
      <c r="O58" s="672">
        <f t="shared" si="17"/>
        <v>14340.084070971317</v>
      </c>
      <c r="P58" s="672">
        <f t="shared" si="17"/>
        <v>14976.37268572521</v>
      </c>
    </row>
    <row r="59" spans="1:18" x14ac:dyDescent="0.2">
      <c r="B59" s="608"/>
      <c r="C59" s="608"/>
      <c r="D59" s="608"/>
      <c r="E59" s="608"/>
      <c r="F59" s="608"/>
      <c r="G59" s="608"/>
      <c r="H59" s="608"/>
      <c r="I59" s="608"/>
      <c r="J59" s="608"/>
      <c r="K59" s="608"/>
      <c r="L59" s="608"/>
      <c r="M59" s="608"/>
      <c r="N59" s="608"/>
      <c r="O59" s="608"/>
      <c r="P59" s="608"/>
    </row>
    <row r="60" spans="1:18" x14ac:dyDescent="0.2">
      <c r="A60" s="654" t="s">
        <v>43</v>
      </c>
      <c r="B60" s="608"/>
      <c r="C60" s="608"/>
      <c r="D60" s="608"/>
      <c r="E60" s="608"/>
      <c r="F60" s="608"/>
      <c r="G60" s="608"/>
      <c r="H60" s="608"/>
      <c r="I60" s="608"/>
      <c r="J60" s="608"/>
      <c r="K60" s="608"/>
      <c r="L60" s="608"/>
      <c r="M60" s="608"/>
      <c r="N60" s="608"/>
      <c r="O60" s="608"/>
      <c r="P60" s="608"/>
    </row>
    <row r="61" spans="1:18" x14ac:dyDescent="0.2">
      <c r="A61" s="608" t="str">
        <f>A15</f>
        <v>Investments</v>
      </c>
      <c r="B61" s="608"/>
      <c r="C61" s="608"/>
      <c r="D61" s="608">
        <f>D15</f>
        <v>38964</v>
      </c>
      <c r="E61" s="608">
        <f t="shared" ref="E61:G62" si="18">E15</f>
        <v>15371</v>
      </c>
      <c r="F61" s="608">
        <f t="shared" si="18"/>
        <v>15371</v>
      </c>
      <c r="G61" s="608">
        <f t="shared" si="18"/>
        <v>15371</v>
      </c>
      <c r="H61" s="608">
        <f>G61-3000</f>
        <v>12371</v>
      </c>
      <c r="I61" s="608">
        <f t="shared" ref="I61:P61" si="19">H61</f>
        <v>12371</v>
      </c>
      <c r="J61" s="608">
        <f t="shared" si="19"/>
        <v>12371</v>
      </c>
      <c r="K61" s="608">
        <f t="shared" si="19"/>
        <v>12371</v>
      </c>
      <c r="L61" s="608">
        <f t="shared" si="19"/>
        <v>12371</v>
      </c>
      <c r="M61" s="608">
        <f t="shared" si="19"/>
        <v>12371</v>
      </c>
      <c r="N61" s="608">
        <f t="shared" si="19"/>
        <v>12371</v>
      </c>
      <c r="O61" s="608">
        <f t="shared" si="19"/>
        <v>12371</v>
      </c>
      <c r="P61" s="608">
        <f t="shared" si="19"/>
        <v>12371</v>
      </c>
      <c r="R61" s="653" t="s">
        <v>1036</v>
      </c>
    </row>
    <row r="62" spans="1:18" x14ac:dyDescent="0.2">
      <c r="A62" s="760" t="s">
        <v>44</v>
      </c>
      <c r="B62" s="608"/>
      <c r="C62" s="608"/>
      <c r="D62" s="608">
        <f>D16</f>
        <v>550049</v>
      </c>
      <c r="E62" s="608">
        <f t="shared" si="18"/>
        <v>461754</v>
      </c>
      <c r="F62" s="608">
        <f>+E62-'Gen Fund  Inc Exp Statement'!F105+SUM('Gen Fund  Inc Exp Statement'!F130:F132)-'Gen Fund  Inc Exp Statement'!F131-'Gen Fund  Inc Exp Statement'!F144</f>
        <v>464493.77600000001</v>
      </c>
      <c r="G62" s="608">
        <f>+F62-'Gen Fund  Inc Exp Statement'!G105+SUM('Gen Fund  Inc Exp Statement'!G130:G132)-'Gen Fund  Inc Exp Statement'!G131-'Gen Fund  Inc Exp Statement'!G144</f>
        <v>467496.81</v>
      </c>
      <c r="H62" s="608">
        <f>+G62-'Gen Fund  Inc Exp Statement'!H105+SUM('Gen Fund  Inc Exp Statement'!H130:H132)-'Gen Fund  Inc Exp Statement'!H131-'Gen Fund  Inc Exp Statement'!H144</f>
        <v>491517.1128</v>
      </c>
      <c r="I62" s="608">
        <f>+H62-'Gen Fund  Inc Exp Statement'!I105+SUM('Gen Fund  Inc Exp Statement'!I130:I132)-'Gen Fund  Inc Exp Statement'!I131-'Gen Fund  Inc Exp Statement'!I144</f>
        <v>508756.16819499998</v>
      </c>
      <c r="J62" s="608">
        <f>+I62-'Gen Fund  Inc Exp Statement'!J105+SUM('Gen Fund  Inc Exp Statement'!J130:J132)-'Gen Fund  Inc Exp Statement'!J131-'Gen Fund  Inc Exp Statement'!J144</f>
        <v>511326.69159987499</v>
      </c>
      <c r="K62" s="608">
        <f>+J62-'Gen Fund  Inc Exp Statement'!K105+SUM('Gen Fund  Inc Exp Statement'!K130:K132)-'Gen Fund  Inc Exp Statement'!K131-'Gen Fund  Inc Exp Statement'!K144</f>
        <v>513132.25348987186</v>
      </c>
      <c r="L62" s="608">
        <f>+K62-'Gen Fund  Inc Exp Statement'!L105+SUM('Gen Fund  Inc Exp Statement'!L130:L132)-'Gen Fund  Inc Exp Statement'!L131-'Gen Fund  Inc Exp Statement'!L144</f>
        <v>515853.93682711868</v>
      </c>
      <c r="M62" s="608">
        <f>+L62-'Gen Fund  Inc Exp Statement'!M105+SUM('Gen Fund  Inc Exp Statement'!M130:M132)-'Gen Fund  Inc Exp Statement'!M131-'Gen Fund  Inc Exp Statement'!M144</f>
        <v>519802.34478779667</v>
      </c>
      <c r="N62" s="608">
        <f>+M62-'Gen Fund  Inc Exp Statement'!N105+SUM('Gen Fund  Inc Exp Statement'!N130:N132)-'Gen Fund  Inc Exp Statement'!N131-'Gen Fund  Inc Exp Statement'!N144</f>
        <v>523385.97063029156</v>
      </c>
      <c r="O62" s="608">
        <f>+N62-'Gen Fund  Inc Exp Statement'!O105+SUM('Gen Fund  Inc Exp Statement'!O130:O132)-'Gen Fund  Inc Exp Statement'!O131-'Gen Fund  Inc Exp Statement'!O144</f>
        <v>526990.1949473049</v>
      </c>
      <c r="P62" s="608">
        <f>+O62-'Gen Fund  Inc Exp Statement'!P105+SUM('Gen Fund  Inc Exp Statement'!P130:P132)-'Gen Fund  Inc Exp Statement'!P131-'Gen Fund  Inc Exp Statement'!P144</f>
        <v>530610.28284926864</v>
      </c>
    </row>
    <row r="63" spans="1:18" ht="20.399999999999999" x14ac:dyDescent="0.2">
      <c r="A63" s="608" t="str">
        <f t="shared" ref="A63:A64" si="20">A17</f>
        <v>Investments accounted for using the equity method</v>
      </c>
      <c r="B63" s="608"/>
      <c r="C63" s="608"/>
      <c r="D63" s="608">
        <f t="shared" ref="D63:P64" si="21">D17</f>
        <v>89</v>
      </c>
      <c r="E63" s="608">
        <f t="shared" si="21"/>
        <v>91</v>
      </c>
      <c r="F63" s="608">
        <f t="shared" si="21"/>
        <v>91</v>
      </c>
      <c r="G63" s="608">
        <f t="shared" si="21"/>
        <v>91</v>
      </c>
      <c r="H63" s="608">
        <f t="shared" si="21"/>
        <v>91</v>
      </c>
      <c r="I63" s="608">
        <f t="shared" si="21"/>
        <v>91</v>
      </c>
      <c r="J63" s="608">
        <f t="shared" si="21"/>
        <v>91</v>
      </c>
      <c r="K63" s="608">
        <f t="shared" si="21"/>
        <v>91</v>
      </c>
      <c r="L63" s="608">
        <f t="shared" si="21"/>
        <v>91</v>
      </c>
      <c r="M63" s="608">
        <f t="shared" si="21"/>
        <v>91</v>
      </c>
      <c r="N63" s="608">
        <f t="shared" si="21"/>
        <v>91</v>
      </c>
      <c r="O63" s="608">
        <f t="shared" si="21"/>
        <v>91</v>
      </c>
      <c r="P63" s="608">
        <f t="shared" si="21"/>
        <v>91</v>
      </c>
    </row>
    <row r="64" spans="1:18" x14ac:dyDescent="0.2">
      <c r="A64" s="608" t="str">
        <f t="shared" si="20"/>
        <v>Investment Property</v>
      </c>
      <c r="B64" s="608"/>
      <c r="C64" s="608"/>
      <c r="D64" s="608">
        <f t="shared" si="21"/>
        <v>8861</v>
      </c>
      <c r="E64" s="608">
        <f t="shared" si="21"/>
        <v>20675</v>
      </c>
      <c r="F64" s="608">
        <f>E64+'GF &amp; FF  Inc Exp Statement'!F127</f>
        <v>20675</v>
      </c>
      <c r="G64" s="608">
        <f>F64+'GF &amp; FF  Inc Exp Statement'!G127</f>
        <v>20675</v>
      </c>
      <c r="H64" s="608">
        <f>G64+'GF &amp; FF  Inc Exp Statement'!H127</f>
        <v>20675</v>
      </c>
      <c r="I64" s="608">
        <f>H64+'GF &amp; FF  Inc Exp Statement'!I127</f>
        <v>20675</v>
      </c>
      <c r="J64" s="608">
        <f>I64+'GF &amp; FF  Inc Exp Statement'!J127</f>
        <v>20675</v>
      </c>
      <c r="K64" s="608">
        <f>J64+'GF &amp; FF  Inc Exp Statement'!K127</f>
        <v>20675</v>
      </c>
      <c r="L64" s="608">
        <f>K64+'GF &amp; FF  Inc Exp Statement'!L127</f>
        <v>20675</v>
      </c>
      <c r="M64" s="608">
        <f>L64+'GF &amp; FF  Inc Exp Statement'!M127</f>
        <v>20675</v>
      </c>
      <c r="N64" s="608">
        <f>M64+'GF &amp; FF  Inc Exp Statement'!N127</f>
        <v>20675</v>
      </c>
      <c r="O64" s="608">
        <f>N64+'GF &amp; FF  Inc Exp Statement'!O127</f>
        <v>20675</v>
      </c>
      <c r="P64" s="608">
        <f>O64+'GF &amp; FF  Inc Exp Statement'!P127</f>
        <v>20675</v>
      </c>
    </row>
    <row r="65" spans="1:16" s="657" customFormat="1" x14ac:dyDescent="0.2">
      <c r="A65" s="761" t="s">
        <v>45</v>
      </c>
      <c r="B65" s="762">
        <f>SUM(B62)</f>
        <v>0</v>
      </c>
      <c r="C65" s="762">
        <f t="shared" ref="C65" si="22">SUM(C62)</f>
        <v>0</v>
      </c>
      <c r="D65" s="762">
        <f>SUM(D61:D64)</f>
        <v>597963</v>
      </c>
      <c r="E65" s="762">
        <f t="shared" ref="E65:P65" si="23">SUM(E61:E64)</f>
        <v>497891</v>
      </c>
      <c r="F65" s="762">
        <f t="shared" si="23"/>
        <v>500630.77600000001</v>
      </c>
      <c r="G65" s="762">
        <f t="shared" si="23"/>
        <v>503633.81</v>
      </c>
      <c r="H65" s="762">
        <f t="shared" si="23"/>
        <v>524654.1128</v>
      </c>
      <c r="I65" s="762">
        <f t="shared" si="23"/>
        <v>541893.16819499992</v>
      </c>
      <c r="J65" s="762">
        <f t="shared" si="23"/>
        <v>544463.69159987499</v>
      </c>
      <c r="K65" s="762">
        <f t="shared" si="23"/>
        <v>546269.25348987186</v>
      </c>
      <c r="L65" s="762">
        <f t="shared" si="23"/>
        <v>548990.93682711874</v>
      </c>
      <c r="M65" s="762">
        <f t="shared" si="23"/>
        <v>552939.34478779673</v>
      </c>
      <c r="N65" s="762">
        <f t="shared" si="23"/>
        <v>556522.97063029162</v>
      </c>
      <c r="O65" s="762">
        <f t="shared" si="23"/>
        <v>560127.1949473049</v>
      </c>
      <c r="P65" s="762">
        <f t="shared" si="23"/>
        <v>563747.28284926864</v>
      </c>
    </row>
    <row r="66" spans="1:16" ht="9" customHeight="1" x14ac:dyDescent="0.2">
      <c r="B66" s="608"/>
      <c r="C66" s="608"/>
      <c r="D66" s="608"/>
      <c r="E66" s="608"/>
      <c r="F66" s="608"/>
      <c r="G66" s="608"/>
      <c r="H66" s="608"/>
      <c r="I66" s="608"/>
      <c r="J66" s="608"/>
      <c r="K66" s="608"/>
      <c r="L66" s="608"/>
      <c r="M66" s="608"/>
      <c r="N66" s="608"/>
      <c r="O66" s="608"/>
      <c r="P66" s="608"/>
    </row>
    <row r="67" spans="1:16" s="657" customFormat="1" ht="10.8" thickBot="1" x14ac:dyDescent="0.25">
      <c r="A67" s="654" t="s">
        <v>46</v>
      </c>
      <c r="B67" s="665">
        <f>+B58+B65</f>
        <v>0</v>
      </c>
      <c r="C67" s="665">
        <f t="shared" ref="C67:P67" si="24">+C58+C65</f>
        <v>0</v>
      </c>
      <c r="D67" s="665">
        <f t="shared" si="24"/>
        <v>622025</v>
      </c>
      <c r="E67" s="665">
        <f t="shared" si="24"/>
        <v>510906</v>
      </c>
      <c r="F67" s="665">
        <f t="shared" si="24"/>
        <v>513135.84500000003</v>
      </c>
      <c r="G67" s="665">
        <f t="shared" si="24"/>
        <v>517333.16399999999</v>
      </c>
      <c r="H67" s="665">
        <f t="shared" si="24"/>
        <v>532571.04001</v>
      </c>
      <c r="I67" s="665">
        <f t="shared" si="24"/>
        <v>551824.10502529994</v>
      </c>
      <c r="J67" s="665">
        <f t="shared" si="24"/>
        <v>555378.545117934</v>
      </c>
      <c r="K67" s="665">
        <f t="shared" si="24"/>
        <v>558790.86238614307</v>
      </c>
      <c r="L67" s="665">
        <f t="shared" si="24"/>
        <v>562320.94300297543</v>
      </c>
      <c r="M67" s="665">
        <f t="shared" si="24"/>
        <v>566229.73455484631</v>
      </c>
      <c r="N67" s="665">
        <f t="shared" si="24"/>
        <v>570303.17581031565</v>
      </c>
      <c r="O67" s="665">
        <f t="shared" si="24"/>
        <v>574467.27901827625</v>
      </c>
      <c r="P67" s="665">
        <f t="shared" si="24"/>
        <v>578723.65553499386</v>
      </c>
    </row>
    <row r="68" spans="1:16" x14ac:dyDescent="0.2">
      <c r="B68" s="608"/>
      <c r="C68" s="608"/>
      <c r="D68" s="608"/>
      <c r="E68" s="608"/>
      <c r="F68" s="608"/>
      <c r="G68" s="608"/>
      <c r="H68" s="608"/>
      <c r="I68" s="608"/>
      <c r="J68" s="608"/>
      <c r="K68" s="608"/>
      <c r="L68" s="608"/>
      <c r="M68" s="608"/>
      <c r="N68" s="608"/>
      <c r="O68" s="608"/>
      <c r="P68" s="608"/>
    </row>
    <row r="69" spans="1:16" x14ac:dyDescent="0.2">
      <c r="A69" s="654" t="s">
        <v>47</v>
      </c>
      <c r="B69" s="608"/>
      <c r="C69" s="608"/>
      <c r="D69" s="608"/>
      <c r="E69" s="608"/>
      <c r="F69" s="608"/>
      <c r="G69" s="608"/>
      <c r="H69" s="608"/>
      <c r="I69" s="608"/>
      <c r="J69" s="608"/>
      <c r="K69" s="608"/>
      <c r="L69" s="608"/>
      <c r="M69" s="608"/>
      <c r="N69" s="608"/>
      <c r="O69" s="608"/>
      <c r="P69" s="608"/>
    </row>
    <row r="70" spans="1:16" x14ac:dyDescent="0.2">
      <c r="A70" s="654" t="s">
        <v>48</v>
      </c>
      <c r="B70" s="608"/>
      <c r="C70" s="608"/>
      <c r="D70" s="608"/>
      <c r="E70" s="608"/>
      <c r="F70" s="608"/>
      <c r="G70" s="608"/>
      <c r="H70" s="608"/>
      <c r="I70" s="608"/>
      <c r="J70" s="608"/>
      <c r="K70" s="608"/>
      <c r="L70" s="608"/>
      <c r="M70" s="608"/>
      <c r="N70" s="608"/>
      <c r="O70" s="608"/>
      <c r="P70" s="608"/>
    </row>
    <row r="71" spans="1:16" x14ac:dyDescent="0.2">
      <c r="A71" s="666" t="s">
        <v>49</v>
      </c>
      <c r="B71" s="608"/>
      <c r="C71" s="608"/>
      <c r="D71" s="608">
        <f>D25</f>
        <v>5504</v>
      </c>
      <c r="E71" s="608">
        <f t="shared" ref="E71:E73" si="25">E25</f>
        <v>4470</v>
      </c>
      <c r="F71" s="608">
        <f t="shared" ref="F71:P73" si="26">+E71</f>
        <v>4470</v>
      </c>
      <c r="G71" s="608">
        <f t="shared" si="26"/>
        <v>4470</v>
      </c>
      <c r="H71" s="608">
        <f t="shared" si="26"/>
        <v>4470</v>
      </c>
      <c r="I71" s="608">
        <f t="shared" si="26"/>
        <v>4470</v>
      </c>
      <c r="J71" s="608">
        <f t="shared" si="26"/>
        <v>4470</v>
      </c>
      <c r="K71" s="608">
        <f t="shared" si="26"/>
        <v>4470</v>
      </c>
      <c r="L71" s="608">
        <f t="shared" si="26"/>
        <v>4470</v>
      </c>
      <c r="M71" s="608">
        <f t="shared" si="26"/>
        <v>4470</v>
      </c>
      <c r="N71" s="608">
        <f t="shared" si="26"/>
        <v>4470</v>
      </c>
      <c r="O71" s="608">
        <f t="shared" si="26"/>
        <v>4470</v>
      </c>
      <c r="P71" s="608">
        <f t="shared" si="26"/>
        <v>4470</v>
      </c>
    </row>
    <row r="72" spans="1:16" x14ac:dyDescent="0.2">
      <c r="A72" s="666" t="s">
        <v>1051</v>
      </c>
      <c r="B72" s="608"/>
      <c r="C72" s="608"/>
      <c r="D72" s="608">
        <f>D26</f>
        <v>2925</v>
      </c>
      <c r="E72" s="608">
        <f t="shared" si="25"/>
        <v>667</v>
      </c>
      <c r="F72" s="608">
        <f>'Gen Fund  Inc Exp Statement'!G133</f>
        <v>621.83900000000006</v>
      </c>
      <c r="G72" s="608">
        <f>'Gen Fund  Inc Exp Statement'!H133</f>
        <v>555.48599999999999</v>
      </c>
      <c r="H72" s="608">
        <f>'Gen Fund  Inc Exp Statement'!I133</f>
        <v>672.75099999999998</v>
      </c>
      <c r="I72" s="608">
        <f>'Gen Fund  Inc Exp Statement'!J133</f>
        <v>972.69899999999996</v>
      </c>
      <c r="J72" s="608">
        <f>'Gen Fund  Inc Exp Statement'!K133</f>
        <v>1007</v>
      </c>
      <c r="K72" s="608">
        <f>'Gen Fund  Inc Exp Statement'!L133</f>
        <v>1054</v>
      </c>
      <c r="L72" s="608">
        <f>'Gen Fund  Inc Exp Statement'!M133</f>
        <v>809</v>
      </c>
      <c r="M72" s="608">
        <f>'Gen Fund  Inc Exp Statement'!N133</f>
        <v>745</v>
      </c>
      <c r="N72" s="608">
        <f>'Gen Fund  Inc Exp Statement'!O133</f>
        <v>777</v>
      </c>
      <c r="O72" s="608">
        <f>'Gen Fund  Inc Exp Statement'!P133</f>
        <v>811</v>
      </c>
      <c r="P72" s="608">
        <f>'Gen Fund  Inc Exp Statement'!Q133</f>
        <v>0</v>
      </c>
    </row>
    <row r="73" spans="1:16" x14ac:dyDescent="0.2">
      <c r="A73" s="667" t="s">
        <v>50</v>
      </c>
      <c r="B73" s="615"/>
      <c r="C73" s="608"/>
      <c r="D73" s="608">
        <f t="shared" ref="D73" si="27">D27</f>
        <v>2773</v>
      </c>
      <c r="E73" s="608">
        <f t="shared" si="25"/>
        <v>2577</v>
      </c>
      <c r="F73" s="608">
        <f t="shared" si="26"/>
        <v>2577</v>
      </c>
      <c r="G73" s="608">
        <f t="shared" si="26"/>
        <v>2577</v>
      </c>
      <c r="H73" s="608">
        <f t="shared" si="26"/>
        <v>2577</v>
      </c>
      <c r="I73" s="608">
        <f t="shared" si="26"/>
        <v>2577</v>
      </c>
      <c r="J73" s="608">
        <f t="shared" si="26"/>
        <v>2577</v>
      </c>
      <c r="K73" s="608">
        <f t="shared" si="26"/>
        <v>2577</v>
      </c>
      <c r="L73" s="608">
        <f t="shared" si="26"/>
        <v>2577</v>
      </c>
      <c r="M73" s="608">
        <f t="shared" si="26"/>
        <v>2577</v>
      </c>
      <c r="N73" s="608">
        <f t="shared" si="26"/>
        <v>2577</v>
      </c>
      <c r="O73" s="608">
        <f t="shared" si="26"/>
        <v>2577</v>
      </c>
      <c r="P73" s="608">
        <f t="shared" si="26"/>
        <v>2577</v>
      </c>
    </row>
    <row r="74" spans="1:16" s="657" customFormat="1" x14ac:dyDescent="0.2">
      <c r="A74" s="654" t="s">
        <v>51</v>
      </c>
      <c r="B74" s="656">
        <f>SUM(B71:B73)</f>
        <v>0</v>
      </c>
      <c r="C74" s="656">
        <f t="shared" ref="C74:P74" si="28">SUM(C71:C73)</f>
        <v>0</v>
      </c>
      <c r="D74" s="656">
        <f t="shared" si="28"/>
        <v>11202</v>
      </c>
      <c r="E74" s="656">
        <f t="shared" si="28"/>
        <v>7714</v>
      </c>
      <c r="F74" s="656">
        <f t="shared" si="28"/>
        <v>7668.8389999999999</v>
      </c>
      <c r="G74" s="656">
        <f t="shared" si="28"/>
        <v>7602.4859999999999</v>
      </c>
      <c r="H74" s="656">
        <f t="shared" si="28"/>
        <v>7719.7510000000002</v>
      </c>
      <c r="I74" s="656">
        <f t="shared" si="28"/>
        <v>8019.6989999999996</v>
      </c>
      <c r="J74" s="656">
        <f t="shared" si="28"/>
        <v>8054</v>
      </c>
      <c r="K74" s="656">
        <f t="shared" si="28"/>
        <v>8101</v>
      </c>
      <c r="L74" s="656">
        <f t="shared" si="28"/>
        <v>7856</v>
      </c>
      <c r="M74" s="656">
        <f t="shared" si="28"/>
        <v>7792</v>
      </c>
      <c r="N74" s="656">
        <f t="shared" si="28"/>
        <v>7824</v>
      </c>
      <c r="O74" s="656">
        <f t="shared" si="28"/>
        <v>7858</v>
      </c>
      <c r="P74" s="656">
        <f t="shared" si="28"/>
        <v>7047</v>
      </c>
    </row>
    <row r="75" spans="1:16" x14ac:dyDescent="0.2">
      <c r="B75" s="608"/>
      <c r="C75" s="608"/>
      <c r="D75" s="608"/>
      <c r="E75" s="608"/>
      <c r="F75" s="608"/>
      <c r="G75" s="608"/>
      <c r="H75" s="608"/>
      <c r="I75" s="608"/>
      <c r="J75" s="608"/>
      <c r="K75" s="608"/>
      <c r="L75" s="608"/>
      <c r="M75" s="608"/>
      <c r="N75" s="608"/>
      <c r="O75" s="608"/>
      <c r="P75" s="608"/>
    </row>
    <row r="76" spans="1:16" x14ac:dyDescent="0.2">
      <c r="A76" s="654" t="s">
        <v>52</v>
      </c>
      <c r="B76" s="608"/>
      <c r="C76" s="608"/>
      <c r="D76" s="608"/>
      <c r="E76" s="608"/>
      <c r="F76" s="608"/>
      <c r="G76" s="608"/>
      <c r="H76" s="608"/>
      <c r="I76" s="608"/>
      <c r="J76" s="608"/>
      <c r="K76" s="608"/>
      <c r="L76" s="608"/>
      <c r="M76" s="608"/>
      <c r="N76" s="608"/>
      <c r="O76" s="608"/>
      <c r="P76" s="608"/>
    </row>
    <row r="77" spans="1:16" x14ac:dyDescent="0.2">
      <c r="A77" s="653" t="s">
        <v>49</v>
      </c>
      <c r="B77" s="608">
        <v>0</v>
      </c>
      <c r="C77" s="608">
        <v>0</v>
      </c>
      <c r="D77" s="608">
        <f>D31</f>
        <v>0</v>
      </c>
      <c r="E77" s="608">
        <f t="shared" ref="E77:E79" si="29">E31</f>
        <v>0</v>
      </c>
      <c r="F77" s="608">
        <f t="shared" ref="F77:P79" si="30">+E77</f>
        <v>0</v>
      </c>
      <c r="G77" s="608">
        <f t="shared" si="30"/>
        <v>0</v>
      </c>
      <c r="H77" s="608">
        <f t="shared" si="30"/>
        <v>0</v>
      </c>
      <c r="I77" s="608">
        <f t="shared" si="30"/>
        <v>0</v>
      </c>
      <c r="J77" s="608">
        <f t="shared" si="30"/>
        <v>0</v>
      </c>
      <c r="K77" s="608">
        <f t="shared" si="30"/>
        <v>0</v>
      </c>
      <c r="L77" s="608">
        <f t="shared" si="30"/>
        <v>0</v>
      </c>
      <c r="M77" s="608">
        <f t="shared" si="30"/>
        <v>0</v>
      </c>
      <c r="N77" s="608">
        <f t="shared" si="30"/>
        <v>0</v>
      </c>
      <c r="O77" s="608">
        <f t="shared" si="30"/>
        <v>0</v>
      </c>
      <c r="P77" s="608">
        <f t="shared" si="30"/>
        <v>0</v>
      </c>
    </row>
    <row r="78" spans="1:16" x14ac:dyDescent="0.2">
      <c r="A78" s="653" t="s">
        <v>1051</v>
      </c>
      <c r="B78" s="608"/>
      <c r="C78" s="608"/>
      <c r="D78" s="608">
        <f>D32</f>
        <v>13675</v>
      </c>
      <c r="E78" s="608">
        <f t="shared" si="29"/>
        <v>5333</v>
      </c>
      <c r="F78" s="608">
        <f>E72+E78+'Gen Fund  Cash Flow'!F144+'Gen Fund  Cash Flow'!F147-F72</f>
        <v>4807.8739999999998</v>
      </c>
      <c r="G78" s="608">
        <f>F72+F78+'Gen Fund  Cash Flow'!G144+'Gen Fund  Cash Flow'!G147-G72</f>
        <v>4252.3879999999999</v>
      </c>
      <c r="H78" s="608">
        <f>G72+G78+'Gen Fund  Cash Flow'!H144+'Gen Fund  Cash Flow'!H147-H72</f>
        <v>14079.636999999999</v>
      </c>
      <c r="I78" s="608">
        <f>H72+H78+'Gen Fund  Cash Flow'!I144+'Gen Fund  Cash Flow'!I147-I72</f>
        <v>24106.937999999998</v>
      </c>
      <c r="J78" s="608">
        <f>I72+I78+'Gen Fund  Cash Flow'!J144+'Gen Fund  Cash Flow'!J147-J72</f>
        <v>23099.937999999998</v>
      </c>
      <c r="K78" s="608">
        <f>J72+J78+'Gen Fund  Cash Flow'!K144+'Gen Fund  Cash Flow'!K147-K72</f>
        <v>22060.785019999999</v>
      </c>
      <c r="L78" s="608">
        <f>K72+K78+'Gen Fund  Cash Flow'!L144+'Gen Fund  Cash Flow'!L147-L72</f>
        <v>21293.788980400001</v>
      </c>
      <c r="M78" s="608">
        <f>L72+L78+'Gen Fund  Cash Flow'!M144+'Gen Fund  Cash Flow'!M147-M72</f>
        <v>20325.553020007999</v>
      </c>
      <c r="N78" s="608">
        <f>M72+M78+'Gen Fund  Cash Flow'!N144+'Gen Fund  Cash Flow'!N147-N72</f>
        <v>19240.67234040816</v>
      </c>
      <c r="O78" s="608">
        <f>N72+N78+'Gen Fund  Cash Flow'!O144+'Gen Fund  Cash Flow'!O147-O72</f>
        <v>18132.734047216323</v>
      </c>
      <c r="P78" s="608">
        <f>O72+O78+'Gen Fund  Cash Flow'!P144+'Gen Fund  Cash Flow'!P147-P72</f>
        <v>17848.316988160648</v>
      </c>
    </row>
    <row r="79" spans="1:16" x14ac:dyDescent="0.2">
      <c r="A79" s="655" t="s">
        <v>50</v>
      </c>
      <c r="B79" s="615"/>
      <c r="C79" s="608"/>
      <c r="D79" s="608">
        <f t="shared" ref="D79" si="31">D33</f>
        <v>5056</v>
      </c>
      <c r="E79" s="608">
        <f t="shared" si="29"/>
        <v>5284</v>
      </c>
      <c r="F79" s="608">
        <f t="shared" si="30"/>
        <v>5284</v>
      </c>
      <c r="G79" s="608">
        <f t="shared" si="30"/>
        <v>5284</v>
      </c>
      <c r="H79" s="608">
        <f t="shared" si="30"/>
        <v>5284</v>
      </c>
      <c r="I79" s="608">
        <f t="shared" si="30"/>
        <v>5284</v>
      </c>
      <c r="J79" s="608">
        <f t="shared" si="30"/>
        <v>5284</v>
      </c>
      <c r="K79" s="608">
        <f t="shared" si="30"/>
        <v>5284</v>
      </c>
      <c r="L79" s="608">
        <f t="shared" si="30"/>
        <v>5284</v>
      </c>
      <c r="M79" s="608">
        <f t="shared" si="30"/>
        <v>5284</v>
      </c>
      <c r="N79" s="608">
        <f t="shared" si="30"/>
        <v>5284</v>
      </c>
      <c r="O79" s="608">
        <f t="shared" si="30"/>
        <v>5284</v>
      </c>
      <c r="P79" s="608">
        <f t="shared" si="30"/>
        <v>5284</v>
      </c>
    </row>
    <row r="80" spans="1:16" s="657" customFormat="1" x14ac:dyDescent="0.2">
      <c r="A80" s="654" t="s">
        <v>53</v>
      </c>
      <c r="B80" s="656">
        <f>SUM(B77:B79)</f>
        <v>0</v>
      </c>
      <c r="C80" s="656">
        <f t="shared" ref="C80:P80" si="32">SUM(C77:C79)</f>
        <v>0</v>
      </c>
      <c r="D80" s="656">
        <f t="shared" si="32"/>
        <v>18731</v>
      </c>
      <c r="E80" s="656">
        <f t="shared" si="32"/>
        <v>10617</v>
      </c>
      <c r="F80" s="656">
        <f t="shared" si="32"/>
        <v>10091.874</v>
      </c>
      <c r="G80" s="656">
        <f t="shared" si="32"/>
        <v>9536.387999999999</v>
      </c>
      <c r="H80" s="656">
        <f t="shared" si="32"/>
        <v>19363.636999999999</v>
      </c>
      <c r="I80" s="656">
        <f t="shared" si="32"/>
        <v>29390.937999999998</v>
      </c>
      <c r="J80" s="656">
        <f t="shared" si="32"/>
        <v>28383.937999999998</v>
      </c>
      <c r="K80" s="656">
        <f t="shared" si="32"/>
        <v>27344.785019999999</v>
      </c>
      <c r="L80" s="656">
        <f t="shared" si="32"/>
        <v>26577.788980400001</v>
      </c>
      <c r="M80" s="656">
        <f t="shared" si="32"/>
        <v>25609.553020007999</v>
      </c>
      <c r="N80" s="656">
        <f t="shared" si="32"/>
        <v>24524.67234040816</v>
      </c>
      <c r="O80" s="656">
        <f t="shared" si="32"/>
        <v>23416.734047216323</v>
      </c>
      <c r="P80" s="656">
        <f t="shared" si="32"/>
        <v>23132.316988160648</v>
      </c>
    </row>
    <row r="81" spans="1:16" ht="9" customHeight="1" x14ac:dyDescent="0.2">
      <c r="B81" s="608"/>
      <c r="C81" s="608"/>
      <c r="D81" s="608"/>
      <c r="E81" s="608"/>
      <c r="F81" s="608"/>
      <c r="G81" s="608"/>
      <c r="H81" s="608"/>
      <c r="I81" s="608"/>
      <c r="J81" s="608"/>
      <c r="K81" s="608"/>
      <c r="L81" s="608"/>
      <c r="M81" s="608"/>
      <c r="N81" s="608"/>
      <c r="O81" s="608"/>
      <c r="P81" s="608"/>
    </row>
    <row r="82" spans="1:16" s="657" customFormat="1" ht="10.8" thickBot="1" x14ac:dyDescent="0.25">
      <c r="A82" s="654" t="s">
        <v>54</v>
      </c>
      <c r="B82" s="665">
        <f>+B74+B80</f>
        <v>0</v>
      </c>
      <c r="C82" s="665">
        <f t="shared" ref="C82:P82" si="33">+C74+C80</f>
        <v>0</v>
      </c>
      <c r="D82" s="665">
        <f t="shared" si="33"/>
        <v>29933</v>
      </c>
      <c r="E82" s="665">
        <f t="shared" si="33"/>
        <v>18331</v>
      </c>
      <c r="F82" s="665">
        <f t="shared" si="33"/>
        <v>17760.713</v>
      </c>
      <c r="G82" s="665">
        <f t="shared" si="33"/>
        <v>17138.874</v>
      </c>
      <c r="H82" s="665">
        <f t="shared" si="33"/>
        <v>27083.387999999999</v>
      </c>
      <c r="I82" s="665">
        <f t="shared" si="33"/>
        <v>37410.636999999995</v>
      </c>
      <c r="J82" s="665">
        <f t="shared" si="33"/>
        <v>36437.937999999995</v>
      </c>
      <c r="K82" s="665">
        <f t="shared" si="33"/>
        <v>35445.785019999996</v>
      </c>
      <c r="L82" s="665">
        <f t="shared" si="33"/>
        <v>34433.788980400001</v>
      </c>
      <c r="M82" s="665">
        <f t="shared" si="33"/>
        <v>33401.553020007996</v>
      </c>
      <c r="N82" s="665">
        <f t="shared" si="33"/>
        <v>32348.67234040816</v>
      </c>
      <c r="O82" s="665">
        <f t="shared" si="33"/>
        <v>31274.734047216323</v>
      </c>
      <c r="P82" s="665">
        <f t="shared" si="33"/>
        <v>30179.316988160648</v>
      </c>
    </row>
    <row r="83" spans="1:16" s="657" customFormat="1" ht="10.8" thickBot="1" x14ac:dyDescent="0.25">
      <c r="A83" s="654" t="s">
        <v>55</v>
      </c>
      <c r="B83" s="668">
        <f>+B67-B82</f>
        <v>0</v>
      </c>
      <c r="C83" s="668">
        <f t="shared" ref="C83:P83" si="34">+C67-C82</f>
        <v>0</v>
      </c>
      <c r="D83" s="668">
        <f t="shared" si="34"/>
        <v>592092</v>
      </c>
      <c r="E83" s="668">
        <f t="shared" si="34"/>
        <v>492575</v>
      </c>
      <c r="F83" s="668">
        <f t="shared" si="34"/>
        <v>495375.13200000004</v>
      </c>
      <c r="G83" s="668">
        <f t="shared" si="34"/>
        <v>500194.29</v>
      </c>
      <c r="H83" s="668">
        <f t="shared" si="34"/>
        <v>505487.65201000002</v>
      </c>
      <c r="I83" s="668">
        <f t="shared" si="34"/>
        <v>514413.46802529995</v>
      </c>
      <c r="J83" s="668">
        <f t="shared" si="34"/>
        <v>518940.60711793404</v>
      </c>
      <c r="K83" s="668">
        <f t="shared" si="34"/>
        <v>523345.07736614306</v>
      </c>
      <c r="L83" s="668">
        <f t="shared" si="34"/>
        <v>527887.15402257547</v>
      </c>
      <c r="M83" s="668">
        <f t="shared" si="34"/>
        <v>532828.18153483828</v>
      </c>
      <c r="N83" s="668">
        <f t="shared" si="34"/>
        <v>537954.50346990745</v>
      </c>
      <c r="O83" s="668">
        <f t="shared" si="34"/>
        <v>543192.54497105989</v>
      </c>
      <c r="P83" s="668">
        <f t="shared" si="34"/>
        <v>548544.33854683326</v>
      </c>
    </row>
    <row r="84" spans="1:16" ht="10.8" thickTop="1" x14ac:dyDescent="0.2">
      <c r="B84" s="608"/>
      <c r="C84" s="608"/>
      <c r="D84" s="608"/>
      <c r="E84" s="608"/>
      <c r="F84" s="608"/>
      <c r="G84" s="608"/>
      <c r="H84" s="608"/>
      <c r="I84" s="608"/>
      <c r="J84" s="608"/>
      <c r="K84" s="608"/>
      <c r="L84" s="608"/>
      <c r="M84" s="608"/>
      <c r="N84" s="608"/>
      <c r="O84" s="608"/>
      <c r="P84" s="608"/>
    </row>
    <row r="85" spans="1:16" x14ac:dyDescent="0.2">
      <c r="A85" s="654" t="s">
        <v>56</v>
      </c>
      <c r="B85" s="608"/>
      <c r="C85" s="608"/>
      <c r="D85" s="608"/>
      <c r="E85" s="608"/>
      <c r="F85" s="608"/>
      <c r="G85" s="608"/>
      <c r="H85" s="608"/>
      <c r="I85" s="608"/>
      <c r="J85" s="608"/>
      <c r="K85" s="608"/>
      <c r="L85" s="608"/>
      <c r="M85" s="608"/>
      <c r="N85" s="608"/>
      <c r="O85" s="608"/>
      <c r="P85" s="608"/>
    </row>
    <row r="86" spans="1:16" x14ac:dyDescent="0.2">
      <c r="A86" s="653" t="s">
        <v>57</v>
      </c>
      <c r="B86" s="608"/>
      <c r="C86" s="608"/>
      <c r="D86" s="608">
        <f>D40</f>
        <v>291432</v>
      </c>
      <c r="E86" s="608">
        <f>+'GF &amp; FF  Equity Statement'!E47</f>
        <v>223910</v>
      </c>
      <c r="F86" s="608">
        <f>+'General Fund  Equity Statement'!F47</f>
        <v>226710.13200000001</v>
      </c>
      <c r="G86" s="608">
        <f>+'General Fund  Equity Statement'!G47</f>
        <v>231529.29</v>
      </c>
      <c r="H86" s="608">
        <f>+'General Fund  Equity Statement'!H47</f>
        <v>236822.65201000002</v>
      </c>
      <c r="I86" s="608">
        <f>+'General Fund  Equity Statement'!I47</f>
        <v>245748.46802530001</v>
      </c>
      <c r="J86" s="608">
        <f>+'General Fund  Equity Statement'!J47</f>
        <v>250275.60711793404</v>
      </c>
      <c r="K86" s="608">
        <f>+'General Fund  Equity Statement'!K47</f>
        <v>254694.92438614307</v>
      </c>
      <c r="L86" s="608">
        <f>+'General Fund  Equity Statement'!L47</f>
        <v>259279.00500297535</v>
      </c>
      <c r="M86" s="608">
        <f>+'General Fund  Equity Statement'!M47</f>
        <v>263996.79655484628</v>
      </c>
      <c r="N86" s="608">
        <f>+'General Fund  Equity Statement'!N47</f>
        <v>268815.23781031568</v>
      </c>
      <c r="O86" s="608">
        <f>+'General Fund  Equity Statement'!O47</f>
        <v>273756.34101827623</v>
      </c>
      <c r="P86" s="608">
        <f>+'General Fund  Equity Statement'!P47</f>
        <v>278823.71753499389</v>
      </c>
    </row>
    <row r="87" spans="1:16" ht="10.8" thickBot="1" x14ac:dyDescent="0.25">
      <c r="A87" s="653" t="s">
        <v>58</v>
      </c>
      <c r="B87" s="669"/>
      <c r="C87" s="669"/>
      <c r="D87" s="608">
        <f>D41</f>
        <v>300660</v>
      </c>
      <c r="E87" s="669">
        <f>+'GF &amp; FF  Equity Statement'!E56</f>
        <v>250606</v>
      </c>
      <c r="F87" s="669">
        <f>+'General Fund  Equity Statement'!F56</f>
        <v>250606</v>
      </c>
      <c r="G87" s="669">
        <f>+'General Fund  Equity Statement'!G56</f>
        <v>250606</v>
      </c>
      <c r="H87" s="669">
        <f>+'General Fund  Equity Statement'!H56</f>
        <v>250606</v>
      </c>
      <c r="I87" s="669">
        <f>+'General Fund  Equity Statement'!I56</f>
        <v>250606</v>
      </c>
      <c r="J87" s="669">
        <f>+'General Fund  Equity Statement'!J56</f>
        <v>250606</v>
      </c>
      <c r="K87" s="669">
        <f>+'General Fund  Equity Statement'!K56</f>
        <v>250606</v>
      </c>
      <c r="L87" s="669">
        <f>+'General Fund  Equity Statement'!L56</f>
        <v>250606</v>
      </c>
      <c r="M87" s="669">
        <f>+'General Fund  Equity Statement'!M56</f>
        <v>250606</v>
      </c>
      <c r="N87" s="669">
        <f>+'General Fund  Equity Statement'!N56</f>
        <v>250606</v>
      </c>
      <c r="O87" s="669">
        <f>+'General Fund  Equity Statement'!O56</f>
        <v>250606</v>
      </c>
      <c r="P87" s="669">
        <f>+'General Fund  Equity Statement'!P56</f>
        <v>250606</v>
      </c>
    </row>
    <row r="88" spans="1:16" s="657" customFormat="1" ht="10.8" thickBot="1" x14ac:dyDescent="0.25">
      <c r="A88" s="654" t="s">
        <v>59</v>
      </c>
      <c r="B88" s="668">
        <f>SUM(B86:B87)</f>
        <v>0</v>
      </c>
      <c r="C88" s="668">
        <f t="shared" ref="C88:P88" si="35">SUM(C86:C87)</f>
        <v>0</v>
      </c>
      <c r="D88" s="668">
        <f t="shared" si="35"/>
        <v>592092</v>
      </c>
      <c r="E88" s="668">
        <f t="shared" si="35"/>
        <v>474516</v>
      </c>
      <c r="F88" s="668">
        <f t="shared" si="35"/>
        <v>477316.13199999998</v>
      </c>
      <c r="G88" s="668">
        <f t="shared" si="35"/>
        <v>482135.29000000004</v>
      </c>
      <c r="H88" s="668">
        <f t="shared" si="35"/>
        <v>487428.65201000002</v>
      </c>
      <c r="I88" s="668">
        <f t="shared" si="35"/>
        <v>496354.46802530001</v>
      </c>
      <c r="J88" s="668">
        <f t="shared" si="35"/>
        <v>500881.60711793404</v>
      </c>
      <c r="K88" s="668">
        <f t="shared" si="35"/>
        <v>505300.9243861431</v>
      </c>
      <c r="L88" s="668">
        <f t="shared" si="35"/>
        <v>509885.00500297535</v>
      </c>
      <c r="M88" s="668">
        <f t="shared" si="35"/>
        <v>514602.79655484628</v>
      </c>
      <c r="N88" s="668">
        <f t="shared" si="35"/>
        <v>519421.23781031568</v>
      </c>
      <c r="O88" s="668">
        <f t="shared" si="35"/>
        <v>524362.34101827629</v>
      </c>
      <c r="P88" s="668">
        <f t="shared" si="35"/>
        <v>529429.71753499389</v>
      </c>
    </row>
    <row r="89" spans="1:16" ht="10.8" thickTop="1" x14ac:dyDescent="0.2">
      <c r="B89" s="608"/>
      <c r="C89" s="608"/>
      <c r="D89" s="608"/>
      <c r="E89" s="608"/>
      <c r="F89" s="608"/>
      <c r="G89" s="608"/>
      <c r="H89" s="608"/>
      <c r="I89" s="608"/>
      <c r="J89" s="608"/>
      <c r="K89" s="608"/>
      <c r="L89" s="608"/>
      <c r="M89" s="608"/>
      <c r="N89" s="608"/>
      <c r="O89" s="608"/>
      <c r="P89" s="608"/>
    </row>
    <row r="90" spans="1:16" ht="11.25" hidden="1" outlineLevel="1" x14ac:dyDescent="0.2">
      <c r="A90" s="653" t="s">
        <v>111</v>
      </c>
      <c r="B90" s="621">
        <f>+B83-B88</f>
        <v>0</v>
      </c>
      <c r="C90" s="621">
        <f t="shared" ref="C90:P90" si="36">+C83-C88</f>
        <v>0</v>
      </c>
      <c r="D90" s="621">
        <f t="shared" si="36"/>
        <v>0</v>
      </c>
      <c r="E90" s="621">
        <f t="shared" si="36"/>
        <v>18059</v>
      </c>
      <c r="F90" s="621">
        <f t="shared" si="36"/>
        <v>18059.000000000058</v>
      </c>
      <c r="G90" s="621">
        <f t="shared" si="36"/>
        <v>18058.999999999942</v>
      </c>
      <c r="H90" s="621">
        <f t="shared" si="36"/>
        <v>18059</v>
      </c>
      <c r="I90" s="621">
        <f t="shared" si="36"/>
        <v>18058.999999999942</v>
      </c>
      <c r="J90" s="621">
        <f t="shared" si="36"/>
        <v>18059</v>
      </c>
      <c r="K90" s="621">
        <f t="shared" si="36"/>
        <v>18044.152979999955</v>
      </c>
      <c r="L90" s="621">
        <f t="shared" si="36"/>
        <v>18002.149019600125</v>
      </c>
      <c r="M90" s="621">
        <f t="shared" si="36"/>
        <v>18225.384979991999</v>
      </c>
      <c r="N90" s="621">
        <f t="shared" si="36"/>
        <v>18533.265659591765</v>
      </c>
      <c r="O90" s="621">
        <f t="shared" si="36"/>
        <v>18830.203952783602</v>
      </c>
      <c r="P90" s="621">
        <f t="shared" si="36"/>
        <v>19114.621011839365</v>
      </c>
    </row>
    <row r="91" spans="1:16" ht="11.25" hidden="1" outlineLevel="1" x14ac:dyDescent="0.2">
      <c r="A91" s="653" t="s">
        <v>112</v>
      </c>
      <c r="B91" s="621">
        <f>+B88-'GF &amp; FF  Equity Statement'!B67</f>
        <v>0</v>
      </c>
      <c r="C91" s="621">
        <f>+C88-'GF &amp; FF  Equity Statement'!C67</f>
        <v>0</v>
      </c>
      <c r="D91" s="621">
        <f>+D88-'General Fund  Equity Statement'!D67</f>
        <v>19960</v>
      </c>
      <c r="E91" s="621">
        <f>+E88-'General Fund  Equity Statement'!E67</f>
        <v>0</v>
      </c>
      <c r="F91" s="621">
        <f>+F88-'General Fund  Equity Statement'!F67</f>
        <v>0</v>
      </c>
      <c r="G91" s="621">
        <f>+G88-'General Fund  Equity Statement'!G67</f>
        <v>0</v>
      </c>
      <c r="H91" s="621">
        <f>+H88-'General Fund  Equity Statement'!H67</f>
        <v>0</v>
      </c>
      <c r="I91" s="621">
        <f>+I88-'General Fund  Equity Statement'!I67</f>
        <v>0</v>
      </c>
      <c r="J91" s="621">
        <f>+J88-'General Fund  Equity Statement'!J67</f>
        <v>0</v>
      </c>
      <c r="K91" s="621">
        <f>+K88-'General Fund  Equity Statement'!K67</f>
        <v>0</v>
      </c>
      <c r="L91" s="621">
        <f>+L88-'General Fund  Equity Statement'!L67</f>
        <v>0</v>
      </c>
      <c r="M91" s="621">
        <f>+M88-'General Fund  Equity Statement'!M67</f>
        <v>0</v>
      </c>
      <c r="N91" s="621">
        <f>+N88-'General Fund  Equity Statement'!N67</f>
        <v>0</v>
      </c>
      <c r="O91" s="621">
        <f>+O88-'General Fund  Equity Statement'!O67</f>
        <v>0</v>
      </c>
      <c r="P91" s="621">
        <f>+P88-'General Fund  Equity Statement'!P67</f>
        <v>0</v>
      </c>
    </row>
    <row r="92" spans="1:16" collapsed="1" x14ac:dyDescent="0.2"/>
    <row r="93" spans="1:16" ht="13.8" x14ac:dyDescent="0.3">
      <c r="A93" s="1091" t="s">
        <v>1247</v>
      </c>
    </row>
    <row r="94" spans="1:16" ht="12" x14ac:dyDescent="0.25">
      <c r="A94" s="673" t="s">
        <v>1069</v>
      </c>
      <c r="B94" s="586" t="s">
        <v>69</v>
      </c>
      <c r="C94" s="586" t="s">
        <v>69</v>
      </c>
      <c r="D94" s="586" t="s">
        <v>69</v>
      </c>
      <c r="E94" s="586" t="s">
        <v>69</v>
      </c>
      <c r="F94" s="586" t="s">
        <v>70</v>
      </c>
      <c r="G94" s="586" t="s">
        <v>70</v>
      </c>
      <c r="H94" s="586" t="s">
        <v>71</v>
      </c>
      <c r="I94" s="586" t="s">
        <v>71</v>
      </c>
      <c r="J94" s="586" t="s">
        <v>71</v>
      </c>
      <c r="K94" s="586" t="s">
        <v>71</v>
      </c>
      <c r="L94" s="586" t="s">
        <v>71</v>
      </c>
      <c r="M94" s="586" t="s">
        <v>71</v>
      </c>
      <c r="N94" s="586" t="s">
        <v>71</v>
      </c>
      <c r="O94" s="586" t="s">
        <v>71</v>
      </c>
      <c r="P94" s="586" t="s">
        <v>71</v>
      </c>
    </row>
    <row r="95" spans="1:16" x14ac:dyDescent="0.2">
      <c r="A95" s="652" t="s">
        <v>72</v>
      </c>
      <c r="B95" s="741" t="s">
        <v>68</v>
      </c>
      <c r="C95" s="694" t="s">
        <v>0</v>
      </c>
      <c r="D95" s="694" t="s">
        <v>1</v>
      </c>
      <c r="E95" s="694" t="s">
        <v>2</v>
      </c>
      <c r="F95" s="694" t="s">
        <v>3</v>
      </c>
      <c r="G95" s="694" t="s">
        <v>4</v>
      </c>
      <c r="H95" s="694" t="s">
        <v>5</v>
      </c>
      <c r="I95" s="694" t="s">
        <v>6</v>
      </c>
      <c r="J95" s="694" t="s">
        <v>7</v>
      </c>
      <c r="K95" s="694" t="s">
        <v>8</v>
      </c>
      <c r="L95" s="694" t="s">
        <v>9</v>
      </c>
      <c r="M95" s="694" t="s">
        <v>514</v>
      </c>
      <c r="N95" s="694" t="s">
        <v>515</v>
      </c>
      <c r="O95" s="694" t="s">
        <v>904</v>
      </c>
      <c r="P95" s="694" t="s">
        <v>1046</v>
      </c>
    </row>
    <row r="96" spans="1:16" x14ac:dyDescent="0.2">
      <c r="A96" s="661"/>
      <c r="B96" s="662"/>
      <c r="C96" s="662"/>
      <c r="D96" s="663"/>
      <c r="E96" s="663"/>
      <c r="F96" s="663"/>
      <c r="G96" s="663"/>
      <c r="H96" s="663"/>
      <c r="I96" s="663"/>
      <c r="J96" s="663"/>
      <c r="K96" s="663"/>
      <c r="L96" s="663"/>
      <c r="M96" s="663"/>
      <c r="N96" s="663"/>
      <c r="O96" s="663"/>
      <c r="P96" s="663"/>
    </row>
    <row r="97" spans="1:16" x14ac:dyDescent="0.2">
      <c r="A97" s="654" t="s">
        <v>35</v>
      </c>
      <c r="B97" s="608"/>
      <c r="C97" s="608"/>
      <c r="D97" s="608"/>
      <c r="E97" s="608"/>
      <c r="F97" s="608"/>
      <c r="G97" s="608"/>
      <c r="H97" s="608"/>
      <c r="I97" s="608"/>
      <c r="J97" s="608"/>
      <c r="K97" s="608"/>
      <c r="L97" s="608"/>
      <c r="M97" s="608"/>
      <c r="N97" s="608"/>
      <c r="O97" s="608"/>
      <c r="P97" s="608"/>
    </row>
    <row r="98" spans="1:16" x14ac:dyDescent="0.2">
      <c r="A98" s="654" t="s">
        <v>36</v>
      </c>
      <c r="B98" s="608"/>
      <c r="C98" s="608"/>
      <c r="D98" s="608"/>
      <c r="E98" s="608"/>
      <c r="F98" s="608"/>
      <c r="G98" s="608"/>
      <c r="H98" s="608"/>
      <c r="I98" s="608"/>
      <c r="J98" s="608"/>
      <c r="K98" s="608"/>
      <c r="L98" s="608"/>
      <c r="M98" s="608"/>
      <c r="N98" s="608"/>
      <c r="O98" s="608"/>
      <c r="P98" s="608"/>
    </row>
    <row r="99" spans="1:16" x14ac:dyDescent="0.2">
      <c r="A99" s="653" t="s">
        <v>37</v>
      </c>
      <c r="B99" s="608"/>
      <c r="C99" s="608"/>
      <c r="D99" s="608">
        <f>D53</f>
        <v>9296</v>
      </c>
      <c r="E99" s="608">
        <f t="shared" ref="E99:E103" si="37">E53</f>
        <v>2319</v>
      </c>
      <c r="F99" s="608">
        <f>+'Gen Fund  Cash Flow'!F154</f>
        <v>2349.0000000000036</v>
      </c>
      <c r="G99" s="608">
        <f>+'Gen Fund  Cash Flow'!G154</f>
        <v>2507.3515000000025</v>
      </c>
      <c r="H99" s="608">
        <f>+'Gen Fund  Cash Flow'!H154</f>
        <v>2600.0899834999964</v>
      </c>
      <c r="I99" s="608">
        <f>+'Gen Fund  Cash Flow'!I154</f>
        <v>2681.5460478374935</v>
      </c>
      <c r="J99" s="608">
        <f>+'Gen Fund  Cash Flow'!J154</f>
        <v>1662.4418237834275</v>
      </c>
      <c r="K99" s="608">
        <f>+'Gen Fund  Cash Flow'!K154</f>
        <v>2154.6788255507722</v>
      </c>
      <c r="L99" s="608">
        <f>+'Gen Fund  Cash Flow'!L154</f>
        <v>2729.2541931275427</v>
      </c>
      <c r="M99" s="608">
        <f>+'Gen Fund  Cash Flow'!M154</f>
        <v>2990.750472725194</v>
      </c>
      <c r="N99" s="608">
        <f>+'Gen Fund  Cash Flow'!N154</f>
        <v>3317.2599883539624</v>
      </c>
      <c r="O99" s="608">
        <f>+'Gen Fund  Cash Flow'!O154</f>
        <v>2413.5667676982284</v>
      </c>
      <c r="P99" s="608">
        <f>+'Gen Fund  Cash Flow'!P154</f>
        <v>-510.61809106911323</v>
      </c>
    </row>
    <row r="100" spans="1:16" x14ac:dyDescent="0.2">
      <c r="A100" s="653" t="s">
        <v>38</v>
      </c>
      <c r="B100" s="608"/>
      <c r="C100" s="608"/>
      <c r="D100" s="608">
        <f>D54</f>
        <v>7148</v>
      </c>
      <c r="E100" s="608">
        <f t="shared" si="37"/>
        <v>1712</v>
      </c>
      <c r="F100" s="608">
        <f>+'Gen Fund  Cash Flow'!F156-F107</f>
        <v>1172.0690000000031</v>
      </c>
      <c r="G100" s="608">
        <f>+'Gen Fund  Cash Flow'!G156-G107</f>
        <v>2766.354000000003</v>
      </c>
      <c r="H100" s="608">
        <f>+'Gen Fund  Cash Flow'!H156-H107</f>
        <v>-6015.4729899999984</v>
      </c>
      <c r="I100" s="608">
        <f>+'Gen Fund  Cash Flow'!I156-I107</f>
        <v>-3720.6515996999988</v>
      </c>
      <c r="J100" s="608">
        <f>+'Gen Fund  Cash Flow'!J156-J107</f>
        <v>-1346.3061576909986</v>
      </c>
      <c r="K100" s="608">
        <f>+'Gen Fund  Cash Flow'!K156-K107</f>
        <v>-1124.4738068418192</v>
      </c>
      <c r="L100" s="608">
        <f>+'Gen Fund  Cash Flow'!L156-L107</f>
        <v>-898.20480897565722</v>
      </c>
      <c r="M100" s="608">
        <f>+'Gen Fund  Cash Flow'!M156-M107</f>
        <v>-667.41043115216962</v>
      </c>
      <c r="N100" s="608">
        <f>+'Gen Fund  Cash Flow'!N156-N107</f>
        <v>-432.0001657722114</v>
      </c>
      <c r="O100" s="608">
        <f>+'Gen Fund  Cash Flow'!O156-O107</f>
        <v>-191.88169508465398</v>
      </c>
      <c r="P100" s="608">
        <f>+'Gen Fund  Cash Flow'!P156-P107</f>
        <v>53.039145016653492</v>
      </c>
    </row>
    <row r="101" spans="1:16" x14ac:dyDescent="0.2">
      <c r="A101" s="653" t="s">
        <v>39</v>
      </c>
      <c r="B101" s="608"/>
      <c r="C101" s="608"/>
      <c r="D101" s="608">
        <f>D55</f>
        <v>5459</v>
      </c>
      <c r="E101" s="608">
        <f t="shared" si="37"/>
        <v>6766</v>
      </c>
      <c r="F101" s="608">
        <f t="shared" ref="F101:P103" si="38">+E101</f>
        <v>6766</v>
      </c>
      <c r="G101" s="608">
        <f t="shared" si="38"/>
        <v>6766</v>
      </c>
      <c r="H101" s="608">
        <f t="shared" si="38"/>
        <v>6766</v>
      </c>
      <c r="I101" s="608">
        <f t="shared" si="38"/>
        <v>6766</v>
      </c>
      <c r="J101" s="608">
        <f t="shared" si="38"/>
        <v>6766</v>
      </c>
      <c r="K101" s="608">
        <f t="shared" si="38"/>
        <v>6766</v>
      </c>
      <c r="L101" s="608">
        <f t="shared" si="38"/>
        <v>6766</v>
      </c>
      <c r="M101" s="608">
        <f t="shared" si="38"/>
        <v>6766</v>
      </c>
      <c r="N101" s="608">
        <f t="shared" si="38"/>
        <v>6766</v>
      </c>
      <c r="O101" s="608">
        <f t="shared" si="38"/>
        <v>6766</v>
      </c>
      <c r="P101" s="608">
        <f t="shared" si="38"/>
        <v>6766</v>
      </c>
    </row>
    <row r="102" spans="1:16" x14ac:dyDescent="0.2">
      <c r="A102" s="653" t="s">
        <v>40</v>
      </c>
      <c r="B102" s="608"/>
      <c r="C102" s="608"/>
      <c r="D102" s="608">
        <f>D56</f>
        <v>2131</v>
      </c>
      <c r="E102" s="608">
        <f t="shared" si="37"/>
        <v>2116</v>
      </c>
      <c r="F102" s="608">
        <f t="shared" si="38"/>
        <v>2116</v>
      </c>
      <c r="G102" s="608">
        <f t="shared" si="38"/>
        <v>2116</v>
      </c>
      <c r="H102" s="608">
        <f t="shared" si="38"/>
        <v>2116</v>
      </c>
      <c r="I102" s="608">
        <f t="shared" si="38"/>
        <v>2116</v>
      </c>
      <c r="J102" s="608">
        <f t="shared" si="38"/>
        <v>2116</v>
      </c>
      <c r="K102" s="608">
        <f t="shared" si="38"/>
        <v>2116</v>
      </c>
      <c r="L102" s="608">
        <f t="shared" si="38"/>
        <v>2116</v>
      </c>
      <c r="M102" s="608">
        <f t="shared" si="38"/>
        <v>2116</v>
      </c>
      <c r="N102" s="608">
        <f t="shared" si="38"/>
        <v>2116</v>
      </c>
      <c r="O102" s="608">
        <f t="shared" si="38"/>
        <v>2116</v>
      </c>
      <c r="P102" s="608">
        <f t="shared" si="38"/>
        <v>2116</v>
      </c>
    </row>
    <row r="103" spans="1:16" x14ac:dyDescent="0.2">
      <c r="A103" s="655" t="s">
        <v>41</v>
      </c>
      <c r="B103" s="615"/>
      <c r="C103" s="608"/>
      <c r="D103" s="608">
        <f>D57</f>
        <v>28</v>
      </c>
      <c r="E103" s="608">
        <f t="shared" si="37"/>
        <v>102</v>
      </c>
      <c r="F103" s="608">
        <f t="shared" si="38"/>
        <v>102</v>
      </c>
      <c r="G103" s="608">
        <f t="shared" si="38"/>
        <v>102</v>
      </c>
      <c r="H103" s="608">
        <f t="shared" si="38"/>
        <v>102</v>
      </c>
      <c r="I103" s="608">
        <f t="shared" si="38"/>
        <v>102</v>
      </c>
      <c r="J103" s="608">
        <f t="shared" si="38"/>
        <v>102</v>
      </c>
      <c r="K103" s="608">
        <f t="shared" si="38"/>
        <v>102</v>
      </c>
      <c r="L103" s="608">
        <f t="shared" si="38"/>
        <v>102</v>
      </c>
      <c r="M103" s="608">
        <f t="shared" si="38"/>
        <v>102</v>
      </c>
      <c r="N103" s="608">
        <f t="shared" si="38"/>
        <v>102</v>
      </c>
      <c r="O103" s="608">
        <f t="shared" si="38"/>
        <v>102</v>
      </c>
      <c r="P103" s="608">
        <f t="shared" si="38"/>
        <v>102</v>
      </c>
    </row>
    <row r="104" spans="1:16" x14ac:dyDescent="0.2">
      <c r="A104" s="654" t="s">
        <v>42</v>
      </c>
      <c r="B104" s="656">
        <f>SUM(B99:B103)</f>
        <v>0</v>
      </c>
      <c r="C104" s="656">
        <f t="shared" ref="C104:P104" si="39">SUM(C99:C103)</f>
        <v>0</v>
      </c>
      <c r="D104" s="656">
        <f t="shared" si="39"/>
        <v>24062</v>
      </c>
      <c r="E104" s="656">
        <f t="shared" si="39"/>
        <v>13015</v>
      </c>
      <c r="F104" s="656">
        <f t="shared" si="39"/>
        <v>12505.069000000007</v>
      </c>
      <c r="G104" s="656">
        <f t="shared" si="39"/>
        <v>14257.705500000005</v>
      </c>
      <c r="H104" s="656">
        <f t="shared" si="39"/>
        <v>5568.616993499998</v>
      </c>
      <c r="I104" s="656">
        <f t="shared" si="39"/>
        <v>7944.8944481374947</v>
      </c>
      <c r="J104" s="656">
        <f t="shared" si="39"/>
        <v>9300.1356660924284</v>
      </c>
      <c r="K104" s="656">
        <f t="shared" si="39"/>
        <v>10014.205018708954</v>
      </c>
      <c r="L104" s="656">
        <f t="shared" si="39"/>
        <v>10815.049384151886</v>
      </c>
      <c r="M104" s="656">
        <f t="shared" si="39"/>
        <v>11307.340041573025</v>
      </c>
      <c r="N104" s="656">
        <f t="shared" si="39"/>
        <v>11869.259822581751</v>
      </c>
      <c r="O104" s="656">
        <f t="shared" si="39"/>
        <v>11205.685072613574</v>
      </c>
      <c r="P104" s="656">
        <f t="shared" si="39"/>
        <v>8526.4210539475407</v>
      </c>
    </row>
    <row r="105" spans="1:16" x14ac:dyDescent="0.2">
      <c r="B105" s="608"/>
      <c r="C105" s="608"/>
      <c r="D105" s="608"/>
      <c r="E105" s="608"/>
      <c r="F105" s="608"/>
      <c r="G105" s="608"/>
      <c r="H105" s="608"/>
      <c r="I105" s="608"/>
      <c r="J105" s="608"/>
      <c r="K105" s="608"/>
      <c r="L105" s="608"/>
      <c r="M105" s="608"/>
      <c r="N105" s="608"/>
      <c r="O105" s="608"/>
      <c r="P105" s="608"/>
    </row>
    <row r="106" spans="1:16" x14ac:dyDescent="0.2">
      <c r="A106" s="654" t="s">
        <v>43</v>
      </c>
      <c r="B106" s="608"/>
      <c r="C106" s="608"/>
      <c r="D106" s="608"/>
      <c r="E106" s="608"/>
      <c r="F106" s="608"/>
      <c r="G106" s="608"/>
      <c r="H106" s="608"/>
      <c r="I106" s="608"/>
      <c r="J106" s="608"/>
      <c r="K106" s="608"/>
      <c r="L106" s="608"/>
      <c r="M106" s="608"/>
      <c r="N106" s="608"/>
      <c r="O106" s="608"/>
      <c r="P106" s="608"/>
    </row>
    <row r="107" spans="1:16" x14ac:dyDescent="0.2">
      <c r="A107" s="608" t="str">
        <f>A61</f>
        <v>Investments</v>
      </c>
      <c r="B107" s="608"/>
      <c r="C107" s="608"/>
      <c r="D107" s="608">
        <f>D61</f>
        <v>38964</v>
      </c>
      <c r="E107" s="608">
        <f t="shared" ref="E107:E110" si="40">E61</f>
        <v>15371</v>
      </c>
      <c r="F107" s="608">
        <f>E107</f>
        <v>15371</v>
      </c>
      <c r="G107" s="608">
        <f t="shared" ref="G107:P107" si="41">F107</f>
        <v>15371</v>
      </c>
      <c r="H107" s="608">
        <f t="shared" si="41"/>
        <v>15371</v>
      </c>
      <c r="I107" s="608">
        <f t="shared" si="41"/>
        <v>15371</v>
      </c>
      <c r="J107" s="608">
        <f t="shared" si="41"/>
        <v>15371</v>
      </c>
      <c r="K107" s="608">
        <f t="shared" si="41"/>
        <v>15371</v>
      </c>
      <c r="L107" s="608">
        <f t="shared" si="41"/>
        <v>15371</v>
      </c>
      <c r="M107" s="608">
        <f t="shared" si="41"/>
        <v>15371</v>
      </c>
      <c r="N107" s="608">
        <f t="shared" si="41"/>
        <v>15371</v>
      </c>
      <c r="O107" s="608">
        <f t="shared" si="41"/>
        <v>15371</v>
      </c>
      <c r="P107" s="608">
        <f t="shared" si="41"/>
        <v>15371</v>
      </c>
    </row>
    <row r="108" spans="1:16" x14ac:dyDescent="0.2">
      <c r="A108" s="760" t="s">
        <v>44</v>
      </c>
      <c r="B108" s="608"/>
      <c r="C108" s="608"/>
      <c r="D108" s="608">
        <f>D62</f>
        <v>550049</v>
      </c>
      <c r="E108" s="608">
        <f t="shared" si="40"/>
        <v>461754</v>
      </c>
      <c r="F108" s="608">
        <f>+E108-'Gen Fund  Inc Exp Statement'!F175+SUM('Gen Fund  Inc Exp Statement'!F199:F201)-'Gen Fund  Inc Exp Statement'!F200-'Gen Fund  Inc Exp Statement'!F213</f>
        <v>464493.77600000001</v>
      </c>
      <c r="G108" s="608">
        <f>+F108-'Gen Fund  Inc Exp Statement'!G175+SUM('Gen Fund  Inc Exp Statement'!G199:G201)-'Gen Fund  Inc Exp Statement'!G200-'Gen Fund  Inc Exp Statement'!G213</f>
        <v>467496.81</v>
      </c>
      <c r="H108" s="608">
        <f>+G108-'Gen Fund  Inc Exp Statement'!H175+SUM('Gen Fund  Inc Exp Statement'!H199:H201)-'Gen Fund  Inc Exp Statement'!H200-'Gen Fund  Inc Exp Statement'!H213</f>
        <v>491517.1128</v>
      </c>
      <c r="I108" s="608">
        <f>+H108-'Gen Fund  Inc Exp Statement'!I175+SUM('Gen Fund  Inc Exp Statement'!I199:I201)-'Gen Fund  Inc Exp Statement'!I200-'Gen Fund  Inc Exp Statement'!I213</f>
        <v>508756.16819499998</v>
      </c>
      <c r="J108" s="608">
        <f>+I108-'Gen Fund  Inc Exp Statement'!J175+SUM('Gen Fund  Inc Exp Statement'!J199:J201)-'Gen Fund  Inc Exp Statement'!J200-'Gen Fund  Inc Exp Statement'!J213</f>
        <v>511326.69159987499</v>
      </c>
      <c r="K108" s="608">
        <f>+J108-'Gen Fund  Inc Exp Statement'!K175+SUM('Gen Fund  Inc Exp Statement'!K199:K201)-'Gen Fund  Inc Exp Statement'!K200-'Gen Fund  Inc Exp Statement'!K213</f>
        <v>513906.91542284749</v>
      </c>
      <c r="L108" s="608">
        <f>+K108-'Gen Fund  Inc Exp Statement'!L175+SUM('Gen Fund  Inc Exp Statement'!L199:L201)-'Gen Fund  Inc Exp Statement'!L200-'Gen Fund  Inc Exp Statement'!L213</f>
        <v>516495.99092102947</v>
      </c>
      <c r="M108" s="608">
        <f>+L108-'Gen Fund  Inc Exp Statement'!M175+SUM('Gen Fund  Inc Exp Statement'!M199:M201)-'Gen Fund  Inc Exp Statement'!M200-'Gen Fund  Inc Exp Statement'!M213</f>
        <v>519093.02630789386</v>
      </c>
      <c r="N108" s="608">
        <f>+M108-'Gen Fund  Inc Exp Statement'!N175+SUM('Gen Fund  Inc Exp Statement'!N199:N201)-'Gen Fund  Inc Exp Statement'!N200-'Gen Fund  Inc Exp Statement'!N213</f>
        <v>521697.08524068218</v>
      </c>
      <c r="O108" s="608">
        <f>+N108-'Gen Fund  Inc Exp Statement'!O175+SUM('Gen Fund  Inc Exp Statement'!O199:O201)-'Gen Fund  Inc Exp Statement'!O200-'Gen Fund  Inc Exp Statement'!O213</f>
        <v>524307.1852612677</v>
      </c>
      <c r="P108" s="608">
        <f>+O108-'Gen Fund  Inc Exp Statement'!P175+SUM('Gen Fund  Inc Exp Statement'!P199:P201)-'Gen Fund  Inc Exp Statement'!P200-'Gen Fund  Inc Exp Statement'!P213</f>
        <v>526922.29618913482</v>
      </c>
    </row>
    <row r="109" spans="1:16" ht="20.399999999999999" x14ac:dyDescent="0.2">
      <c r="A109" s="608" t="str">
        <f t="shared" ref="A109:A110" si="42">A63</f>
        <v>Investments accounted for using the equity method</v>
      </c>
      <c r="B109" s="608"/>
      <c r="C109" s="608"/>
      <c r="D109" s="608">
        <f t="shared" ref="D109:P110" si="43">D63</f>
        <v>89</v>
      </c>
      <c r="E109" s="608">
        <f t="shared" si="40"/>
        <v>91</v>
      </c>
      <c r="F109" s="608">
        <f t="shared" si="43"/>
        <v>91</v>
      </c>
      <c r="G109" s="608">
        <f t="shared" si="43"/>
        <v>91</v>
      </c>
      <c r="H109" s="608">
        <f t="shared" si="43"/>
        <v>91</v>
      </c>
      <c r="I109" s="608">
        <f t="shared" si="43"/>
        <v>91</v>
      </c>
      <c r="J109" s="608">
        <f t="shared" si="43"/>
        <v>91</v>
      </c>
      <c r="K109" s="608">
        <f t="shared" si="43"/>
        <v>91</v>
      </c>
      <c r="L109" s="608">
        <f t="shared" si="43"/>
        <v>91</v>
      </c>
      <c r="M109" s="608">
        <f t="shared" si="43"/>
        <v>91</v>
      </c>
      <c r="N109" s="608">
        <f t="shared" si="43"/>
        <v>91</v>
      </c>
      <c r="O109" s="608">
        <f t="shared" si="43"/>
        <v>91</v>
      </c>
      <c r="P109" s="608">
        <f t="shared" si="43"/>
        <v>91</v>
      </c>
    </row>
    <row r="110" spans="1:16" x14ac:dyDescent="0.2">
      <c r="A110" s="608" t="str">
        <f t="shared" si="42"/>
        <v>Investment Property</v>
      </c>
      <c r="B110" s="608"/>
      <c r="C110" s="608"/>
      <c r="D110" s="608">
        <f t="shared" si="43"/>
        <v>8861</v>
      </c>
      <c r="E110" s="608">
        <f t="shared" si="40"/>
        <v>20675</v>
      </c>
      <c r="F110" s="608">
        <f>E110+'Gen Fund  Inc Exp Statement'!F200</f>
        <v>20675</v>
      </c>
      <c r="G110" s="608">
        <f>F110+'Gen Fund  Inc Exp Statement'!G200</f>
        <v>20675</v>
      </c>
      <c r="H110" s="608">
        <f>G110+'Gen Fund  Inc Exp Statement'!H200</f>
        <v>20675</v>
      </c>
      <c r="I110" s="608">
        <f>H110+'Gen Fund  Inc Exp Statement'!I200</f>
        <v>20675</v>
      </c>
      <c r="J110" s="608">
        <f>I110+'Gen Fund  Inc Exp Statement'!J200</f>
        <v>20675</v>
      </c>
      <c r="K110" s="608">
        <f>J110+'Gen Fund  Inc Exp Statement'!K200</f>
        <v>20675</v>
      </c>
      <c r="L110" s="608">
        <f>K110+'Gen Fund  Inc Exp Statement'!L200</f>
        <v>20675</v>
      </c>
      <c r="M110" s="608">
        <f>L110+'Gen Fund  Inc Exp Statement'!M200</f>
        <v>20675</v>
      </c>
      <c r="N110" s="608">
        <f>M110+'Gen Fund  Inc Exp Statement'!N200</f>
        <v>20675</v>
      </c>
      <c r="O110" s="608">
        <f>N110+'Gen Fund  Inc Exp Statement'!O200</f>
        <v>20675</v>
      </c>
      <c r="P110" s="608">
        <f>O110+'Gen Fund  Inc Exp Statement'!P200</f>
        <v>20675</v>
      </c>
    </row>
    <row r="111" spans="1:16" x14ac:dyDescent="0.2">
      <c r="A111" s="761" t="s">
        <v>45</v>
      </c>
      <c r="B111" s="762">
        <f>SUM(B108)</f>
        <v>0</v>
      </c>
      <c r="C111" s="762">
        <f t="shared" ref="C111" si="44">SUM(C108)</f>
        <v>0</v>
      </c>
      <c r="D111" s="762">
        <f>SUM(D107:D110)</f>
        <v>597963</v>
      </c>
      <c r="E111" s="762">
        <f t="shared" ref="E111:P111" si="45">SUM(E107:E110)</f>
        <v>497891</v>
      </c>
      <c r="F111" s="762">
        <f t="shared" si="45"/>
        <v>500630.77600000001</v>
      </c>
      <c r="G111" s="762">
        <f t="shared" si="45"/>
        <v>503633.81</v>
      </c>
      <c r="H111" s="762">
        <f t="shared" si="45"/>
        <v>527654.1128</v>
      </c>
      <c r="I111" s="762">
        <f t="shared" si="45"/>
        <v>544893.16819499992</v>
      </c>
      <c r="J111" s="762">
        <f t="shared" si="45"/>
        <v>547463.69159987499</v>
      </c>
      <c r="K111" s="762">
        <f t="shared" si="45"/>
        <v>550043.91542284749</v>
      </c>
      <c r="L111" s="762">
        <f t="shared" si="45"/>
        <v>552632.99092102947</v>
      </c>
      <c r="M111" s="762">
        <f t="shared" si="45"/>
        <v>555230.02630789392</v>
      </c>
      <c r="N111" s="762">
        <f t="shared" si="45"/>
        <v>557834.08524068212</v>
      </c>
      <c r="O111" s="762">
        <f t="shared" si="45"/>
        <v>560444.1852612677</v>
      </c>
      <c r="P111" s="762">
        <f t="shared" si="45"/>
        <v>563059.29618913482</v>
      </c>
    </row>
    <row r="112" spans="1:16" x14ac:dyDescent="0.2">
      <c r="B112" s="608"/>
      <c r="C112" s="608"/>
      <c r="D112" s="608"/>
      <c r="E112" s="608"/>
      <c r="F112" s="608"/>
      <c r="G112" s="608"/>
      <c r="H112" s="608"/>
      <c r="I112" s="608"/>
      <c r="J112" s="608"/>
      <c r="K112" s="608"/>
      <c r="L112" s="608"/>
      <c r="M112" s="608"/>
      <c r="N112" s="608"/>
      <c r="O112" s="608"/>
      <c r="P112" s="608"/>
    </row>
    <row r="113" spans="1:16" ht="10.8" thickBot="1" x14ac:dyDescent="0.25">
      <c r="A113" s="654" t="s">
        <v>46</v>
      </c>
      <c r="B113" s="665">
        <f>+B104+B111</f>
        <v>0</v>
      </c>
      <c r="C113" s="665">
        <f t="shared" ref="C113:P113" si="46">+C104+C111</f>
        <v>0</v>
      </c>
      <c r="D113" s="665">
        <f t="shared" si="46"/>
        <v>622025</v>
      </c>
      <c r="E113" s="665">
        <f t="shared" si="46"/>
        <v>510906</v>
      </c>
      <c r="F113" s="665">
        <f t="shared" si="46"/>
        <v>513135.84500000003</v>
      </c>
      <c r="G113" s="665">
        <f t="shared" si="46"/>
        <v>517891.51549999998</v>
      </c>
      <c r="H113" s="665">
        <f t="shared" si="46"/>
        <v>533222.72979350004</v>
      </c>
      <c r="I113" s="665">
        <f t="shared" si="46"/>
        <v>552838.06264313741</v>
      </c>
      <c r="J113" s="665">
        <f t="shared" si="46"/>
        <v>556763.82726596738</v>
      </c>
      <c r="K113" s="665">
        <f t="shared" si="46"/>
        <v>560058.12044155644</v>
      </c>
      <c r="L113" s="665">
        <f t="shared" si="46"/>
        <v>563448.04030518141</v>
      </c>
      <c r="M113" s="665">
        <f t="shared" si="46"/>
        <v>566537.36634946696</v>
      </c>
      <c r="N113" s="665">
        <f t="shared" si="46"/>
        <v>569703.3450632639</v>
      </c>
      <c r="O113" s="665">
        <f t="shared" si="46"/>
        <v>571649.87033388123</v>
      </c>
      <c r="P113" s="665">
        <f t="shared" si="46"/>
        <v>571585.71724308236</v>
      </c>
    </row>
    <row r="114" spans="1:16" x14ac:dyDescent="0.2">
      <c r="B114" s="608"/>
      <c r="C114" s="608"/>
      <c r="D114" s="608"/>
      <c r="E114" s="608"/>
      <c r="F114" s="608"/>
      <c r="G114" s="608"/>
      <c r="H114" s="608"/>
      <c r="I114" s="608"/>
      <c r="J114" s="608"/>
      <c r="K114" s="608"/>
      <c r="L114" s="608"/>
      <c r="M114" s="608"/>
      <c r="N114" s="608"/>
      <c r="O114" s="608"/>
      <c r="P114" s="608"/>
    </row>
    <row r="115" spans="1:16" x14ac:dyDescent="0.2">
      <c r="A115" s="654" t="s">
        <v>47</v>
      </c>
      <c r="B115" s="608"/>
      <c r="C115" s="608"/>
      <c r="D115" s="608"/>
      <c r="E115" s="608"/>
      <c r="F115" s="608"/>
      <c r="G115" s="608"/>
      <c r="H115" s="608"/>
      <c r="I115" s="608"/>
      <c r="J115" s="608"/>
      <c r="K115" s="608"/>
      <c r="L115" s="608"/>
      <c r="M115" s="608"/>
      <c r="N115" s="608"/>
      <c r="O115" s="608"/>
      <c r="P115" s="608"/>
    </row>
    <row r="116" spans="1:16" x14ac:dyDescent="0.2">
      <c r="A116" s="654" t="s">
        <v>48</v>
      </c>
      <c r="B116" s="608"/>
      <c r="C116" s="608"/>
      <c r="D116" s="608"/>
      <c r="E116" s="608"/>
      <c r="F116" s="608"/>
      <c r="G116" s="608"/>
      <c r="H116" s="608"/>
      <c r="I116" s="608"/>
      <c r="J116" s="608"/>
      <c r="K116" s="608"/>
      <c r="L116" s="608"/>
      <c r="M116" s="608"/>
      <c r="N116" s="608"/>
      <c r="O116" s="608"/>
      <c r="P116" s="608"/>
    </row>
    <row r="117" spans="1:16" x14ac:dyDescent="0.2">
      <c r="A117" s="666" t="s">
        <v>49</v>
      </c>
      <c r="B117" s="608"/>
      <c r="C117" s="608"/>
      <c r="D117" s="608">
        <f>D71</f>
        <v>5504</v>
      </c>
      <c r="E117" s="608">
        <f t="shared" ref="E117:E119" si="47">E71</f>
        <v>4470</v>
      </c>
      <c r="F117" s="608">
        <f t="shared" ref="F117:P119" si="48">+E117</f>
        <v>4470</v>
      </c>
      <c r="G117" s="608">
        <f t="shared" si="48"/>
        <v>4470</v>
      </c>
      <c r="H117" s="608">
        <f t="shared" si="48"/>
        <v>4470</v>
      </c>
      <c r="I117" s="608">
        <f t="shared" si="48"/>
        <v>4470</v>
      </c>
      <c r="J117" s="608">
        <f t="shared" si="48"/>
        <v>4470</v>
      </c>
      <c r="K117" s="608">
        <f t="shared" si="48"/>
        <v>4470</v>
      </c>
      <c r="L117" s="608">
        <f t="shared" si="48"/>
        <v>4470</v>
      </c>
      <c r="M117" s="608">
        <f t="shared" si="48"/>
        <v>4470</v>
      </c>
      <c r="N117" s="608">
        <f t="shared" si="48"/>
        <v>4470</v>
      </c>
      <c r="O117" s="608">
        <f t="shared" si="48"/>
        <v>4470</v>
      </c>
      <c r="P117" s="608">
        <f t="shared" si="48"/>
        <v>4470</v>
      </c>
    </row>
    <row r="118" spans="1:16" x14ac:dyDescent="0.2">
      <c r="A118" s="666" t="s">
        <v>1051</v>
      </c>
      <c r="B118" s="608"/>
      <c r="C118" s="608"/>
      <c r="D118" s="608">
        <f>D72</f>
        <v>2925</v>
      </c>
      <c r="E118" s="608">
        <f t="shared" si="47"/>
        <v>667</v>
      </c>
      <c r="F118" s="608">
        <f>-'Gen Fund  Cash Flow'!G147</f>
        <v>621.83900000000006</v>
      </c>
      <c r="G118" s="608">
        <f>-'Gen Fund  Cash Flow'!H147</f>
        <v>555.48599999999999</v>
      </c>
      <c r="H118" s="608">
        <f>-'Gen Fund  Cash Flow'!I147</f>
        <v>672.75099999999998</v>
      </c>
      <c r="I118" s="608">
        <f>-'Gen Fund  Cash Flow'!J147</f>
        <v>972.69899999999996</v>
      </c>
      <c r="J118" s="608">
        <f>-'Gen Fund  Cash Flow'!K147</f>
        <v>992.15297999999996</v>
      </c>
      <c r="K118" s="608">
        <f>-'Gen Fund  Cash Flow'!L147</f>
        <v>1011.9960396</v>
      </c>
      <c r="L118" s="608">
        <f>-'Gen Fund  Cash Flow'!M147</f>
        <v>1032.2359603919999</v>
      </c>
      <c r="M118" s="608">
        <f>-'Gen Fund  Cash Flow'!N147</f>
        <v>1052.8806795998401</v>
      </c>
      <c r="N118" s="608">
        <f>-'Gen Fund  Cash Flow'!O147</f>
        <v>1073.9382931918369</v>
      </c>
      <c r="O118" s="608">
        <f>-'Gen Fund  Cash Flow'!P147</f>
        <v>1095.4170590556737</v>
      </c>
      <c r="P118" s="608">
        <f>-'Gen Fund  Cash Flow'!Q147</f>
        <v>0</v>
      </c>
    </row>
    <row r="119" spans="1:16" x14ac:dyDescent="0.2">
      <c r="A119" s="667" t="s">
        <v>50</v>
      </c>
      <c r="B119" s="615"/>
      <c r="C119" s="608"/>
      <c r="D119" s="608">
        <f t="shared" ref="D119" si="49">D73</f>
        <v>2773</v>
      </c>
      <c r="E119" s="608">
        <f t="shared" si="47"/>
        <v>2577</v>
      </c>
      <c r="F119" s="608">
        <f t="shared" si="48"/>
        <v>2577</v>
      </c>
      <c r="G119" s="608">
        <f t="shared" si="48"/>
        <v>2577</v>
      </c>
      <c r="H119" s="608">
        <f t="shared" si="48"/>
        <v>2577</v>
      </c>
      <c r="I119" s="608">
        <f t="shared" si="48"/>
        <v>2577</v>
      </c>
      <c r="J119" s="608">
        <f t="shared" si="48"/>
        <v>2577</v>
      </c>
      <c r="K119" s="608">
        <f t="shared" si="48"/>
        <v>2577</v>
      </c>
      <c r="L119" s="608">
        <f t="shared" si="48"/>
        <v>2577</v>
      </c>
      <c r="M119" s="608">
        <f t="shared" si="48"/>
        <v>2577</v>
      </c>
      <c r="N119" s="608">
        <f t="shared" si="48"/>
        <v>2577</v>
      </c>
      <c r="O119" s="608">
        <f t="shared" si="48"/>
        <v>2577</v>
      </c>
      <c r="P119" s="608">
        <f t="shared" si="48"/>
        <v>2577</v>
      </c>
    </row>
    <row r="120" spans="1:16" x14ac:dyDescent="0.2">
      <c r="A120" s="654" t="s">
        <v>51</v>
      </c>
      <c r="B120" s="656">
        <f>SUM(B117:B119)</f>
        <v>0</v>
      </c>
      <c r="C120" s="656">
        <f t="shared" ref="C120:P120" si="50">SUM(C117:C119)</f>
        <v>0</v>
      </c>
      <c r="D120" s="656">
        <f t="shared" si="50"/>
        <v>11202</v>
      </c>
      <c r="E120" s="656">
        <f t="shared" si="50"/>
        <v>7714</v>
      </c>
      <c r="F120" s="656">
        <f t="shared" si="50"/>
        <v>7668.8389999999999</v>
      </c>
      <c r="G120" s="656">
        <f t="shared" si="50"/>
        <v>7602.4859999999999</v>
      </c>
      <c r="H120" s="656">
        <f t="shared" si="50"/>
        <v>7719.7510000000002</v>
      </c>
      <c r="I120" s="656">
        <f t="shared" si="50"/>
        <v>8019.6989999999996</v>
      </c>
      <c r="J120" s="656">
        <f t="shared" si="50"/>
        <v>8039.1529799999998</v>
      </c>
      <c r="K120" s="656">
        <f t="shared" si="50"/>
        <v>8058.9960395999997</v>
      </c>
      <c r="L120" s="656">
        <f t="shared" si="50"/>
        <v>8079.2359603919995</v>
      </c>
      <c r="M120" s="656">
        <f t="shared" si="50"/>
        <v>8099.8806795998398</v>
      </c>
      <c r="N120" s="656">
        <f t="shared" si="50"/>
        <v>8120.9382931918371</v>
      </c>
      <c r="O120" s="656">
        <f t="shared" si="50"/>
        <v>8142.4170590556732</v>
      </c>
      <c r="P120" s="656">
        <f t="shared" si="50"/>
        <v>7047</v>
      </c>
    </row>
    <row r="121" spans="1:16" x14ac:dyDescent="0.2">
      <c r="B121" s="608"/>
      <c r="C121" s="608"/>
      <c r="D121" s="608"/>
      <c r="E121" s="608"/>
      <c r="F121" s="608"/>
      <c r="G121" s="608"/>
      <c r="H121" s="608"/>
      <c r="I121" s="608"/>
      <c r="J121" s="608"/>
      <c r="K121" s="608"/>
      <c r="L121" s="608"/>
      <c r="M121" s="608"/>
      <c r="N121" s="608"/>
      <c r="O121" s="608"/>
      <c r="P121" s="608"/>
    </row>
    <row r="122" spans="1:16" x14ac:dyDescent="0.2">
      <c r="A122" s="654" t="s">
        <v>52</v>
      </c>
      <c r="B122" s="608"/>
      <c r="C122" s="608"/>
      <c r="D122" s="608"/>
      <c r="E122" s="608"/>
      <c r="F122" s="608"/>
      <c r="G122" s="608"/>
      <c r="H122" s="608"/>
      <c r="I122" s="608"/>
      <c r="J122" s="608"/>
      <c r="K122" s="608"/>
      <c r="L122" s="608"/>
      <c r="M122" s="608"/>
      <c r="N122" s="608"/>
      <c r="O122" s="608"/>
      <c r="P122" s="608"/>
    </row>
    <row r="123" spans="1:16" x14ac:dyDescent="0.2">
      <c r="A123" s="653" t="s">
        <v>49</v>
      </c>
      <c r="B123" s="608"/>
      <c r="C123" s="608"/>
      <c r="D123" s="608">
        <f>D77</f>
        <v>0</v>
      </c>
      <c r="E123" s="608">
        <f t="shared" ref="E123:E125" si="51">E77</f>
        <v>0</v>
      </c>
      <c r="F123" s="608">
        <f t="shared" ref="F123:P125" si="52">+E123</f>
        <v>0</v>
      </c>
      <c r="G123" s="608">
        <f t="shared" si="52"/>
        <v>0</v>
      </c>
      <c r="H123" s="608">
        <f t="shared" si="52"/>
        <v>0</v>
      </c>
      <c r="I123" s="608">
        <f t="shared" si="52"/>
        <v>0</v>
      </c>
      <c r="J123" s="608">
        <f t="shared" si="52"/>
        <v>0</v>
      </c>
      <c r="K123" s="608">
        <f t="shared" si="52"/>
        <v>0</v>
      </c>
      <c r="L123" s="608">
        <f t="shared" si="52"/>
        <v>0</v>
      </c>
      <c r="M123" s="608">
        <f t="shared" si="52"/>
        <v>0</v>
      </c>
      <c r="N123" s="608">
        <f t="shared" si="52"/>
        <v>0</v>
      </c>
      <c r="O123" s="608">
        <f t="shared" si="52"/>
        <v>0</v>
      </c>
      <c r="P123" s="608">
        <f t="shared" si="52"/>
        <v>0</v>
      </c>
    </row>
    <row r="124" spans="1:16" x14ac:dyDescent="0.2">
      <c r="A124" s="653" t="s">
        <v>1051</v>
      </c>
      <c r="B124" s="608"/>
      <c r="C124" s="608"/>
      <c r="D124" s="608">
        <f>D78</f>
        <v>13675</v>
      </c>
      <c r="E124" s="608">
        <f t="shared" si="51"/>
        <v>5333</v>
      </c>
      <c r="F124" s="608">
        <f>E118+E124+'Gen Fund  Cash Flow'!F144+'Gen Fund  Cash Flow'!F147-F118</f>
        <v>4807.8739999999998</v>
      </c>
      <c r="G124" s="608">
        <f>F118+F124+'Gen Fund  Cash Flow'!G144+'Gen Fund  Cash Flow'!G147-G118</f>
        <v>4252.3879999999999</v>
      </c>
      <c r="H124" s="608">
        <f>G118+G124+'Gen Fund  Cash Flow'!H144+'Gen Fund  Cash Flow'!H147-H118</f>
        <v>14079.636999999999</v>
      </c>
      <c r="I124" s="608">
        <f>H118+H124+'Gen Fund  Cash Flow'!I144+'Gen Fund  Cash Flow'!I147-I118</f>
        <v>24106.937999999998</v>
      </c>
      <c r="J124" s="608">
        <f>I118+I124+'Gen Fund  Cash Flow'!J144+'Gen Fund  Cash Flow'!J147-J118</f>
        <v>23114.785019999999</v>
      </c>
      <c r="K124" s="608">
        <f>J118+J124+'Gen Fund  Cash Flow'!K144+'Gen Fund  Cash Flow'!K147-K118</f>
        <v>22102.788980400001</v>
      </c>
      <c r="L124" s="608">
        <f>K118+K124+'Gen Fund  Cash Flow'!L144+'Gen Fund  Cash Flow'!L147-L118</f>
        <v>21070.553020007999</v>
      </c>
      <c r="M124" s="608">
        <f>L118+L124+'Gen Fund  Cash Flow'!M144+'Gen Fund  Cash Flow'!M147-M118</f>
        <v>20017.67234040816</v>
      </c>
      <c r="N124" s="608">
        <f>M118+M124+'Gen Fund  Cash Flow'!N144+'Gen Fund  Cash Flow'!N147-N118</f>
        <v>18943.734047216323</v>
      </c>
      <c r="O124" s="608">
        <f>N118+N124+'Gen Fund  Cash Flow'!O144+'Gen Fund  Cash Flow'!O147-O118</f>
        <v>17848.316988160648</v>
      </c>
      <c r="P124" s="608">
        <f>O118+O124+'Gen Fund  Cash Flow'!P144+'Gen Fund  Cash Flow'!P147-P118</f>
        <v>17848.316988160648</v>
      </c>
    </row>
    <row r="125" spans="1:16" x14ac:dyDescent="0.2">
      <c r="A125" s="655" t="s">
        <v>50</v>
      </c>
      <c r="B125" s="615"/>
      <c r="C125" s="608"/>
      <c r="D125" s="608">
        <f t="shared" ref="D125" si="53">D79</f>
        <v>5056</v>
      </c>
      <c r="E125" s="608">
        <f t="shared" si="51"/>
        <v>5284</v>
      </c>
      <c r="F125" s="608">
        <f t="shared" si="52"/>
        <v>5284</v>
      </c>
      <c r="G125" s="608">
        <f t="shared" si="52"/>
        <v>5284</v>
      </c>
      <c r="H125" s="608">
        <f t="shared" si="52"/>
        <v>5284</v>
      </c>
      <c r="I125" s="608">
        <f t="shared" si="52"/>
        <v>5284</v>
      </c>
      <c r="J125" s="608">
        <f t="shared" si="52"/>
        <v>5284</v>
      </c>
      <c r="K125" s="608">
        <f t="shared" si="52"/>
        <v>5284</v>
      </c>
      <c r="L125" s="608">
        <f t="shared" si="52"/>
        <v>5284</v>
      </c>
      <c r="M125" s="608">
        <f t="shared" si="52"/>
        <v>5284</v>
      </c>
      <c r="N125" s="608">
        <f t="shared" si="52"/>
        <v>5284</v>
      </c>
      <c r="O125" s="608">
        <f t="shared" si="52"/>
        <v>5284</v>
      </c>
      <c r="P125" s="608">
        <f t="shared" si="52"/>
        <v>5284</v>
      </c>
    </row>
    <row r="126" spans="1:16" x14ac:dyDescent="0.2">
      <c r="A126" s="654" t="s">
        <v>53</v>
      </c>
      <c r="B126" s="656">
        <f>SUM(B123:B125)</f>
        <v>0</v>
      </c>
      <c r="C126" s="656">
        <f t="shared" ref="C126:P126" si="54">SUM(C123:C125)</f>
        <v>0</v>
      </c>
      <c r="D126" s="656">
        <f t="shared" si="54"/>
        <v>18731</v>
      </c>
      <c r="E126" s="656">
        <f t="shared" si="54"/>
        <v>10617</v>
      </c>
      <c r="F126" s="656">
        <f t="shared" si="54"/>
        <v>10091.874</v>
      </c>
      <c r="G126" s="656">
        <f t="shared" si="54"/>
        <v>9536.387999999999</v>
      </c>
      <c r="H126" s="656">
        <f t="shared" si="54"/>
        <v>19363.636999999999</v>
      </c>
      <c r="I126" s="656">
        <f t="shared" si="54"/>
        <v>29390.937999999998</v>
      </c>
      <c r="J126" s="656">
        <f t="shared" si="54"/>
        <v>28398.785019999999</v>
      </c>
      <c r="K126" s="656">
        <f t="shared" si="54"/>
        <v>27386.788980400001</v>
      </c>
      <c r="L126" s="656">
        <f t="shared" si="54"/>
        <v>26354.553020007999</v>
      </c>
      <c r="M126" s="656">
        <f t="shared" si="54"/>
        <v>25301.67234040816</v>
      </c>
      <c r="N126" s="656">
        <f t="shared" si="54"/>
        <v>24227.734047216323</v>
      </c>
      <c r="O126" s="656">
        <f t="shared" si="54"/>
        <v>23132.316988160648</v>
      </c>
      <c r="P126" s="656">
        <f t="shared" si="54"/>
        <v>23132.316988160648</v>
      </c>
    </row>
    <row r="127" spans="1:16" x14ac:dyDescent="0.2">
      <c r="B127" s="608"/>
      <c r="C127" s="608"/>
      <c r="D127" s="608"/>
      <c r="E127" s="608"/>
      <c r="F127" s="608"/>
      <c r="G127" s="608"/>
      <c r="H127" s="608"/>
      <c r="I127" s="608"/>
      <c r="J127" s="608"/>
      <c r="K127" s="608"/>
      <c r="L127" s="608"/>
      <c r="M127" s="608"/>
      <c r="N127" s="608"/>
      <c r="O127" s="608"/>
      <c r="P127" s="608"/>
    </row>
    <row r="128" spans="1:16" ht="10.8" thickBot="1" x14ac:dyDescent="0.25">
      <c r="A128" s="654" t="s">
        <v>54</v>
      </c>
      <c r="B128" s="665">
        <f>+B120+B126</f>
        <v>0</v>
      </c>
      <c r="C128" s="665">
        <f t="shared" ref="C128" si="55">+C120+C126</f>
        <v>0</v>
      </c>
      <c r="D128" s="608">
        <f t="shared" ref="D128" si="56">D82</f>
        <v>29933</v>
      </c>
      <c r="E128" s="665">
        <f t="shared" ref="E128:P128" si="57">+E120+E126</f>
        <v>18331</v>
      </c>
      <c r="F128" s="665">
        <f t="shared" si="57"/>
        <v>17760.713</v>
      </c>
      <c r="G128" s="665">
        <f t="shared" si="57"/>
        <v>17138.874</v>
      </c>
      <c r="H128" s="665">
        <f t="shared" si="57"/>
        <v>27083.387999999999</v>
      </c>
      <c r="I128" s="665">
        <f t="shared" si="57"/>
        <v>37410.636999999995</v>
      </c>
      <c r="J128" s="665">
        <f t="shared" si="57"/>
        <v>36437.938000000002</v>
      </c>
      <c r="K128" s="665">
        <f t="shared" si="57"/>
        <v>35445.785020000003</v>
      </c>
      <c r="L128" s="665">
        <f t="shared" si="57"/>
        <v>34433.788980400001</v>
      </c>
      <c r="M128" s="665">
        <f t="shared" si="57"/>
        <v>33401.553020008003</v>
      </c>
      <c r="N128" s="665">
        <f t="shared" si="57"/>
        <v>32348.67234040816</v>
      </c>
      <c r="O128" s="665">
        <f t="shared" si="57"/>
        <v>31274.73404721632</v>
      </c>
      <c r="P128" s="665">
        <f t="shared" si="57"/>
        <v>30179.316988160648</v>
      </c>
    </row>
    <row r="129" spans="1:16" ht="10.8" thickBot="1" x14ac:dyDescent="0.25">
      <c r="A129" s="654" t="s">
        <v>55</v>
      </c>
      <c r="B129" s="668">
        <f>+B113-B128</f>
        <v>0</v>
      </c>
      <c r="C129" s="668">
        <f t="shared" ref="C129:P129" si="58">+C113-C128</f>
        <v>0</v>
      </c>
      <c r="D129" s="668">
        <f t="shared" si="58"/>
        <v>592092</v>
      </c>
      <c r="E129" s="668">
        <f t="shared" si="58"/>
        <v>492575</v>
      </c>
      <c r="F129" s="668">
        <f t="shared" si="58"/>
        <v>495375.13200000004</v>
      </c>
      <c r="G129" s="668">
        <f t="shared" si="58"/>
        <v>500752.64149999997</v>
      </c>
      <c r="H129" s="668">
        <f t="shared" si="58"/>
        <v>506139.34179350006</v>
      </c>
      <c r="I129" s="668">
        <f t="shared" si="58"/>
        <v>515427.42564313742</v>
      </c>
      <c r="J129" s="668">
        <f t="shared" si="58"/>
        <v>520325.88926596736</v>
      </c>
      <c r="K129" s="668">
        <f t="shared" si="58"/>
        <v>524612.33542155649</v>
      </c>
      <c r="L129" s="668">
        <f t="shared" si="58"/>
        <v>529014.25132478145</v>
      </c>
      <c r="M129" s="668">
        <f t="shared" si="58"/>
        <v>533135.81332945894</v>
      </c>
      <c r="N129" s="668">
        <f t="shared" si="58"/>
        <v>537354.6727228557</v>
      </c>
      <c r="O129" s="668">
        <f t="shared" si="58"/>
        <v>540375.13628666487</v>
      </c>
      <c r="P129" s="668">
        <f t="shared" si="58"/>
        <v>541406.40025492175</v>
      </c>
    </row>
    <row r="130" spans="1:16" ht="10.8" thickTop="1" x14ac:dyDescent="0.2">
      <c r="B130" s="608"/>
      <c r="C130" s="608"/>
      <c r="D130" s="608"/>
      <c r="E130" s="608"/>
      <c r="F130" s="608"/>
      <c r="G130" s="608"/>
      <c r="H130" s="608"/>
      <c r="I130" s="608"/>
      <c r="J130" s="608"/>
      <c r="K130" s="608"/>
      <c r="L130" s="608"/>
      <c r="M130" s="608"/>
      <c r="N130" s="608"/>
      <c r="O130" s="608"/>
      <c r="P130" s="608"/>
    </row>
    <row r="131" spans="1:16" x14ac:dyDescent="0.2">
      <c r="A131" s="654" t="s">
        <v>56</v>
      </c>
      <c r="B131" s="608"/>
      <c r="C131" s="608"/>
      <c r="D131" s="608"/>
      <c r="E131" s="608"/>
      <c r="F131" s="608"/>
      <c r="G131" s="608"/>
      <c r="H131" s="608"/>
      <c r="I131" s="608"/>
      <c r="J131" s="608"/>
      <c r="K131" s="608"/>
      <c r="L131" s="608"/>
      <c r="M131" s="608"/>
      <c r="N131" s="608"/>
      <c r="O131" s="608"/>
      <c r="P131" s="608"/>
    </row>
    <row r="132" spans="1:16" x14ac:dyDescent="0.2">
      <c r="A132" s="653" t="s">
        <v>57</v>
      </c>
      <c r="B132" s="608"/>
      <c r="C132" s="608"/>
      <c r="D132" s="608">
        <f>D86</f>
        <v>291432</v>
      </c>
      <c r="E132" s="608">
        <f>+'General Fund  Equity Statement'!E81</f>
        <v>223910</v>
      </c>
      <c r="F132" s="608">
        <f>+'General Fund  Equity Statement'!F81</f>
        <v>226710.13200000001</v>
      </c>
      <c r="G132" s="608">
        <f>+'General Fund  Equity Statement'!G81</f>
        <v>232087.6415</v>
      </c>
      <c r="H132" s="608">
        <f>+'General Fund  Equity Statement'!H81</f>
        <v>237474.3417935</v>
      </c>
      <c r="I132" s="608">
        <f>+'General Fund  Equity Statement'!I81</f>
        <v>246762.42564313751</v>
      </c>
      <c r="J132" s="608">
        <f>+'General Fund  Equity Statement'!J81</f>
        <v>251660.88926596745</v>
      </c>
      <c r="K132" s="608">
        <f>+'General Fund  Equity Statement'!K81</f>
        <v>255947.33542155646</v>
      </c>
      <c r="L132" s="608">
        <f>+'General Fund  Equity Statement'!L81</f>
        <v>260349.25132478133</v>
      </c>
      <c r="M132" s="608">
        <f>+'General Fund  Equity Statement'!M81</f>
        <v>264470.81332945882</v>
      </c>
      <c r="N132" s="608">
        <f>+'General Fund  Equity Statement'!N81</f>
        <v>268689.67272285576</v>
      </c>
      <c r="O132" s="608">
        <f>+'General Fund  Equity Statement'!O81</f>
        <v>271710.13628666493</v>
      </c>
      <c r="P132" s="608">
        <f>+'General Fund  Equity Statement'!P81</f>
        <v>272741.4002549217</v>
      </c>
    </row>
    <row r="133" spans="1:16" ht="10.8" thickBot="1" x14ac:dyDescent="0.25">
      <c r="A133" s="653" t="s">
        <v>58</v>
      </c>
      <c r="B133" s="669"/>
      <c r="C133" s="669"/>
      <c r="D133" s="608">
        <f>D87</f>
        <v>300660</v>
      </c>
      <c r="E133" s="669">
        <f>+'General Fund  Equity Statement'!E90</f>
        <v>250606</v>
      </c>
      <c r="F133" s="669">
        <f>+'General Fund  Equity Statement'!F90</f>
        <v>250606</v>
      </c>
      <c r="G133" s="669">
        <f>+'General Fund  Equity Statement'!G90</f>
        <v>250606</v>
      </c>
      <c r="H133" s="669">
        <f>+'General Fund  Equity Statement'!H90</f>
        <v>250606</v>
      </c>
      <c r="I133" s="669">
        <f>+'General Fund  Equity Statement'!I90</f>
        <v>250606</v>
      </c>
      <c r="J133" s="669">
        <f>+'General Fund  Equity Statement'!J90</f>
        <v>250606</v>
      </c>
      <c r="K133" s="669">
        <f>+'General Fund  Equity Statement'!K90</f>
        <v>250606</v>
      </c>
      <c r="L133" s="669">
        <f>+'General Fund  Equity Statement'!L90</f>
        <v>250606</v>
      </c>
      <c r="M133" s="669">
        <f>+'General Fund  Equity Statement'!M90</f>
        <v>250606</v>
      </c>
      <c r="N133" s="669">
        <f>+'General Fund  Equity Statement'!N90</f>
        <v>250606</v>
      </c>
      <c r="O133" s="669">
        <f>+'General Fund  Equity Statement'!O90</f>
        <v>250606</v>
      </c>
      <c r="P133" s="669">
        <f>+'General Fund  Equity Statement'!P90</f>
        <v>250606</v>
      </c>
    </row>
    <row r="134" spans="1:16" ht="10.8" thickBot="1" x14ac:dyDescent="0.25">
      <c r="A134" s="654" t="s">
        <v>59</v>
      </c>
      <c r="B134" s="668">
        <f>SUM(B132:B133)</f>
        <v>0</v>
      </c>
      <c r="C134" s="668">
        <f t="shared" ref="C134:P134" si="59">SUM(C132:C133)</f>
        <v>0</v>
      </c>
      <c r="D134" s="668">
        <f t="shared" si="59"/>
        <v>592092</v>
      </c>
      <c r="E134" s="668">
        <f t="shared" si="59"/>
        <v>474516</v>
      </c>
      <c r="F134" s="668">
        <f t="shared" si="59"/>
        <v>477316.13199999998</v>
      </c>
      <c r="G134" s="668">
        <f t="shared" si="59"/>
        <v>482693.64150000003</v>
      </c>
      <c r="H134" s="668">
        <f t="shared" si="59"/>
        <v>488080.3417935</v>
      </c>
      <c r="I134" s="668">
        <f t="shared" si="59"/>
        <v>497368.42564313754</v>
      </c>
      <c r="J134" s="668">
        <f t="shared" si="59"/>
        <v>502266.88926596742</v>
      </c>
      <c r="K134" s="668">
        <f t="shared" si="59"/>
        <v>506553.33542155649</v>
      </c>
      <c r="L134" s="668">
        <f t="shared" si="59"/>
        <v>510955.25132478133</v>
      </c>
      <c r="M134" s="668">
        <f t="shared" si="59"/>
        <v>515076.81332945882</v>
      </c>
      <c r="N134" s="668">
        <f t="shared" si="59"/>
        <v>519295.67272285576</v>
      </c>
      <c r="O134" s="668">
        <f t="shared" si="59"/>
        <v>522316.13628666493</v>
      </c>
      <c r="P134" s="668">
        <f t="shared" si="59"/>
        <v>523347.4002549217</v>
      </c>
    </row>
    <row r="135" spans="1:16" ht="10.8" thickTop="1" x14ac:dyDescent="0.2">
      <c r="B135" s="608"/>
      <c r="C135" s="608"/>
      <c r="D135" s="608"/>
      <c r="E135" s="608"/>
      <c r="F135" s="608"/>
      <c r="G135" s="608"/>
      <c r="H135" s="608"/>
      <c r="I135" s="608"/>
      <c r="J135" s="608"/>
      <c r="K135" s="608"/>
      <c r="L135" s="608"/>
      <c r="M135" s="608"/>
      <c r="N135" s="608"/>
      <c r="O135" s="608"/>
      <c r="P135" s="608"/>
    </row>
    <row r="136" spans="1:16" x14ac:dyDescent="0.2">
      <c r="A136" s="653" t="s">
        <v>111</v>
      </c>
      <c r="B136" s="621">
        <f>+B129-B134</f>
        <v>0</v>
      </c>
      <c r="C136" s="621">
        <f t="shared" ref="C136:P136" si="60">+C129-C134</f>
        <v>0</v>
      </c>
      <c r="D136" s="621">
        <f t="shared" si="60"/>
        <v>0</v>
      </c>
      <c r="E136" s="621">
        <f t="shared" si="60"/>
        <v>18059</v>
      </c>
      <c r="F136" s="621">
        <f t="shared" si="60"/>
        <v>18059.000000000058</v>
      </c>
      <c r="G136" s="621">
        <f t="shared" si="60"/>
        <v>18058.999999999942</v>
      </c>
      <c r="H136" s="621">
        <f t="shared" si="60"/>
        <v>18059.000000000058</v>
      </c>
      <c r="I136" s="621">
        <f t="shared" si="60"/>
        <v>18058.999999999884</v>
      </c>
      <c r="J136" s="621">
        <f t="shared" si="60"/>
        <v>18058.999999999942</v>
      </c>
      <c r="K136" s="621">
        <f t="shared" si="60"/>
        <v>18059</v>
      </c>
      <c r="L136" s="621">
        <f t="shared" si="60"/>
        <v>18059.000000000116</v>
      </c>
      <c r="M136" s="621">
        <f t="shared" si="60"/>
        <v>18059.000000000116</v>
      </c>
      <c r="N136" s="621">
        <f t="shared" si="60"/>
        <v>18058.999999999942</v>
      </c>
      <c r="O136" s="621">
        <f t="shared" si="60"/>
        <v>18058.999999999942</v>
      </c>
      <c r="P136" s="621">
        <f t="shared" si="60"/>
        <v>18059.000000000058</v>
      </c>
    </row>
    <row r="137" spans="1:16" x14ac:dyDescent="0.2">
      <c r="A137" s="653" t="s">
        <v>112</v>
      </c>
      <c r="B137" s="621">
        <f>+B134-'GF &amp; FF  Equity Statement'!B101</f>
        <v>0</v>
      </c>
      <c r="C137" s="621">
        <f>+C134-'GF &amp; FF  Equity Statement'!C101</f>
        <v>0</v>
      </c>
      <c r="D137" s="621">
        <f>+D134-'General Fund  Equity Statement'!D101</f>
        <v>19960</v>
      </c>
      <c r="E137" s="621">
        <f>+E134-'General Fund  Equity Statement'!E101</f>
        <v>0</v>
      </c>
      <c r="F137" s="621">
        <f>+F134-'General Fund  Equity Statement'!F101</f>
        <v>0</v>
      </c>
      <c r="G137" s="621">
        <f>+G134-'General Fund  Equity Statement'!G101</f>
        <v>0</v>
      </c>
      <c r="H137" s="621">
        <f>+H134-'General Fund  Equity Statement'!H101</f>
        <v>0</v>
      </c>
      <c r="I137" s="621">
        <f>+I134-'General Fund  Equity Statement'!I101</f>
        <v>0</v>
      </c>
      <c r="J137" s="621">
        <f>+J134-'General Fund  Equity Statement'!J101</f>
        <v>0</v>
      </c>
      <c r="K137" s="621">
        <f>+K134-'General Fund  Equity Statement'!K101</f>
        <v>0</v>
      </c>
      <c r="L137" s="621">
        <f>+L134-'General Fund  Equity Statement'!L101</f>
        <v>0</v>
      </c>
      <c r="M137" s="621">
        <f>+M134-'General Fund  Equity Statement'!M101</f>
        <v>0</v>
      </c>
      <c r="N137" s="621">
        <f>+N134-'General Fund  Equity Statement'!N101</f>
        <v>0</v>
      </c>
      <c r="O137" s="621">
        <f>+O134-'General Fund  Equity Statement'!O101</f>
        <v>0</v>
      </c>
      <c r="P137" s="621">
        <f>+P134-'General Fund  Equity Statement'!P101</f>
        <v>0</v>
      </c>
    </row>
  </sheetData>
  <pageMargins left="0.70866141732283472" right="0.70866141732283472" top="0.74803149606299213" bottom="0.74803149606299213" header="0.31496062992125984" footer="0.31496062992125984"/>
  <pageSetup paperSize="9" scale="94" fitToHeight="0" orientation="landscape" r:id="rId1"/>
  <rowBreaks count="1" manualBreakCount="1">
    <brk id="89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102"/>
  <sheetViews>
    <sheetView workbookViewId="0">
      <pane xSplit="3" ySplit="3" topLeftCell="D58" activePane="bottomRight" state="frozen"/>
      <selection pane="topRight" activeCell="D1" sqref="D1"/>
      <selection pane="bottomLeft" activeCell="A3" sqref="A3"/>
      <selection pane="bottomRight" activeCell="F63" sqref="F63"/>
    </sheetView>
  </sheetViews>
  <sheetFormatPr defaultColWidth="9.109375" defaultRowHeight="10.199999999999999" outlineLevelCol="1" x14ac:dyDescent="0.2"/>
  <cols>
    <col min="1" max="1" width="32.33203125" style="653" customWidth="1"/>
    <col min="2" max="3" width="13.109375" style="653" hidden="1" customWidth="1" outlineLevel="1"/>
    <col min="4" max="5" width="13.109375" style="653" hidden="1" customWidth="1" outlineLevel="1" collapsed="1"/>
    <col min="6" max="6" width="13.109375" style="653" bestFit="1" customWidth="1" collapsed="1"/>
    <col min="7" max="16" width="9.88671875" style="653" bestFit="1" customWidth="1"/>
    <col min="17" max="16384" width="9.109375" style="653"/>
  </cols>
  <sheetData>
    <row r="1" spans="1:16" ht="12.75" x14ac:dyDescent="0.2">
      <c r="A1" s="1091" t="s">
        <v>1247</v>
      </c>
    </row>
    <row r="2" spans="1:16" s="660" customFormat="1" ht="12" x14ac:dyDescent="0.2">
      <c r="A2" s="652" t="s">
        <v>1072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16" ht="11.25" x14ac:dyDescent="0.2">
      <c r="A3" s="652" t="s">
        <v>73</v>
      </c>
      <c r="B3" s="741" t="s">
        <v>68</v>
      </c>
      <c r="C3" s="694" t="s">
        <v>0</v>
      </c>
      <c r="D3" s="694" t="s">
        <v>1</v>
      </c>
      <c r="E3" s="694" t="s">
        <v>2</v>
      </c>
      <c r="F3" s="694" t="s">
        <v>3</v>
      </c>
      <c r="G3" s="694" t="s">
        <v>4</v>
      </c>
      <c r="H3" s="694" t="s">
        <v>5</v>
      </c>
      <c r="I3" s="694" t="s">
        <v>6</v>
      </c>
      <c r="J3" s="694" t="s">
        <v>7</v>
      </c>
      <c r="K3" s="694" t="s">
        <v>8</v>
      </c>
      <c r="L3" s="694" t="s">
        <v>9</v>
      </c>
      <c r="M3" s="694" t="s">
        <v>514</v>
      </c>
      <c r="N3" s="694" t="s">
        <v>515</v>
      </c>
      <c r="O3" s="694" t="s">
        <v>904</v>
      </c>
      <c r="P3" s="694" t="s">
        <v>1046</v>
      </c>
    </row>
    <row r="4" spans="1:16" s="664" customFormat="1" ht="11.25" x14ac:dyDescent="0.2">
      <c r="A4" s="661"/>
      <c r="B4" s="662"/>
      <c r="C4" s="662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</row>
    <row r="5" spans="1:16" ht="11.25" x14ac:dyDescent="0.2">
      <c r="A5" s="654" t="s">
        <v>103</v>
      </c>
    </row>
    <row r="6" spans="1:16" ht="11.25" x14ac:dyDescent="0.2">
      <c r="A6" s="654" t="s">
        <v>100</v>
      </c>
      <c r="B6" s="621"/>
      <c r="C6" s="621"/>
      <c r="D6" s="621">
        <v>271472</v>
      </c>
      <c r="E6" s="621">
        <f>223454+456-E10</f>
        <v>212100</v>
      </c>
      <c r="F6" s="621">
        <f t="shared" ref="F6:P6" si="0">+E13</f>
        <v>223910</v>
      </c>
      <c r="G6" s="621">
        <f t="shared" si="0"/>
        <v>226710.13200000001</v>
      </c>
      <c r="H6" s="621">
        <f t="shared" si="0"/>
        <v>231229.25296000001</v>
      </c>
      <c r="I6" s="621">
        <f t="shared" si="0"/>
        <v>235741.85844500002</v>
      </c>
      <c r="J6" s="621">
        <f t="shared" si="0"/>
        <v>240573.78873530001</v>
      </c>
      <c r="K6" s="621">
        <f t="shared" si="0"/>
        <v>245354.77925293401</v>
      </c>
      <c r="L6" s="621">
        <f t="shared" si="0"/>
        <v>249884.59247963122</v>
      </c>
      <c r="M6" s="621">
        <f t="shared" si="0"/>
        <v>254486.7522768107</v>
      </c>
      <c r="N6" s="621">
        <f t="shared" si="0"/>
        <v>259152.15767361206</v>
      </c>
      <c r="O6" s="621">
        <f t="shared" si="0"/>
        <v>263890.4362788162</v>
      </c>
      <c r="P6" s="621">
        <f t="shared" si="0"/>
        <v>268695.15354638541</v>
      </c>
    </row>
    <row r="7" spans="1:16" ht="11.25" x14ac:dyDescent="0.2">
      <c r="A7" s="655" t="s">
        <v>101</v>
      </c>
      <c r="B7" s="617"/>
      <c r="C7" s="617"/>
      <c r="D7" s="617"/>
      <c r="E7" s="617"/>
      <c r="F7" s="617">
        <v>0</v>
      </c>
      <c r="G7" s="617">
        <v>0</v>
      </c>
      <c r="H7" s="617">
        <v>0</v>
      </c>
      <c r="I7" s="617">
        <v>0</v>
      </c>
      <c r="J7" s="617">
        <v>0</v>
      </c>
      <c r="K7" s="617">
        <v>0</v>
      </c>
      <c r="L7" s="617">
        <v>0</v>
      </c>
      <c r="M7" s="617">
        <v>0</v>
      </c>
      <c r="N7" s="617">
        <v>0</v>
      </c>
      <c r="O7" s="617">
        <v>0</v>
      </c>
      <c r="P7" s="617">
        <v>0</v>
      </c>
    </row>
    <row r="8" spans="1:16" ht="11.25" x14ac:dyDescent="0.2">
      <c r="A8" s="654" t="s">
        <v>102</v>
      </c>
      <c r="B8" s="621">
        <f>SUM(B6:B7)</f>
        <v>0</v>
      </c>
      <c r="C8" s="621">
        <f t="shared" ref="C8:P8" si="1">SUM(C6:C7)</f>
        <v>0</v>
      </c>
      <c r="D8" s="621">
        <f t="shared" si="1"/>
        <v>271472</v>
      </c>
      <c r="E8" s="621">
        <f t="shared" si="1"/>
        <v>212100</v>
      </c>
      <c r="F8" s="621">
        <f t="shared" si="1"/>
        <v>223910</v>
      </c>
      <c r="G8" s="621">
        <f t="shared" si="1"/>
        <v>226710.13200000001</v>
      </c>
      <c r="H8" s="621">
        <f t="shared" si="1"/>
        <v>231229.25296000001</v>
      </c>
      <c r="I8" s="621">
        <f t="shared" si="1"/>
        <v>235741.85844500002</v>
      </c>
      <c r="J8" s="621">
        <f t="shared" si="1"/>
        <v>240573.78873530001</v>
      </c>
      <c r="K8" s="621">
        <f t="shared" si="1"/>
        <v>245354.77925293401</v>
      </c>
      <c r="L8" s="621">
        <f t="shared" si="1"/>
        <v>249884.59247963122</v>
      </c>
      <c r="M8" s="621">
        <f t="shared" si="1"/>
        <v>254486.7522768107</v>
      </c>
      <c r="N8" s="621">
        <f t="shared" si="1"/>
        <v>259152.15767361206</v>
      </c>
      <c r="O8" s="621">
        <f t="shared" si="1"/>
        <v>263890.4362788162</v>
      </c>
      <c r="P8" s="621">
        <f t="shared" si="1"/>
        <v>268695.15354638541</v>
      </c>
    </row>
    <row r="9" spans="1:16" ht="11.25" x14ac:dyDescent="0.2">
      <c r="B9" s="621"/>
      <c r="C9" s="621"/>
      <c r="D9" s="621"/>
      <c r="E9" s="621"/>
      <c r="F9" s="621"/>
      <c r="G9" s="621"/>
      <c r="H9" s="621"/>
      <c r="I9" s="621"/>
      <c r="J9" s="621"/>
      <c r="K9" s="621"/>
      <c r="L9" s="621"/>
      <c r="M9" s="621"/>
      <c r="N9" s="621"/>
      <c r="O9" s="621"/>
      <c r="P9" s="621"/>
    </row>
    <row r="10" spans="1:16" ht="11.25" x14ac:dyDescent="0.2">
      <c r="A10" s="654" t="s">
        <v>76</v>
      </c>
      <c r="B10" s="621">
        <f>+'GF &amp; FF  Inc Exp Statement'!B38</f>
        <v>0</v>
      </c>
      <c r="C10" s="621">
        <f>+'GF &amp; FF  Inc Exp Statement'!C38</f>
        <v>0</v>
      </c>
      <c r="D10" s="621">
        <f>+'GF &amp; FF  Inc Exp Statement'!D38</f>
        <v>0</v>
      </c>
      <c r="E10" s="621">
        <f>+'Gen Fund  Inc Exp Statement'!E39</f>
        <v>11810</v>
      </c>
      <c r="F10" s="621">
        <f>+'Gen Fund  Inc Exp Statement'!F39</f>
        <v>2800.1320000000051</v>
      </c>
      <c r="G10" s="621">
        <f>+'Gen Fund  Inc Exp Statement'!G39</f>
        <v>4519.1209599999929</v>
      </c>
      <c r="H10" s="621">
        <f>+'Gen Fund  Inc Exp Statement'!H39</f>
        <v>4512.605485</v>
      </c>
      <c r="I10" s="621">
        <f>+'Gen Fund  Inc Exp Statement'!I39</f>
        <v>4831.9302903000062</v>
      </c>
      <c r="J10" s="621">
        <f>+'Gen Fund  Inc Exp Statement'!J39</f>
        <v>4780.9905176339962</v>
      </c>
      <c r="K10" s="621">
        <f>+'Gen Fund  Inc Exp Statement'!K39</f>
        <v>4529.813226697217</v>
      </c>
      <c r="L10" s="621">
        <f>+'Gen Fund  Inc Exp Statement'!L39</f>
        <v>4602.159797179469</v>
      </c>
      <c r="M10" s="621">
        <f>+'Gen Fund  Inc Exp Statement'!M39</f>
        <v>4665.4053968013759</v>
      </c>
      <c r="N10" s="621">
        <f>+'Gen Fund  Inc Exp Statement'!N39</f>
        <v>4738.2786052041411</v>
      </c>
      <c r="O10" s="621">
        <f>+'Gen Fund  Inc Exp Statement'!O39</f>
        <v>4804.7172675692054</v>
      </c>
      <c r="P10" s="621">
        <f>+'Gen Fund  Inc Exp Statement'!P39</f>
        <v>4869.8178423147983</v>
      </c>
    </row>
    <row r="11" spans="1:16" ht="11.25" x14ac:dyDescent="0.2">
      <c r="B11" s="608"/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</row>
    <row r="12" spans="1:16" s="654" customFormat="1" ht="11.25" x14ac:dyDescent="0.2">
      <c r="A12" s="654" t="s">
        <v>105</v>
      </c>
      <c r="B12" s="674">
        <f>+B10</f>
        <v>0</v>
      </c>
      <c r="C12" s="619">
        <f t="shared" ref="C12:P12" si="2">+C10</f>
        <v>0</v>
      </c>
      <c r="D12" s="674">
        <f t="shared" si="2"/>
        <v>0</v>
      </c>
      <c r="E12" s="619">
        <f t="shared" si="2"/>
        <v>11810</v>
      </c>
      <c r="F12" s="619">
        <f t="shared" si="2"/>
        <v>2800.1320000000051</v>
      </c>
      <c r="G12" s="619">
        <f t="shared" si="2"/>
        <v>4519.1209599999929</v>
      </c>
      <c r="H12" s="619">
        <f t="shared" si="2"/>
        <v>4512.605485</v>
      </c>
      <c r="I12" s="619">
        <f t="shared" si="2"/>
        <v>4831.9302903000062</v>
      </c>
      <c r="J12" s="619">
        <f t="shared" si="2"/>
        <v>4780.9905176339962</v>
      </c>
      <c r="K12" s="619">
        <f t="shared" si="2"/>
        <v>4529.813226697217</v>
      </c>
      <c r="L12" s="619">
        <f t="shared" si="2"/>
        <v>4602.159797179469</v>
      </c>
      <c r="M12" s="619">
        <f t="shared" si="2"/>
        <v>4665.4053968013759</v>
      </c>
      <c r="N12" s="619">
        <f t="shared" si="2"/>
        <v>4738.2786052041411</v>
      </c>
      <c r="O12" s="619">
        <f t="shared" si="2"/>
        <v>4804.7172675692054</v>
      </c>
      <c r="P12" s="619">
        <f t="shared" si="2"/>
        <v>4869.8178423147983</v>
      </c>
    </row>
    <row r="13" spans="1:16" s="654" customFormat="1" ht="12" thickBot="1" x14ac:dyDescent="0.25">
      <c r="A13" s="654" t="s">
        <v>106</v>
      </c>
      <c r="B13" s="658">
        <f t="shared" ref="B13:P13" si="3">+B8+B12</f>
        <v>0</v>
      </c>
      <c r="C13" s="658">
        <f t="shared" si="3"/>
        <v>0</v>
      </c>
      <c r="D13" s="658">
        <f t="shared" si="3"/>
        <v>271472</v>
      </c>
      <c r="E13" s="658">
        <f t="shared" si="3"/>
        <v>223910</v>
      </c>
      <c r="F13" s="658">
        <f t="shared" si="3"/>
        <v>226710.13200000001</v>
      </c>
      <c r="G13" s="658">
        <f t="shared" si="3"/>
        <v>231229.25296000001</v>
      </c>
      <c r="H13" s="658">
        <f t="shared" si="3"/>
        <v>235741.85844500002</v>
      </c>
      <c r="I13" s="658">
        <f t="shared" si="3"/>
        <v>240573.78873530001</v>
      </c>
      <c r="J13" s="658">
        <f t="shared" si="3"/>
        <v>245354.77925293401</v>
      </c>
      <c r="K13" s="658">
        <f t="shared" si="3"/>
        <v>249884.59247963122</v>
      </c>
      <c r="L13" s="658">
        <f t="shared" si="3"/>
        <v>254486.7522768107</v>
      </c>
      <c r="M13" s="658">
        <f t="shared" si="3"/>
        <v>259152.15767361206</v>
      </c>
      <c r="N13" s="658">
        <f t="shared" si="3"/>
        <v>263890.4362788162</v>
      </c>
      <c r="O13" s="658">
        <f t="shared" si="3"/>
        <v>268695.15354638541</v>
      </c>
      <c r="P13" s="658">
        <f t="shared" si="3"/>
        <v>273564.97138870019</v>
      </c>
    </row>
    <row r="14" spans="1:16" ht="11.25" x14ac:dyDescent="0.2"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</row>
    <row r="15" spans="1:16" ht="11.25" x14ac:dyDescent="0.2">
      <c r="A15" s="654" t="s">
        <v>107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</row>
    <row r="16" spans="1:16" ht="11.25" x14ac:dyDescent="0.2">
      <c r="A16" s="654" t="s">
        <v>100</v>
      </c>
      <c r="B16" s="608"/>
      <c r="C16" s="608"/>
      <c r="D16" s="608">
        <v>309010</v>
      </c>
      <c r="E16" s="608">
        <f>250606</f>
        <v>250606</v>
      </c>
      <c r="F16" s="608">
        <f t="shared" ref="F16:P16" si="4">+E22</f>
        <v>250606</v>
      </c>
      <c r="G16" s="608">
        <f t="shared" si="4"/>
        <v>250606</v>
      </c>
      <c r="H16" s="608">
        <f t="shared" si="4"/>
        <v>250606</v>
      </c>
      <c r="I16" s="608">
        <f t="shared" si="4"/>
        <v>250606</v>
      </c>
      <c r="J16" s="608">
        <f t="shared" si="4"/>
        <v>250606</v>
      </c>
      <c r="K16" s="608">
        <f t="shared" si="4"/>
        <v>250606</v>
      </c>
      <c r="L16" s="608">
        <f t="shared" si="4"/>
        <v>250606</v>
      </c>
      <c r="M16" s="608">
        <f t="shared" si="4"/>
        <v>250606</v>
      </c>
      <c r="N16" s="608">
        <f t="shared" si="4"/>
        <v>250606</v>
      </c>
      <c r="O16" s="608">
        <f t="shared" si="4"/>
        <v>250606</v>
      </c>
      <c r="P16" s="608">
        <f t="shared" si="4"/>
        <v>250606</v>
      </c>
    </row>
    <row r="17" spans="1:16" ht="11.25" x14ac:dyDescent="0.2">
      <c r="A17" s="655" t="s">
        <v>101</v>
      </c>
      <c r="B17" s="617"/>
      <c r="C17" s="617"/>
      <c r="D17" s="617"/>
      <c r="E17" s="617"/>
      <c r="F17" s="617">
        <v>0</v>
      </c>
      <c r="G17" s="617">
        <v>0</v>
      </c>
      <c r="H17" s="617">
        <v>0</v>
      </c>
      <c r="I17" s="617">
        <v>0</v>
      </c>
      <c r="J17" s="617">
        <v>0</v>
      </c>
      <c r="K17" s="617">
        <v>0</v>
      </c>
      <c r="L17" s="617">
        <v>0</v>
      </c>
      <c r="M17" s="617">
        <v>0</v>
      </c>
      <c r="N17" s="617">
        <v>0</v>
      </c>
      <c r="O17" s="617">
        <v>0</v>
      </c>
      <c r="P17" s="617">
        <v>0</v>
      </c>
    </row>
    <row r="18" spans="1:16" ht="11.25" x14ac:dyDescent="0.2">
      <c r="A18" s="654" t="s">
        <v>102</v>
      </c>
      <c r="B18" s="675">
        <f>SUM(B16:B17)</f>
        <v>0</v>
      </c>
      <c r="C18" s="675">
        <f t="shared" ref="C18:P18" si="5">SUM(C16:C17)</f>
        <v>0</v>
      </c>
      <c r="D18" s="675">
        <f t="shared" si="5"/>
        <v>309010</v>
      </c>
      <c r="E18" s="675">
        <f t="shared" si="5"/>
        <v>250606</v>
      </c>
      <c r="F18" s="675">
        <f t="shared" si="5"/>
        <v>250606</v>
      </c>
      <c r="G18" s="675">
        <f t="shared" si="5"/>
        <v>250606</v>
      </c>
      <c r="H18" s="675">
        <f t="shared" si="5"/>
        <v>250606</v>
      </c>
      <c r="I18" s="675">
        <f t="shared" si="5"/>
        <v>250606</v>
      </c>
      <c r="J18" s="675">
        <f t="shared" si="5"/>
        <v>250606</v>
      </c>
      <c r="K18" s="675">
        <f t="shared" si="5"/>
        <v>250606</v>
      </c>
      <c r="L18" s="675">
        <f t="shared" si="5"/>
        <v>250606</v>
      </c>
      <c r="M18" s="675">
        <f t="shared" si="5"/>
        <v>250606</v>
      </c>
      <c r="N18" s="675">
        <f t="shared" si="5"/>
        <v>250606</v>
      </c>
      <c r="O18" s="675">
        <f t="shared" si="5"/>
        <v>250606</v>
      </c>
      <c r="P18" s="675">
        <f t="shared" si="5"/>
        <v>250606</v>
      </c>
    </row>
    <row r="19" spans="1:16" ht="11.25" x14ac:dyDescent="0.2">
      <c r="B19" s="608"/>
      <c r="C19" s="608"/>
      <c r="D19" s="608"/>
      <c r="E19" s="608"/>
      <c r="F19" s="608"/>
      <c r="G19" s="608"/>
      <c r="H19" s="608"/>
      <c r="I19" s="608"/>
      <c r="J19" s="608"/>
      <c r="K19" s="608"/>
      <c r="L19" s="608"/>
      <c r="M19" s="608"/>
      <c r="N19" s="608"/>
      <c r="O19" s="608"/>
      <c r="P19" s="608"/>
    </row>
    <row r="20" spans="1:16" ht="11.25" x14ac:dyDescent="0.2">
      <c r="A20" s="653" t="s">
        <v>104</v>
      </c>
      <c r="B20" s="621"/>
      <c r="C20" s="621"/>
      <c r="D20" s="621">
        <v>-8350</v>
      </c>
      <c r="E20" s="621"/>
      <c r="F20" s="621">
        <v>0</v>
      </c>
      <c r="G20" s="621">
        <v>0</v>
      </c>
      <c r="H20" s="621">
        <v>0</v>
      </c>
      <c r="I20" s="621">
        <v>0</v>
      </c>
      <c r="J20" s="621">
        <v>0</v>
      </c>
      <c r="K20" s="621">
        <v>0</v>
      </c>
      <c r="L20" s="621">
        <v>0</v>
      </c>
      <c r="M20" s="621">
        <v>0</v>
      </c>
      <c r="N20" s="621">
        <v>0</v>
      </c>
      <c r="O20" s="621">
        <v>0</v>
      </c>
      <c r="P20" s="621">
        <v>0</v>
      </c>
    </row>
    <row r="21" spans="1:16" s="657" customFormat="1" ht="11.25" x14ac:dyDescent="0.2">
      <c r="A21" s="654" t="s">
        <v>105</v>
      </c>
      <c r="B21" s="674">
        <f>+B18+B20</f>
        <v>0</v>
      </c>
      <c r="C21" s="674">
        <f>C18+C20</f>
        <v>0</v>
      </c>
      <c r="D21" s="674">
        <f t="shared" ref="D21:L21" si="6">D18+D20</f>
        <v>300660</v>
      </c>
      <c r="E21" s="674">
        <f t="shared" si="6"/>
        <v>250606</v>
      </c>
      <c r="F21" s="674">
        <f t="shared" si="6"/>
        <v>250606</v>
      </c>
      <c r="G21" s="674">
        <f t="shared" si="6"/>
        <v>250606</v>
      </c>
      <c r="H21" s="674">
        <f t="shared" si="6"/>
        <v>250606</v>
      </c>
      <c r="I21" s="674">
        <f t="shared" si="6"/>
        <v>250606</v>
      </c>
      <c r="J21" s="674">
        <f t="shared" si="6"/>
        <v>250606</v>
      </c>
      <c r="K21" s="674">
        <f t="shared" si="6"/>
        <v>250606</v>
      </c>
      <c r="L21" s="674">
        <f t="shared" si="6"/>
        <v>250606</v>
      </c>
      <c r="M21" s="674">
        <f t="shared" ref="M21" si="7">+L21</f>
        <v>250606</v>
      </c>
      <c r="N21" s="674">
        <f t="shared" ref="N21" si="8">N18+N20</f>
        <v>250606</v>
      </c>
      <c r="O21" s="674">
        <f t="shared" ref="O21:P21" si="9">+N21</f>
        <v>250606</v>
      </c>
      <c r="P21" s="674">
        <f t="shared" si="9"/>
        <v>250606</v>
      </c>
    </row>
    <row r="22" spans="1:16" s="657" customFormat="1" ht="12" thickBot="1" x14ac:dyDescent="0.25">
      <c r="A22" s="654" t="s">
        <v>106</v>
      </c>
      <c r="B22" s="658">
        <f>+B21</f>
        <v>0</v>
      </c>
      <c r="C22" s="658">
        <f t="shared" ref="C22:P22" si="10">+C21</f>
        <v>0</v>
      </c>
      <c r="D22" s="658">
        <f t="shared" si="10"/>
        <v>300660</v>
      </c>
      <c r="E22" s="658">
        <f t="shared" si="10"/>
        <v>250606</v>
      </c>
      <c r="F22" s="658">
        <f t="shared" si="10"/>
        <v>250606</v>
      </c>
      <c r="G22" s="658">
        <f t="shared" si="10"/>
        <v>250606</v>
      </c>
      <c r="H22" s="658">
        <f t="shared" si="10"/>
        <v>250606</v>
      </c>
      <c r="I22" s="658">
        <f t="shared" si="10"/>
        <v>250606</v>
      </c>
      <c r="J22" s="658">
        <f t="shared" si="10"/>
        <v>250606</v>
      </c>
      <c r="K22" s="658">
        <f t="shared" si="10"/>
        <v>250606</v>
      </c>
      <c r="L22" s="658">
        <f t="shared" si="10"/>
        <v>250606</v>
      </c>
      <c r="M22" s="658">
        <f t="shared" si="10"/>
        <v>250606</v>
      </c>
      <c r="N22" s="658">
        <f t="shared" si="10"/>
        <v>250606</v>
      </c>
      <c r="O22" s="658">
        <f t="shared" si="10"/>
        <v>250606</v>
      </c>
      <c r="P22" s="658">
        <f t="shared" si="10"/>
        <v>250606</v>
      </c>
    </row>
    <row r="23" spans="1:16" ht="11.25" x14ac:dyDescent="0.2">
      <c r="B23" s="608"/>
      <c r="C23" s="608"/>
      <c r="D23" s="608"/>
      <c r="E23" s="608"/>
      <c r="F23" s="608"/>
      <c r="G23" s="608"/>
      <c r="H23" s="608"/>
      <c r="I23" s="608"/>
      <c r="J23" s="608"/>
      <c r="K23" s="608"/>
      <c r="L23" s="608"/>
      <c r="M23" s="608"/>
      <c r="N23" s="608"/>
      <c r="O23" s="608"/>
      <c r="P23" s="608"/>
    </row>
    <row r="24" spans="1:16" ht="11.25" x14ac:dyDescent="0.2">
      <c r="A24" s="654" t="s">
        <v>108</v>
      </c>
    </row>
    <row r="25" spans="1:16" ht="11.25" x14ac:dyDescent="0.2">
      <c r="A25" s="654" t="s">
        <v>100</v>
      </c>
      <c r="B25" s="608">
        <f>+B6+B16</f>
        <v>0</v>
      </c>
      <c r="C25" s="608">
        <f t="shared" ref="C25:P26" si="11">+C6+C16</f>
        <v>0</v>
      </c>
      <c r="D25" s="608">
        <f t="shared" si="11"/>
        <v>580482</v>
      </c>
      <c r="E25" s="608">
        <f t="shared" si="11"/>
        <v>462706</v>
      </c>
      <c r="F25" s="608">
        <f t="shared" si="11"/>
        <v>474516</v>
      </c>
      <c r="G25" s="608">
        <f t="shared" si="11"/>
        <v>477316.13199999998</v>
      </c>
      <c r="H25" s="608">
        <f t="shared" si="11"/>
        <v>481835.25296000001</v>
      </c>
      <c r="I25" s="608">
        <f t="shared" si="11"/>
        <v>486347.85844500002</v>
      </c>
      <c r="J25" s="608">
        <f t="shared" si="11"/>
        <v>491179.78873530001</v>
      </c>
      <c r="K25" s="608">
        <f t="shared" si="11"/>
        <v>495960.77925293404</v>
      </c>
      <c r="L25" s="608">
        <f t="shared" si="11"/>
        <v>500490.59247963119</v>
      </c>
      <c r="M25" s="608">
        <f t="shared" si="11"/>
        <v>505092.7522768107</v>
      </c>
      <c r="N25" s="608">
        <f t="shared" si="11"/>
        <v>509758.15767361206</v>
      </c>
      <c r="O25" s="608">
        <f t="shared" si="11"/>
        <v>514496.4362788162</v>
      </c>
      <c r="P25" s="608">
        <f t="shared" si="11"/>
        <v>519301.15354638541</v>
      </c>
    </row>
    <row r="26" spans="1:16" ht="11.25" x14ac:dyDescent="0.2">
      <c r="A26" s="655" t="s">
        <v>101</v>
      </c>
      <c r="B26" s="617">
        <f>+B7+B17</f>
        <v>0</v>
      </c>
      <c r="C26" s="617">
        <f t="shared" si="11"/>
        <v>0</v>
      </c>
      <c r="D26" s="617">
        <f t="shared" si="11"/>
        <v>0</v>
      </c>
      <c r="E26" s="617">
        <f t="shared" si="11"/>
        <v>0</v>
      </c>
      <c r="F26" s="617">
        <f t="shared" si="11"/>
        <v>0</v>
      </c>
      <c r="G26" s="617">
        <f t="shared" si="11"/>
        <v>0</v>
      </c>
      <c r="H26" s="617">
        <f t="shared" si="11"/>
        <v>0</v>
      </c>
      <c r="I26" s="617">
        <f t="shared" si="11"/>
        <v>0</v>
      </c>
      <c r="J26" s="617">
        <f t="shared" si="11"/>
        <v>0</v>
      </c>
      <c r="K26" s="617">
        <f t="shared" si="11"/>
        <v>0</v>
      </c>
      <c r="L26" s="617">
        <f t="shared" si="11"/>
        <v>0</v>
      </c>
      <c r="M26" s="617">
        <f t="shared" si="11"/>
        <v>0</v>
      </c>
      <c r="N26" s="617">
        <f t="shared" si="11"/>
        <v>0</v>
      </c>
      <c r="O26" s="617">
        <f t="shared" si="11"/>
        <v>0</v>
      </c>
      <c r="P26" s="617">
        <f t="shared" si="11"/>
        <v>0</v>
      </c>
    </row>
    <row r="27" spans="1:16" ht="11.25" x14ac:dyDescent="0.2">
      <c r="A27" s="654" t="s">
        <v>102</v>
      </c>
      <c r="B27" s="608">
        <f>SUM(B25:B26)</f>
        <v>0</v>
      </c>
      <c r="C27" s="608">
        <f t="shared" ref="C27:P27" si="12">SUM(C25:C26)</f>
        <v>0</v>
      </c>
      <c r="D27" s="608">
        <f t="shared" si="12"/>
        <v>580482</v>
      </c>
      <c r="E27" s="608">
        <f t="shared" si="12"/>
        <v>462706</v>
      </c>
      <c r="F27" s="608">
        <f t="shared" si="12"/>
        <v>474516</v>
      </c>
      <c r="G27" s="608">
        <f t="shared" si="12"/>
        <v>477316.13199999998</v>
      </c>
      <c r="H27" s="608">
        <f t="shared" si="12"/>
        <v>481835.25296000001</v>
      </c>
      <c r="I27" s="608">
        <f t="shared" si="12"/>
        <v>486347.85844500002</v>
      </c>
      <c r="J27" s="608">
        <f t="shared" si="12"/>
        <v>491179.78873530001</v>
      </c>
      <c r="K27" s="608">
        <f t="shared" si="12"/>
        <v>495960.77925293404</v>
      </c>
      <c r="L27" s="608">
        <f t="shared" si="12"/>
        <v>500490.59247963119</v>
      </c>
      <c r="M27" s="608">
        <f t="shared" si="12"/>
        <v>505092.7522768107</v>
      </c>
      <c r="N27" s="608">
        <f t="shared" si="12"/>
        <v>509758.15767361206</v>
      </c>
      <c r="O27" s="608">
        <f t="shared" si="12"/>
        <v>514496.4362788162</v>
      </c>
      <c r="P27" s="608">
        <f t="shared" si="12"/>
        <v>519301.15354638541</v>
      </c>
    </row>
    <row r="28" spans="1:16" ht="11.25" x14ac:dyDescent="0.2">
      <c r="B28" s="608"/>
      <c r="C28" s="608"/>
      <c r="D28" s="608"/>
      <c r="E28" s="608"/>
      <c r="F28" s="608"/>
      <c r="G28" s="608"/>
      <c r="H28" s="608"/>
      <c r="I28" s="608"/>
      <c r="J28" s="608"/>
      <c r="K28" s="608"/>
      <c r="L28" s="608"/>
      <c r="M28" s="608"/>
      <c r="N28" s="608"/>
      <c r="O28" s="608"/>
      <c r="P28" s="608"/>
    </row>
    <row r="29" spans="1:16" ht="11.25" x14ac:dyDescent="0.2">
      <c r="A29" s="654" t="s">
        <v>76</v>
      </c>
      <c r="B29" s="608">
        <f>+B10</f>
        <v>0</v>
      </c>
      <c r="C29" s="621">
        <f t="shared" ref="C29:P29" si="13">+C10</f>
        <v>0</v>
      </c>
      <c r="D29" s="608">
        <f t="shared" si="13"/>
        <v>0</v>
      </c>
      <c r="E29" s="621">
        <f t="shared" si="13"/>
        <v>11810</v>
      </c>
      <c r="F29" s="621">
        <f t="shared" si="13"/>
        <v>2800.1320000000051</v>
      </c>
      <c r="G29" s="621">
        <f t="shared" si="13"/>
        <v>4519.1209599999929</v>
      </c>
      <c r="H29" s="621">
        <f t="shared" si="13"/>
        <v>4512.605485</v>
      </c>
      <c r="I29" s="621">
        <f t="shared" si="13"/>
        <v>4831.9302903000062</v>
      </c>
      <c r="J29" s="621">
        <f t="shared" si="13"/>
        <v>4780.9905176339962</v>
      </c>
      <c r="K29" s="621">
        <f t="shared" si="13"/>
        <v>4529.813226697217</v>
      </c>
      <c r="L29" s="621">
        <f t="shared" si="13"/>
        <v>4602.159797179469</v>
      </c>
      <c r="M29" s="621">
        <f t="shared" si="13"/>
        <v>4665.4053968013759</v>
      </c>
      <c r="N29" s="621">
        <f t="shared" si="13"/>
        <v>4738.2786052041411</v>
      </c>
      <c r="O29" s="621">
        <f t="shared" si="13"/>
        <v>4804.7172675692054</v>
      </c>
      <c r="P29" s="621">
        <f t="shared" si="13"/>
        <v>4869.8178423147983</v>
      </c>
    </row>
    <row r="30" spans="1:16" ht="11.25" x14ac:dyDescent="0.2">
      <c r="B30" s="608"/>
      <c r="C30" s="608"/>
      <c r="D30" s="608"/>
      <c r="E30" s="621"/>
      <c r="F30" s="621"/>
      <c r="G30" s="621"/>
      <c r="H30" s="621"/>
      <c r="I30" s="621"/>
      <c r="J30" s="621"/>
      <c r="K30" s="621"/>
      <c r="L30" s="621"/>
      <c r="M30" s="621"/>
      <c r="N30" s="621"/>
      <c r="O30" s="621"/>
      <c r="P30" s="621"/>
    </row>
    <row r="31" spans="1:16" s="654" customFormat="1" ht="11.25" x14ac:dyDescent="0.2">
      <c r="A31" s="654" t="s">
        <v>105</v>
      </c>
      <c r="B31" s="674">
        <f>+B12</f>
        <v>0</v>
      </c>
      <c r="C31" s="619">
        <f t="shared" ref="C31:P31" si="14">+C29</f>
        <v>0</v>
      </c>
      <c r="D31" s="674">
        <f t="shared" si="14"/>
        <v>0</v>
      </c>
      <c r="E31" s="619">
        <f t="shared" si="14"/>
        <v>11810</v>
      </c>
      <c r="F31" s="619">
        <f t="shared" si="14"/>
        <v>2800.1320000000051</v>
      </c>
      <c r="G31" s="619">
        <f t="shared" si="14"/>
        <v>4519.1209599999929</v>
      </c>
      <c r="H31" s="619">
        <f t="shared" si="14"/>
        <v>4512.605485</v>
      </c>
      <c r="I31" s="619">
        <f t="shared" si="14"/>
        <v>4831.9302903000062</v>
      </c>
      <c r="J31" s="619">
        <f t="shared" si="14"/>
        <v>4780.9905176339962</v>
      </c>
      <c r="K31" s="619">
        <f t="shared" si="14"/>
        <v>4529.813226697217</v>
      </c>
      <c r="L31" s="619">
        <f t="shared" si="14"/>
        <v>4602.159797179469</v>
      </c>
      <c r="M31" s="619">
        <f t="shared" si="14"/>
        <v>4665.4053968013759</v>
      </c>
      <c r="N31" s="619">
        <f t="shared" si="14"/>
        <v>4738.2786052041411</v>
      </c>
      <c r="O31" s="619">
        <f t="shared" si="14"/>
        <v>4804.7172675692054</v>
      </c>
      <c r="P31" s="619">
        <f t="shared" si="14"/>
        <v>4869.8178423147983</v>
      </c>
    </row>
    <row r="32" spans="1:16" s="676" customFormat="1" ht="12" thickBot="1" x14ac:dyDescent="0.25">
      <c r="A32" s="653" t="s">
        <v>104</v>
      </c>
      <c r="B32" s="633">
        <f>+B20</f>
        <v>0</v>
      </c>
      <c r="C32" s="633">
        <f t="shared" ref="C32:P32" si="15">+C20</f>
        <v>0</v>
      </c>
      <c r="D32" s="633">
        <f t="shared" si="15"/>
        <v>-8350</v>
      </c>
      <c r="E32" s="633">
        <f t="shared" si="15"/>
        <v>0</v>
      </c>
      <c r="F32" s="633">
        <f t="shared" si="15"/>
        <v>0</v>
      </c>
      <c r="G32" s="633">
        <f t="shared" si="15"/>
        <v>0</v>
      </c>
      <c r="H32" s="633">
        <f t="shared" si="15"/>
        <v>0</v>
      </c>
      <c r="I32" s="633">
        <f t="shared" si="15"/>
        <v>0</v>
      </c>
      <c r="J32" s="633">
        <f t="shared" si="15"/>
        <v>0</v>
      </c>
      <c r="K32" s="633">
        <f t="shared" si="15"/>
        <v>0</v>
      </c>
      <c r="L32" s="633">
        <f t="shared" si="15"/>
        <v>0</v>
      </c>
      <c r="M32" s="633">
        <f t="shared" si="15"/>
        <v>0</v>
      </c>
      <c r="N32" s="633">
        <f t="shared" si="15"/>
        <v>0</v>
      </c>
      <c r="O32" s="633">
        <f t="shared" si="15"/>
        <v>0</v>
      </c>
      <c r="P32" s="633">
        <f t="shared" si="15"/>
        <v>0</v>
      </c>
    </row>
    <row r="33" spans="1:16" s="654" customFormat="1" ht="12" thickBot="1" x14ac:dyDescent="0.25">
      <c r="A33" s="654" t="s">
        <v>106</v>
      </c>
      <c r="B33" s="668">
        <f>+B27+B31+B32</f>
        <v>0</v>
      </c>
      <c r="C33" s="668">
        <f t="shared" ref="C33:P33" si="16">+C27+C31+C32</f>
        <v>0</v>
      </c>
      <c r="D33" s="668">
        <f t="shared" si="16"/>
        <v>572132</v>
      </c>
      <c r="E33" s="668">
        <f t="shared" si="16"/>
        <v>474516</v>
      </c>
      <c r="F33" s="668">
        <f t="shared" si="16"/>
        <v>477316.13199999998</v>
      </c>
      <c r="G33" s="668">
        <f t="shared" si="16"/>
        <v>481835.25295999995</v>
      </c>
      <c r="H33" s="668">
        <f t="shared" si="16"/>
        <v>486347.85844500002</v>
      </c>
      <c r="I33" s="668">
        <f t="shared" si="16"/>
        <v>491179.78873530001</v>
      </c>
      <c r="J33" s="668">
        <f t="shared" si="16"/>
        <v>495960.77925293404</v>
      </c>
      <c r="K33" s="668">
        <f t="shared" si="16"/>
        <v>500490.59247963125</v>
      </c>
      <c r="L33" s="668">
        <f t="shared" si="16"/>
        <v>505092.75227681064</v>
      </c>
      <c r="M33" s="668">
        <f t="shared" si="16"/>
        <v>509758.15767361206</v>
      </c>
      <c r="N33" s="668">
        <f t="shared" si="16"/>
        <v>514496.4362788162</v>
      </c>
      <c r="O33" s="668">
        <f t="shared" si="16"/>
        <v>519301.15354638541</v>
      </c>
      <c r="P33" s="668">
        <f t="shared" si="16"/>
        <v>524170.97138870019</v>
      </c>
    </row>
    <row r="34" spans="1:16" ht="12" thickTop="1" x14ac:dyDescent="0.2">
      <c r="B34" s="608"/>
      <c r="C34" s="608"/>
      <c r="D34" s="608"/>
      <c r="E34" s="608"/>
      <c r="F34" s="608"/>
      <c r="G34" s="608"/>
      <c r="H34" s="608"/>
      <c r="I34" s="608"/>
      <c r="J34" s="608"/>
      <c r="K34" s="608"/>
      <c r="L34" s="608"/>
      <c r="M34" s="608"/>
      <c r="N34" s="608"/>
      <c r="O34" s="608"/>
      <c r="P34" s="608"/>
    </row>
    <row r="35" spans="1:16" ht="12.75" x14ac:dyDescent="0.2">
      <c r="A35" s="1091" t="s">
        <v>1247</v>
      </c>
    </row>
    <row r="36" spans="1:16" s="660" customFormat="1" ht="12" x14ac:dyDescent="0.2">
      <c r="A36" s="671" t="s">
        <v>1073</v>
      </c>
      <c r="B36" s="586" t="s">
        <v>69</v>
      </c>
      <c r="C36" s="586" t="s">
        <v>69</v>
      </c>
      <c r="D36" s="586" t="s">
        <v>69</v>
      </c>
      <c r="E36" s="586" t="s">
        <v>69</v>
      </c>
      <c r="F36" s="586" t="s">
        <v>70</v>
      </c>
      <c r="G36" s="586" t="s">
        <v>70</v>
      </c>
      <c r="H36" s="586" t="s">
        <v>71</v>
      </c>
      <c r="I36" s="586" t="s">
        <v>71</v>
      </c>
      <c r="J36" s="586" t="s">
        <v>71</v>
      </c>
      <c r="K36" s="586" t="s">
        <v>71</v>
      </c>
      <c r="L36" s="586" t="s">
        <v>71</v>
      </c>
      <c r="M36" s="586" t="s">
        <v>71</v>
      </c>
      <c r="N36" s="586" t="s">
        <v>71</v>
      </c>
      <c r="O36" s="586" t="s">
        <v>71</v>
      </c>
      <c r="P36" s="586" t="s">
        <v>71</v>
      </c>
    </row>
    <row r="37" spans="1:16" ht="11.25" x14ac:dyDescent="0.2">
      <c r="A37" s="652" t="s">
        <v>73</v>
      </c>
      <c r="B37" s="741" t="s">
        <v>68</v>
      </c>
      <c r="C37" s="694" t="s">
        <v>0</v>
      </c>
      <c r="D37" s="694" t="s">
        <v>1</v>
      </c>
      <c r="E37" s="694" t="s">
        <v>2</v>
      </c>
      <c r="F37" s="694" t="s">
        <v>3</v>
      </c>
      <c r="G37" s="694" t="s">
        <v>4</v>
      </c>
      <c r="H37" s="694" t="s">
        <v>5</v>
      </c>
      <c r="I37" s="694" t="s">
        <v>6</v>
      </c>
      <c r="J37" s="694" t="s">
        <v>7</v>
      </c>
      <c r="K37" s="694" t="s">
        <v>8</v>
      </c>
      <c r="L37" s="694" t="s">
        <v>9</v>
      </c>
      <c r="M37" s="694" t="s">
        <v>514</v>
      </c>
      <c r="N37" s="694" t="s">
        <v>515</v>
      </c>
      <c r="O37" s="694" t="s">
        <v>904</v>
      </c>
      <c r="P37" s="694" t="s">
        <v>1046</v>
      </c>
    </row>
    <row r="38" spans="1:16" s="664" customFormat="1" ht="11.25" x14ac:dyDescent="0.2">
      <c r="A38" s="661"/>
      <c r="B38" s="662"/>
      <c r="C38" s="662"/>
      <c r="D38" s="663"/>
      <c r="E38" s="663"/>
      <c r="F38" s="663"/>
      <c r="G38" s="663"/>
      <c r="H38" s="663"/>
      <c r="I38" s="663"/>
      <c r="J38" s="663"/>
      <c r="K38" s="663"/>
      <c r="L38" s="663"/>
      <c r="M38" s="663"/>
      <c r="N38" s="663"/>
      <c r="O38" s="663"/>
      <c r="P38" s="663"/>
    </row>
    <row r="39" spans="1:16" ht="11.25" x14ac:dyDescent="0.2">
      <c r="A39" s="654" t="s">
        <v>103</v>
      </c>
    </row>
    <row r="40" spans="1:16" ht="11.25" x14ac:dyDescent="0.2">
      <c r="A40" s="654" t="s">
        <v>100</v>
      </c>
      <c r="B40" s="608"/>
      <c r="C40" s="608"/>
      <c r="D40" s="608">
        <f>D6</f>
        <v>271472</v>
      </c>
      <c r="E40" s="608">
        <f>E6</f>
        <v>212100</v>
      </c>
      <c r="F40" s="608">
        <f t="shared" ref="F40:P40" si="17">+E47</f>
        <v>223910</v>
      </c>
      <c r="G40" s="608">
        <f t="shared" si="17"/>
        <v>226710.13200000001</v>
      </c>
      <c r="H40" s="608">
        <f t="shared" si="17"/>
        <v>231529.29</v>
      </c>
      <c r="I40" s="608">
        <f t="shared" si="17"/>
        <v>236822.65201000002</v>
      </c>
      <c r="J40" s="608">
        <f t="shared" si="17"/>
        <v>245748.46802530001</v>
      </c>
      <c r="K40" s="608">
        <f t="shared" si="17"/>
        <v>250275.60711793404</v>
      </c>
      <c r="L40" s="608">
        <f t="shared" si="17"/>
        <v>254694.92438614307</v>
      </c>
      <c r="M40" s="608">
        <f t="shared" si="17"/>
        <v>259279.00500297535</v>
      </c>
      <c r="N40" s="608">
        <f t="shared" si="17"/>
        <v>263996.79655484628</v>
      </c>
      <c r="O40" s="608">
        <f t="shared" si="17"/>
        <v>268815.23781031568</v>
      </c>
      <c r="P40" s="608">
        <f t="shared" si="17"/>
        <v>273756.34101827623</v>
      </c>
    </row>
    <row r="41" spans="1:16" ht="11.25" x14ac:dyDescent="0.2">
      <c r="A41" s="655" t="s">
        <v>101</v>
      </c>
      <c r="B41" s="617"/>
      <c r="C41" s="617"/>
      <c r="D41" s="617"/>
      <c r="E41" s="617"/>
      <c r="F41" s="617">
        <v>0</v>
      </c>
      <c r="G41" s="617">
        <v>0</v>
      </c>
      <c r="H41" s="617">
        <v>0</v>
      </c>
      <c r="I41" s="617">
        <v>0</v>
      </c>
      <c r="J41" s="617">
        <v>0</v>
      </c>
      <c r="K41" s="617">
        <v>0</v>
      </c>
      <c r="L41" s="617">
        <v>0</v>
      </c>
      <c r="M41" s="617">
        <v>0</v>
      </c>
      <c r="N41" s="617">
        <v>0</v>
      </c>
      <c r="O41" s="617">
        <v>0</v>
      </c>
      <c r="P41" s="617">
        <v>0</v>
      </c>
    </row>
    <row r="42" spans="1:16" ht="11.25" x14ac:dyDescent="0.2">
      <c r="A42" s="654" t="s">
        <v>102</v>
      </c>
      <c r="B42" s="608">
        <f>SUM(B40:B41)</f>
        <v>0</v>
      </c>
      <c r="C42" s="608">
        <f t="shared" ref="C42:P42" si="18">SUM(C40:C41)</f>
        <v>0</v>
      </c>
      <c r="D42" s="608">
        <f t="shared" si="18"/>
        <v>271472</v>
      </c>
      <c r="E42" s="608">
        <f t="shared" si="18"/>
        <v>212100</v>
      </c>
      <c r="F42" s="608">
        <f t="shared" si="18"/>
        <v>223910</v>
      </c>
      <c r="G42" s="608">
        <f t="shared" si="18"/>
        <v>226710.13200000001</v>
      </c>
      <c r="H42" s="608">
        <f t="shared" si="18"/>
        <v>231529.29</v>
      </c>
      <c r="I42" s="608">
        <f t="shared" si="18"/>
        <v>236822.65201000002</v>
      </c>
      <c r="J42" s="608">
        <f t="shared" si="18"/>
        <v>245748.46802530001</v>
      </c>
      <c r="K42" s="608">
        <f t="shared" si="18"/>
        <v>250275.60711793404</v>
      </c>
      <c r="L42" s="608">
        <f t="shared" si="18"/>
        <v>254694.92438614307</v>
      </c>
      <c r="M42" s="608">
        <f t="shared" si="18"/>
        <v>259279.00500297535</v>
      </c>
      <c r="N42" s="608">
        <f t="shared" si="18"/>
        <v>263996.79655484628</v>
      </c>
      <c r="O42" s="608">
        <f t="shared" si="18"/>
        <v>268815.23781031568</v>
      </c>
      <c r="P42" s="608">
        <f t="shared" si="18"/>
        <v>273756.34101827623</v>
      </c>
    </row>
    <row r="43" spans="1:16" ht="11.25" x14ac:dyDescent="0.2">
      <c r="B43" s="608"/>
      <c r="C43" s="608"/>
      <c r="D43" s="608"/>
      <c r="E43" s="608"/>
      <c r="F43" s="608"/>
      <c r="G43" s="608"/>
      <c r="H43" s="608"/>
      <c r="I43" s="608"/>
      <c r="J43" s="608"/>
      <c r="K43" s="608"/>
      <c r="L43" s="608"/>
      <c r="M43" s="608"/>
      <c r="N43" s="608"/>
      <c r="O43" s="608"/>
      <c r="P43" s="608"/>
    </row>
    <row r="44" spans="1:16" ht="11.25" x14ac:dyDescent="0.2">
      <c r="A44" s="654" t="s">
        <v>76</v>
      </c>
      <c r="B44" s="621">
        <f>+'GF &amp; FF  Inc Exp Statement'!B113</f>
        <v>0</v>
      </c>
      <c r="C44" s="621">
        <f>+'GF &amp; FF  Inc Exp Statement'!C113</f>
        <v>0</v>
      </c>
      <c r="D44" s="621">
        <f>+'Gen Fund  Inc Exp Statement'!D116</f>
        <v>0</v>
      </c>
      <c r="E44" s="621">
        <f>+'Gen Fund  Inc Exp Statement'!E116</f>
        <v>11810</v>
      </c>
      <c r="F44" s="621">
        <f>+'Gen Fund  Inc Exp Statement'!F116</f>
        <v>2800.1320000000051</v>
      </c>
      <c r="G44" s="621">
        <f>+'Gen Fund  Inc Exp Statement'!G116</f>
        <v>4819.1579999999958</v>
      </c>
      <c r="H44" s="621">
        <f>+'Gen Fund  Inc Exp Statement'!H116</f>
        <v>5293.3620100000044</v>
      </c>
      <c r="I44" s="621">
        <f>+'Gen Fund  Inc Exp Statement'!I116</f>
        <v>8925.8160153000063</v>
      </c>
      <c r="J44" s="621">
        <f>+'Gen Fund  Inc Exp Statement'!J116</f>
        <v>4527.13909263401</v>
      </c>
      <c r="K44" s="621">
        <f>+'Gen Fund  Inc Exp Statement'!K116</f>
        <v>4419.3172682090371</v>
      </c>
      <c r="L44" s="621">
        <f>+'Gen Fund  Inc Exp Statement'!L116</f>
        <v>4584.0806168322597</v>
      </c>
      <c r="M44" s="621">
        <f>+'Gen Fund  Inc Exp Statement'!M116</f>
        <v>4717.7915518709269</v>
      </c>
      <c r="N44" s="621">
        <f>+'Gen Fund  Inc Exp Statement'!N116</f>
        <v>4818.4412554693699</v>
      </c>
      <c r="O44" s="621">
        <f>+'Gen Fund  Inc Exp Statement'!O116</f>
        <v>4941.1032079605648</v>
      </c>
      <c r="P44" s="621">
        <f>+'Gen Fund  Inc Exp Statement'!P116</f>
        <v>5067.3765167176389</v>
      </c>
    </row>
    <row r="45" spans="1:16" ht="11.25" x14ac:dyDescent="0.2">
      <c r="B45" s="608"/>
      <c r="C45" s="608"/>
      <c r="D45" s="608"/>
      <c r="E45" s="608"/>
      <c r="F45" s="608"/>
      <c r="G45" s="608"/>
      <c r="H45" s="608"/>
      <c r="I45" s="608"/>
      <c r="J45" s="608"/>
      <c r="K45" s="608"/>
      <c r="L45" s="608"/>
      <c r="M45" s="608"/>
      <c r="N45" s="608"/>
      <c r="O45" s="608"/>
      <c r="P45" s="608"/>
    </row>
    <row r="46" spans="1:16" s="654" customFormat="1" ht="11.25" x14ac:dyDescent="0.2">
      <c r="A46" s="654" t="s">
        <v>105</v>
      </c>
      <c r="B46" s="674">
        <f>+B44</f>
        <v>0</v>
      </c>
      <c r="C46" s="619">
        <f t="shared" ref="C46:P46" si="19">+C44</f>
        <v>0</v>
      </c>
      <c r="D46" s="674">
        <f t="shared" si="19"/>
        <v>0</v>
      </c>
      <c r="E46" s="619">
        <f t="shared" si="19"/>
        <v>11810</v>
      </c>
      <c r="F46" s="619">
        <f t="shared" si="19"/>
        <v>2800.1320000000051</v>
      </c>
      <c r="G46" s="619">
        <f t="shared" si="19"/>
        <v>4819.1579999999958</v>
      </c>
      <c r="H46" s="619">
        <f t="shared" si="19"/>
        <v>5293.3620100000044</v>
      </c>
      <c r="I46" s="619">
        <f t="shared" si="19"/>
        <v>8925.8160153000063</v>
      </c>
      <c r="J46" s="619">
        <f t="shared" si="19"/>
        <v>4527.13909263401</v>
      </c>
      <c r="K46" s="619">
        <f t="shared" si="19"/>
        <v>4419.3172682090371</v>
      </c>
      <c r="L46" s="619">
        <f t="shared" si="19"/>
        <v>4584.0806168322597</v>
      </c>
      <c r="M46" s="619">
        <f t="shared" si="19"/>
        <v>4717.7915518709269</v>
      </c>
      <c r="N46" s="619">
        <f t="shared" si="19"/>
        <v>4818.4412554693699</v>
      </c>
      <c r="O46" s="619">
        <f t="shared" si="19"/>
        <v>4941.1032079605648</v>
      </c>
      <c r="P46" s="619">
        <f t="shared" si="19"/>
        <v>5067.3765167176389</v>
      </c>
    </row>
    <row r="47" spans="1:16" s="654" customFormat="1" ht="12" thickBot="1" x14ac:dyDescent="0.25">
      <c r="A47" s="654" t="s">
        <v>106</v>
      </c>
      <c r="B47" s="658">
        <f t="shared" ref="B47:P47" si="20">+B42+B46</f>
        <v>0</v>
      </c>
      <c r="C47" s="658">
        <f t="shared" si="20"/>
        <v>0</v>
      </c>
      <c r="D47" s="658">
        <f t="shared" si="20"/>
        <v>271472</v>
      </c>
      <c r="E47" s="658">
        <f t="shared" si="20"/>
        <v>223910</v>
      </c>
      <c r="F47" s="658">
        <f t="shared" si="20"/>
        <v>226710.13200000001</v>
      </c>
      <c r="G47" s="658">
        <f t="shared" si="20"/>
        <v>231529.29</v>
      </c>
      <c r="H47" s="658">
        <f t="shared" si="20"/>
        <v>236822.65201000002</v>
      </c>
      <c r="I47" s="658">
        <f t="shared" si="20"/>
        <v>245748.46802530001</v>
      </c>
      <c r="J47" s="658">
        <f t="shared" si="20"/>
        <v>250275.60711793404</v>
      </c>
      <c r="K47" s="658">
        <f t="shared" si="20"/>
        <v>254694.92438614307</v>
      </c>
      <c r="L47" s="658">
        <f t="shared" si="20"/>
        <v>259279.00500297535</v>
      </c>
      <c r="M47" s="658">
        <f t="shared" si="20"/>
        <v>263996.79655484628</v>
      </c>
      <c r="N47" s="658">
        <f t="shared" si="20"/>
        <v>268815.23781031568</v>
      </c>
      <c r="O47" s="658">
        <f t="shared" si="20"/>
        <v>273756.34101827623</v>
      </c>
      <c r="P47" s="658">
        <f t="shared" si="20"/>
        <v>278823.71753499389</v>
      </c>
    </row>
    <row r="48" spans="1:16" ht="11.25" x14ac:dyDescent="0.2">
      <c r="B48" s="608"/>
      <c r="C48" s="608"/>
      <c r="D48" s="608"/>
      <c r="E48" s="608"/>
      <c r="F48" s="608"/>
      <c r="G48" s="608"/>
      <c r="H48" s="608"/>
      <c r="I48" s="608"/>
      <c r="J48" s="608"/>
      <c r="K48" s="608"/>
      <c r="L48" s="608"/>
      <c r="M48" s="608"/>
      <c r="N48" s="608"/>
      <c r="O48" s="608"/>
      <c r="P48" s="608"/>
    </row>
    <row r="49" spans="1:16" ht="11.25" x14ac:dyDescent="0.2">
      <c r="A49" s="654" t="s">
        <v>107</v>
      </c>
      <c r="B49" s="608"/>
      <c r="C49" s="608"/>
      <c r="D49" s="608"/>
      <c r="E49" s="608"/>
      <c r="F49" s="608"/>
      <c r="G49" s="608"/>
      <c r="H49" s="608"/>
      <c r="I49" s="608"/>
      <c r="J49" s="608"/>
      <c r="K49" s="608"/>
      <c r="L49" s="608"/>
      <c r="M49" s="608"/>
      <c r="N49" s="608"/>
      <c r="O49" s="608"/>
      <c r="P49" s="608"/>
    </row>
    <row r="50" spans="1:16" ht="11.25" x14ac:dyDescent="0.2">
      <c r="A50" s="654" t="s">
        <v>100</v>
      </c>
      <c r="B50" s="608"/>
      <c r="C50" s="608">
        <f>+B56</f>
        <v>0</v>
      </c>
      <c r="D50" s="608">
        <f>D16</f>
        <v>309010</v>
      </c>
      <c r="E50" s="608">
        <f>E16</f>
        <v>250606</v>
      </c>
      <c r="F50" s="608">
        <f t="shared" ref="F50:P50" si="21">+E56</f>
        <v>250606</v>
      </c>
      <c r="G50" s="608">
        <f t="shared" si="21"/>
        <v>250606</v>
      </c>
      <c r="H50" s="608">
        <f t="shared" si="21"/>
        <v>250606</v>
      </c>
      <c r="I50" s="608">
        <f t="shared" si="21"/>
        <v>250606</v>
      </c>
      <c r="J50" s="608">
        <f t="shared" si="21"/>
        <v>250606</v>
      </c>
      <c r="K50" s="608">
        <f t="shared" si="21"/>
        <v>250606</v>
      </c>
      <c r="L50" s="608">
        <f t="shared" si="21"/>
        <v>250606</v>
      </c>
      <c r="M50" s="608">
        <f t="shared" si="21"/>
        <v>250606</v>
      </c>
      <c r="N50" s="608">
        <f t="shared" si="21"/>
        <v>250606</v>
      </c>
      <c r="O50" s="608">
        <f t="shared" si="21"/>
        <v>250606</v>
      </c>
      <c r="P50" s="608">
        <f t="shared" si="21"/>
        <v>250606</v>
      </c>
    </row>
    <row r="51" spans="1:16" ht="11.25" x14ac:dyDescent="0.2">
      <c r="A51" s="655" t="s">
        <v>101</v>
      </c>
      <c r="B51" s="617">
        <v>0</v>
      </c>
      <c r="C51" s="617">
        <v>0</v>
      </c>
      <c r="D51" s="617">
        <v>0</v>
      </c>
      <c r="E51" s="617">
        <v>0</v>
      </c>
      <c r="F51" s="617">
        <v>0</v>
      </c>
      <c r="G51" s="617">
        <v>0</v>
      </c>
      <c r="H51" s="617">
        <v>0</v>
      </c>
      <c r="I51" s="617">
        <v>0</v>
      </c>
      <c r="J51" s="617">
        <v>0</v>
      </c>
      <c r="K51" s="617">
        <v>0</v>
      </c>
      <c r="L51" s="617">
        <v>0</v>
      </c>
      <c r="M51" s="617">
        <v>0</v>
      </c>
      <c r="N51" s="617">
        <v>0</v>
      </c>
      <c r="O51" s="617">
        <v>0</v>
      </c>
      <c r="P51" s="617">
        <v>0</v>
      </c>
    </row>
    <row r="52" spans="1:16" ht="11.25" x14ac:dyDescent="0.2">
      <c r="A52" s="654" t="s">
        <v>102</v>
      </c>
      <c r="B52" s="675">
        <f>SUM(B50:B51)</f>
        <v>0</v>
      </c>
      <c r="C52" s="675">
        <f t="shared" ref="C52:P52" si="22">SUM(C50:C51)</f>
        <v>0</v>
      </c>
      <c r="D52" s="675">
        <f t="shared" si="22"/>
        <v>309010</v>
      </c>
      <c r="E52" s="675">
        <f t="shared" si="22"/>
        <v>250606</v>
      </c>
      <c r="F52" s="675">
        <f t="shared" si="22"/>
        <v>250606</v>
      </c>
      <c r="G52" s="675">
        <f t="shared" si="22"/>
        <v>250606</v>
      </c>
      <c r="H52" s="675">
        <f t="shared" si="22"/>
        <v>250606</v>
      </c>
      <c r="I52" s="675">
        <f t="shared" si="22"/>
        <v>250606</v>
      </c>
      <c r="J52" s="675">
        <f t="shared" si="22"/>
        <v>250606</v>
      </c>
      <c r="K52" s="675">
        <f t="shared" si="22"/>
        <v>250606</v>
      </c>
      <c r="L52" s="675">
        <f t="shared" si="22"/>
        <v>250606</v>
      </c>
      <c r="M52" s="675">
        <f t="shared" si="22"/>
        <v>250606</v>
      </c>
      <c r="N52" s="675">
        <f t="shared" si="22"/>
        <v>250606</v>
      </c>
      <c r="O52" s="675">
        <f t="shared" si="22"/>
        <v>250606</v>
      </c>
      <c r="P52" s="675">
        <f t="shared" si="22"/>
        <v>250606</v>
      </c>
    </row>
    <row r="53" spans="1:16" ht="11.25" x14ac:dyDescent="0.2">
      <c r="B53" s="608"/>
      <c r="C53" s="608"/>
      <c r="D53" s="608"/>
      <c r="E53" s="608"/>
      <c r="F53" s="608"/>
      <c r="G53" s="608"/>
      <c r="H53" s="608"/>
      <c r="I53" s="608"/>
      <c r="J53" s="608"/>
      <c r="K53" s="608"/>
      <c r="L53" s="608"/>
      <c r="M53" s="608"/>
      <c r="N53" s="608"/>
      <c r="O53" s="608"/>
      <c r="P53" s="608"/>
    </row>
    <row r="54" spans="1:16" ht="11.25" x14ac:dyDescent="0.2">
      <c r="A54" s="653" t="s">
        <v>104</v>
      </c>
      <c r="B54" s="621">
        <v>0</v>
      </c>
      <c r="C54" s="621">
        <f>C32</f>
        <v>0</v>
      </c>
      <c r="D54" s="621">
        <f>D20</f>
        <v>-8350</v>
      </c>
      <c r="E54" s="621">
        <f t="shared" ref="E54:P54" si="23">E20</f>
        <v>0</v>
      </c>
      <c r="F54" s="621">
        <f t="shared" si="23"/>
        <v>0</v>
      </c>
      <c r="G54" s="621">
        <f t="shared" si="23"/>
        <v>0</v>
      </c>
      <c r="H54" s="621">
        <f t="shared" si="23"/>
        <v>0</v>
      </c>
      <c r="I54" s="621">
        <f t="shared" si="23"/>
        <v>0</v>
      </c>
      <c r="J54" s="621">
        <f t="shared" si="23"/>
        <v>0</v>
      </c>
      <c r="K54" s="621">
        <f t="shared" si="23"/>
        <v>0</v>
      </c>
      <c r="L54" s="621">
        <f t="shared" si="23"/>
        <v>0</v>
      </c>
      <c r="M54" s="621">
        <f t="shared" si="23"/>
        <v>0</v>
      </c>
      <c r="N54" s="621">
        <f t="shared" si="23"/>
        <v>0</v>
      </c>
      <c r="O54" s="621">
        <f t="shared" si="23"/>
        <v>0</v>
      </c>
      <c r="P54" s="621">
        <f t="shared" si="23"/>
        <v>0</v>
      </c>
    </row>
    <row r="55" spans="1:16" s="657" customFormat="1" ht="11.25" x14ac:dyDescent="0.2">
      <c r="A55" s="654" t="s">
        <v>105</v>
      </c>
      <c r="B55" s="674">
        <f>+B52+B54</f>
        <v>0</v>
      </c>
      <c r="C55" s="674">
        <f>C52+C54</f>
        <v>0</v>
      </c>
      <c r="D55" s="674">
        <f t="shared" ref="D55:P55" si="24">D52+D54</f>
        <v>300660</v>
      </c>
      <c r="E55" s="674">
        <f t="shared" si="24"/>
        <v>250606</v>
      </c>
      <c r="F55" s="674">
        <f t="shared" si="24"/>
        <v>250606</v>
      </c>
      <c r="G55" s="674">
        <f t="shared" si="24"/>
        <v>250606</v>
      </c>
      <c r="H55" s="674">
        <f t="shared" si="24"/>
        <v>250606</v>
      </c>
      <c r="I55" s="674">
        <f t="shared" si="24"/>
        <v>250606</v>
      </c>
      <c r="J55" s="674">
        <f t="shared" si="24"/>
        <v>250606</v>
      </c>
      <c r="K55" s="674">
        <f t="shared" si="24"/>
        <v>250606</v>
      </c>
      <c r="L55" s="674">
        <f t="shared" si="24"/>
        <v>250606</v>
      </c>
      <c r="M55" s="674">
        <f t="shared" si="24"/>
        <v>250606</v>
      </c>
      <c r="N55" s="674">
        <f t="shared" si="24"/>
        <v>250606</v>
      </c>
      <c r="O55" s="674">
        <f t="shared" si="24"/>
        <v>250606</v>
      </c>
      <c r="P55" s="674">
        <f t="shared" si="24"/>
        <v>250606</v>
      </c>
    </row>
    <row r="56" spans="1:16" s="657" customFormat="1" ht="12" thickBot="1" x14ac:dyDescent="0.25">
      <c r="A56" s="654" t="s">
        <v>106</v>
      </c>
      <c r="B56" s="658">
        <f>+B55</f>
        <v>0</v>
      </c>
      <c r="C56" s="658">
        <f t="shared" ref="C56:P56" si="25">+C55</f>
        <v>0</v>
      </c>
      <c r="D56" s="658">
        <f t="shared" si="25"/>
        <v>300660</v>
      </c>
      <c r="E56" s="658">
        <f t="shared" si="25"/>
        <v>250606</v>
      </c>
      <c r="F56" s="658">
        <f t="shared" si="25"/>
        <v>250606</v>
      </c>
      <c r="G56" s="658">
        <f t="shared" si="25"/>
        <v>250606</v>
      </c>
      <c r="H56" s="658">
        <f t="shared" si="25"/>
        <v>250606</v>
      </c>
      <c r="I56" s="658">
        <f t="shared" si="25"/>
        <v>250606</v>
      </c>
      <c r="J56" s="658">
        <f t="shared" si="25"/>
        <v>250606</v>
      </c>
      <c r="K56" s="658">
        <f t="shared" si="25"/>
        <v>250606</v>
      </c>
      <c r="L56" s="658">
        <f t="shared" si="25"/>
        <v>250606</v>
      </c>
      <c r="M56" s="658">
        <f t="shared" si="25"/>
        <v>250606</v>
      </c>
      <c r="N56" s="658">
        <f t="shared" si="25"/>
        <v>250606</v>
      </c>
      <c r="O56" s="658">
        <f t="shared" si="25"/>
        <v>250606</v>
      </c>
      <c r="P56" s="658">
        <f t="shared" si="25"/>
        <v>250606</v>
      </c>
    </row>
    <row r="57" spans="1:16" ht="11.25" x14ac:dyDescent="0.2">
      <c r="B57" s="608"/>
      <c r="C57" s="608"/>
      <c r="D57" s="608"/>
      <c r="E57" s="608"/>
      <c r="F57" s="608"/>
      <c r="G57" s="608"/>
      <c r="H57" s="608"/>
      <c r="I57" s="608"/>
      <c r="J57" s="608"/>
      <c r="K57" s="608"/>
      <c r="L57" s="608"/>
      <c r="M57" s="608"/>
      <c r="N57" s="608"/>
      <c r="O57" s="608"/>
      <c r="P57" s="608"/>
    </row>
    <row r="58" spans="1:16" ht="11.25" x14ac:dyDescent="0.2">
      <c r="A58" s="654" t="s">
        <v>108</v>
      </c>
    </row>
    <row r="59" spans="1:16" ht="11.25" x14ac:dyDescent="0.2">
      <c r="A59" s="654" t="s">
        <v>100</v>
      </c>
      <c r="B59" s="608">
        <f>+B40+B50</f>
        <v>0</v>
      </c>
      <c r="C59" s="608">
        <f t="shared" ref="C59:P60" si="26">+C40+C50</f>
        <v>0</v>
      </c>
      <c r="D59" s="608">
        <f t="shared" si="26"/>
        <v>580482</v>
      </c>
      <c r="E59" s="608">
        <f t="shared" si="26"/>
        <v>462706</v>
      </c>
      <c r="F59" s="608">
        <f t="shared" si="26"/>
        <v>474516</v>
      </c>
      <c r="G59" s="608">
        <f t="shared" si="26"/>
        <v>477316.13199999998</v>
      </c>
      <c r="H59" s="608">
        <f t="shared" si="26"/>
        <v>482135.29000000004</v>
      </c>
      <c r="I59" s="608">
        <f t="shared" si="26"/>
        <v>487428.65201000002</v>
      </c>
      <c r="J59" s="608">
        <f t="shared" si="26"/>
        <v>496354.46802530001</v>
      </c>
      <c r="K59" s="608">
        <f t="shared" si="26"/>
        <v>500881.60711793404</v>
      </c>
      <c r="L59" s="608">
        <f t="shared" si="26"/>
        <v>505300.9243861431</v>
      </c>
      <c r="M59" s="608">
        <f t="shared" si="26"/>
        <v>509885.00500297535</v>
      </c>
      <c r="N59" s="608">
        <f t="shared" si="26"/>
        <v>514602.79655484628</v>
      </c>
      <c r="O59" s="608">
        <f t="shared" si="26"/>
        <v>519421.23781031568</v>
      </c>
      <c r="P59" s="608">
        <f t="shared" si="26"/>
        <v>524362.34101827629</v>
      </c>
    </row>
    <row r="60" spans="1:16" ht="11.25" x14ac:dyDescent="0.2">
      <c r="A60" s="655" t="s">
        <v>101</v>
      </c>
      <c r="B60" s="617">
        <f>+B41+B51</f>
        <v>0</v>
      </c>
      <c r="C60" s="617">
        <f t="shared" si="26"/>
        <v>0</v>
      </c>
      <c r="D60" s="617">
        <f t="shared" si="26"/>
        <v>0</v>
      </c>
      <c r="E60" s="617">
        <f t="shared" si="26"/>
        <v>0</v>
      </c>
      <c r="F60" s="617">
        <f t="shared" si="26"/>
        <v>0</v>
      </c>
      <c r="G60" s="617">
        <f t="shared" si="26"/>
        <v>0</v>
      </c>
      <c r="H60" s="617">
        <f t="shared" si="26"/>
        <v>0</v>
      </c>
      <c r="I60" s="617">
        <f t="shared" si="26"/>
        <v>0</v>
      </c>
      <c r="J60" s="617">
        <f t="shared" si="26"/>
        <v>0</v>
      </c>
      <c r="K60" s="617">
        <f t="shared" si="26"/>
        <v>0</v>
      </c>
      <c r="L60" s="617">
        <f t="shared" si="26"/>
        <v>0</v>
      </c>
      <c r="M60" s="617">
        <f t="shared" si="26"/>
        <v>0</v>
      </c>
      <c r="N60" s="617">
        <f t="shared" si="26"/>
        <v>0</v>
      </c>
      <c r="O60" s="617">
        <f t="shared" si="26"/>
        <v>0</v>
      </c>
      <c r="P60" s="617">
        <f t="shared" si="26"/>
        <v>0</v>
      </c>
    </row>
    <row r="61" spans="1:16" ht="11.25" x14ac:dyDescent="0.2">
      <c r="A61" s="654" t="s">
        <v>102</v>
      </c>
      <c r="B61" s="608">
        <f>SUM(B59:B60)</f>
        <v>0</v>
      </c>
      <c r="C61" s="608">
        <f t="shared" ref="C61:P61" si="27">SUM(C59:C60)</f>
        <v>0</v>
      </c>
      <c r="D61" s="608">
        <f t="shared" si="27"/>
        <v>580482</v>
      </c>
      <c r="E61" s="608">
        <f t="shared" si="27"/>
        <v>462706</v>
      </c>
      <c r="F61" s="608">
        <f t="shared" si="27"/>
        <v>474516</v>
      </c>
      <c r="G61" s="608">
        <f t="shared" si="27"/>
        <v>477316.13199999998</v>
      </c>
      <c r="H61" s="608">
        <f t="shared" si="27"/>
        <v>482135.29000000004</v>
      </c>
      <c r="I61" s="608">
        <f t="shared" si="27"/>
        <v>487428.65201000002</v>
      </c>
      <c r="J61" s="608">
        <f t="shared" si="27"/>
        <v>496354.46802530001</v>
      </c>
      <c r="K61" s="608">
        <f t="shared" si="27"/>
        <v>500881.60711793404</v>
      </c>
      <c r="L61" s="608">
        <f t="shared" si="27"/>
        <v>505300.9243861431</v>
      </c>
      <c r="M61" s="608">
        <f t="shared" si="27"/>
        <v>509885.00500297535</v>
      </c>
      <c r="N61" s="608">
        <f t="shared" si="27"/>
        <v>514602.79655484628</v>
      </c>
      <c r="O61" s="608">
        <f t="shared" si="27"/>
        <v>519421.23781031568</v>
      </c>
      <c r="P61" s="608">
        <f t="shared" si="27"/>
        <v>524362.34101827629</v>
      </c>
    </row>
    <row r="62" spans="1:16" ht="11.25" x14ac:dyDescent="0.2">
      <c r="B62" s="608"/>
      <c r="C62" s="608"/>
      <c r="D62" s="608"/>
      <c r="E62" s="608"/>
      <c r="F62" s="608"/>
      <c r="G62" s="608"/>
      <c r="H62" s="608"/>
      <c r="I62" s="608"/>
      <c r="J62" s="608"/>
      <c r="K62" s="608"/>
      <c r="L62" s="608"/>
      <c r="M62" s="608"/>
      <c r="N62" s="608"/>
      <c r="O62" s="608"/>
      <c r="P62" s="608"/>
    </row>
    <row r="63" spans="1:16" ht="11.25" x14ac:dyDescent="0.2">
      <c r="A63" s="654" t="s">
        <v>76</v>
      </c>
      <c r="B63" s="608">
        <f>+B44</f>
        <v>0</v>
      </c>
      <c r="C63" s="621">
        <f t="shared" ref="C63:P63" si="28">+C44</f>
        <v>0</v>
      </c>
      <c r="D63" s="608">
        <f t="shared" si="28"/>
        <v>0</v>
      </c>
      <c r="E63" s="621">
        <f t="shared" si="28"/>
        <v>11810</v>
      </c>
      <c r="F63" s="621">
        <f t="shared" si="28"/>
        <v>2800.1320000000051</v>
      </c>
      <c r="G63" s="621">
        <f t="shared" si="28"/>
        <v>4819.1579999999958</v>
      </c>
      <c r="H63" s="621">
        <f t="shared" si="28"/>
        <v>5293.3620100000044</v>
      </c>
      <c r="I63" s="621">
        <f t="shared" si="28"/>
        <v>8925.8160153000063</v>
      </c>
      <c r="J63" s="621">
        <f t="shared" si="28"/>
        <v>4527.13909263401</v>
      </c>
      <c r="K63" s="621">
        <f t="shared" si="28"/>
        <v>4419.3172682090371</v>
      </c>
      <c r="L63" s="621">
        <f t="shared" si="28"/>
        <v>4584.0806168322597</v>
      </c>
      <c r="M63" s="621">
        <f t="shared" si="28"/>
        <v>4717.7915518709269</v>
      </c>
      <c r="N63" s="621">
        <f t="shared" si="28"/>
        <v>4818.4412554693699</v>
      </c>
      <c r="O63" s="621">
        <f t="shared" si="28"/>
        <v>4941.1032079605648</v>
      </c>
      <c r="P63" s="621">
        <f t="shared" si="28"/>
        <v>5067.3765167176389</v>
      </c>
    </row>
    <row r="64" spans="1:16" ht="11.25" x14ac:dyDescent="0.2">
      <c r="B64" s="608"/>
      <c r="C64" s="608"/>
      <c r="D64" s="608"/>
      <c r="E64" s="608"/>
      <c r="F64" s="608"/>
      <c r="G64" s="608"/>
      <c r="H64" s="608"/>
      <c r="I64" s="608"/>
      <c r="J64" s="608"/>
      <c r="K64" s="608"/>
      <c r="L64" s="608"/>
      <c r="M64" s="608"/>
      <c r="N64" s="608"/>
      <c r="O64" s="608"/>
      <c r="P64" s="608"/>
    </row>
    <row r="65" spans="1:16" s="654" customFormat="1" ht="11.25" x14ac:dyDescent="0.2">
      <c r="A65" s="654" t="s">
        <v>105</v>
      </c>
      <c r="B65" s="674">
        <f>+B46</f>
        <v>0</v>
      </c>
      <c r="C65" s="619">
        <f t="shared" ref="C65:P65" si="29">+C63</f>
        <v>0</v>
      </c>
      <c r="D65" s="674">
        <f t="shared" si="29"/>
        <v>0</v>
      </c>
      <c r="E65" s="619">
        <f t="shared" si="29"/>
        <v>11810</v>
      </c>
      <c r="F65" s="619">
        <f t="shared" si="29"/>
        <v>2800.1320000000051</v>
      </c>
      <c r="G65" s="619">
        <f t="shared" si="29"/>
        <v>4819.1579999999958</v>
      </c>
      <c r="H65" s="619">
        <f t="shared" si="29"/>
        <v>5293.3620100000044</v>
      </c>
      <c r="I65" s="619">
        <f t="shared" si="29"/>
        <v>8925.8160153000063</v>
      </c>
      <c r="J65" s="619">
        <f t="shared" si="29"/>
        <v>4527.13909263401</v>
      </c>
      <c r="K65" s="619">
        <f t="shared" si="29"/>
        <v>4419.3172682090371</v>
      </c>
      <c r="L65" s="619">
        <f t="shared" si="29"/>
        <v>4584.0806168322597</v>
      </c>
      <c r="M65" s="619">
        <f t="shared" si="29"/>
        <v>4717.7915518709269</v>
      </c>
      <c r="N65" s="619">
        <f t="shared" si="29"/>
        <v>4818.4412554693699</v>
      </c>
      <c r="O65" s="619">
        <f t="shared" si="29"/>
        <v>4941.1032079605648</v>
      </c>
      <c r="P65" s="619">
        <f t="shared" si="29"/>
        <v>5067.3765167176389</v>
      </c>
    </row>
    <row r="66" spans="1:16" s="676" customFormat="1" ht="12" thickBot="1" x14ac:dyDescent="0.25">
      <c r="A66" s="653" t="s">
        <v>104</v>
      </c>
      <c r="B66" s="633">
        <f>+B54</f>
        <v>0</v>
      </c>
      <c r="C66" s="633">
        <f t="shared" ref="C66:P66" si="30">+C54</f>
        <v>0</v>
      </c>
      <c r="D66" s="633">
        <f t="shared" si="30"/>
        <v>-8350</v>
      </c>
      <c r="E66" s="633">
        <f t="shared" si="30"/>
        <v>0</v>
      </c>
      <c r="F66" s="633">
        <f t="shared" si="30"/>
        <v>0</v>
      </c>
      <c r="G66" s="633">
        <f t="shared" si="30"/>
        <v>0</v>
      </c>
      <c r="H66" s="633">
        <f t="shared" si="30"/>
        <v>0</v>
      </c>
      <c r="I66" s="633">
        <f t="shared" si="30"/>
        <v>0</v>
      </c>
      <c r="J66" s="633">
        <f t="shared" si="30"/>
        <v>0</v>
      </c>
      <c r="K66" s="633">
        <f t="shared" si="30"/>
        <v>0</v>
      </c>
      <c r="L66" s="633">
        <f t="shared" si="30"/>
        <v>0</v>
      </c>
      <c r="M66" s="633">
        <f t="shared" si="30"/>
        <v>0</v>
      </c>
      <c r="N66" s="633">
        <f t="shared" si="30"/>
        <v>0</v>
      </c>
      <c r="O66" s="633">
        <f t="shared" si="30"/>
        <v>0</v>
      </c>
      <c r="P66" s="633">
        <f t="shared" si="30"/>
        <v>0</v>
      </c>
    </row>
    <row r="67" spans="1:16" s="654" customFormat="1" ht="12" thickBot="1" x14ac:dyDescent="0.25">
      <c r="A67" s="654" t="s">
        <v>106</v>
      </c>
      <c r="B67" s="668">
        <f>+B61+B65+B66</f>
        <v>0</v>
      </c>
      <c r="C67" s="668">
        <f t="shared" ref="C67:P67" si="31">+C61+C65+C66</f>
        <v>0</v>
      </c>
      <c r="D67" s="668">
        <f t="shared" si="31"/>
        <v>572132</v>
      </c>
      <c r="E67" s="668">
        <f t="shared" si="31"/>
        <v>474516</v>
      </c>
      <c r="F67" s="668">
        <f t="shared" si="31"/>
        <v>477316.13199999998</v>
      </c>
      <c r="G67" s="668">
        <f t="shared" si="31"/>
        <v>482135.29</v>
      </c>
      <c r="H67" s="668">
        <f t="shared" si="31"/>
        <v>487428.65201000002</v>
      </c>
      <c r="I67" s="668">
        <f t="shared" si="31"/>
        <v>496354.46802530001</v>
      </c>
      <c r="J67" s="668">
        <f t="shared" si="31"/>
        <v>500881.60711793404</v>
      </c>
      <c r="K67" s="668">
        <f t="shared" si="31"/>
        <v>505300.9243861431</v>
      </c>
      <c r="L67" s="668">
        <f t="shared" si="31"/>
        <v>509885.00500297535</v>
      </c>
      <c r="M67" s="668">
        <f t="shared" si="31"/>
        <v>514602.79655484628</v>
      </c>
      <c r="N67" s="668">
        <f t="shared" si="31"/>
        <v>519421.23781031568</v>
      </c>
      <c r="O67" s="668">
        <f t="shared" si="31"/>
        <v>524362.34101827629</v>
      </c>
      <c r="P67" s="668">
        <f t="shared" si="31"/>
        <v>529429.71753499389</v>
      </c>
    </row>
    <row r="68" spans="1:16" ht="12" thickTop="1" x14ac:dyDescent="0.2"/>
    <row r="69" spans="1:16" ht="12.75" x14ac:dyDescent="0.2">
      <c r="A69" s="1091" t="s">
        <v>1247</v>
      </c>
    </row>
    <row r="70" spans="1:16" ht="12" x14ac:dyDescent="0.2">
      <c r="A70" s="673" t="s">
        <v>1074</v>
      </c>
      <c r="B70" s="586" t="s">
        <v>69</v>
      </c>
      <c r="C70" s="586" t="s">
        <v>69</v>
      </c>
      <c r="D70" s="586" t="s">
        <v>69</v>
      </c>
      <c r="E70" s="586" t="s">
        <v>69</v>
      </c>
      <c r="F70" s="586" t="s">
        <v>70</v>
      </c>
      <c r="G70" s="586" t="s">
        <v>70</v>
      </c>
      <c r="H70" s="586" t="s">
        <v>71</v>
      </c>
      <c r="I70" s="586" t="s">
        <v>71</v>
      </c>
      <c r="J70" s="586" t="s">
        <v>71</v>
      </c>
      <c r="K70" s="586" t="s">
        <v>71</v>
      </c>
      <c r="L70" s="586" t="s">
        <v>71</v>
      </c>
      <c r="M70" s="586" t="s">
        <v>71</v>
      </c>
      <c r="N70" s="586" t="s">
        <v>71</v>
      </c>
      <c r="O70" s="586" t="s">
        <v>71</v>
      </c>
      <c r="P70" s="586" t="s">
        <v>71</v>
      </c>
    </row>
    <row r="71" spans="1:16" ht="11.25" x14ac:dyDescent="0.2">
      <c r="A71" s="652" t="s">
        <v>73</v>
      </c>
      <c r="B71" s="741" t="s">
        <v>68</v>
      </c>
      <c r="C71" s="694" t="s">
        <v>0</v>
      </c>
      <c r="D71" s="694" t="s">
        <v>1</v>
      </c>
      <c r="E71" s="694" t="s">
        <v>2</v>
      </c>
      <c r="F71" s="694" t="s">
        <v>3</v>
      </c>
      <c r="G71" s="694" t="s">
        <v>4</v>
      </c>
      <c r="H71" s="694" t="s">
        <v>5</v>
      </c>
      <c r="I71" s="694" t="s">
        <v>6</v>
      </c>
      <c r="J71" s="694" t="s">
        <v>7</v>
      </c>
      <c r="K71" s="694" t="s">
        <v>8</v>
      </c>
      <c r="L71" s="694" t="s">
        <v>9</v>
      </c>
      <c r="M71" s="694" t="s">
        <v>514</v>
      </c>
      <c r="N71" s="694" t="s">
        <v>515</v>
      </c>
      <c r="O71" s="694" t="s">
        <v>904</v>
      </c>
      <c r="P71" s="694" t="s">
        <v>1046</v>
      </c>
    </row>
    <row r="72" spans="1:16" ht="11.25" x14ac:dyDescent="0.2">
      <c r="A72" s="661"/>
      <c r="B72" s="662"/>
      <c r="C72" s="662"/>
      <c r="D72" s="663"/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3"/>
      <c r="P72" s="663"/>
    </row>
    <row r="73" spans="1:16" ht="11.25" x14ac:dyDescent="0.2">
      <c r="A73" s="654" t="s">
        <v>103</v>
      </c>
    </row>
    <row r="74" spans="1:16" ht="11.25" x14ac:dyDescent="0.2">
      <c r="A74" s="654" t="s">
        <v>100</v>
      </c>
      <c r="B74" s="608"/>
      <c r="C74" s="608">
        <f>+B81</f>
        <v>0</v>
      </c>
      <c r="D74" s="608">
        <f>D6</f>
        <v>271472</v>
      </c>
      <c r="E74" s="608">
        <f>E6</f>
        <v>212100</v>
      </c>
      <c r="F74" s="608">
        <f t="shared" ref="F74:P74" si="32">+E81</f>
        <v>223910</v>
      </c>
      <c r="G74" s="608">
        <f t="shared" si="32"/>
        <v>226710.13200000001</v>
      </c>
      <c r="H74" s="608">
        <f t="shared" si="32"/>
        <v>232087.6415</v>
      </c>
      <c r="I74" s="608">
        <f t="shared" si="32"/>
        <v>237474.3417935</v>
      </c>
      <c r="J74" s="608">
        <f t="shared" si="32"/>
        <v>246762.42564313751</v>
      </c>
      <c r="K74" s="608">
        <f t="shared" si="32"/>
        <v>251660.88926596745</v>
      </c>
      <c r="L74" s="608">
        <f t="shared" si="32"/>
        <v>255947.33542155646</v>
      </c>
      <c r="M74" s="608">
        <f t="shared" si="32"/>
        <v>260349.25132478133</v>
      </c>
      <c r="N74" s="608">
        <f t="shared" si="32"/>
        <v>264470.81332945882</v>
      </c>
      <c r="O74" s="608">
        <f t="shared" si="32"/>
        <v>268689.67272285576</v>
      </c>
      <c r="P74" s="608">
        <f t="shared" si="32"/>
        <v>271710.13628666493</v>
      </c>
    </row>
    <row r="75" spans="1:16" ht="11.25" x14ac:dyDescent="0.2">
      <c r="A75" s="655" t="s">
        <v>101</v>
      </c>
      <c r="B75" s="617"/>
      <c r="C75" s="617">
        <v>0</v>
      </c>
      <c r="D75" s="617">
        <v>0</v>
      </c>
      <c r="E75" s="617">
        <v>0</v>
      </c>
      <c r="F75" s="617">
        <v>0</v>
      </c>
      <c r="G75" s="617">
        <v>0</v>
      </c>
      <c r="H75" s="617">
        <v>0</v>
      </c>
      <c r="I75" s="617">
        <v>0</v>
      </c>
      <c r="J75" s="617">
        <v>0</v>
      </c>
      <c r="K75" s="617">
        <v>0</v>
      </c>
      <c r="L75" s="617">
        <v>0</v>
      </c>
      <c r="M75" s="617">
        <v>0</v>
      </c>
      <c r="N75" s="617">
        <v>0</v>
      </c>
      <c r="O75" s="617">
        <v>0</v>
      </c>
      <c r="P75" s="617">
        <v>0</v>
      </c>
    </row>
    <row r="76" spans="1:16" ht="11.25" x14ac:dyDescent="0.2">
      <c r="A76" s="654" t="s">
        <v>102</v>
      </c>
      <c r="B76" s="608">
        <f>SUM(B74:B75)</f>
        <v>0</v>
      </c>
      <c r="C76" s="608">
        <f t="shared" ref="C76:P76" si="33">SUM(C74:C75)</f>
        <v>0</v>
      </c>
      <c r="D76" s="608">
        <f t="shared" si="33"/>
        <v>271472</v>
      </c>
      <c r="E76" s="608">
        <f t="shared" si="33"/>
        <v>212100</v>
      </c>
      <c r="F76" s="608">
        <f t="shared" si="33"/>
        <v>223910</v>
      </c>
      <c r="G76" s="608">
        <f t="shared" si="33"/>
        <v>226710.13200000001</v>
      </c>
      <c r="H76" s="608">
        <f t="shared" si="33"/>
        <v>232087.6415</v>
      </c>
      <c r="I76" s="608">
        <f t="shared" si="33"/>
        <v>237474.3417935</v>
      </c>
      <c r="J76" s="608">
        <f t="shared" si="33"/>
        <v>246762.42564313751</v>
      </c>
      <c r="K76" s="608">
        <f t="shared" si="33"/>
        <v>251660.88926596745</v>
      </c>
      <c r="L76" s="608">
        <f t="shared" si="33"/>
        <v>255947.33542155646</v>
      </c>
      <c r="M76" s="608">
        <f t="shared" si="33"/>
        <v>260349.25132478133</v>
      </c>
      <c r="N76" s="608">
        <f t="shared" si="33"/>
        <v>264470.81332945882</v>
      </c>
      <c r="O76" s="608">
        <f t="shared" si="33"/>
        <v>268689.67272285576</v>
      </c>
      <c r="P76" s="608">
        <f t="shared" si="33"/>
        <v>271710.13628666493</v>
      </c>
    </row>
    <row r="77" spans="1:16" ht="11.25" x14ac:dyDescent="0.2">
      <c r="B77" s="608"/>
      <c r="C77" s="608"/>
      <c r="D77" s="608"/>
      <c r="E77" s="608"/>
      <c r="F77" s="608"/>
      <c r="G77" s="608"/>
      <c r="H77" s="608"/>
      <c r="I77" s="608"/>
      <c r="J77" s="608"/>
      <c r="K77" s="608"/>
      <c r="L77" s="608"/>
      <c r="M77" s="608"/>
      <c r="N77" s="608"/>
      <c r="O77" s="608"/>
      <c r="P77" s="608"/>
    </row>
    <row r="78" spans="1:16" ht="11.25" x14ac:dyDescent="0.2">
      <c r="A78" s="654" t="s">
        <v>76</v>
      </c>
      <c r="B78" s="608">
        <f>+'GF &amp; FF  Inc Exp Statement'!B182</f>
        <v>0</v>
      </c>
      <c r="C78" s="621">
        <f>+'GF &amp; FF  Inc Exp Statement'!C182</f>
        <v>0</v>
      </c>
      <c r="D78" s="608">
        <f>+'Gen Fund  Inc Exp Statement'!D186</f>
        <v>0</v>
      </c>
      <c r="E78" s="608">
        <f>+'Gen Fund  Inc Exp Statement'!E186</f>
        <v>11810</v>
      </c>
      <c r="F78" s="608">
        <f>+'Gen Fund  Inc Exp Statement'!F186</f>
        <v>2800.1320000000051</v>
      </c>
      <c r="G78" s="608">
        <f>+'Gen Fund  Inc Exp Statement'!G186</f>
        <v>5377.5094999999928</v>
      </c>
      <c r="H78" s="608">
        <f>+'Gen Fund  Inc Exp Statement'!H186</f>
        <v>5386.7002935000055</v>
      </c>
      <c r="I78" s="608">
        <f>+'Gen Fund  Inc Exp Statement'!I186</f>
        <v>9288.0838496375072</v>
      </c>
      <c r="J78" s="608">
        <f>+'Gen Fund  Inc Exp Statement'!J186</f>
        <v>4898.463622829935</v>
      </c>
      <c r="K78" s="608">
        <f>+'Gen Fund  Inc Exp Statement'!K186</f>
        <v>4286.446155589023</v>
      </c>
      <c r="L78" s="608">
        <f>+'Gen Fund  Inc Exp Statement'!L186</f>
        <v>4401.9159032248863</v>
      </c>
      <c r="M78" s="608">
        <f>+'Gen Fund  Inc Exp Statement'!M186</f>
        <v>4121.562004677493</v>
      </c>
      <c r="N78" s="608">
        <f>+'Gen Fund  Inc Exp Statement'!N186</f>
        <v>4218.8593933969169</v>
      </c>
      <c r="O78" s="608">
        <f>+'Gen Fund  Inc Exp Statement'!O186</f>
        <v>3020.4635638091568</v>
      </c>
      <c r="P78" s="608">
        <f>+'Gen Fund  Inc Exp Statement'!P186</f>
        <v>1031.2639682567678</v>
      </c>
    </row>
    <row r="79" spans="1:16" ht="11.25" x14ac:dyDescent="0.2">
      <c r="B79" s="608"/>
      <c r="C79" s="608"/>
      <c r="D79" s="608"/>
      <c r="E79" s="608"/>
      <c r="F79" s="608"/>
      <c r="G79" s="608"/>
      <c r="H79" s="608"/>
      <c r="I79" s="608"/>
      <c r="J79" s="608"/>
      <c r="K79" s="608"/>
      <c r="L79" s="608"/>
      <c r="M79" s="608"/>
      <c r="N79" s="608"/>
      <c r="O79" s="608"/>
      <c r="P79" s="608"/>
    </row>
    <row r="80" spans="1:16" ht="11.25" x14ac:dyDescent="0.2">
      <c r="A80" s="654" t="s">
        <v>105</v>
      </c>
      <c r="B80" s="674">
        <f>+B78</f>
        <v>0</v>
      </c>
      <c r="C80" s="619">
        <f t="shared" ref="C80:P80" si="34">+C78</f>
        <v>0</v>
      </c>
      <c r="D80" s="674">
        <f t="shared" si="34"/>
        <v>0</v>
      </c>
      <c r="E80" s="619">
        <f t="shared" si="34"/>
        <v>11810</v>
      </c>
      <c r="F80" s="619">
        <f t="shared" si="34"/>
        <v>2800.1320000000051</v>
      </c>
      <c r="G80" s="619">
        <f t="shared" si="34"/>
        <v>5377.5094999999928</v>
      </c>
      <c r="H80" s="619">
        <f t="shared" si="34"/>
        <v>5386.7002935000055</v>
      </c>
      <c r="I80" s="619">
        <f t="shared" si="34"/>
        <v>9288.0838496375072</v>
      </c>
      <c r="J80" s="619">
        <f t="shared" si="34"/>
        <v>4898.463622829935</v>
      </c>
      <c r="K80" s="619">
        <f t="shared" si="34"/>
        <v>4286.446155589023</v>
      </c>
      <c r="L80" s="674">
        <f t="shared" si="34"/>
        <v>4401.9159032248863</v>
      </c>
      <c r="M80" s="674">
        <f t="shared" si="34"/>
        <v>4121.562004677493</v>
      </c>
      <c r="N80" s="674">
        <f t="shared" si="34"/>
        <v>4218.8593933969169</v>
      </c>
      <c r="O80" s="674">
        <f t="shared" si="34"/>
        <v>3020.4635638091568</v>
      </c>
      <c r="P80" s="674">
        <f t="shared" si="34"/>
        <v>1031.2639682567678</v>
      </c>
    </row>
    <row r="81" spans="1:16" ht="12" thickBot="1" x14ac:dyDescent="0.25">
      <c r="A81" s="654" t="s">
        <v>106</v>
      </c>
      <c r="B81" s="658">
        <f t="shared" ref="B81:P81" si="35">+B76+B80</f>
        <v>0</v>
      </c>
      <c r="C81" s="658">
        <f t="shared" si="35"/>
        <v>0</v>
      </c>
      <c r="D81" s="658">
        <f t="shared" si="35"/>
        <v>271472</v>
      </c>
      <c r="E81" s="658">
        <f t="shared" si="35"/>
        <v>223910</v>
      </c>
      <c r="F81" s="658">
        <f t="shared" si="35"/>
        <v>226710.13200000001</v>
      </c>
      <c r="G81" s="658">
        <f t="shared" si="35"/>
        <v>232087.6415</v>
      </c>
      <c r="H81" s="658">
        <f t="shared" si="35"/>
        <v>237474.3417935</v>
      </c>
      <c r="I81" s="658">
        <f t="shared" si="35"/>
        <v>246762.42564313751</v>
      </c>
      <c r="J81" s="658">
        <f t="shared" si="35"/>
        <v>251660.88926596745</v>
      </c>
      <c r="K81" s="658">
        <f t="shared" si="35"/>
        <v>255947.33542155646</v>
      </c>
      <c r="L81" s="658">
        <f t="shared" si="35"/>
        <v>260349.25132478133</v>
      </c>
      <c r="M81" s="658">
        <f t="shared" si="35"/>
        <v>264470.81332945882</v>
      </c>
      <c r="N81" s="658">
        <f t="shared" si="35"/>
        <v>268689.67272285576</v>
      </c>
      <c r="O81" s="658">
        <f t="shared" si="35"/>
        <v>271710.13628666493</v>
      </c>
      <c r="P81" s="658">
        <f t="shared" si="35"/>
        <v>272741.4002549217</v>
      </c>
    </row>
    <row r="82" spans="1:16" ht="11.25" x14ac:dyDescent="0.2">
      <c r="B82" s="608"/>
      <c r="C82" s="608"/>
      <c r="D82" s="608"/>
      <c r="E82" s="608"/>
      <c r="F82" s="608"/>
      <c r="G82" s="608"/>
      <c r="H82" s="608"/>
      <c r="I82" s="608"/>
      <c r="J82" s="608"/>
      <c r="K82" s="608"/>
      <c r="L82" s="608"/>
      <c r="M82" s="608"/>
      <c r="N82" s="608"/>
      <c r="O82" s="608"/>
      <c r="P82" s="608"/>
    </row>
    <row r="83" spans="1:16" ht="11.25" x14ac:dyDescent="0.2">
      <c r="A83" s="654" t="s">
        <v>107</v>
      </c>
      <c r="B83" s="608"/>
      <c r="C83" s="608"/>
      <c r="D83" s="608"/>
      <c r="E83" s="608"/>
      <c r="F83" s="608"/>
      <c r="G83" s="608"/>
      <c r="H83" s="608"/>
      <c r="I83" s="608"/>
      <c r="J83" s="608"/>
      <c r="K83" s="608"/>
      <c r="L83" s="608"/>
      <c r="M83" s="608"/>
      <c r="N83" s="608"/>
      <c r="O83" s="608"/>
      <c r="P83" s="608"/>
    </row>
    <row r="84" spans="1:16" ht="11.25" x14ac:dyDescent="0.2">
      <c r="A84" s="654" t="s">
        <v>100</v>
      </c>
      <c r="B84" s="608"/>
      <c r="C84" s="608">
        <f>+B90</f>
        <v>0</v>
      </c>
      <c r="D84" s="608">
        <f>D16</f>
        <v>309010</v>
      </c>
      <c r="E84" s="608">
        <f>E16</f>
        <v>250606</v>
      </c>
      <c r="F84" s="608">
        <f t="shared" ref="F84:P84" si="36">+E90</f>
        <v>250606</v>
      </c>
      <c r="G84" s="608">
        <f t="shared" si="36"/>
        <v>250606</v>
      </c>
      <c r="H84" s="608">
        <f t="shared" si="36"/>
        <v>250606</v>
      </c>
      <c r="I84" s="608">
        <f t="shared" si="36"/>
        <v>250606</v>
      </c>
      <c r="J84" s="608">
        <f t="shared" si="36"/>
        <v>250606</v>
      </c>
      <c r="K84" s="608">
        <f t="shared" si="36"/>
        <v>250606</v>
      </c>
      <c r="L84" s="608">
        <f t="shared" si="36"/>
        <v>250606</v>
      </c>
      <c r="M84" s="608">
        <f t="shared" si="36"/>
        <v>250606</v>
      </c>
      <c r="N84" s="608">
        <f t="shared" si="36"/>
        <v>250606</v>
      </c>
      <c r="O84" s="608">
        <f t="shared" si="36"/>
        <v>250606</v>
      </c>
      <c r="P84" s="608">
        <f t="shared" si="36"/>
        <v>250606</v>
      </c>
    </row>
    <row r="85" spans="1:16" ht="11.25" x14ac:dyDescent="0.2">
      <c r="A85" s="655" t="s">
        <v>101</v>
      </c>
      <c r="B85" s="617">
        <v>0</v>
      </c>
      <c r="C85" s="617">
        <v>0</v>
      </c>
      <c r="D85" s="617">
        <v>0</v>
      </c>
      <c r="E85" s="617">
        <v>0</v>
      </c>
      <c r="F85" s="617">
        <v>0</v>
      </c>
      <c r="G85" s="617">
        <v>0</v>
      </c>
      <c r="H85" s="617">
        <v>0</v>
      </c>
      <c r="I85" s="617">
        <v>0</v>
      </c>
      <c r="J85" s="617">
        <v>0</v>
      </c>
      <c r="K85" s="617">
        <v>0</v>
      </c>
      <c r="L85" s="617">
        <v>0</v>
      </c>
      <c r="M85" s="617">
        <v>0</v>
      </c>
      <c r="N85" s="617">
        <v>0</v>
      </c>
      <c r="O85" s="617">
        <v>0</v>
      </c>
      <c r="P85" s="617">
        <v>0</v>
      </c>
    </row>
    <row r="86" spans="1:16" ht="11.25" x14ac:dyDescent="0.2">
      <c r="A86" s="654" t="s">
        <v>102</v>
      </c>
      <c r="B86" s="675">
        <f>SUM(B84:B85)</f>
        <v>0</v>
      </c>
      <c r="C86" s="675">
        <f t="shared" ref="C86:P86" si="37">SUM(C84:C85)</f>
        <v>0</v>
      </c>
      <c r="D86" s="675">
        <f t="shared" si="37"/>
        <v>309010</v>
      </c>
      <c r="E86" s="675">
        <f t="shared" si="37"/>
        <v>250606</v>
      </c>
      <c r="F86" s="675">
        <f t="shared" si="37"/>
        <v>250606</v>
      </c>
      <c r="G86" s="675">
        <f t="shared" si="37"/>
        <v>250606</v>
      </c>
      <c r="H86" s="675">
        <f t="shared" si="37"/>
        <v>250606</v>
      </c>
      <c r="I86" s="675">
        <f t="shared" si="37"/>
        <v>250606</v>
      </c>
      <c r="J86" s="675">
        <f t="shared" si="37"/>
        <v>250606</v>
      </c>
      <c r="K86" s="675">
        <f t="shared" si="37"/>
        <v>250606</v>
      </c>
      <c r="L86" s="675">
        <f t="shared" si="37"/>
        <v>250606</v>
      </c>
      <c r="M86" s="675">
        <f t="shared" si="37"/>
        <v>250606</v>
      </c>
      <c r="N86" s="675">
        <f t="shared" si="37"/>
        <v>250606</v>
      </c>
      <c r="O86" s="675">
        <f t="shared" si="37"/>
        <v>250606</v>
      </c>
      <c r="P86" s="675">
        <f t="shared" si="37"/>
        <v>250606</v>
      </c>
    </row>
    <row r="87" spans="1:16" ht="11.25" x14ac:dyDescent="0.2">
      <c r="B87" s="608"/>
      <c r="C87" s="608"/>
      <c r="D87" s="608"/>
      <c r="E87" s="608"/>
      <c r="F87" s="608"/>
      <c r="G87" s="608"/>
      <c r="H87" s="608"/>
      <c r="I87" s="608"/>
      <c r="J87" s="608"/>
      <c r="K87" s="608"/>
      <c r="L87" s="608"/>
      <c r="M87" s="608"/>
      <c r="N87" s="608"/>
      <c r="O87" s="608"/>
      <c r="P87" s="608"/>
    </row>
    <row r="88" spans="1:16" ht="11.25" x14ac:dyDescent="0.2">
      <c r="A88" s="653" t="s">
        <v>104</v>
      </c>
      <c r="B88" s="621">
        <v>0</v>
      </c>
      <c r="C88" s="621">
        <f>C54</f>
        <v>0</v>
      </c>
      <c r="D88" s="621">
        <f t="shared" ref="D88:P88" si="38">D54</f>
        <v>-8350</v>
      </c>
      <c r="E88" s="621">
        <f t="shared" si="38"/>
        <v>0</v>
      </c>
      <c r="F88" s="621">
        <f t="shared" si="38"/>
        <v>0</v>
      </c>
      <c r="G88" s="621">
        <f t="shared" si="38"/>
        <v>0</v>
      </c>
      <c r="H88" s="621">
        <f t="shared" si="38"/>
        <v>0</v>
      </c>
      <c r="I88" s="621">
        <f t="shared" si="38"/>
        <v>0</v>
      </c>
      <c r="J88" s="621">
        <f t="shared" si="38"/>
        <v>0</v>
      </c>
      <c r="K88" s="621">
        <f t="shared" si="38"/>
        <v>0</v>
      </c>
      <c r="L88" s="621">
        <f t="shared" si="38"/>
        <v>0</v>
      </c>
      <c r="M88" s="621">
        <f t="shared" si="38"/>
        <v>0</v>
      </c>
      <c r="N88" s="621">
        <f t="shared" si="38"/>
        <v>0</v>
      </c>
      <c r="O88" s="621">
        <f t="shared" si="38"/>
        <v>0</v>
      </c>
      <c r="P88" s="621">
        <f t="shared" si="38"/>
        <v>0</v>
      </c>
    </row>
    <row r="89" spans="1:16" ht="11.25" x14ac:dyDescent="0.2">
      <c r="A89" s="654" t="s">
        <v>105</v>
      </c>
      <c r="B89" s="674">
        <f>+B86+B88</f>
        <v>0</v>
      </c>
      <c r="C89" s="674">
        <f>C86+C88</f>
        <v>0</v>
      </c>
      <c r="D89" s="674">
        <f t="shared" ref="D89:P89" si="39">D86+D88</f>
        <v>300660</v>
      </c>
      <c r="E89" s="674">
        <f t="shared" si="39"/>
        <v>250606</v>
      </c>
      <c r="F89" s="674">
        <f t="shared" si="39"/>
        <v>250606</v>
      </c>
      <c r="G89" s="674">
        <f t="shared" si="39"/>
        <v>250606</v>
      </c>
      <c r="H89" s="674">
        <f t="shared" si="39"/>
        <v>250606</v>
      </c>
      <c r="I89" s="674">
        <f t="shared" si="39"/>
        <v>250606</v>
      </c>
      <c r="J89" s="674">
        <f t="shared" si="39"/>
        <v>250606</v>
      </c>
      <c r="K89" s="674">
        <f t="shared" si="39"/>
        <v>250606</v>
      </c>
      <c r="L89" s="674">
        <f t="shared" si="39"/>
        <v>250606</v>
      </c>
      <c r="M89" s="674">
        <f t="shared" si="39"/>
        <v>250606</v>
      </c>
      <c r="N89" s="674">
        <f t="shared" si="39"/>
        <v>250606</v>
      </c>
      <c r="O89" s="674">
        <f t="shared" si="39"/>
        <v>250606</v>
      </c>
      <c r="P89" s="674">
        <f t="shared" si="39"/>
        <v>250606</v>
      </c>
    </row>
    <row r="90" spans="1:16" ht="12" thickBot="1" x14ac:dyDescent="0.25">
      <c r="A90" s="654" t="s">
        <v>106</v>
      </c>
      <c r="B90" s="658">
        <f>+B89</f>
        <v>0</v>
      </c>
      <c r="C90" s="658">
        <f t="shared" ref="C90:P90" si="40">+C89</f>
        <v>0</v>
      </c>
      <c r="D90" s="658">
        <f t="shared" si="40"/>
        <v>300660</v>
      </c>
      <c r="E90" s="658">
        <f t="shared" si="40"/>
        <v>250606</v>
      </c>
      <c r="F90" s="658">
        <f t="shared" si="40"/>
        <v>250606</v>
      </c>
      <c r="G90" s="658">
        <f t="shared" si="40"/>
        <v>250606</v>
      </c>
      <c r="H90" s="658">
        <f t="shared" si="40"/>
        <v>250606</v>
      </c>
      <c r="I90" s="658">
        <f t="shared" si="40"/>
        <v>250606</v>
      </c>
      <c r="J90" s="658">
        <f t="shared" si="40"/>
        <v>250606</v>
      </c>
      <c r="K90" s="658">
        <f t="shared" si="40"/>
        <v>250606</v>
      </c>
      <c r="L90" s="658">
        <f t="shared" si="40"/>
        <v>250606</v>
      </c>
      <c r="M90" s="658">
        <f t="shared" si="40"/>
        <v>250606</v>
      </c>
      <c r="N90" s="658">
        <f t="shared" si="40"/>
        <v>250606</v>
      </c>
      <c r="O90" s="658">
        <f t="shared" si="40"/>
        <v>250606</v>
      </c>
      <c r="P90" s="658">
        <f t="shared" si="40"/>
        <v>250606</v>
      </c>
    </row>
    <row r="91" spans="1:16" ht="11.25" x14ac:dyDescent="0.2">
      <c r="B91" s="608"/>
      <c r="C91" s="608"/>
      <c r="D91" s="608"/>
      <c r="E91" s="608"/>
      <c r="F91" s="608"/>
      <c r="G91" s="608"/>
      <c r="H91" s="608"/>
      <c r="I91" s="608"/>
      <c r="J91" s="608"/>
      <c r="K91" s="608"/>
      <c r="L91" s="608"/>
      <c r="M91" s="608"/>
      <c r="N91" s="608"/>
      <c r="O91" s="608"/>
      <c r="P91" s="608"/>
    </row>
    <row r="92" spans="1:16" ht="11.25" x14ac:dyDescent="0.2">
      <c r="A92" s="654" t="s">
        <v>108</v>
      </c>
    </row>
    <row r="93" spans="1:16" ht="11.25" x14ac:dyDescent="0.2">
      <c r="A93" s="654" t="s">
        <v>100</v>
      </c>
      <c r="B93" s="608">
        <f>+B74+B84</f>
        <v>0</v>
      </c>
      <c r="C93" s="608">
        <f t="shared" ref="C93:P94" si="41">+C74+C84</f>
        <v>0</v>
      </c>
      <c r="D93" s="608">
        <f t="shared" si="41"/>
        <v>580482</v>
      </c>
      <c r="E93" s="608">
        <f t="shared" si="41"/>
        <v>462706</v>
      </c>
      <c r="F93" s="608">
        <f t="shared" si="41"/>
        <v>474516</v>
      </c>
      <c r="G93" s="608">
        <f t="shared" si="41"/>
        <v>477316.13199999998</v>
      </c>
      <c r="H93" s="608">
        <f t="shared" si="41"/>
        <v>482693.64150000003</v>
      </c>
      <c r="I93" s="608">
        <f t="shared" si="41"/>
        <v>488080.3417935</v>
      </c>
      <c r="J93" s="608">
        <f t="shared" si="41"/>
        <v>497368.42564313754</v>
      </c>
      <c r="K93" s="608">
        <f t="shared" si="41"/>
        <v>502266.88926596742</v>
      </c>
      <c r="L93" s="608">
        <f t="shared" si="41"/>
        <v>506553.33542155649</v>
      </c>
      <c r="M93" s="608">
        <f t="shared" si="41"/>
        <v>510955.25132478133</v>
      </c>
      <c r="N93" s="608">
        <f t="shared" si="41"/>
        <v>515076.81332945882</v>
      </c>
      <c r="O93" s="608">
        <f t="shared" si="41"/>
        <v>519295.67272285576</v>
      </c>
      <c r="P93" s="608">
        <f t="shared" si="41"/>
        <v>522316.13628666493</v>
      </c>
    </row>
    <row r="94" spans="1:16" ht="11.25" x14ac:dyDescent="0.2">
      <c r="A94" s="655" t="s">
        <v>101</v>
      </c>
      <c r="B94" s="617">
        <f>+B75+B85</f>
        <v>0</v>
      </c>
      <c r="C94" s="617">
        <f t="shared" si="41"/>
        <v>0</v>
      </c>
      <c r="D94" s="617">
        <f t="shared" si="41"/>
        <v>0</v>
      </c>
      <c r="E94" s="617">
        <f t="shared" si="41"/>
        <v>0</v>
      </c>
      <c r="F94" s="617">
        <f t="shared" si="41"/>
        <v>0</v>
      </c>
      <c r="G94" s="617">
        <f t="shared" si="41"/>
        <v>0</v>
      </c>
      <c r="H94" s="617">
        <f t="shared" si="41"/>
        <v>0</v>
      </c>
      <c r="I94" s="617">
        <f t="shared" si="41"/>
        <v>0</v>
      </c>
      <c r="J94" s="617">
        <f t="shared" si="41"/>
        <v>0</v>
      </c>
      <c r="K94" s="617">
        <f t="shared" si="41"/>
        <v>0</v>
      </c>
      <c r="L94" s="617">
        <f t="shared" si="41"/>
        <v>0</v>
      </c>
      <c r="M94" s="617">
        <f t="shared" si="41"/>
        <v>0</v>
      </c>
      <c r="N94" s="617">
        <f t="shared" si="41"/>
        <v>0</v>
      </c>
      <c r="O94" s="617">
        <f t="shared" si="41"/>
        <v>0</v>
      </c>
      <c r="P94" s="617">
        <f t="shared" si="41"/>
        <v>0</v>
      </c>
    </row>
    <row r="95" spans="1:16" ht="11.25" x14ac:dyDescent="0.2">
      <c r="A95" s="654" t="s">
        <v>102</v>
      </c>
      <c r="B95" s="608">
        <f>SUM(B93:B94)</f>
        <v>0</v>
      </c>
      <c r="C95" s="608">
        <f t="shared" ref="C95:P95" si="42">SUM(C93:C94)</f>
        <v>0</v>
      </c>
      <c r="D95" s="608">
        <f t="shared" si="42"/>
        <v>580482</v>
      </c>
      <c r="E95" s="608">
        <f t="shared" si="42"/>
        <v>462706</v>
      </c>
      <c r="F95" s="608">
        <f t="shared" si="42"/>
        <v>474516</v>
      </c>
      <c r="G95" s="608">
        <f t="shared" si="42"/>
        <v>477316.13199999998</v>
      </c>
      <c r="H95" s="608">
        <f t="shared" si="42"/>
        <v>482693.64150000003</v>
      </c>
      <c r="I95" s="608">
        <f t="shared" si="42"/>
        <v>488080.3417935</v>
      </c>
      <c r="J95" s="608">
        <f t="shared" si="42"/>
        <v>497368.42564313754</v>
      </c>
      <c r="K95" s="608">
        <f t="shared" si="42"/>
        <v>502266.88926596742</v>
      </c>
      <c r="L95" s="608">
        <f t="shared" si="42"/>
        <v>506553.33542155649</v>
      </c>
      <c r="M95" s="608">
        <f t="shared" si="42"/>
        <v>510955.25132478133</v>
      </c>
      <c r="N95" s="608">
        <f t="shared" si="42"/>
        <v>515076.81332945882</v>
      </c>
      <c r="O95" s="608">
        <f t="shared" si="42"/>
        <v>519295.67272285576</v>
      </c>
      <c r="P95" s="608">
        <f t="shared" si="42"/>
        <v>522316.13628666493</v>
      </c>
    </row>
    <row r="96" spans="1:16" ht="11.25" x14ac:dyDescent="0.2">
      <c r="B96" s="608"/>
      <c r="C96" s="608"/>
      <c r="D96" s="608"/>
      <c r="E96" s="608"/>
      <c r="F96" s="608"/>
      <c r="G96" s="608"/>
      <c r="H96" s="608"/>
      <c r="I96" s="608"/>
      <c r="J96" s="608"/>
      <c r="K96" s="608"/>
      <c r="L96" s="608"/>
      <c r="M96" s="608"/>
      <c r="N96" s="608"/>
      <c r="O96" s="608"/>
      <c r="P96" s="608"/>
    </row>
    <row r="97" spans="1:16" ht="11.25" x14ac:dyDescent="0.2">
      <c r="A97" s="654" t="s">
        <v>76</v>
      </c>
      <c r="B97" s="621">
        <f>+B78</f>
        <v>0</v>
      </c>
      <c r="C97" s="621">
        <f t="shared" ref="C97:P97" si="43">+C78</f>
        <v>0</v>
      </c>
      <c r="D97" s="621">
        <f t="shared" si="43"/>
        <v>0</v>
      </c>
      <c r="E97" s="621">
        <f t="shared" si="43"/>
        <v>11810</v>
      </c>
      <c r="F97" s="621">
        <f t="shared" si="43"/>
        <v>2800.1320000000051</v>
      </c>
      <c r="G97" s="621">
        <f t="shared" si="43"/>
        <v>5377.5094999999928</v>
      </c>
      <c r="H97" s="621">
        <f t="shared" si="43"/>
        <v>5386.7002935000055</v>
      </c>
      <c r="I97" s="621">
        <f t="shared" si="43"/>
        <v>9288.0838496375072</v>
      </c>
      <c r="J97" s="621">
        <f t="shared" si="43"/>
        <v>4898.463622829935</v>
      </c>
      <c r="K97" s="621">
        <f t="shared" si="43"/>
        <v>4286.446155589023</v>
      </c>
      <c r="L97" s="621">
        <f t="shared" si="43"/>
        <v>4401.9159032248863</v>
      </c>
      <c r="M97" s="621">
        <f t="shared" si="43"/>
        <v>4121.562004677493</v>
      </c>
      <c r="N97" s="621">
        <f t="shared" si="43"/>
        <v>4218.8593933969169</v>
      </c>
      <c r="O97" s="621">
        <f t="shared" si="43"/>
        <v>3020.4635638091568</v>
      </c>
      <c r="P97" s="621">
        <f t="shared" si="43"/>
        <v>1031.2639682567678</v>
      </c>
    </row>
    <row r="98" spans="1:16" ht="11.25" x14ac:dyDescent="0.2">
      <c r="B98" s="608"/>
      <c r="C98" s="608"/>
      <c r="D98" s="608"/>
      <c r="E98" s="608"/>
      <c r="F98" s="608"/>
      <c r="G98" s="608"/>
      <c r="H98" s="608"/>
      <c r="I98" s="608"/>
      <c r="J98" s="608"/>
      <c r="K98" s="608"/>
      <c r="L98" s="608"/>
      <c r="M98" s="608"/>
      <c r="N98" s="608"/>
      <c r="O98" s="608"/>
      <c r="P98" s="608"/>
    </row>
    <row r="99" spans="1:16" ht="11.25" x14ac:dyDescent="0.2">
      <c r="A99" s="654" t="s">
        <v>105</v>
      </c>
      <c r="B99" s="674">
        <f>+B80</f>
        <v>0</v>
      </c>
      <c r="C99" s="619">
        <f t="shared" ref="C99:P99" si="44">+C97</f>
        <v>0</v>
      </c>
      <c r="D99" s="674">
        <f t="shared" si="44"/>
        <v>0</v>
      </c>
      <c r="E99" s="619">
        <f t="shared" si="44"/>
        <v>11810</v>
      </c>
      <c r="F99" s="619">
        <f t="shared" si="44"/>
        <v>2800.1320000000051</v>
      </c>
      <c r="G99" s="619">
        <f t="shared" si="44"/>
        <v>5377.5094999999928</v>
      </c>
      <c r="H99" s="619">
        <f t="shared" si="44"/>
        <v>5386.7002935000055</v>
      </c>
      <c r="I99" s="619">
        <f t="shared" si="44"/>
        <v>9288.0838496375072</v>
      </c>
      <c r="J99" s="619">
        <f t="shared" si="44"/>
        <v>4898.463622829935</v>
      </c>
      <c r="K99" s="619">
        <f t="shared" si="44"/>
        <v>4286.446155589023</v>
      </c>
      <c r="L99" s="674">
        <f t="shared" si="44"/>
        <v>4401.9159032248863</v>
      </c>
      <c r="M99" s="674">
        <f t="shared" si="44"/>
        <v>4121.562004677493</v>
      </c>
      <c r="N99" s="674">
        <f t="shared" si="44"/>
        <v>4218.8593933969169</v>
      </c>
      <c r="O99" s="674">
        <f t="shared" si="44"/>
        <v>3020.4635638091568</v>
      </c>
      <c r="P99" s="674">
        <f t="shared" si="44"/>
        <v>1031.2639682567678</v>
      </c>
    </row>
    <row r="100" spans="1:16" ht="10.8" thickBot="1" x14ac:dyDescent="0.25">
      <c r="A100" s="653" t="s">
        <v>104</v>
      </c>
      <c r="B100" s="633">
        <f>+B88</f>
        <v>0</v>
      </c>
      <c r="C100" s="633">
        <f t="shared" ref="C100:P100" si="45">+C88</f>
        <v>0</v>
      </c>
      <c r="D100" s="633">
        <f t="shared" si="45"/>
        <v>-8350</v>
      </c>
      <c r="E100" s="633">
        <f t="shared" si="45"/>
        <v>0</v>
      </c>
      <c r="F100" s="633">
        <f t="shared" si="45"/>
        <v>0</v>
      </c>
      <c r="G100" s="633">
        <f t="shared" si="45"/>
        <v>0</v>
      </c>
      <c r="H100" s="633">
        <f t="shared" si="45"/>
        <v>0</v>
      </c>
      <c r="I100" s="633">
        <f t="shared" si="45"/>
        <v>0</v>
      </c>
      <c r="J100" s="633">
        <f t="shared" si="45"/>
        <v>0</v>
      </c>
      <c r="K100" s="633">
        <f t="shared" si="45"/>
        <v>0</v>
      </c>
      <c r="L100" s="633">
        <f t="shared" si="45"/>
        <v>0</v>
      </c>
      <c r="M100" s="633">
        <f t="shared" si="45"/>
        <v>0</v>
      </c>
      <c r="N100" s="633">
        <f t="shared" si="45"/>
        <v>0</v>
      </c>
      <c r="O100" s="633">
        <f t="shared" si="45"/>
        <v>0</v>
      </c>
      <c r="P100" s="633">
        <f t="shared" si="45"/>
        <v>0</v>
      </c>
    </row>
    <row r="101" spans="1:16" ht="10.8" thickBot="1" x14ac:dyDescent="0.25">
      <c r="A101" s="654" t="s">
        <v>106</v>
      </c>
      <c r="B101" s="668">
        <f>+B95+B99+B100</f>
        <v>0</v>
      </c>
      <c r="C101" s="668">
        <f t="shared" ref="C101:P101" si="46">+C95+C99+C100</f>
        <v>0</v>
      </c>
      <c r="D101" s="668">
        <f t="shared" si="46"/>
        <v>572132</v>
      </c>
      <c r="E101" s="668">
        <f t="shared" si="46"/>
        <v>474516</v>
      </c>
      <c r="F101" s="668">
        <f t="shared" si="46"/>
        <v>477316.13199999998</v>
      </c>
      <c r="G101" s="668">
        <f t="shared" si="46"/>
        <v>482693.64149999997</v>
      </c>
      <c r="H101" s="668">
        <f t="shared" si="46"/>
        <v>488080.3417935</v>
      </c>
      <c r="I101" s="668">
        <f t="shared" si="46"/>
        <v>497368.42564313754</v>
      </c>
      <c r="J101" s="668">
        <f t="shared" si="46"/>
        <v>502266.88926596747</v>
      </c>
      <c r="K101" s="668">
        <f t="shared" si="46"/>
        <v>506553.33542155643</v>
      </c>
      <c r="L101" s="668">
        <f t="shared" si="46"/>
        <v>510955.25132478139</v>
      </c>
      <c r="M101" s="668">
        <f t="shared" si="46"/>
        <v>515076.81332945882</v>
      </c>
      <c r="N101" s="668">
        <f t="shared" si="46"/>
        <v>519295.67272285576</v>
      </c>
      <c r="O101" s="668">
        <f t="shared" si="46"/>
        <v>522316.13628666493</v>
      </c>
      <c r="P101" s="668">
        <f t="shared" si="46"/>
        <v>523347.4002549217</v>
      </c>
    </row>
    <row r="102" spans="1:16" ht="10.8" thickTop="1" x14ac:dyDescent="0.2"/>
  </sheetData>
  <pageMargins left="0.70866141732283472" right="0.70866141732283472" top="0.74803149606299213" bottom="0.74803149606299213" header="0.31496062992125984" footer="0.31496062992125984"/>
  <pageSetup paperSize="9" scale="91" fitToHeight="0" orientation="landscape" r:id="rId1"/>
  <rowBreaks count="2" manualBreakCount="2">
    <brk id="34" max="16383" man="1"/>
    <brk id="6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E210"/>
  <sheetViews>
    <sheetView zoomScaleNormal="100" workbookViewId="0">
      <pane xSplit="3" ySplit="3" topLeftCell="D90" activePane="bottomRight" state="frozen"/>
      <selection pane="topRight" activeCell="D1" sqref="D1"/>
      <selection pane="bottomLeft" activeCell="A3" sqref="A3"/>
      <selection pane="bottomRight" activeCell="A113" sqref="A113"/>
    </sheetView>
  </sheetViews>
  <sheetFormatPr defaultColWidth="9.109375" defaultRowHeight="10.199999999999999" outlineLevelRow="1" outlineLevelCol="1" x14ac:dyDescent="0.2"/>
  <cols>
    <col min="1" max="1" width="35.44140625" style="600" customWidth="1"/>
    <col min="2" max="2" width="12.6640625" style="599" hidden="1" customWidth="1" outlineLevel="1"/>
    <col min="3" max="3" width="11" style="599" hidden="1" customWidth="1" outlineLevel="1"/>
    <col min="4" max="4" width="10.109375" style="599" hidden="1" customWidth="1" outlineLevel="1" collapsed="1"/>
    <col min="5" max="5" width="9" style="599" hidden="1" customWidth="1" outlineLevel="1" collapsed="1"/>
    <col min="6" max="6" width="10.109375" style="599" customWidth="1" collapsed="1"/>
    <col min="7" max="7" width="9.5546875" style="599" bestFit="1" customWidth="1"/>
    <col min="8" max="8" width="9.88671875" style="599" bestFit="1" customWidth="1"/>
    <col min="9" max="9" width="9.5546875" style="599" bestFit="1" customWidth="1"/>
    <col min="10" max="11" width="10.109375" style="599" bestFit="1" customWidth="1"/>
    <col min="12" max="12" width="9.88671875" style="599" bestFit="1" customWidth="1"/>
    <col min="13" max="15" width="10.109375" style="599" bestFit="1" customWidth="1"/>
    <col min="16" max="16" width="9.88671875" style="599" customWidth="1"/>
    <col min="17" max="17" width="9.109375" style="599" customWidth="1"/>
    <col min="18" max="29" width="9.109375" style="599"/>
    <col min="30" max="30" width="49.6640625" style="599" bestFit="1" customWidth="1"/>
    <col min="31" max="31" width="10.6640625" style="599" bestFit="1" customWidth="1"/>
    <col min="32" max="16384" width="9.109375" style="599"/>
  </cols>
  <sheetData>
    <row r="1" spans="1:31" ht="12.75" x14ac:dyDescent="0.2">
      <c r="A1" s="1091" t="s">
        <v>1363</v>
      </c>
    </row>
    <row r="2" spans="1:31" ht="12" x14ac:dyDescent="0.2">
      <c r="A2" s="693" t="s">
        <v>1622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31" ht="11.25" x14ac:dyDescent="0.2">
      <c r="A3" s="693" t="s">
        <v>73</v>
      </c>
      <c r="B3" s="741" t="s">
        <v>68</v>
      </c>
      <c r="C3" s="694" t="s">
        <v>0</v>
      </c>
      <c r="D3" s="694" t="s">
        <v>1</v>
      </c>
      <c r="E3" s="694" t="s">
        <v>2</v>
      </c>
      <c r="F3" s="694" t="s">
        <v>3</v>
      </c>
      <c r="G3" s="694" t="s">
        <v>4</v>
      </c>
      <c r="H3" s="694" t="s">
        <v>5</v>
      </c>
      <c r="I3" s="694" t="s">
        <v>6</v>
      </c>
      <c r="J3" s="694" t="s">
        <v>7</v>
      </c>
      <c r="K3" s="694" t="s">
        <v>8</v>
      </c>
      <c r="L3" s="694" t="s">
        <v>9</v>
      </c>
      <c r="M3" s="694" t="s">
        <v>514</v>
      </c>
      <c r="N3" s="694" t="s">
        <v>515</v>
      </c>
      <c r="O3" s="694" t="s">
        <v>904</v>
      </c>
      <c r="P3" s="694" t="s">
        <v>1046</v>
      </c>
    </row>
    <row r="4" spans="1:31" ht="11.25" hidden="1" outlineLevel="1" x14ac:dyDescent="0.2">
      <c r="A4" s="695" t="s">
        <v>906</v>
      </c>
      <c r="B4" s="696"/>
      <c r="C4" s="697"/>
      <c r="D4" s="698"/>
      <c r="E4" s="698"/>
      <c r="F4" s="699"/>
      <c r="G4" s="757">
        <f>(G11-F11)/F11</f>
        <v>-6.0126582278481014E-2</v>
      </c>
      <c r="H4" s="757">
        <f t="shared" ref="H4:P4" si="0">(H11-G11)/G11</f>
        <v>9.0000000000000063E-3</v>
      </c>
      <c r="I4" s="757">
        <f t="shared" si="0"/>
        <v>8.9998097926739483E-3</v>
      </c>
      <c r="J4" s="757">
        <f t="shared" si="0"/>
        <v>8.9995700631676397E-3</v>
      </c>
      <c r="K4" s="757">
        <f t="shared" si="0"/>
        <v>2.4999999999999915E-2</v>
      </c>
      <c r="L4" s="757">
        <f t="shared" si="0"/>
        <v>2.4999999999999967E-2</v>
      </c>
      <c r="M4" s="757">
        <f t="shared" si="0"/>
        <v>2.4999999999999904E-2</v>
      </c>
      <c r="N4" s="757">
        <f t="shared" si="0"/>
        <v>2.4999999999999932E-2</v>
      </c>
      <c r="O4" s="757">
        <f t="shared" si="0"/>
        <v>2.4999999999999915E-2</v>
      </c>
      <c r="P4" s="757">
        <f t="shared" si="0"/>
        <v>2.4999999999999977E-2</v>
      </c>
      <c r="R4" s="599" t="s">
        <v>1042</v>
      </c>
      <c r="AD4" s="601" t="s">
        <v>10</v>
      </c>
    </row>
    <row r="5" spans="1:31" ht="11.25" hidden="1" outlineLevel="1" x14ac:dyDescent="0.2">
      <c r="A5" s="695"/>
      <c r="B5" s="696"/>
      <c r="C5" s="697"/>
      <c r="D5" s="698"/>
      <c r="E5" s="698"/>
      <c r="F5" s="699"/>
      <c r="G5" s="757"/>
      <c r="H5" s="757"/>
      <c r="I5" s="757"/>
      <c r="J5" s="757"/>
      <c r="K5" s="757"/>
      <c r="L5" s="757"/>
      <c r="M5" s="757"/>
      <c r="N5" s="757"/>
      <c r="O5" s="757"/>
      <c r="P5" s="757"/>
      <c r="AD5" s="601"/>
    </row>
    <row r="6" spans="1:31" ht="11.25" hidden="1" outlineLevel="1" x14ac:dyDescent="0.2">
      <c r="A6" s="695" t="s">
        <v>408</v>
      </c>
      <c r="B6" s="696"/>
      <c r="C6" s="697"/>
      <c r="D6" s="698"/>
      <c r="E6" s="698"/>
      <c r="F6" s="699">
        <v>2724.7000000000007</v>
      </c>
      <c r="G6" s="777">
        <v>2514.1000000000004</v>
      </c>
      <c r="H6" s="777">
        <v>2488.8420000000006</v>
      </c>
      <c r="I6" s="777">
        <v>2566.7390000000014</v>
      </c>
      <c r="J6" s="777">
        <v>2647.9809999999998</v>
      </c>
      <c r="K6" s="757"/>
      <c r="L6" s="757"/>
      <c r="M6" s="757"/>
      <c r="N6" s="757"/>
      <c r="O6" s="757"/>
      <c r="P6" s="757"/>
      <c r="AD6" s="601"/>
    </row>
    <row r="7" spans="1:31" s="603" customFormat="1" ht="13.5" hidden="1" customHeight="1" outlineLevel="1" x14ac:dyDescent="0.2">
      <c r="A7" s="700" t="s">
        <v>1077</v>
      </c>
      <c r="B7" s="701"/>
      <c r="C7" s="702"/>
      <c r="D7" s="703"/>
      <c r="E7" s="703"/>
      <c r="F7" s="703">
        <v>2020</v>
      </c>
      <c r="G7" s="704">
        <v>2062.1750000000002</v>
      </c>
      <c r="H7" s="745">
        <v>2105.4029999999998</v>
      </c>
      <c r="I7" s="757">
        <v>2149.7130000000002</v>
      </c>
      <c r="J7" s="757">
        <v>2195.1309999999999</v>
      </c>
      <c r="K7" s="745"/>
      <c r="L7" s="745"/>
      <c r="M7" s="745"/>
      <c r="N7" s="745"/>
      <c r="O7" s="745"/>
      <c r="P7" s="745"/>
      <c r="R7" s="603" t="s">
        <v>1043</v>
      </c>
      <c r="AD7" s="602"/>
    </row>
    <row r="8" spans="1:31" s="603" customFormat="1" ht="16.5" customHeight="1" collapsed="1" x14ac:dyDescent="0.2">
      <c r="A8" s="700"/>
      <c r="B8" s="701"/>
      <c r="C8" s="702"/>
      <c r="D8" s="703"/>
      <c r="E8" s="703"/>
      <c r="F8" s="703"/>
      <c r="G8" s="704"/>
      <c r="H8" s="711"/>
      <c r="I8" s="711"/>
      <c r="K8" s="711"/>
      <c r="L8" s="711"/>
      <c r="M8" s="711"/>
      <c r="N8" s="711"/>
      <c r="O8" s="711"/>
      <c r="P8" s="711"/>
      <c r="AD8" s="602"/>
    </row>
    <row r="9" spans="1:31" ht="11.25" x14ac:dyDescent="0.2">
      <c r="A9" s="705" t="s">
        <v>61</v>
      </c>
      <c r="B9" s="706"/>
      <c r="C9" s="706"/>
      <c r="D9" s="702"/>
      <c r="E9" s="707"/>
      <c r="F9" s="707"/>
      <c r="G9" s="707"/>
      <c r="AD9" s="599" t="s">
        <v>11</v>
      </c>
      <c r="AE9" s="606">
        <f>+D11</f>
        <v>0</v>
      </c>
    </row>
    <row r="10" spans="1:31" ht="11.25" x14ac:dyDescent="0.2">
      <c r="A10" s="708" t="s">
        <v>62</v>
      </c>
      <c r="B10" s="709"/>
      <c r="C10" s="709"/>
      <c r="D10" s="710"/>
      <c r="E10" s="710"/>
      <c r="F10" s="711"/>
      <c r="G10" s="711"/>
      <c r="AE10" s="606"/>
    </row>
    <row r="11" spans="1:31" ht="11.25" x14ac:dyDescent="0.2">
      <c r="A11" s="700" t="s">
        <v>11</v>
      </c>
      <c r="B11" s="712"/>
      <c r="C11" s="712"/>
      <c r="D11" s="707"/>
      <c r="E11" s="707">
        <f>1380</f>
        <v>1380</v>
      </c>
      <c r="F11" s="713">
        <f>-'Opex No SRV'!C167/1000</f>
        <v>1580</v>
      </c>
      <c r="G11" s="713">
        <f>-'Opex No SRV'!E167/1000</f>
        <v>1485</v>
      </c>
      <c r="H11" s="713">
        <f>-'Opex No SRV'!F167/1000</f>
        <v>1498.365</v>
      </c>
      <c r="I11" s="713">
        <f>-'Opex No SRV'!G167/1000</f>
        <v>1511.85</v>
      </c>
      <c r="J11" s="713">
        <f>-'Opex No SRV'!H167/1000</f>
        <v>1525.4559999999999</v>
      </c>
      <c r="K11" s="713">
        <f>J11*(1+'LTFP Assumptions'!$H6)</f>
        <v>1563.5923999999998</v>
      </c>
      <c r="L11" s="713">
        <f>K11*(1+'LTFP Assumptions'!$H6)</f>
        <v>1602.6822099999997</v>
      </c>
      <c r="M11" s="713">
        <f>L11*(1+'LTFP Assumptions'!$H6)</f>
        <v>1642.7492652499996</v>
      </c>
      <c r="N11" s="713">
        <f>M11*(1+'LTFP Assumptions'!$H6)</f>
        <v>1683.8179968812494</v>
      </c>
      <c r="O11" s="713">
        <f>N11*(1+'LTFP Assumptions'!$H6)</f>
        <v>1725.9134468032805</v>
      </c>
      <c r="P11" s="713">
        <f>O11*(1+'LTFP Assumptions'!$H6)</f>
        <v>1769.0612829733625</v>
      </c>
      <c r="AD11" s="599" t="s">
        <v>12</v>
      </c>
      <c r="AE11" s="606">
        <f t="shared" ref="AE11:AE15" si="1">+D12</f>
        <v>0</v>
      </c>
    </row>
    <row r="12" spans="1:31" ht="11.25" x14ac:dyDescent="0.2">
      <c r="A12" s="695" t="s">
        <v>12</v>
      </c>
      <c r="B12" s="714"/>
      <c r="C12" s="714"/>
      <c r="D12" s="715"/>
      <c r="E12" s="715">
        <f>3422</f>
        <v>3422</v>
      </c>
      <c r="F12" s="713">
        <f>-'Opex No SRV'!C168/1000</f>
        <v>3719.15</v>
      </c>
      <c r="G12" s="713">
        <f>-'Opex No SRV'!E168/1000</f>
        <v>3922.375</v>
      </c>
      <c r="H12" s="713">
        <f>-'Opex No SRV'!F168/1000</f>
        <v>4115.482</v>
      </c>
      <c r="I12" s="713">
        <f>-'Opex No SRV'!G168/1000</f>
        <v>4318.1729999999998</v>
      </c>
      <c r="J12" s="713">
        <f>-'Opex No SRV'!H168/1000</f>
        <v>4530.9430000000002</v>
      </c>
      <c r="K12" s="711">
        <f>J12*(1+'LTFP Assumptions'!$H12)</f>
        <v>4621.5618600000007</v>
      </c>
      <c r="L12" s="711">
        <f>K12*(1+'LTFP Assumptions'!$H12)</f>
        <v>4713.9930972000011</v>
      </c>
      <c r="M12" s="711">
        <f>L12*(1+'LTFP Assumptions'!$H12)</f>
        <v>4808.2729591440011</v>
      </c>
      <c r="N12" s="711">
        <f>M12*(1+'LTFP Assumptions'!$H12)</f>
        <v>4904.4384183268812</v>
      </c>
      <c r="O12" s="711">
        <f>N12*(1+'LTFP Assumptions'!$H12)</f>
        <v>5002.527186693419</v>
      </c>
      <c r="P12" s="711">
        <f>O12*(1+'LTFP Assumptions'!$H12)</f>
        <v>5102.5777304272879</v>
      </c>
      <c r="AD12" s="599" t="s">
        <v>13</v>
      </c>
      <c r="AE12" s="606">
        <f t="shared" si="1"/>
        <v>0</v>
      </c>
    </row>
    <row r="13" spans="1:31" s="603" customFormat="1" ht="11.25" x14ac:dyDescent="0.2">
      <c r="A13" s="700" t="s">
        <v>13</v>
      </c>
      <c r="B13" s="712"/>
      <c r="C13" s="712"/>
      <c r="D13" s="707"/>
      <c r="E13" s="707">
        <f>976</f>
        <v>976</v>
      </c>
      <c r="F13" s="713">
        <f>-'Opex No SRV'!C169/1000</f>
        <v>868</v>
      </c>
      <c r="G13" s="713">
        <f>-'Opex No SRV'!E169/1000</f>
        <v>819</v>
      </c>
      <c r="H13" s="713">
        <f>-'Opex No SRV'!F169/1000</f>
        <v>739.62</v>
      </c>
      <c r="I13" s="713">
        <f>-'Opex No SRV'!G169/1000</f>
        <v>740.55200000000002</v>
      </c>
      <c r="J13" s="713">
        <f>-'Opex No SRV'!H169/1000</f>
        <v>740.89700000000005</v>
      </c>
      <c r="K13" s="716">
        <f>'Water  Fund  Cash Flow'!J158*'LTFP Assumptions'!$H17</f>
        <v>724.10723999999993</v>
      </c>
      <c r="L13" s="716">
        <f>'Water  Fund  Cash Flow'!K158*'LTFP Assumptions'!$H17</f>
        <v>750.46889224799986</v>
      </c>
      <c r="M13" s="716">
        <f>'Water  Fund  Cash Flow'!L158*'LTFP Assumptions'!$H17</f>
        <v>778.23808375787985</v>
      </c>
      <c r="N13" s="716">
        <f>'Water  Fund  Cash Flow'!M158*'LTFP Assumptions'!$H17</f>
        <v>808.50414508100937</v>
      </c>
      <c r="O13" s="716">
        <f>'Water  Fund  Cash Flow'!N158*'LTFP Assumptions'!$H17</f>
        <v>852.9443987130843</v>
      </c>
      <c r="P13" s="716">
        <f>'Water  Fund  Cash Flow'!O158*'LTFP Assumptions'!$H17</f>
        <v>899.17107631696911</v>
      </c>
      <c r="AD13" s="603" t="s">
        <v>14</v>
      </c>
      <c r="AE13" s="605">
        <f t="shared" si="1"/>
        <v>0</v>
      </c>
    </row>
    <row r="14" spans="1:31" ht="11.25" x14ac:dyDescent="0.2">
      <c r="A14" s="695" t="s">
        <v>14</v>
      </c>
      <c r="B14" s="714"/>
      <c r="C14" s="714"/>
      <c r="D14" s="715"/>
      <c r="E14" s="715">
        <f>241</f>
        <v>241</v>
      </c>
      <c r="F14" s="716">
        <v>0</v>
      </c>
      <c r="G14" s="711">
        <v>0</v>
      </c>
      <c r="H14" s="711">
        <v>0</v>
      </c>
      <c r="I14" s="711">
        <v>0</v>
      </c>
      <c r="J14" s="711">
        <v>0</v>
      </c>
      <c r="K14" s="711">
        <v>0</v>
      </c>
      <c r="L14" s="711">
        <v>0</v>
      </c>
      <c r="M14" s="711">
        <v>0</v>
      </c>
      <c r="N14" s="711">
        <v>0</v>
      </c>
      <c r="O14" s="711">
        <v>0</v>
      </c>
      <c r="P14" s="711">
        <v>0</v>
      </c>
      <c r="AD14" s="599" t="s">
        <v>15</v>
      </c>
      <c r="AE14" s="606">
        <f t="shared" si="1"/>
        <v>0</v>
      </c>
    </row>
    <row r="15" spans="1:31" ht="12.75" customHeight="1" x14ac:dyDescent="0.2">
      <c r="A15" s="695" t="s">
        <v>15</v>
      </c>
      <c r="B15" s="714"/>
      <c r="C15" s="714"/>
      <c r="D15" s="715"/>
      <c r="E15" s="715">
        <f>36</f>
        <v>36</v>
      </c>
      <c r="F15" s="711">
        <f>-'Opex No SRV'!C170/1000</f>
        <v>38.5</v>
      </c>
      <c r="G15" s="711">
        <f>-'Opex No SRV'!E170/1000</f>
        <v>34.5</v>
      </c>
      <c r="H15" s="711">
        <f>-'Opex No SRV'!F170/1000</f>
        <v>35.19</v>
      </c>
      <c r="I15" s="711">
        <f>-'Opex No SRV'!G170/1000</f>
        <v>35.893000000000001</v>
      </c>
      <c r="J15" s="711">
        <f>-'Opex No SRV'!H170/1000</f>
        <v>36.610999999999997</v>
      </c>
      <c r="K15" s="711">
        <f>J15*(1+'LTFP Assumptions'!$H10)</f>
        <v>37.526274999999991</v>
      </c>
      <c r="L15" s="711">
        <f>K15*(1+'LTFP Assumptions'!$H10)</f>
        <v>38.464431874999988</v>
      </c>
      <c r="M15" s="711">
        <f>L15*(1+'LTFP Assumptions'!$H10)</f>
        <v>39.426042671874981</v>
      </c>
      <c r="N15" s="711">
        <f>M15*(1+'LTFP Assumptions'!$H10)</f>
        <v>40.41169373867185</v>
      </c>
      <c r="O15" s="711">
        <f>N15*(1+'LTFP Assumptions'!$H10)</f>
        <v>41.421986082138645</v>
      </c>
      <c r="P15" s="711">
        <f>O15*(1+'LTFP Assumptions'!$H10)</f>
        <v>42.457535734192106</v>
      </c>
      <c r="AD15" s="599" t="s">
        <v>18</v>
      </c>
      <c r="AE15" s="606">
        <f t="shared" si="1"/>
        <v>0</v>
      </c>
    </row>
    <row r="16" spans="1:31" ht="11.25" customHeight="1" x14ac:dyDescent="0.2">
      <c r="A16" s="695" t="s">
        <v>18</v>
      </c>
      <c r="B16" s="714"/>
      <c r="C16" s="714"/>
      <c r="D16" s="715"/>
      <c r="E16" s="715">
        <f>88</f>
        <v>88</v>
      </c>
      <c r="F16" s="716">
        <f>F59+F60+F61</f>
        <v>50</v>
      </c>
      <c r="G16" s="716">
        <f t="shared" ref="G16:P16" si="2">G59+G60+G61</f>
        <v>50</v>
      </c>
      <c r="H16" s="716">
        <f t="shared" ref="H16:J16" si="3">H59+H60+H61</f>
        <v>50</v>
      </c>
      <c r="I16" s="716">
        <f t="shared" si="3"/>
        <v>50</v>
      </c>
      <c r="J16" s="716">
        <f t="shared" si="3"/>
        <v>50</v>
      </c>
      <c r="K16" s="716">
        <f t="shared" si="2"/>
        <v>51</v>
      </c>
      <c r="L16" s="716">
        <f t="shared" si="2"/>
        <v>51</v>
      </c>
      <c r="M16" s="716">
        <f t="shared" si="2"/>
        <v>52.02</v>
      </c>
      <c r="N16" s="716">
        <f t="shared" si="2"/>
        <v>53.060400000000001</v>
      </c>
      <c r="O16" s="716">
        <f t="shared" si="2"/>
        <v>53.060400000000001</v>
      </c>
      <c r="P16" s="716">
        <f t="shared" si="2"/>
        <v>53.060400000000001</v>
      </c>
      <c r="AD16" s="599" t="s">
        <v>21</v>
      </c>
      <c r="AE16" s="606">
        <f>+D19</f>
        <v>0</v>
      </c>
    </row>
    <row r="17" spans="1:31" ht="11.25" customHeight="1" x14ac:dyDescent="0.2">
      <c r="A17" s="1149" t="s">
        <v>1180</v>
      </c>
      <c r="B17" s="714"/>
      <c r="C17" s="714"/>
      <c r="D17" s="715"/>
      <c r="E17" s="715"/>
      <c r="F17" s="716"/>
      <c r="G17" s="716"/>
      <c r="H17" s="716"/>
      <c r="I17" s="716"/>
      <c r="J17" s="716"/>
      <c r="K17" s="711">
        <f>J17*(1+'LTFP Assumptions'!$H12)</f>
        <v>0</v>
      </c>
      <c r="L17" s="711">
        <f>K17*(1+'LTFP Assumptions'!$H12)</f>
        <v>0</v>
      </c>
      <c r="M17" s="711">
        <f>L17*(1+'LTFP Assumptions'!$H12)</f>
        <v>0</v>
      </c>
      <c r="N17" s="711">
        <f>M17*(1+'LTFP Assumptions'!$H12)</f>
        <v>0</v>
      </c>
      <c r="O17" s="711">
        <f>N17*(1+'LTFP Assumptions'!$H12)</f>
        <v>0</v>
      </c>
      <c r="P17" s="711">
        <f>O17*(1+'LTFP Assumptions'!$H12)</f>
        <v>0</v>
      </c>
      <c r="AE17" s="606"/>
    </row>
    <row r="18" spans="1:31" ht="11.25" x14ac:dyDescent="0.2">
      <c r="A18" s="708" t="s">
        <v>63</v>
      </c>
      <c r="B18" s="714"/>
      <c r="C18" s="714"/>
      <c r="D18" s="715"/>
      <c r="E18" s="715"/>
      <c r="F18" s="715"/>
      <c r="G18" s="715"/>
      <c r="H18" s="715"/>
      <c r="I18" s="715"/>
      <c r="J18" s="711"/>
      <c r="K18" s="711"/>
      <c r="L18" s="711"/>
      <c r="M18" s="711"/>
      <c r="N18" s="711"/>
      <c r="O18" s="711"/>
      <c r="P18" s="711"/>
      <c r="AE18" s="606"/>
    </row>
    <row r="19" spans="1:31" ht="11.25" x14ac:dyDescent="0.2">
      <c r="A19" s="758" t="s">
        <v>74</v>
      </c>
      <c r="B19" s="718"/>
      <c r="C19" s="718"/>
      <c r="D19" s="707"/>
      <c r="E19" s="711">
        <v>9</v>
      </c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609"/>
      <c r="AD19" s="599" t="s">
        <v>22</v>
      </c>
      <c r="AE19" s="606" t="e">
        <f>+#REF!</f>
        <v>#REF!</v>
      </c>
    </row>
    <row r="20" spans="1:31" ht="11.25" x14ac:dyDescent="0.2">
      <c r="A20" s="758" t="s">
        <v>1047</v>
      </c>
      <c r="B20" s="718"/>
      <c r="C20" s="718"/>
      <c r="D20" s="707"/>
      <c r="E20" s="711"/>
      <c r="F20" s="711"/>
      <c r="G20" s="711"/>
      <c r="H20" s="711"/>
      <c r="I20" s="711"/>
      <c r="J20" s="711"/>
      <c r="K20" s="711"/>
      <c r="L20" s="711"/>
      <c r="M20" s="711"/>
      <c r="N20" s="711"/>
      <c r="O20" s="711"/>
      <c r="P20" s="711"/>
      <c r="Q20" s="609"/>
      <c r="AE20" s="606"/>
    </row>
    <row r="21" spans="1:31" s="611" customFormat="1" ht="11.25" x14ac:dyDescent="0.2">
      <c r="A21" s="759" t="s">
        <v>64</v>
      </c>
      <c r="B21" s="719">
        <f>SUM(B11:B19)</f>
        <v>0</v>
      </c>
      <c r="C21" s="719">
        <f>SUM(C11:C19)</f>
        <v>0</v>
      </c>
      <c r="D21" s="719">
        <f>SUM(D11:D20)</f>
        <v>0</v>
      </c>
      <c r="E21" s="719">
        <f t="shared" ref="E21:P21" si="4">SUM(E11:E19)</f>
        <v>6152</v>
      </c>
      <c r="F21" s="740">
        <f t="shared" si="4"/>
        <v>6255.65</v>
      </c>
      <c r="G21" s="740">
        <f t="shared" si="4"/>
        <v>6310.875</v>
      </c>
      <c r="H21" s="740">
        <f t="shared" si="4"/>
        <v>6438.6569999999992</v>
      </c>
      <c r="I21" s="740">
        <f t="shared" si="4"/>
        <v>6656.4679999999989</v>
      </c>
      <c r="J21" s="740">
        <f t="shared" si="4"/>
        <v>6883.9070000000002</v>
      </c>
      <c r="K21" s="740">
        <f t="shared" si="4"/>
        <v>6997.7877750000007</v>
      </c>
      <c r="L21" s="740">
        <f t="shared" si="4"/>
        <v>7156.6086313230007</v>
      </c>
      <c r="M21" s="740">
        <f t="shared" si="4"/>
        <v>7320.7063508237561</v>
      </c>
      <c r="N21" s="740">
        <f t="shared" si="4"/>
        <v>7490.2326540278118</v>
      </c>
      <c r="O21" s="740">
        <f t="shared" si="4"/>
        <v>7675.8674182919231</v>
      </c>
      <c r="P21" s="740">
        <f t="shared" si="4"/>
        <v>7866.3280254518122</v>
      </c>
      <c r="AD21" s="612" t="s">
        <v>23</v>
      </c>
      <c r="AE21" s="613" t="e">
        <f>SUM(AE9:AE19)</f>
        <v>#REF!</v>
      </c>
    </row>
    <row r="22" spans="1:31" ht="11.25" x14ac:dyDescent="0.2">
      <c r="A22" s="705" t="s">
        <v>65</v>
      </c>
      <c r="B22" s="714"/>
      <c r="C22" s="714"/>
      <c r="D22" s="710"/>
      <c r="E22" s="710"/>
      <c r="F22" s="710"/>
      <c r="G22" s="710"/>
      <c r="H22" s="710"/>
      <c r="I22" s="710"/>
      <c r="J22" s="710"/>
      <c r="K22" s="710"/>
      <c r="L22" s="710"/>
      <c r="M22" s="710"/>
      <c r="N22" s="710"/>
      <c r="O22" s="710"/>
      <c r="P22" s="710"/>
      <c r="AD22" s="601" t="s">
        <v>24</v>
      </c>
    </row>
    <row r="23" spans="1:31" ht="11.25" x14ac:dyDescent="0.2">
      <c r="A23" s="695" t="s">
        <v>25</v>
      </c>
      <c r="B23" s="714"/>
      <c r="C23" s="714"/>
      <c r="D23" s="715"/>
      <c r="E23" s="715">
        <f>1007</f>
        <v>1007</v>
      </c>
      <c r="F23" s="715">
        <f>'Opex No SRV'!C178/1000</f>
        <v>977.89</v>
      </c>
      <c r="G23" s="715">
        <f>'Opex No SRV'!E178/1000</f>
        <v>1129.55</v>
      </c>
      <c r="H23" s="715">
        <f>'Opex No SRV'!F178/1000</f>
        <v>1172.491</v>
      </c>
      <c r="I23" s="715">
        <f>'Opex No SRV'!G178/1000</f>
        <v>1217.242</v>
      </c>
      <c r="J23" s="715">
        <f>'Opex No SRV'!H178/1000</f>
        <v>1263.922</v>
      </c>
      <c r="K23" s="707">
        <f>J23*(1+'LTFP Assumptions'!$H9)</f>
        <v>1301.8396600000001</v>
      </c>
      <c r="L23" s="707">
        <f>K23*(1+'LTFP Assumptions'!$H9)</f>
        <v>1340.8948498000002</v>
      </c>
      <c r="M23" s="707">
        <f>L23*(1+'LTFP Assumptions'!$H9)</f>
        <v>1381.1216952940003</v>
      </c>
      <c r="N23" s="707">
        <f>M23*(1+'LTFP Assumptions'!$H9)</f>
        <v>1422.5553461528204</v>
      </c>
      <c r="O23" s="707">
        <f>N23*(1+'LTFP Assumptions'!$H9)</f>
        <v>1465.2320065374051</v>
      </c>
      <c r="P23" s="707">
        <f>O23*(1+'LTFP Assumptions'!$H9)</f>
        <v>1509.1889667335274</v>
      </c>
      <c r="AD23" s="599" t="s">
        <v>25</v>
      </c>
      <c r="AE23" s="606">
        <f>+D23</f>
        <v>0</v>
      </c>
    </row>
    <row r="24" spans="1:31" ht="11.25" x14ac:dyDescent="0.2">
      <c r="A24" s="695" t="s">
        <v>926</v>
      </c>
      <c r="B24" s="714"/>
      <c r="C24" s="714"/>
      <c r="D24" s="715"/>
      <c r="E24" s="715">
        <f>171</f>
        <v>171</v>
      </c>
      <c r="F24" s="715">
        <f>'Opex No SRV'!C181/1000</f>
        <v>161.286</v>
      </c>
      <c r="G24" s="715">
        <f>'Opex No SRV'!E181/1000</f>
        <v>144.54</v>
      </c>
      <c r="H24" s="715">
        <f>'Opex No SRV'!F181/1000</f>
        <v>120.66</v>
      </c>
      <c r="I24" s="715">
        <f>'Opex No SRV'!G181/1000</f>
        <v>102.289</v>
      </c>
      <c r="J24" s="715">
        <f>'Opex No SRV'!H181/1000</f>
        <v>81.013999999999996</v>
      </c>
      <c r="K24" s="1310">
        <f>J24+(('Water Fund  Bal Sheet'!K26+'Water Fund  Bal Sheet'!K32)-('Water Fund  Bal Sheet'!J26+'Water Fund  Bal Sheet'!J32))*'LTFP Assumptions'!$H$18</f>
        <v>67.4933288</v>
      </c>
      <c r="L24" s="1310">
        <f>K24+(('Water Fund  Bal Sheet'!L26+'Water Fund  Bal Sheet'!L32)-('Water Fund  Bal Sheet'!K26+'Water Fund  Bal Sheet'!K32))*'LTFP Assumptions'!$H$18</f>
        <v>53.702244175999994</v>
      </c>
      <c r="M24" s="1310">
        <f>L24+(('Water Fund  Bal Sheet'!M26+'Water Fund  Bal Sheet'!M32)-('Water Fund  Bal Sheet'!L26+'Water Fund  Bal Sheet'!L32))*'LTFP Assumptions'!$H$18</f>
        <v>40.755337859519997</v>
      </c>
      <c r="N24" s="1310">
        <f>M24+(('Water Fund  Bal Sheet'!N26+'Water Fund  Bal Sheet'!N32)-('Water Fund  Bal Sheet'!M26+'Water Fund  Bal Sheet'!M32))*'LTFP Assumptions'!$H$18</f>
        <v>40.755337859519997</v>
      </c>
      <c r="O24" s="1310">
        <f>N24+(('Water Fund  Bal Sheet'!O26+'Water Fund  Bal Sheet'!O32)-('Water Fund  Bal Sheet'!N26+'Water Fund  Bal Sheet'!N32))*'LTFP Assumptions'!$H$18</f>
        <v>40.755337859519997</v>
      </c>
      <c r="P24" s="1310">
        <f>O24+(('Water Fund  Bal Sheet'!P26+'Water Fund  Bal Sheet'!P32)-('Water Fund  Bal Sheet'!O26+'Water Fund  Bal Sheet'!O32))*'LTFP Assumptions'!$H$18</f>
        <v>40.755337859519997</v>
      </c>
      <c r="AE24" s="606"/>
    </row>
    <row r="25" spans="1:31" ht="11.25" x14ac:dyDescent="0.2">
      <c r="A25" s="695" t="s">
        <v>27</v>
      </c>
      <c r="B25" s="714"/>
      <c r="C25" s="714"/>
      <c r="D25" s="715"/>
      <c r="E25" s="715">
        <f>2370</f>
        <v>2370</v>
      </c>
      <c r="F25" s="707">
        <f>'Opex No SRV'!C179/1000</f>
        <v>1785.2</v>
      </c>
      <c r="G25" s="707">
        <f>'Opex No SRV'!E179/1000</f>
        <v>1589.6</v>
      </c>
      <c r="H25" s="707">
        <f>'Opex No SRV'!F179/1000</f>
        <v>1632.152</v>
      </c>
      <c r="I25" s="707">
        <f>'Opex No SRV'!G179/1000</f>
        <v>1676.3050000000001</v>
      </c>
      <c r="J25" s="707">
        <f>'Opex No SRV'!H179/1000</f>
        <v>1722.162</v>
      </c>
      <c r="K25" s="707">
        <f>J25*(1+'LTFP Assumptions'!$H$13)</f>
        <v>1756.6052400000001</v>
      </c>
      <c r="L25" s="707">
        <f>K25*(1+'LTFP Assumptions'!$H13)</f>
        <v>1791.7373448000001</v>
      </c>
      <c r="M25" s="707">
        <f>L25*(1+'LTFP Assumptions'!$H13)</f>
        <v>1827.5720916960001</v>
      </c>
      <c r="N25" s="707">
        <f>M25*(1+'LTFP Assumptions'!$H13)</f>
        <v>1864.1235335299202</v>
      </c>
      <c r="O25" s="707">
        <f>N25*(1+'LTFP Assumptions'!$H13)</f>
        <v>1901.4060042005187</v>
      </c>
      <c r="P25" s="707">
        <f>O25*(1+'LTFP Assumptions'!$H13)</f>
        <v>1939.4341242845292</v>
      </c>
      <c r="AD25" s="599" t="s">
        <v>28</v>
      </c>
      <c r="AE25" s="606">
        <f>+D30</f>
        <v>0</v>
      </c>
    </row>
    <row r="26" spans="1:31" ht="11.25" x14ac:dyDescent="0.2">
      <c r="A26" s="600" t="s">
        <v>1077</v>
      </c>
      <c r="B26" s="714"/>
      <c r="C26" s="714"/>
      <c r="D26" s="715"/>
      <c r="E26" s="715"/>
      <c r="F26" s="720">
        <f>'Opex No SRV'!C182/1000</f>
        <v>1228</v>
      </c>
      <c r="G26" s="720">
        <f>'Opex No SRV'!E182/1000</f>
        <v>1254.7</v>
      </c>
      <c r="H26" s="720">
        <f>'Opex No SRV'!F182/1000</f>
        <v>1282.067</v>
      </c>
      <c r="I26" s="720">
        <f>'Opex No SRV'!G182/1000</f>
        <v>1310.1179999999999</v>
      </c>
      <c r="J26" s="720">
        <f>'Opex No SRV'!H182/1000</f>
        <v>1338.8710000000001</v>
      </c>
      <c r="K26" s="707">
        <f>J26*(1+'LTFP Assumptions'!$H$13)</f>
        <v>1365.6484200000002</v>
      </c>
      <c r="L26" s="707">
        <f>K26*(1+'LTFP Assumptions'!$H$13)</f>
        <v>1392.9613884000003</v>
      </c>
      <c r="M26" s="707">
        <f>L26*(1+'LTFP Assumptions'!$H$13)</f>
        <v>1420.8206161680002</v>
      </c>
      <c r="N26" s="707">
        <f>M26*(1+'LTFP Assumptions'!$H$13)</f>
        <v>1449.2370284913602</v>
      </c>
      <c r="O26" s="707">
        <f>N26*(1+'LTFP Assumptions'!$H$13)</f>
        <v>1478.2217690611874</v>
      </c>
      <c r="P26" s="707">
        <f>O26*(1+'LTFP Assumptions'!$H$13)</f>
        <v>1507.7862044424112</v>
      </c>
      <c r="AE26" s="606"/>
    </row>
    <row r="27" spans="1:31" s="603" customFormat="1" ht="11.25" x14ac:dyDescent="0.2">
      <c r="A27" s="700" t="s">
        <v>29</v>
      </c>
      <c r="B27" s="712"/>
      <c r="C27" s="712"/>
      <c r="D27" s="707"/>
      <c r="E27" s="715">
        <f>1482</f>
        <v>1482</v>
      </c>
      <c r="F27" s="720">
        <f>'Opex No SRV'!C183/1000</f>
        <v>1501.2719999999999</v>
      </c>
      <c r="G27" s="720">
        <f>'Opex No SRV'!E183/1000</f>
        <v>1518.1</v>
      </c>
      <c r="H27" s="720">
        <f>'Opex No SRV'!F183/1000</f>
        <v>1555.95</v>
      </c>
      <c r="I27" s="720">
        <f>'Opex No SRV'!G183/1000</f>
        <v>1594.848</v>
      </c>
      <c r="J27" s="720">
        <f>'Opex No SRV'!H183/1000</f>
        <v>1634.7180000000001</v>
      </c>
      <c r="K27" s="707">
        <f>J27*(1+'LTFP Assumptions'!$H16)</f>
        <v>1675.5859499999999</v>
      </c>
      <c r="L27" s="707">
        <f>K27*(1+'LTFP Assumptions'!$H16)</f>
        <v>1717.4755987499998</v>
      </c>
      <c r="M27" s="707">
        <f>L27*(1+'LTFP Assumptions'!$H16)</f>
        <v>1760.4124887187497</v>
      </c>
      <c r="N27" s="707">
        <f>M27*(1+'LTFP Assumptions'!$H16)</f>
        <v>1804.4228009367182</v>
      </c>
      <c r="O27" s="707">
        <f>N27*(1+'LTFP Assumptions'!$H16)</f>
        <v>1849.5333709601359</v>
      </c>
      <c r="P27" s="707">
        <f>O27*(1+'LTFP Assumptions'!$H16)</f>
        <v>1895.7717052341391</v>
      </c>
      <c r="AD27" s="603" t="s">
        <v>30</v>
      </c>
      <c r="AE27" s="605" t="e">
        <f>-#REF!</f>
        <v>#REF!</v>
      </c>
    </row>
    <row r="28" spans="1:31" s="603" customFormat="1" ht="11.25" x14ac:dyDescent="0.2">
      <c r="A28" s="700" t="s">
        <v>1048</v>
      </c>
      <c r="B28" s="712"/>
      <c r="C28" s="712"/>
      <c r="D28" s="707"/>
      <c r="E28" s="707">
        <f>0</f>
        <v>0</v>
      </c>
      <c r="F28" s="720"/>
      <c r="G28" s="720"/>
      <c r="H28" s="720"/>
      <c r="I28" s="720"/>
      <c r="J28" s="720"/>
      <c r="K28" s="707"/>
      <c r="L28" s="707"/>
      <c r="M28" s="707"/>
      <c r="N28" s="707"/>
      <c r="O28" s="707"/>
      <c r="P28" s="707"/>
      <c r="AE28" s="605"/>
    </row>
    <row r="29" spans="1:31" s="603" customFormat="1" ht="11.25" x14ac:dyDescent="0.2">
      <c r="A29" s="700" t="s">
        <v>1049</v>
      </c>
      <c r="B29" s="712"/>
      <c r="C29" s="712"/>
      <c r="D29" s="707"/>
      <c r="E29" s="707">
        <v>0</v>
      </c>
      <c r="F29" s="720"/>
      <c r="G29" s="720"/>
      <c r="H29" s="720"/>
      <c r="I29" s="720"/>
      <c r="J29" s="720"/>
      <c r="K29" s="707"/>
      <c r="L29" s="707"/>
      <c r="M29" s="707"/>
      <c r="N29" s="707"/>
      <c r="O29" s="707"/>
      <c r="P29" s="707"/>
      <c r="AE29" s="605"/>
    </row>
    <row r="30" spans="1:31" ht="11.25" x14ac:dyDescent="0.2">
      <c r="A30" s="721" t="s">
        <v>28</v>
      </c>
      <c r="B30" s="722"/>
      <c r="C30" s="722"/>
      <c r="D30" s="723"/>
      <c r="E30" s="707">
        <f>263</f>
        <v>263</v>
      </c>
      <c r="F30" s="723">
        <f>'Opex No SRV'!C180/1000</f>
        <v>348</v>
      </c>
      <c r="G30" s="723">
        <f>'Opex No SRV'!E180/1000</f>
        <v>302.5</v>
      </c>
      <c r="H30" s="723">
        <f>'Opex No SRV'!F180/1000</f>
        <v>315.81</v>
      </c>
      <c r="I30" s="723">
        <f>'Opex No SRV'!G180/1000</f>
        <v>329.81099999999998</v>
      </c>
      <c r="J30" s="723">
        <f>'Opex No SRV'!H180/1000</f>
        <v>344.55200000000002</v>
      </c>
      <c r="K30" s="715">
        <f>J30*(1+'LTFP Assumptions'!$H14)</f>
        <v>351.44304000000005</v>
      </c>
      <c r="L30" s="715">
        <f>K30*(1+'LTFP Assumptions'!$H14)</f>
        <v>358.47190080000007</v>
      </c>
      <c r="M30" s="715">
        <f>L30*(1+'LTFP Assumptions'!$H14)</f>
        <v>365.64133881600009</v>
      </c>
      <c r="N30" s="715">
        <f>M30*(1+'LTFP Assumptions'!$H14)</f>
        <v>372.95416559232007</v>
      </c>
      <c r="O30" s="715">
        <f>N30*(1+'LTFP Assumptions'!$H14)</f>
        <v>380.41324890416649</v>
      </c>
      <c r="P30" s="715">
        <f>O30*(1+'LTFP Assumptions'!$H14)</f>
        <v>388.02151388224985</v>
      </c>
      <c r="AD30" s="599" t="s">
        <v>31</v>
      </c>
      <c r="AE30" s="606" t="e">
        <f>-#REF!</f>
        <v>#REF!</v>
      </c>
    </row>
    <row r="31" spans="1:31" s="611" customFormat="1" ht="11.25" x14ac:dyDescent="0.2">
      <c r="A31" s="705" t="s">
        <v>66</v>
      </c>
      <c r="B31" s="719">
        <f>SUM(B23:B30)</f>
        <v>0</v>
      </c>
      <c r="C31" s="719">
        <f>SUM(C23:C30)</f>
        <v>0</v>
      </c>
      <c r="D31" s="719">
        <f>SUM(D23:D30)</f>
        <v>0</v>
      </c>
      <c r="E31" s="719">
        <f t="shared" ref="E31:P31" si="5">SUM(E23:E30)</f>
        <v>5293</v>
      </c>
      <c r="F31" s="719">
        <f t="shared" si="5"/>
        <v>6001.6480000000001</v>
      </c>
      <c r="G31" s="719">
        <f t="shared" si="5"/>
        <v>5938.99</v>
      </c>
      <c r="H31" s="719">
        <f t="shared" si="5"/>
        <v>6079.13</v>
      </c>
      <c r="I31" s="719">
        <f t="shared" si="5"/>
        <v>6230.6129999999994</v>
      </c>
      <c r="J31" s="719">
        <f t="shared" si="5"/>
        <v>6385.2389999999996</v>
      </c>
      <c r="K31" s="719">
        <f t="shared" si="5"/>
        <v>6518.6156387999999</v>
      </c>
      <c r="L31" s="719">
        <f t="shared" si="5"/>
        <v>6655.2433267260012</v>
      </c>
      <c r="M31" s="719">
        <f t="shared" si="5"/>
        <v>6796.3235685522704</v>
      </c>
      <c r="N31" s="719">
        <f t="shared" si="5"/>
        <v>6954.0482125626595</v>
      </c>
      <c r="O31" s="719">
        <f t="shared" si="5"/>
        <v>7115.5617375229349</v>
      </c>
      <c r="P31" s="719">
        <f t="shared" si="5"/>
        <v>7280.9578524363769</v>
      </c>
      <c r="AD31" s="612" t="s">
        <v>23</v>
      </c>
      <c r="AE31" s="613" t="e">
        <f>SUM(AE23:AE30)</f>
        <v>#REF!</v>
      </c>
    </row>
    <row r="32" spans="1:31" ht="3.75" customHeight="1" x14ac:dyDescent="0.2">
      <c r="A32" s="695"/>
      <c r="B32" s="714"/>
      <c r="C32" s="710"/>
      <c r="D32" s="710"/>
      <c r="E32" s="710"/>
      <c r="F32" s="710"/>
      <c r="G32" s="710"/>
      <c r="H32" s="710"/>
      <c r="I32" s="710"/>
      <c r="J32" s="710"/>
      <c r="K32" s="710"/>
      <c r="L32" s="710"/>
      <c r="M32" s="710"/>
      <c r="N32" s="710"/>
      <c r="O32" s="710"/>
      <c r="P32" s="710"/>
    </row>
    <row r="33" spans="1:16" s="612" customFormat="1" ht="12" thickBot="1" x14ac:dyDescent="0.25">
      <c r="A33" s="705" t="s">
        <v>67</v>
      </c>
      <c r="B33" s="724">
        <f t="shared" ref="B33:P33" si="6">+B21-B31</f>
        <v>0</v>
      </c>
      <c r="C33" s="725">
        <f t="shared" si="6"/>
        <v>0</v>
      </c>
      <c r="D33" s="724">
        <f t="shared" si="6"/>
        <v>0</v>
      </c>
      <c r="E33" s="725">
        <f t="shared" si="6"/>
        <v>859</v>
      </c>
      <c r="F33" s="725">
        <f t="shared" si="6"/>
        <v>254.0019999999995</v>
      </c>
      <c r="G33" s="725">
        <f t="shared" si="6"/>
        <v>371.88500000000022</v>
      </c>
      <c r="H33" s="725">
        <f t="shared" si="6"/>
        <v>359.52699999999913</v>
      </c>
      <c r="I33" s="725">
        <f t="shared" si="6"/>
        <v>425.85499999999956</v>
      </c>
      <c r="J33" s="725">
        <f t="shared" si="6"/>
        <v>498.66800000000057</v>
      </c>
      <c r="K33" s="725">
        <f t="shared" si="6"/>
        <v>479.17213620000075</v>
      </c>
      <c r="L33" s="725">
        <f t="shared" si="6"/>
        <v>501.36530459699952</v>
      </c>
      <c r="M33" s="725">
        <f t="shared" si="6"/>
        <v>524.38278227148567</v>
      </c>
      <c r="N33" s="725">
        <f t="shared" si="6"/>
        <v>536.1844414651523</v>
      </c>
      <c r="O33" s="725">
        <f t="shared" si="6"/>
        <v>560.30568076898817</v>
      </c>
      <c r="P33" s="725">
        <f t="shared" si="6"/>
        <v>585.37017301543528</v>
      </c>
    </row>
    <row r="34" spans="1:16" ht="4.5" customHeight="1" x14ac:dyDescent="0.2">
      <c r="A34" s="726"/>
      <c r="B34" s="714"/>
      <c r="C34" s="710"/>
      <c r="D34" s="710"/>
      <c r="E34" s="710"/>
      <c r="F34" s="710"/>
      <c r="G34" s="710"/>
      <c r="H34" s="710"/>
      <c r="I34" s="710"/>
      <c r="J34" s="710"/>
      <c r="K34" s="710"/>
      <c r="L34" s="710"/>
      <c r="M34" s="710"/>
      <c r="N34" s="710"/>
      <c r="O34" s="710"/>
      <c r="P34" s="710"/>
    </row>
    <row r="35" spans="1:16" s="611" customFormat="1" ht="11.25" x14ac:dyDescent="0.2">
      <c r="A35" s="705" t="s">
        <v>75</v>
      </c>
      <c r="B35" s="727"/>
      <c r="C35" s="728"/>
      <c r="D35" s="728"/>
      <c r="E35" s="728"/>
      <c r="F35" s="728"/>
      <c r="G35" s="728"/>
      <c r="H35" s="728"/>
      <c r="I35" s="728"/>
      <c r="J35" s="728"/>
      <c r="K35" s="728"/>
      <c r="L35" s="728"/>
      <c r="M35" s="728"/>
      <c r="N35" s="728"/>
      <c r="O35" s="728"/>
      <c r="P35" s="728"/>
    </row>
    <row r="36" spans="1:16" ht="12.75" customHeight="1" x14ac:dyDescent="0.2">
      <c r="A36" s="721" t="s">
        <v>322</v>
      </c>
      <c r="B36" s="729">
        <v>0</v>
      </c>
      <c r="C36" s="729">
        <v>0</v>
      </c>
      <c r="D36" s="729">
        <v>0</v>
      </c>
      <c r="E36" s="729">
        <v>0</v>
      </c>
      <c r="F36" s="729">
        <v>0</v>
      </c>
      <c r="G36" s="729">
        <v>0</v>
      </c>
      <c r="H36" s="729">
        <v>0</v>
      </c>
      <c r="I36" s="729">
        <v>0</v>
      </c>
      <c r="J36" s="729">
        <v>0</v>
      </c>
      <c r="K36" s="729">
        <v>0</v>
      </c>
      <c r="L36" s="729">
        <v>0</v>
      </c>
      <c r="M36" s="729">
        <v>0</v>
      </c>
      <c r="N36" s="729">
        <v>0</v>
      </c>
      <c r="O36" s="729">
        <v>0</v>
      </c>
      <c r="P36" s="729">
        <v>0</v>
      </c>
    </row>
    <row r="37" spans="1:16" ht="4.5" customHeight="1" x14ac:dyDescent="0.2">
      <c r="A37" s="695"/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</row>
    <row r="38" spans="1:16" s="611" customFormat="1" ht="11.25" x14ac:dyDescent="0.2">
      <c r="A38" s="730" t="s">
        <v>76</v>
      </c>
      <c r="B38" s="731">
        <f>+B33+B36</f>
        <v>0</v>
      </c>
      <c r="C38" s="732">
        <f>+C33+C36</f>
        <v>0</v>
      </c>
      <c r="D38" s="731">
        <f>+D33+D36</f>
        <v>0</v>
      </c>
      <c r="E38" s="732">
        <f t="shared" ref="E38:P38" si="7">+E33+E36</f>
        <v>859</v>
      </c>
      <c r="F38" s="732">
        <f t="shared" si="7"/>
        <v>254.0019999999995</v>
      </c>
      <c r="G38" s="732">
        <f t="shared" si="7"/>
        <v>371.88500000000022</v>
      </c>
      <c r="H38" s="732">
        <f t="shared" si="7"/>
        <v>359.52699999999913</v>
      </c>
      <c r="I38" s="732">
        <f t="shared" si="7"/>
        <v>425.85499999999956</v>
      </c>
      <c r="J38" s="732">
        <f t="shared" si="7"/>
        <v>498.66800000000057</v>
      </c>
      <c r="K38" s="732">
        <f t="shared" si="7"/>
        <v>479.17213620000075</v>
      </c>
      <c r="L38" s="732">
        <f t="shared" si="7"/>
        <v>501.36530459699952</v>
      </c>
      <c r="M38" s="732">
        <f t="shared" si="7"/>
        <v>524.38278227148567</v>
      </c>
      <c r="N38" s="732">
        <f t="shared" si="7"/>
        <v>536.1844414651523</v>
      </c>
      <c r="O38" s="732">
        <f t="shared" si="7"/>
        <v>560.30568076898817</v>
      </c>
      <c r="P38" s="732">
        <f t="shared" si="7"/>
        <v>585.37017301543528</v>
      </c>
    </row>
    <row r="39" spans="1:16" ht="3.75" customHeight="1" x14ac:dyDescent="0.2">
      <c r="A39" s="695"/>
      <c r="B39" s="710"/>
      <c r="C39" s="710"/>
      <c r="D39" s="710"/>
      <c r="E39" s="710"/>
      <c r="F39" s="710"/>
      <c r="G39" s="710"/>
      <c r="H39" s="710"/>
      <c r="I39" s="710"/>
      <c r="J39" s="710"/>
      <c r="K39" s="710"/>
      <c r="L39" s="710"/>
      <c r="M39" s="710"/>
      <c r="N39" s="710"/>
      <c r="O39" s="710"/>
      <c r="P39" s="710"/>
    </row>
    <row r="40" spans="1:16" s="601" customFormat="1" ht="11.25" x14ac:dyDescent="0.2">
      <c r="A40" s="733" t="s">
        <v>77</v>
      </c>
      <c r="B40" s="715">
        <f>+B38</f>
        <v>0</v>
      </c>
      <c r="C40" s="734">
        <f>+C35+C38</f>
        <v>0</v>
      </c>
      <c r="D40" s="715">
        <f>+D38</f>
        <v>0</v>
      </c>
      <c r="E40" s="734">
        <f t="shared" ref="E40:P40" si="8">+E35+E38</f>
        <v>859</v>
      </c>
      <c r="F40" s="734">
        <f t="shared" si="8"/>
        <v>254.0019999999995</v>
      </c>
      <c r="G40" s="734">
        <f t="shared" si="8"/>
        <v>371.88500000000022</v>
      </c>
      <c r="H40" s="734">
        <f t="shared" si="8"/>
        <v>359.52699999999913</v>
      </c>
      <c r="I40" s="734">
        <f t="shared" si="8"/>
        <v>425.85499999999956</v>
      </c>
      <c r="J40" s="734">
        <f t="shared" si="8"/>
        <v>498.66800000000057</v>
      </c>
      <c r="K40" s="734">
        <f t="shared" si="8"/>
        <v>479.17213620000075</v>
      </c>
      <c r="L40" s="734">
        <f t="shared" si="8"/>
        <v>501.36530459699952</v>
      </c>
      <c r="M40" s="734">
        <f t="shared" si="8"/>
        <v>524.38278227148567</v>
      </c>
      <c r="N40" s="734">
        <f t="shared" si="8"/>
        <v>536.1844414651523</v>
      </c>
      <c r="O40" s="734">
        <f t="shared" si="8"/>
        <v>560.30568076898817</v>
      </c>
      <c r="P40" s="734">
        <f t="shared" si="8"/>
        <v>585.37017301543528</v>
      </c>
    </row>
    <row r="41" spans="1:16" s="601" customFormat="1" ht="10.5" customHeight="1" thickBot="1" x14ac:dyDescent="0.25">
      <c r="A41" s="739" t="s">
        <v>78</v>
      </c>
      <c r="B41" s="735">
        <v>0</v>
      </c>
      <c r="C41" s="735">
        <v>0</v>
      </c>
      <c r="D41" s="735">
        <v>0</v>
      </c>
      <c r="E41" s="735">
        <v>0</v>
      </c>
      <c r="F41" s="735"/>
      <c r="G41" s="735">
        <v>0</v>
      </c>
      <c r="H41" s="735">
        <v>0</v>
      </c>
      <c r="I41" s="735">
        <v>0</v>
      </c>
      <c r="J41" s="735">
        <v>0</v>
      </c>
      <c r="K41" s="735">
        <v>0</v>
      </c>
      <c r="L41" s="735">
        <v>0</v>
      </c>
      <c r="M41" s="735">
        <v>0</v>
      </c>
      <c r="N41" s="735">
        <v>0</v>
      </c>
      <c r="O41" s="735">
        <v>0</v>
      </c>
      <c r="P41" s="735">
        <v>0</v>
      </c>
    </row>
    <row r="42" spans="1:16" ht="3.75" customHeight="1" thickTop="1" x14ac:dyDescent="0.2">
      <c r="A42" s="726"/>
      <c r="B42" s="714"/>
      <c r="C42" s="714"/>
      <c r="D42" s="710"/>
      <c r="E42" s="710"/>
      <c r="F42" s="710"/>
      <c r="G42" s="710"/>
      <c r="H42" s="710"/>
      <c r="I42" s="710"/>
      <c r="J42" s="710"/>
      <c r="K42" s="710"/>
      <c r="L42" s="710"/>
      <c r="M42" s="710"/>
      <c r="N42" s="710"/>
      <c r="O42" s="710"/>
      <c r="P42" s="710"/>
    </row>
    <row r="43" spans="1:16" ht="31.5" customHeight="1" thickBot="1" x14ac:dyDescent="0.25">
      <c r="A43" s="705" t="s">
        <v>79</v>
      </c>
      <c r="B43" s="736">
        <f t="shared" ref="B43:P43" si="9">+B38-B16-B19</f>
        <v>0</v>
      </c>
      <c r="C43" s="736">
        <f t="shared" si="9"/>
        <v>0</v>
      </c>
      <c r="D43" s="736">
        <f t="shared" si="9"/>
        <v>0</v>
      </c>
      <c r="E43" s="736">
        <f t="shared" si="9"/>
        <v>762</v>
      </c>
      <c r="F43" s="736">
        <f t="shared" si="9"/>
        <v>204.0019999999995</v>
      </c>
      <c r="G43" s="736">
        <f t="shared" si="9"/>
        <v>321.88500000000022</v>
      </c>
      <c r="H43" s="736">
        <f t="shared" si="9"/>
        <v>309.52699999999913</v>
      </c>
      <c r="I43" s="736">
        <f t="shared" si="9"/>
        <v>375.85499999999956</v>
      </c>
      <c r="J43" s="736">
        <f t="shared" si="9"/>
        <v>448.66800000000057</v>
      </c>
      <c r="K43" s="736">
        <f t="shared" si="9"/>
        <v>428.17213620000075</v>
      </c>
      <c r="L43" s="736">
        <f t="shared" si="9"/>
        <v>450.36530459699952</v>
      </c>
      <c r="M43" s="736">
        <f t="shared" si="9"/>
        <v>472.36278227148568</v>
      </c>
      <c r="N43" s="736">
        <f t="shared" si="9"/>
        <v>483.12404146515229</v>
      </c>
      <c r="O43" s="736">
        <f t="shared" si="9"/>
        <v>507.24528076898815</v>
      </c>
      <c r="P43" s="736">
        <f t="shared" si="9"/>
        <v>532.30977301543533</v>
      </c>
    </row>
    <row r="44" spans="1:16" ht="4.5" customHeight="1" thickTop="1" x14ac:dyDescent="0.2">
      <c r="A44" s="705"/>
      <c r="B44" s="734"/>
      <c r="C44" s="734"/>
      <c r="D44" s="734"/>
      <c r="E44" s="734"/>
      <c r="F44" s="734"/>
      <c r="G44" s="734"/>
      <c r="H44" s="734"/>
      <c r="I44" s="734"/>
      <c r="J44" s="734"/>
      <c r="K44" s="734"/>
      <c r="L44" s="734"/>
      <c r="M44" s="734"/>
      <c r="N44" s="734"/>
      <c r="O44" s="734"/>
      <c r="P44" s="734"/>
    </row>
    <row r="45" spans="1:16" ht="11.25" x14ac:dyDescent="0.2">
      <c r="A45" s="730" t="s">
        <v>76</v>
      </c>
      <c r="B45" s="732">
        <f t="shared" ref="B45:P45" si="10">B38</f>
        <v>0</v>
      </c>
      <c r="C45" s="732">
        <f t="shared" si="10"/>
        <v>0</v>
      </c>
      <c r="D45" s="732">
        <f t="shared" si="10"/>
        <v>0</v>
      </c>
      <c r="E45" s="732">
        <f t="shared" si="10"/>
        <v>859</v>
      </c>
      <c r="F45" s="732">
        <f t="shared" si="10"/>
        <v>254.0019999999995</v>
      </c>
      <c r="G45" s="732">
        <f t="shared" si="10"/>
        <v>371.88500000000022</v>
      </c>
      <c r="H45" s="732">
        <f t="shared" si="10"/>
        <v>359.52699999999913</v>
      </c>
      <c r="I45" s="732">
        <f t="shared" si="10"/>
        <v>425.85499999999956</v>
      </c>
      <c r="J45" s="732">
        <f t="shared" si="10"/>
        <v>498.66800000000057</v>
      </c>
      <c r="K45" s="732">
        <f t="shared" si="10"/>
        <v>479.17213620000075</v>
      </c>
      <c r="L45" s="732">
        <f t="shared" si="10"/>
        <v>501.36530459699952</v>
      </c>
      <c r="M45" s="732">
        <f t="shared" si="10"/>
        <v>524.38278227148567</v>
      </c>
      <c r="N45" s="732">
        <f t="shared" si="10"/>
        <v>536.1844414651523</v>
      </c>
      <c r="O45" s="732">
        <f t="shared" si="10"/>
        <v>560.30568076898817</v>
      </c>
      <c r="P45" s="732">
        <f t="shared" si="10"/>
        <v>585.37017301543528</v>
      </c>
    </row>
    <row r="46" spans="1:16" ht="9.75" customHeight="1" x14ac:dyDescent="0.2">
      <c r="A46" s="737" t="s">
        <v>1015</v>
      </c>
      <c r="B46" s="734"/>
      <c r="C46" s="734"/>
      <c r="D46" s="734"/>
      <c r="E46" s="734"/>
      <c r="F46" s="734"/>
      <c r="G46" s="734"/>
      <c r="H46" s="734"/>
      <c r="I46" s="734"/>
      <c r="J46" s="734"/>
      <c r="K46" s="734"/>
      <c r="L46" s="734"/>
      <c r="M46" s="734"/>
      <c r="N46" s="734"/>
      <c r="O46" s="734"/>
      <c r="P46" s="734"/>
    </row>
    <row r="47" spans="1:16" ht="11.25" x14ac:dyDescent="0.2">
      <c r="A47" s="705" t="s">
        <v>1014</v>
      </c>
      <c r="B47" s="734"/>
      <c r="C47" s="734"/>
      <c r="D47" s="734">
        <v>-8350</v>
      </c>
      <c r="E47" s="734"/>
      <c r="F47" s="734"/>
      <c r="G47" s="734"/>
      <c r="H47" s="734"/>
      <c r="I47" s="734"/>
      <c r="J47" s="734"/>
      <c r="K47" s="734"/>
      <c r="L47" s="734"/>
      <c r="M47" s="734"/>
      <c r="N47" s="734"/>
      <c r="O47" s="734"/>
      <c r="P47" s="734"/>
    </row>
    <row r="48" spans="1:16" ht="1.5" customHeight="1" x14ac:dyDescent="0.2">
      <c r="A48" s="705"/>
      <c r="B48" s="734"/>
      <c r="C48" s="734"/>
      <c r="D48" s="734"/>
      <c r="E48" s="734"/>
      <c r="F48" s="734"/>
      <c r="G48" s="734"/>
      <c r="H48" s="734"/>
      <c r="I48" s="734"/>
      <c r="J48" s="734"/>
      <c r="K48" s="734"/>
      <c r="L48" s="734"/>
      <c r="M48" s="734"/>
      <c r="N48" s="734"/>
      <c r="O48" s="734"/>
      <c r="P48" s="734"/>
    </row>
    <row r="49" spans="1:17" ht="12" thickBot="1" x14ac:dyDescent="0.25">
      <c r="A49" s="705" t="s">
        <v>309</v>
      </c>
      <c r="B49" s="738">
        <f t="shared" ref="B49:P49" si="11">SUM(B45:B48)</f>
        <v>0</v>
      </c>
      <c r="C49" s="738">
        <f t="shared" si="11"/>
        <v>0</v>
      </c>
      <c r="D49" s="738">
        <f t="shared" si="11"/>
        <v>-8350</v>
      </c>
      <c r="E49" s="738">
        <f t="shared" si="11"/>
        <v>859</v>
      </c>
      <c r="F49" s="738">
        <f t="shared" si="11"/>
        <v>254.0019999999995</v>
      </c>
      <c r="G49" s="738">
        <f t="shared" si="11"/>
        <v>371.88500000000022</v>
      </c>
      <c r="H49" s="738">
        <f t="shared" si="11"/>
        <v>359.52699999999913</v>
      </c>
      <c r="I49" s="738">
        <f t="shared" si="11"/>
        <v>425.85499999999956</v>
      </c>
      <c r="J49" s="738">
        <f t="shared" si="11"/>
        <v>498.66800000000057</v>
      </c>
      <c r="K49" s="738">
        <f t="shared" si="11"/>
        <v>479.17213620000075</v>
      </c>
      <c r="L49" s="738">
        <f t="shared" si="11"/>
        <v>501.36530459699952</v>
      </c>
      <c r="M49" s="738">
        <f t="shared" si="11"/>
        <v>524.38278227148567</v>
      </c>
      <c r="N49" s="738">
        <f t="shared" si="11"/>
        <v>536.1844414651523</v>
      </c>
      <c r="O49" s="738">
        <f t="shared" si="11"/>
        <v>560.30568076898817</v>
      </c>
      <c r="P49" s="738">
        <f t="shared" si="11"/>
        <v>585.37017301543528</v>
      </c>
    </row>
    <row r="50" spans="1:17" ht="12" thickTop="1" x14ac:dyDescent="0.2">
      <c r="A50" s="616"/>
      <c r="B50" s="621"/>
      <c r="C50" s="621"/>
      <c r="D50" s="621"/>
      <c r="E50" s="621"/>
      <c r="F50" s="621"/>
      <c r="G50" s="621"/>
      <c r="H50" s="621"/>
      <c r="I50" s="621"/>
      <c r="J50" s="621"/>
      <c r="K50" s="621"/>
      <c r="L50" s="621"/>
      <c r="M50" s="621"/>
      <c r="N50" s="621"/>
      <c r="O50" s="621"/>
      <c r="P50" s="621"/>
    </row>
    <row r="51" spans="1:17" ht="11.25" hidden="1" outlineLevel="1" x14ac:dyDescent="0.2">
      <c r="A51" s="604" t="s">
        <v>1081</v>
      </c>
      <c r="B51" s="621"/>
      <c r="C51" s="621"/>
      <c r="D51" s="621"/>
      <c r="E51" s="622"/>
      <c r="F51" s="811">
        <f>'OLD Capital Budget - NO SRV'!D127/1000-F53</f>
        <v>3305</v>
      </c>
      <c r="G51" s="811">
        <f>'OLD Capital Budget - NO SRV'!F127/1000-G53</f>
        <v>2255</v>
      </c>
      <c r="H51" s="811">
        <f>'OLD Capital Budget - NO SRV'!G127/1000-H53</f>
        <v>1315</v>
      </c>
      <c r="I51" s="811">
        <f>'OLD Capital Budget - NO SRV'!H127/1000-I53</f>
        <v>1135</v>
      </c>
      <c r="J51" s="811">
        <f>'OLD Capital Budget - NO SRV'!I127/1000-J53</f>
        <v>1135</v>
      </c>
      <c r="K51" s="811">
        <f>J51*(1+'LTFP Assumptions'!$J$13)</f>
        <v>1157.7</v>
      </c>
      <c r="L51" s="811">
        <f>K51*(1+'LTFP Assumptions'!$J$13)</f>
        <v>1180.854</v>
      </c>
      <c r="M51" s="811">
        <f>L51*(1+'LTFP Assumptions'!$J$13)</f>
        <v>1204.47108</v>
      </c>
      <c r="N51" s="811">
        <f>M51*(1+'LTFP Assumptions'!$J$13)</f>
        <v>1228.5605016</v>
      </c>
      <c r="O51" s="811">
        <f>N51*(1+'LTFP Assumptions'!$J$13)</f>
        <v>1253.1317116319999</v>
      </c>
      <c r="P51" s="811">
        <f>O51*(1+'LTFP Assumptions'!$J$13)</f>
        <v>1278.1943458646399</v>
      </c>
      <c r="Q51" s="599" t="s">
        <v>32</v>
      </c>
    </row>
    <row r="52" spans="1:17" ht="11.25" hidden="1" outlineLevel="1" x14ac:dyDescent="0.2">
      <c r="A52" s="604"/>
      <c r="B52" s="621"/>
      <c r="C52" s="621"/>
      <c r="D52" s="621"/>
      <c r="E52" s="622"/>
      <c r="F52" s="811"/>
      <c r="G52" s="811"/>
      <c r="H52" s="811"/>
      <c r="I52" s="811"/>
      <c r="J52" s="811"/>
      <c r="K52" s="811">
        <f>J52*(1+'LTFP Assumptions'!$J$13)</f>
        <v>0</v>
      </c>
      <c r="L52" s="811">
        <f>K52*(1+'LTFP Assumptions'!$J$13)</f>
        <v>0</v>
      </c>
      <c r="M52" s="811">
        <f>L52*(1+'LTFP Assumptions'!$J$13)</f>
        <v>0</v>
      </c>
      <c r="N52" s="811">
        <f>M52*(1+'LTFP Assumptions'!$J$13)</f>
        <v>0</v>
      </c>
      <c r="O52" s="811">
        <f>N52*(1+'LTFP Assumptions'!$J$13)</f>
        <v>0</v>
      </c>
      <c r="P52" s="811">
        <f>O52*(1+'LTFP Assumptions'!$J$13)</f>
        <v>0</v>
      </c>
    </row>
    <row r="53" spans="1:17" ht="11.25" hidden="1" outlineLevel="1" x14ac:dyDescent="0.2">
      <c r="A53" s="604" t="s">
        <v>1082</v>
      </c>
      <c r="B53" s="621"/>
      <c r="C53" s="621"/>
      <c r="D53" s="621"/>
      <c r="E53" s="622"/>
      <c r="F53" s="622"/>
      <c r="G53" s="622"/>
      <c r="H53" s="622"/>
      <c r="I53" s="622"/>
      <c r="J53" s="622"/>
      <c r="K53" s="811">
        <f>J53*(1+'LTFP Assumptions'!$J$13)</f>
        <v>0</v>
      </c>
      <c r="L53" s="811">
        <f>K53*(1+'LTFP Assumptions'!$J$13)</f>
        <v>0</v>
      </c>
      <c r="M53" s="811">
        <f>L53*(1+'LTFP Assumptions'!$J$13)</f>
        <v>0</v>
      </c>
      <c r="N53" s="811">
        <f>M53*(1+'LTFP Assumptions'!$J$13)</f>
        <v>0</v>
      </c>
      <c r="O53" s="811">
        <f>N53*(1+'LTFP Assumptions'!$J$13)</f>
        <v>0</v>
      </c>
      <c r="P53" s="811">
        <f>O53*(1+'LTFP Assumptions'!$J$13)</f>
        <v>0</v>
      </c>
      <c r="Q53" s="599" t="s">
        <v>32</v>
      </c>
    </row>
    <row r="54" spans="1:17" ht="11.25" hidden="1" outlineLevel="1" x14ac:dyDescent="0.2">
      <c r="A54" s="604" t="s">
        <v>1083</v>
      </c>
      <c r="B54" s="621"/>
      <c r="C54" s="621"/>
      <c r="D54" s="621"/>
      <c r="E54" s="622"/>
      <c r="F54" s="811">
        <f>'OLD Capital Budget - NO SRV'!D128/1000</f>
        <v>257.05099999999999</v>
      </c>
      <c r="G54" s="811">
        <f>'OLD Capital Budget - NO SRV'!F128/1000</f>
        <v>273.84699999999998</v>
      </c>
      <c r="H54" s="811">
        <f>'OLD Capital Budget - NO SRV'!G128/1000</f>
        <v>291.74400000000003</v>
      </c>
      <c r="I54" s="811">
        <f>'OLD Capital Budget - NO SRV'!H128/1000</f>
        <v>310.113</v>
      </c>
      <c r="J54" s="811">
        <f>'OLD Capital Budget - NO SRV'!I128/1000</f>
        <v>331.38900000000001</v>
      </c>
      <c r="K54" s="811">
        <v>338.01678000000004</v>
      </c>
      <c r="L54" s="811">
        <v>344.77711560000006</v>
      </c>
      <c r="M54" s="811">
        <f>351.672657912-28</f>
        <v>323.67265791199998</v>
      </c>
      <c r="N54" s="811"/>
      <c r="O54" s="811"/>
      <c r="P54" s="811"/>
    </row>
    <row r="55" spans="1:17" ht="11.25" hidden="1" outlineLevel="1" x14ac:dyDescent="0.2">
      <c r="A55" s="604" t="s">
        <v>1089</v>
      </c>
      <c r="B55" s="621"/>
      <c r="C55" s="621"/>
      <c r="D55" s="621"/>
      <c r="E55" s="622"/>
      <c r="F55" s="811">
        <f>'OLD Capital Budget - NO SRV'!D129/1000</f>
        <v>50</v>
      </c>
      <c r="G55" s="811">
        <f>'OLD Capital Budget - NO SRV'!F129/1000</f>
        <v>50</v>
      </c>
      <c r="H55" s="811">
        <f>'OLD Capital Budget - NO SRV'!G129/1000</f>
        <v>50</v>
      </c>
      <c r="I55" s="811">
        <f>'OLD Capital Budget - NO SRV'!H129/1000</f>
        <v>290.86</v>
      </c>
      <c r="J55" s="811">
        <f>'OLD Capital Budget - NO SRV'!I129/1000</f>
        <v>371.15</v>
      </c>
      <c r="K55" s="707">
        <f>J55*(1+'LTFP Assumptions'!$H$13)</f>
        <v>378.57299999999998</v>
      </c>
      <c r="L55" s="707">
        <f>K55*(1+'LTFP Assumptions'!$H$13)</f>
        <v>386.14445999999998</v>
      </c>
      <c r="M55" s="707">
        <f>L55*(1+'LTFP Assumptions'!$H$13)</f>
        <v>393.86734919999998</v>
      </c>
      <c r="N55" s="707">
        <f>M55*(1+'LTFP Assumptions'!$H$13)</f>
        <v>401.74469618399996</v>
      </c>
      <c r="O55" s="707">
        <f>N55*(1+'LTFP Assumptions'!$H$13)</f>
        <v>409.77959010767995</v>
      </c>
      <c r="P55" s="707">
        <f>O55*(1+'LTFP Assumptions'!$H$13)</f>
        <v>417.97518190983357</v>
      </c>
    </row>
    <row r="56" spans="1:17" ht="11.25" hidden="1" outlineLevel="1" x14ac:dyDescent="0.2">
      <c r="A56" s="604"/>
      <c r="B56" s="621"/>
      <c r="C56" s="621"/>
      <c r="D56" s="771">
        <f>SUM(D51:D55)</f>
        <v>0</v>
      </c>
      <c r="E56" s="771">
        <f t="shared" ref="E56" si="12">SUM(E51:E54)</f>
        <v>0</v>
      </c>
      <c r="F56" s="771">
        <f t="shared" ref="F56" si="13">SUM(F51:F55)</f>
        <v>3612.0509999999999</v>
      </c>
      <c r="G56" s="771">
        <f t="shared" ref="G56:P56" si="14">SUM(G51:G55)</f>
        <v>2578.8469999999998</v>
      </c>
      <c r="H56" s="771">
        <f t="shared" ref="H56:J56" si="15">SUM(H51:H55)</f>
        <v>1656.7440000000001</v>
      </c>
      <c r="I56" s="771">
        <f t="shared" si="15"/>
        <v>1735.973</v>
      </c>
      <c r="J56" s="771">
        <f t="shared" si="15"/>
        <v>1837.5390000000002</v>
      </c>
      <c r="K56" s="771">
        <f t="shared" si="14"/>
        <v>1874.2897800000001</v>
      </c>
      <c r="L56" s="771">
        <f t="shared" si="14"/>
        <v>1911.7755756000001</v>
      </c>
      <c r="M56" s="771">
        <f t="shared" si="14"/>
        <v>1922.011087112</v>
      </c>
      <c r="N56" s="771">
        <f t="shared" si="14"/>
        <v>1630.305197784</v>
      </c>
      <c r="O56" s="771">
        <f t="shared" si="14"/>
        <v>1662.9113017396799</v>
      </c>
      <c r="P56" s="771">
        <f t="shared" si="14"/>
        <v>1696.1695277744734</v>
      </c>
    </row>
    <row r="57" spans="1:17" s="608" customFormat="1" ht="11.25" hidden="1" outlineLevel="1" x14ac:dyDescent="0.2">
      <c r="A57" s="623" t="s">
        <v>1084</v>
      </c>
      <c r="B57" s="621"/>
      <c r="C57" s="621"/>
      <c r="D57" s="621"/>
      <c r="E57" s="621"/>
      <c r="F57" s="621"/>
      <c r="G57" s="621"/>
      <c r="H57" s="621"/>
      <c r="I57" s="621"/>
      <c r="J57" s="621"/>
      <c r="K57" s="621"/>
      <c r="L57" s="621"/>
      <c r="M57" s="621"/>
      <c r="N57" s="621"/>
      <c r="O57" s="621"/>
      <c r="P57" s="621"/>
    </row>
    <row r="58" spans="1:17" ht="11.25" hidden="1" outlineLevel="1" x14ac:dyDescent="0.2">
      <c r="A58" s="604" t="s">
        <v>931</v>
      </c>
      <c r="B58" s="621"/>
      <c r="C58" s="621"/>
      <c r="D58" s="621"/>
      <c r="E58" s="621"/>
      <c r="F58" s="622">
        <f>-'OLD Capital Budget - NO SRV'!D117/1000</f>
        <v>204.00200000000001</v>
      </c>
      <c r="G58" s="622">
        <f>-'OLD Capital Budget - NO SRV'!F117/1000</f>
        <v>321.88499999999999</v>
      </c>
      <c r="H58" s="622">
        <f>-'OLD Capital Budget - NO SRV'!G117/1000</f>
        <v>309.52699999999999</v>
      </c>
      <c r="I58" s="622">
        <f>-'OLD Capital Budget - NO SRV'!H117/1000</f>
        <v>375.85500000000002</v>
      </c>
      <c r="J58" s="622">
        <f>-'OLD Capital Budget - NO SRV'!I117/1000</f>
        <v>448.66800000000001</v>
      </c>
      <c r="K58" s="622">
        <f>K33</f>
        <v>479.17213620000075</v>
      </c>
      <c r="L58" s="622">
        <f t="shared" ref="L58:P58" si="16">L33</f>
        <v>501.36530459699952</v>
      </c>
      <c r="M58" s="622">
        <f t="shared" si="16"/>
        <v>524.38278227148567</v>
      </c>
      <c r="N58" s="622">
        <f t="shared" si="16"/>
        <v>536.1844414651523</v>
      </c>
      <c r="O58" s="622">
        <f t="shared" si="16"/>
        <v>560.30568076898817</v>
      </c>
      <c r="P58" s="622">
        <f t="shared" si="16"/>
        <v>585.37017301543528</v>
      </c>
    </row>
    <row r="59" spans="1:17" ht="11.25" hidden="1" outlineLevel="1" x14ac:dyDescent="0.2">
      <c r="A59" s="604" t="s">
        <v>244</v>
      </c>
      <c r="B59" s="621"/>
      <c r="C59" s="621"/>
      <c r="D59" s="621"/>
      <c r="E59" s="621"/>
      <c r="F59" s="622">
        <f>-'OLD Capital Budget - NO SRV'!D118/1000</f>
        <v>50</v>
      </c>
      <c r="G59" s="622">
        <f>-'OLD Capital Budget - NO SRV'!F118/1000</f>
        <v>50</v>
      </c>
      <c r="H59" s="622">
        <f>-'OLD Capital Budget - NO SRV'!G118/1000</f>
        <v>50</v>
      </c>
      <c r="I59" s="622">
        <f>-'OLD Capital Budget - NO SRV'!H118/1000</f>
        <v>50</v>
      </c>
      <c r="J59" s="622">
        <f>-'OLD Capital Budget - NO SRV'!I118/1000</f>
        <v>50</v>
      </c>
      <c r="K59" s="622">
        <f>J59*(1+'LTFP Assumptions'!H12)</f>
        <v>51</v>
      </c>
      <c r="L59" s="622">
        <f>K59*(1+'LTFP Assumptions'!I12)</f>
        <v>51</v>
      </c>
      <c r="M59" s="622">
        <f>L59*(1+'LTFP Assumptions'!J12)</f>
        <v>52.02</v>
      </c>
      <c r="N59" s="622">
        <f>M59*(1+'LTFP Assumptions'!K12)</f>
        <v>53.060400000000001</v>
      </c>
      <c r="O59" s="622">
        <f>N59*(1+'LTFP Assumptions'!L12)</f>
        <v>53.060400000000001</v>
      </c>
      <c r="P59" s="622">
        <f>O59*(1+'LTFP Assumptions'!M12)</f>
        <v>53.060400000000001</v>
      </c>
    </row>
    <row r="60" spans="1:17" ht="11.25" hidden="1" outlineLevel="1" x14ac:dyDescent="0.2">
      <c r="A60" s="604" t="s">
        <v>1085</v>
      </c>
      <c r="B60" s="621"/>
      <c r="C60" s="621"/>
      <c r="D60" s="621"/>
      <c r="E60" s="621"/>
      <c r="F60" s="622">
        <f>-'OLD Capital Budget - NO SRV'!D119/1000</f>
        <v>0</v>
      </c>
      <c r="G60" s="622">
        <f>-'OLD Capital Budget - NO SRV'!F119/1000</f>
        <v>0</v>
      </c>
      <c r="H60" s="622">
        <f>-'OLD Capital Budget - NO SRV'!G119/1000</f>
        <v>0</v>
      </c>
      <c r="I60" s="622">
        <f>-'OLD Capital Budget - NO SRV'!H119/1000</f>
        <v>0</v>
      </c>
      <c r="J60" s="622">
        <f>-'OLD Capital Budget - NO SRV'!I119/1000</f>
        <v>0</v>
      </c>
      <c r="K60" s="622">
        <f>-'OLD Capital Budget - NO SRV'!J84</f>
        <v>0</v>
      </c>
      <c r="L60" s="622">
        <f>-'OLD Capital Budget - NO SRV'!K84</f>
        <v>0</v>
      </c>
      <c r="M60" s="622">
        <f>-'OLD Capital Budget - NO SRV'!L84</f>
        <v>0</v>
      </c>
      <c r="N60" s="622">
        <f>-'OLD Capital Budget - NO SRV'!M84</f>
        <v>0</v>
      </c>
      <c r="O60" s="622">
        <f>-'OLD Capital Budget - NO SRV'!N84</f>
        <v>0</v>
      </c>
      <c r="P60" s="622">
        <f>-'OLD Capital Budget - NO SRV'!O84</f>
        <v>0</v>
      </c>
    </row>
    <row r="61" spans="1:17" ht="11.25" hidden="1" outlineLevel="1" x14ac:dyDescent="0.2">
      <c r="A61" s="604" t="s">
        <v>1086</v>
      </c>
      <c r="B61" s="621"/>
      <c r="C61" s="621"/>
      <c r="D61" s="621"/>
      <c r="E61" s="621"/>
      <c r="F61" s="622"/>
      <c r="G61" s="622"/>
      <c r="H61" s="622"/>
      <c r="I61" s="622"/>
      <c r="J61" s="622"/>
      <c r="K61" s="622">
        <f>-'OLD Capital Budget - NO SRV'!J85</f>
        <v>0</v>
      </c>
      <c r="L61" s="622">
        <f>-'OLD Capital Budget - NO SRV'!K85</f>
        <v>0</v>
      </c>
      <c r="M61" s="622">
        <f>-'OLD Capital Budget - NO SRV'!L85</f>
        <v>0</v>
      </c>
      <c r="N61" s="622">
        <f>-'OLD Capital Budget - NO SRV'!M85</f>
        <v>0</v>
      </c>
      <c r="O61" s="622">
        <f>-'OLD Capital Budget - NO SRV'!N85</f>
        <v>0</v>
      </c>
      <c r="P61" s="622">
        <f>-'OLD Capital Budget - NO SRV'!O85</f>
        <v>0</v>
      </c>
    </row>
    <row r="62" spans="1:17" ht="11.25" hidden="1" outlineLevel="1" x14ac:dyDescent="0.2">
      <c r="A62" s="604" t="s">
        <v>33</v>
      </c>
      <c r="B62" s="621">
        <f>+B27</f>
        <v>0</v>
      </c>
      <c r="C62" s="621">
        <f>C27</f>
        <v>0</v>
      </c>
      <c r="D62" s="621">
        <f>D27</f>
        <v>0</v>
      </c>
      <c r="E62" s="621">
        <f>E27</f>
        <v>1482</v>
      </c>
      <c r="F62" s="622">
        <f>-'OLD Capital Budget - NO SRV'!D120/1000</f>
        <v>1501.2719999999999</v>
      </c>
      <c r="G62" s="622">
        <f>-'OLD Capital Budget - NO SRV'!F120/1000</f>
        <v>1254.7</v>
      </c>
      <c r="H62" s="622">
        <f>-'OLD Capital Budget - NO SRV'!G120/1000</f>
        <v>1282.067</v>
      </c>
      <c r="I62" s="622">
        <f>-'OLD Capital Budget - NO SRV'!H120/1000</f>
        <v>1310.1179999999999</v>
      </c>
      <c r="J62" s="622">
        <f>-'OLD Capital Budget - NO SRV'!I120/1000</f>
        <v>1338.8710000000001</v>
      </c>
      <c r="K62" s="622">
        <f>K27</f>
        <v>1675.5859499999999</v>
      </c>
      <c r="L62" s="622">
        <f t="shared" ref="L62:P62" si="17">L27</f>
        <v>1717.4755987499998</v>
      </c>
      <c r="M62" s="622">
        <f t="shared" si="17"/>
        <v>1760.4124887187497</v>
      </c>
      <c r="N62" s="622">
        <f t="shared" si="17"/>
        <v>1804.4228009367182</v>
      </c>
      <c r="O62" s="622">
        <f t="shared" si="17"/>
        <v>1849.5333709601359</v>
      </c>
      <c r="P62" s="622">
        <f t="shared" si="17"/>
        <v>1895.7717052341391</v>
      </c>
    </row>
    <row r="63" spans="1:17" ht="11.25" hidden="1" outlineLevel="1" x14ac:dyDescent="0.2">
      <c r="A63" s="604" t="s">
        <v>22</v>
      </c>
      <c r="B63" s="621"/>
      <c r="C63" s="621"/>
      <c r="D63" s="621"/>
      <c r="E63" s="621"/>
      <c r="F63" s="622">
        <f>-'OLD Capital Budget - NO SRV'!D122/1000</f>
        <v>1856.777</v>
      </c>
      <c r="G63" s="622">
        <f>-'OLD Capital Budget - NO SRV'!F122/1000</f>
        <v>952.26199999999994</v>
      </c>
      <c r="H63" s="622">
        <f>-'OLD Capital Budget - NO SRV'!G122/1000</f>
        <v>15.14</v>
      </c>
      <c r="I63" s="622">
        <f>-'OLD Capital Budget - NO SRV'!H122/1000</f>
        <v>0</v>
      </c>
      <c r="J63" s="622">
        <f>-'OLD Capital Budget - NO SRV'!I122/1000</f>
        <v>0</v>
      </c>
      <c r="K63" s="622">
        <f>-'OLD Capital Budget - NO SRV'!J122/1000</f>
        <v>0</v>
      </c>
      <c r="L63" s="622">
        <f>-'OLD Capital Budget - NO SRV'!K122/1000</f>
        <v>0</v>
      </c>
      <c r="M63" s="622">
        <f>-'OLD Capital Budget - NO SRV'!L122/1000</f>
        <v>0</v>
      </c>
      <c r="N63" s="622">
        <f>-'OLD Capital Budget - NO SRV'!M122/1000</f>
        <v>0</v>
      </c>
      <c r="O63" s="622">
        <f>-'OLD Capital Budget - NO SRV'!N122/1000</f>
        <v>0</v>
      </c>
      <c r="P63" s="622">
        <f>-'OLD Capital Budget - NO SRV'!O122/1000</f>
        <v>0</v>
      </c>
    </row>
    <row r="64" spans="1:17" ht="11.25" hidden="1" outlineLevel="1" x14ac:dyDescent="0.2">
      <c r="A64" s="604" t="s">
        <v>1087</v>
      </c>
      <c r="B64" s="621"/>
      <c r="C64" s="621"/>
      <c r="D64" s="621"/>
      <c r="E64" s="621"/>
      <c r="F64" s="622">
        <f>-'OLD Capital Budget - NO SRV'!D121/1000</f>
        <v>0</v>
      </c>
      <c r="G64" s="622">
        <f>-'OLD Capital Budget - NO SRV'!F121/1000</f>
        <v>0</v>
      </c>
      <c r="H64" s="622">
        <f>-'OLD Capital Budget - NO SRV'!G121/1000</f>
        <v>0</v>
      </c>
      <c r="I64" s="622">
        <f>-'OLD Capital Budget - NO SRV'!H121/1000</f>
        <v>0</v>
      </c>
      <c r="J64" s="622">
        <f>-'OLD Capital Budget - NO SRV'!I121/1000</f>
        <v>0</v>
      </c>
      <c r="K64" s="622">
        <f>-'OLD Capital Budget - NO SRV'!J121/1000</f>
        <v>0</v>
      </c>
      <c r="L64" s="622">
        <f>-'OLD Capital Budget - NO SRV'!K121/1000</f>
        <v>0</v>
      </c>
      <c r="M64" s="622">
        <f>-'OLD Capital Budget - NO SRV'!L121/1000</f>
        <v>0</v>
      </c>
      <c r="N64" s="622">
        <f>-'OLD Capital Budget - NO SRV'!M121/1000</f>
        <v>0</v>
      </c>
      <c r="O64" s="622">
        <f>-'OLD Capital Budget - NO SRV'!N121/1000</f>
        <v>0</v>
      </c>
      <c r="P64" s="622">
        <f>-'OLD Capital Budget - NO SRV'!O121/1000</f>
        <v>0</v>
      </c>
    </row>
    <row r="65" spans="1:16" ht="11.25" hidden="1" outlineLevel="1" x14ac:dyDescent="0.2">
      <c r="A65" s="604" t="s">
        <v>1088</v>
      </c>
      <c r="B65" s="621"/>
      <c r="C65" s="621"/>
      <c r="D65" s="621"/>
      <c r="E65" s="621"/>
      <c r="F65" s="622">
        <f>-'OLD Capital Budget - NO SRV'!D123/1000</f>
        <v>0</v>
      </c>
      <c r="G65" s="622">
        <f>-'OLD Capital Budget - NO SRV'!F123/1000</f>
        <v>0</v>
      </c>
      <c r="H65" s="622">
        <f>-'OLD Capital Budget - NO SRV'!G123/1000</f>
        <v>0</v>
      </c>
      <c r="I65" s="622">
        <f>-'OLD Capital Budget - NO SRV'!H123/1000</f>
        <v>0</v>
      </c>
      <c r="J65" s="622">
        <f>-'OLD Capital Budget - NO SRV'!I123/1000</f>
        <v>0</v>
      </c>
      <c r="K65" s="622">
        <f>-'OLD Capital Budget - NO SRV'!J89</f>
        <v>0</v>
      </c>
      <c r="L65" s="622">
        <f>-'OLD Capital Budget - NO SRV'!K89</f>
        <v>0</v>
      </c>
      <c r="M65" s="622">
        <f>-'OLD Capital Budget - NO SRV'!L89</f>
        <v>0</v>
      </c>
      <c r="N65" s="622">
        <f>-'OLD Capital Budget - NO SRV'!M89</f>
        <v>0</v>
      </c>
      <c r="O65" s="622">
        <f>-'OLD Capital Budget - NO SRV'!N89</f>
        <v>0</v>
      </c>
      <c r="P65" s="622">
        <f>-'OLD Capital Budget - NO SRV'!O89</f>
        <v>0</v>
      </c>
    </row>
    <row r="66" spans="1:16" ht="11.25" hidden="1" outlineLevel="1" x14ac:dyDescent="0.2">
      <c r="A66" s="604"/>
      <c r="B66" s="621"/>
      <c r="C66" s="621"/>
      <c r="D66" s="771">
        <f>SUM(D58:D65)</f>
        <v>0</v>
      </c>
      <c r="E66" s="771">
        <f>SUM(E58:E65)</f>
        <v>1482</v>
      </c>
      <c r="F66" s="771">
        <f>SUM(F58:F65)</f>
        <v>3612.0509999999999</v>
      </c>
      <c r="G66" s="771">
        <f t="shared" ref="G66:P66" si="18">SUM(G58:G65)</f>
        <v>2578.8469999999998</v>
      </c>
      <c r="H66" s="771">
        <f t="shared" si="18"/>
        <v>1656.7340000000002</v>
      </c>
      <c r="I66" s="771">
        <f t="shared" si="18"/>
        <v>1735.973</v>
      </c>
      <c r="J66" s="771">
        <f t="shared" si="18"/>
        <v>1837.5390000000002</v>
      </c>
      <c r="K66" s="771">
        <f t="shared" si="18"/>
        <v>2205.7580862000004</v>
      </c>
      <c r="L66" s="771">
        <f t="shared" si="18"/>
        <v>2269.8409033469993</v>
      </c>
      <c r="M66" s="771">
        <f t="shared" si="18"/>
        <v>2336.8152709902351</v>
      </c>
      <c r="N66" s="771">
        <f t="shared" si="18"/>
        <v>2393.6676424018706</v>
      </c>
      <c r="O66" s="771">
        <f t="shared" si="18"/>
        <v>2462.8994517291239</v>
      </c>
      <c r="P66" s="771">
        <f t="shared" si="18"/>
        <v>2534.2022782495742</v>
      </c>
    </row>
    <row r="67" spans="1:16" ht="11.25" hidden="1" outlineLevel="1" x14ac:dyDescent="0.2">
      <c r="A67" s="599"/>
      <c r="B67" s="621"/>
      <c r="C67" s="621"/>
      <c r="D67" s="622"/>
      <c r="E67" s="622"/>
      <c r="F67" s="622"/>
      <c r="G67" s="622"/>
      <c r="H67" s="622"/>
      <c r="I67" s="622"/>
      <c r="J67" s="624"/>
      <c r="K67" s="624"/>
      <c r="L67" s="624"/>
      <c r="M67" s="624"/>
      <c r="N67" s="624"/>
      <c r="O67" s="624"/>
      <c r="P67" s="624"/>
    </row>
    <row r="68" spans="1:16" ht="11.25" hidden="1" outlineLevel="1" x14ac:dyDescent="0.2">
      <c r="A68" s="604"/>
      <c r="B68" s="621"/>
      <c r="C68" s="621"/>
      <c r="D68" s="621"/>
      <c r="E68" s="621"/>
      <c r="F68" s="621"/>
      <c r="G68" s="621"/>
      <c r="H68" s="621"/>
      <c r="I68" s="621"/>
      <c r="J68" s="621"/>
      <c r="K68" s="621"/>
      <c r="L68" s="621"/>
      <c r="M68" s="621"/>
      <c r="N68" s="621"/>
      <c r="O68" s="621"/>
      <c r="P68" s="621"/>
    </row>
    <row r="69" spans="1:16" ht="11.25" hidden="1" outlineLevel="1" x14ac:dyDescent="0.2">
      <c r="A69" s="604" t="s">
        <v>34</v>
      </c>
      <c r="B69" s="621">
        <f>+B38+SUM(B51:B68)</f>
        <v>0</v>
      </c>
      <c r="C69" s="621">
        <f>+C38+SUM(C51:C68)</f>
        <v>0</v>
      </c>
      <c r="D69" s="625">
        <f>D66-D56</f>
        <v>0</v>
      </c>
      <c r="E69" s="625">
        <f t="shared" ref="E69:P69" si="19">E66-E56</f>
        <v>1482</v>
      </c>
      <c r="F69" s="625">
        <f t="shared" si="19"/>
        <v>0</v>
      </c>
      <c r="G69" s="625">
        <f t="shared" si="19"/>
        <v>0</v>
      </c>
      <c r="H69" s="625">
        <f t="shared" si="19"/>
        <v>-9.9999999999909051E-3</v>
      </c>
      <c r="I69" s="625">
        <f t="shared" si="19"/>
        <v>0</v>
      </c>
      <c r="J69" s="625">
        <f t="shared" si="19"/>
        <v>0</v>
      </c>
      <c r="K69" s="625">
        <f t="shared" si="19"/>
        <v>331.46830620000037</v>
      </c>
      <c r="L69" s="625">
        <f t="shared" si="19"/>
        <v>358.06532774699917</v>
      </c>
      <c r="M69" s="625">
        <f t="shared" si="19"/>
        <v>414.80418387823511</v>
      </c>
      <c r="N69" s="625">
        <f t="shared" si="19"/>
        <v>763.36244461787055</v>
      </c>
      <c r="O69" s="625">
        <f t="shared" si="19"/>
        <v>799.98814998944408</v>
      </c>
      <c r="P69" s="625">
        <f t="shared" si="19"/>
        <v>838.03275047510078</v>
      </c>
    </row>
    <row r="70" spans="1:16" ht="11.25" hidden="1" outlineLevel="1" x14ac:dyDescent="0.2">
      <c r="A70" s="600" t="s">
        <v>451</v>
      </c>
      <c r="C70" s="606">
        <f>B71</f>
        <v>0</v>
      </c>
      <c r="D70" s="606">
        <f t="shared" ref="D70:P70" si="20">C71</f>
        <v>0</v>
      </c>
      <c r="E70" s="606">
        <f t="shared" si="20"/>
        <v>0</v>
      </c>
      <c r="F70" s="606">
        <v>0</v>
      </c>
      <c r="G70" s="606">
        <f t="shared" si="20"/>
        <v>0</v>
      </c>
      <c r="H70" s="606">
        <f t="shared" si="20"/>
        <v>0</v>
      </c>
      <c r="I70" s="606">
        <f t="shared" si="20"/>
        <v>-9.9999999999909051E-3</v>
      </c>
      <c r="J70" s="606">
        <f t="shared" si="20"/>
        <v>-9.9999999999909051E-3</v>
      </c>
      <c r="K70" s="606">
        <f t="shared" si="20"/>
        <v>-9.9999999999909051E-3</v>
      </c>
      <c r="L70" s="606">
        <f t="shared" si="20"/>
        <v>331.45830620000038</v>
      </c>
      <c r="M70" s="606">
        <f t="shared" si="20"/>
        <v>689.52363394699955</v>
      </c>
      <c r="N70" s="606">
        <f t="shared" si="20"/>
        <v>1104.3278178252347</v>
      </c>
      <c r="O70" s="606">
        <f t="shared" si="20"/>
        <v>1867.6902624431052</v>
      </c>
      <c r="P70" s="606">
        <f t="shared" si="20"/>
        <v>2667.6784124325495</v>
      </c>
    </row>
    <row r="71" spans="1:16" ht="11.25" hidden="1" outlineLevel="1" x14ac:dyDescent="0.2">
      <c r="A71" s="620" t="s">
        <v>452</v>
      </c>
      <c r="B71" s="626"/>
      <c r="C71" s="627">
        <f>SUM(C69:C70)</f>
        <v>0</v>
      </c>
      <c r="D71" s="627">
        <f t="shared" ref="D71:P71" si="21">SUM(D69:D70)</f>
        <v>0</v>
      </c>
      <c r="E71" s="627">
        <f t="shared" si="21"/>
        <v>1482</v>
      </c>
      <c r="F71" s="627">
        <f t="shared" si="21"/>
        <v>0</v>
      </c>
      <c r="G71" s="627">
        <f t="shared" si="21"/>
        <v>0</v>
      </c>
      <c r="H71" s="627">
        <f t="shared" si="21"/>
        <v>-9.9999999999909051E-3</v>
      </c>
      <c r="I71" s="627">
        <f t="shared" si="21"/>
        <v>-9.9999999999909051E-3</v>
      </c>
      <c r="J71" s="627">
        <f t="shared" si="21"/>
        <v>-9.9999999999909051E-3</v>
      </c>
      <c r="K71" s="627">
        <f t="shared" si="21"/>
        <v>331.45830620000038</v>
      </c>
      <c r="L71" s="627">
        <f t="shared" si="21"/>
        <v>689.52363394699955</v>
      </c>
      <c r="M71" s="627">
        <f t="shared" si="21"/>
        <v>1104.3278178252347</v>
      </c>
      <c r="N71" s="627">
        <f t="shared" si="21"/>
        <v>1867.6902624431052</v>
      </c>
      <c r="O71" s="627">
        <f t="shared" si="21"/>
        <v>2667.6784124325495</v>
      </c>
      <c r="P71" s="627">
        <f t="shared" si="21"/>
        <v>3505.7111629076503</v>
      </c>
    </row>
    <row r="72" spans="1:16" ht="11.25" collapsed="1" x14ac:dyDescent="0.2">
      <c r="A72" s="620"/>
      <c r="B72" s="626"/>
      <c r="C72" s="627"/>
      <c r="D72" s="627"/>
      <c r="E72" s="627"/>
      <c r="F72" s="627"/>
      <c r="G72" s="627"/>
      <c r="H72" s="627"/>
      <c r="I72" s="627"/>
      <c r="J72" s="627"/>
      <c r="K72" s="627"/>
      <c r="L72" s="627"/>
      <c r="M72" s="627"/>
      <c r="N72" s="627"/>
      <c r="O72" s="627"/>
      <c r="P72" s="627"/>
    </row>
    <row r="73" spans="1:16" s="631" customFormat="1" ht="11.25" hidden="1" outlineLevel="1" x14ac:dyDescent="0.2">
      <c r="A73" s="628" t="s">
        <v>611</v>
      </c>
      <c r="B73" s="629"/>
      <c r="C73" s="630"/>
      <c r="D73" s="630"/>
      <c r="E73" s="630"/>
      <c r="F73" s="630"/>
      <c r="G73" s="630"/>
      <c r="H73" s="630"/>
      <c r="I73" s="630"/>
      <c r="J73" s="630"/>
      <c r="K73" s="630">
        <f>J25*(1+'LTFP Assumptions'!$H13)</f>
        <v>1756.6052400000001</v>
      </c>
      <c r="L73" s="630">
        <f>K73*(1+'LTFP Assumptions'!$H13)</f>
        <v>1791.7373448000001</v>
      </c>
      <c r="M73" s="630">
        <f>L73*(1+'LTFP Assumptions'!$H13)</f>
        <v>1827.5720916960001</v>
      </c>
      <c r="N73" s="630">
        <f>M73*(1+'LTFP Assumptions'!$H13)</f>
        <v>1864.1235335299202</v>
      </c>
      <c r="O73" s="630">
        <f>N73*(1+'LTFP Assumptions'!$H13)</f>
        <v>1901.4060042005187</v>
      </c>
      <c r="P73" s="630">
        <f>O73*(1+'LTFP Assumptions'!$H13)</f>
        <v>1939.4341242845292</v>
      </c>
    </row>
    <row r="74" spans="1:16" s="631" customFormat="1" ht="11.25" hidden="1" outlineLevel="1" x14ac:dyDescent="0.2">
      <c r="A74" s="628"/>
      <c r="B74" s="629"/>
      <c r="C74" s="630"/>
      <c r="D74" s="630"/>
      <c r="E74" s="630"/>
      <c r="F74" s="630"/>
      <c r="G74" s="630"/>
      <c r="H74" s="630"/>
      <c r="I74" s="630"/>
      <c r="J74" s="630"/>
      <c r="K74" s="630"/>
      <c r="L74" s="630"/>
      <c r="M74" s="630"/>
      <c r="N74" s="630"/>
      <c r="O74" s="630"/>
      <c r="P74" s="630"/>
    </row>
    <row r="75" spans="1:16" ht="12.75" collapsed="1" x14ac:dyDescent="0.2">
      <c r="A75" s="1091" t="s">
        <v>1363</v>
      </c>
    </row>
    <row r="76" spans="1:16" ht="12" x14ac:dyDescent="0.2">
      <c r="A76" s="632" t="s">
        <v>1065</v>
      </c>
      <c r="B76" s="586" t="s">
        <v>69</v>
      </c>
      <c r="C76" s="586" t="s">
        <v>69</v>
      </c>
      <c r="D76" s="586" t="s">
        <v>69</v>
      </c>
      <c r="E76" s="586" t="s">
        <v>69</v>
      </c>
      <c r="F76" s="586" t="s">
        <v>70</v>
      </c>
      <c r="G76" s="586" t="s">
        <v>70</v>
      </c>
      <c r="H76" s="586" t="s">
        <v>71</v>
      </c>
      <c r="I76" s="586" t="s">
        <v>71</v>
      </c>
      <c r="J76" s="586" t="s">
        <v>71</v>
      </c>
      <c r="K76" s="586" t="s">
        <v>71</v>
      </c>
      <c r="L76" s="586" t="s">
        <v>71</v>
      </c>
      <c r="M76" s="586" t="s">
        <v>71</v>
      </c>
      <c r="N76" s="586" t="s">
        <v>71</v>
      </c>
      <c r="O76" s="586" t="s">
        <v>71</v>
      </c>
      <c r="P76" s="586" t="s">
        <v>71</v>
      </c>
    </row>
    <row r="77" spans="1:16" ht="11.25" x14ac:dyDescent="0.2">
      <c r="A77" s="598" t="s">
        <v>73</v>
      </c>
      <c r="B77" s="741" t="s">
        <v>68</v>
      </c>
      <c r="C77" s="694" t="s">
        <v>0</v>
      </c>
      <c r="D77" s="694" t="s">
        <v>1</v>
      </c>
      <c r="E77" s="694" t="s">
        <v>2</v>
      </c>
      <c r="F77" s="694" t="s">
        <v>3</v>
      </c>
      <c r="G77" s="694" t="s">
        <v>4</v>
      </c>
      <c r="H77" s="694" t="s">
        <v>5</v>
      </c>
      <c r="I77" s="694" t="s">
        <v>6</v>
      </c>
      <c r="J77" s="694" t="s">
        <v>7</v>
      </c>
      <c r="K77" s="694" t="s">
        <v>8</v>
      </c>
      <c r="L77" s="694" t="s">
        <v>9</v>
      </c>
      <c r="M77" s="694" t="s">
        <v>514</v>
      </c>
      <c r="N77" s="694" t="s">
        <v>515</v>
      </c>
      <c r="O77" s="694" t="s">
        <v>904</v>
      </c>
      <c r="P77" s="694" t="s">
        <v>1046</v>
      </c>
    </row>
    <row r="78" spans="1:16" ht="11.25" x14ac:dyDescent="0.2">
      <c r="A78" s="604" t="s">
        <v>61</v>
      </c>
    </row>
    <row r="79" spans="1:16" ht="11.25" x14ac:dyDescent="0.2">
      <c r="A79" s="607" t="s">
        <v>62</v>
      </c>
    </row>
    <row r="80" spans="1:16" ht="11.25" x14ac:dyDescent="0.2">
      <c r="A80" s="600" t="s">
        <v>11</v>
      </c>
      <c r="B80" s="606">
        <f t="shared" ref="B80:E85" si="22">+B11</f>
        <v>0</v>
      </c>
      <c r="C80" s="606">
        <f t="shared" si="22"/>
        <v>0</v>
      </c>
      <c r="D80" s="606">
        <f t="shared" si="22"/>
        <v>0</v>
      </c>
      <c r="E80" s="606">
        <f t="shared" si="22"/>
        <v>1380</v>
      </c>
      <c r="F80" s="606">
        <f>-'Opex with SRV'!C192/1000</f>
        <v>1580</v>
      </c>
      <c r="G80" s="606">
        <f>-'Opex with SRV'!E192/1000</f>
        <v>1485</v>
      </c>
      <c r="H80" s="606">
        <f>-'Opex with SRV'!G192/1000</f>
        <v>1498.365</v>
      </c>
      <c r="I80" s="606">
        <f>-'Opex with SRV'!H192/1000</f>
        <v>1511.85</v>
      </c>
      <c r="J80" s="606">
        <f>-'Opex with SRV'!I192/1000</f>
        <v>1525.4559999999999</v>
      </c>
      <c r="K80" s="608">
        <f>J80*(1+'LTFP Assumptions'!$J6)</f>
        <v>1563.5923999999998</v>
      </c>
      <c r="L80" s="608">
        <f>K80*(1+'LTFP Assumptions'!$J6)</f>
        <v>1602.6822099999997</v>
      </c>
      <c r="M80" s="608">
        <f>L80*(1+'LTFP Assumptions'!$J6)</f>
        <v>1642.7492652499996</v>
      </c>
      <c r="N80" s="608">
        <f>M80*(1+'LTFP Assumptions'!$J6)</f>
        <v>1683.8179968812494</v>
      </c>
      <c r="O80" s="608">
        <f>N80*(1+'LTFP Assumptions'!$J6)</f>
        <v>1725.9134468032805</v>
      </c>
      <c r="P80" s="608">
        <f>O80*(1+'LTFP Assumptions'!$J6)</f>
        <v>1769.0612829733625</v>
      </c>
    </row>
    <row r="81" spans="1:16" ht="11.25" x14ac:dyDescent="0.2">
      <c r="A81" s="600" t="s">
        <v>12</v>
      </c>
      <c r="B81" s="606">
        <f t="shared" si="22"/>
        <v>0</v>
      </c>
      <c r="C81" s="606">
        <f t="shared" si="22"/>
        <v>0</v>
      </c>
      <c r="D81" s="606">
        <f t="shared" si="22"/>
        <v>0</v>
      </c>
      <c r="E81" s="606">
        <f t="shared" si="22"/>
        <v>3422</v>
      </c>
      <c r="F81" s="606">
        <f>-'Opex with SRV'!C193/1000</f>
        <v>3719.15</v>
      </c>
      <c r="G81" s="606">
        <f>-'Opex with SRV'!E193/1000</f>
        <v>3922.375</v>
      </c>
      <c r="H81" s="606">
        <f>-'Opex with SRV'!G193/1000</f>
        <v>4115.482</v>
      </c>
      <c r="I81" s="606">
        <f>-'Opex with SRV'!H193/1000</f>
        <v>4318.1729999999998</v>
      </c>
      <c r="J81" s="606">
        <f>-'Opex with SRV'!I193/1000</f>
        <v>4530.9430000000002</v>
      </c>
      <c r="K81" s="608">
        <f>J81*(1+'LTFP Assumptions'!$J12)</f>
        <v>4621.5618600000007</v>
      </c>
      <c r="L81" s="608">
        <f>K81*(1+'LTFP Assumptions'!$J12)</f>
        <v>4713.9930972000011</v>
      </c>
      <c r="M81" s="608">
        <f>L81*(1+'LTFP Assumptions'!$J12)</f>
        <v>4808.2729591440011</v>
      </c>
      <c r="N81" s="608">
        <f>M81*(1+'LTFP Assumptions'!$J12)</f>
        <v>4904.4384183268812</v>
      </c>
      <c r="O81" s="608">
        <f>N81*(1+'LTFP Assumptions'!$J12)</f>
        <v>5002.527186693419</v>
      </c>
      <c r="P81" s="608">
        <f>O81*(1+'LTFP Assumptions'!$J12)</f>
        <v>5102.5777304272879</v>
      </c>
    </row>
    <row r="82" spans="1:16" ht="11.25" x14ac:dyDescent="0.2">
      <c r="A82" s="600" t="s">
        <v>13</v>
      </c>
      <c r="B82" s="606">
        <f t="shared" si="22"/>
        <v>0</v>
      </c>
      <c r="C82" s="606">
        <f t="shared" si="22"/>
        <v>0</v>
      </c>
      <c r="D82" s="606">
        <f t="shared" si="22"/>
        <v>0</v>
      </c>
      <c r="E82" s="606">
        <f t="shared" si="22"/>
        <v>976</v>
      </c>
      <c r="F82" s="606">
        <f>-'Opex with SRV'!C194/1000</f>
        <v>868</v>
      </c>
      <c r="G82" s="606">
        <f>-'Opex with SRV'!E194/1000</f>
        <v>819</v>
      </c>
      <c r="H82" s="606">
        <f>-'Opex with SRV'!G194/1000</f>
        <v>739.62</v>
      </c>
      <c r="I82" s="606">
        <f>-'Opex with SRV'!H194/1000</f>
        <v>740.55200000000002</v>
      </c>
      <c r="J82" s="606">
        <f>-'Opex with SRV'!I194/1000</f>
        <v>740.89700000000005</v>
      </c>
      <c r="K82" s="608">
        <f>'Water  Fund  Cash Flow'!J105*'LTFP Assumptions'!$J17</f>
        <v>724.10723999999993</v>
      </c>
      <c r="L82" s="608">
        <f>'Water  Fund  Cash Flow'!K105*'LTFP Assumptions'!$J17</f>
        <v>750.46889224799986</v>
      </c>
      <c r="M82" s="608">
        <f>'Water  Fund  Cash Flow'!L105*'LTFP Assumptions'!$J17</f>
        <v>778.23808375787985</v>
      </c>
      <c r="N82" s="608">
        <f>'Water  Fund  Cash Flow'!M105*'LTFP Assumptions'!$J17</f>
        <v>808.50414508100937</v>
      </c>
      <c r="O82" s="608">
        <f>'Water  Fund  Cash Flow'!N105*'LTFP Assumptions'!$J17</f>
        <v>852.9443987130843</v>
      </c>
      <c r="P82" s="608">
        <f>'Water  Fund  Cash Flow'!O105*'LTFP Assumptions'!$J17</f>
        <v>899.17107631696911</v>
      </c>
    </row>
    <row r="83" spans="1:16" ht="11.25" x14ac:dyDescent="0.2">
      <c r="A83" s="600" t="s">
        <v>14</v>
      </c>
      <c r="B83" s="606">
        <f t="shared" si="22"/>
        <v>0</v>
      </c>
      <c r="C83" s="606">
        <f t="shared" si="22"/>
        <v>0</v>
      </c>
      <c r="D83" s="606">
        <f t="shared" si="22"/>
        <v>0</v>
      </c>
      <c r="E83" s="606">
        <f t="shared" si="22"/>
        <v>241</v>
      </c>
      <c r="F83" s="606">
        <f>'Opex with SRV'!C196/1000</f>
        <v>0</v>
      </c>
      <c r="G83" s="606">
        <f>-'Opex with SRV'!E196/1000</f>
        <v>0</v>
      </c>
      <c r="H83" s="606">
        <f>-'Opex with SRV'!G196/1000</f>
        <v>0</v>
      </c>
      <c r="I83" s="606">
        <f>-'Opex with SRV'!H196/1000</f>
        <v>0</v>
      </c>
      <c r="J83" s="606">
        <f>-'Opex with SRV'!I196/1000</f>
        <v>0</v>
      </c>
      <c r="K83" s="608">
        <f>J83*(1+'LTFP Assumptions'!$J9)</f>
        <v>0</v>
      </c>
      <c r="L83" s="608">
        <f>K83*(1+'LTFP Assumptions'!$J9)</f>
        <v>0</v>
      </c>
      <c r="M83" s="608">
        <f>L83*(1+'LTFP Assumptions'!$J9)</f>
        <v>0</v>
      </c>
      <c r="N83" s="608">
        <f>M83*(1+'LTFP Assumptions'!$J9)</f>
        <v>0</v>
      </c>
      <c r="O83" s="608">
        <f>N83*(1+'LTFP Assumptions'!$J9)</f>
        <v>0</v>
      </c>
      <c r="P83" s="608">
        <f>O83*(1+'LTFP Assumptions'!$J9)</f>
        <v>0</v>
      </c>
    </row>
    <row r="84" spans="1:16" ht="22.5" x14ac:dyDescent="0.2">
      <c r="A84" s="600" t="s">
        <v>15</v>
      </c>
      <c r="B84" s="606">
        <f t="shared" si="22"/>
        <v>0</v>
      </c>
      <c r="C84" s="606">
        <f t="shared" si="22"/>
        <v>0</v>
      </c>
      <c r="D84" s="606">
        <f t="shared" si="22"/>
        <v>0</v>
      </c>
      <c r="E84" s="606">
        <f t="shared" si="22"/>
        <v>36</v>
      </c>
      <c r="F84" s="606">
        <f>-'Opex with SRV'!C195/1000</f>
        <v>38.5</v>
      </c>
      <c r="G84" s="606">
        <f>-'Opex with SRV'!E195/1000</f>
        <v>34.5</v>
      </c>
      <c r="H84" s="606">
        <f>-'Opex with SRV'!G195/1000</f>
        <v>35.19</v>
      </c>
      <c r="I84" s="606">
        <f>-'Opex with SRV'!H195/1000</f>
        <v>35.893000000000001</v>
      </c>
      <c r="J84" s="606">
        <f>-'Opex with SRV'!I195/1000</f>
        <v>36.610999999999997</v>
      </c>
      <c r="K84" s="608">
        <f>J84*(1+'LTFP Assumptions'!$J10)</f>
        <v>37.526274999999991</v>
      </c>
      <c r="L84" s="608">
        <f>K84*(1+'LTFP Assumptions'!$J10)</f>
        <v>38.464431874999988</v>
      </c>
      <c r="M84" s="608">
        <f>L84*(1+'LTFP Assumptions'!$J10)</f>
        <v>39.426042671874981</v>
      </c>
      <c r="N84" s="608">
        <f>M84*(1+'LTFP Assumptions'!$J10)</f>
        <v>40.41169373867185</v>
      </c>
      <c r="O84" s="608">
        <f>N84*(1+'LTFP Assumptions'!$J10)</f>
        <v>41.421986082138645</v>
      </c>
      <c r="P84" s="608">
        <f>O84*(1+'LTFP Assumptions'!$J10)</f>
        <v>42.457535734192106</v>
      </c>
    </row>
    <row r="85" spans="1:16" ht="22.5" x14ac:dyDescent="0.2">
      <c r="A85" s="600" t="s">
        <v>18</v>
      </c>
      <c r="B85" s="606">
        <f t="shared" si="22"/>
        <v>0</v>
      </c>
      <c r="C85" s="606">
        <f t="shared" si="22"/>
        <v>0</v>
      </c>
      <c r="D85" s="606">
        <f t="shared" si="22"/>
        <v>0</v>
      </c>
      <c r="E85" s="606">
        <f t="shared" si="22"/>
        <v>88</v>
      </c>
      <c r="F85" s="606">
        <f>+F16</f>
        <v>50</v>
      </c>
      <c r="G85" s="606">
        <f t="shared" ref="G85:J85" si="23">G129+G130+G131</f>
        <v>50</v>
      </c>
      <c r="H85" s="606">
        <f t="shared" ref="H85" si="24">H129+H130+H131</f>
        <v>50</v>
      </c>
      <c r="I85" s="606">
        <f t="shared" si="23"/>
        <v>50</v>
      </c>
      <c r="J85" s="606">
        <f t="shared" si="23"/>
        <v>50</v>
      </c>
      <c r="K85" s="606">
        <f t="shared" ref="K85:P85" si="25">K129+K130+K131</f>
        <v>51</v>
      </c>
      <c r="L85" s="606">
        <f t="shared" si="25"/>
        <v>52.02</v>
      </c>
      <c r="M85" s="606">
        <f t="shared" si="25"/>
        <v>52.02</v>
      </c>
      <c r="N85" s="606">
        <f t="shared" si="25"/>
        <v>52.02</v>
      </c>
      <c r="O85" s="606">
        <f t="shared" si="25"/>
        <v>52.02</v>
      </c>
      <c r="P85" s="606">
        <f t="shared" si="25"/>
        <v>52.02</v>
      </c>
    </row>
    <row r="86" spans="1:16" ht="11.25" x14ac:dyDescent="0.2">
      <c r="A86" s="1149" t="s">
        <v>1180</v>
      </c>
      <c r="B86" s="606"/>
      <c r="C86" s="606"/>
      <c r="D86" s="606">
        <f>+D17</f>
        <v>0</v>
      </c>
      <c r="E86" s="606">
        <f t="shared" ref="E86:J86" si="26">+E17</f>
        <v>0</v>
      </c>
      <c r="F86" s="606">
        <f t="shared" si="26"/>
        <v>0</v>
      </c>
      <c r="G86" s="606">
        <f t="shared" si="26"/>
        <v>0</v>
      </c>
      <c r="H86" s="606">
        <f t="shared" ref="H86" si="27">+H17</f>
        <v>0</v>
      </c>
      <c r="I86" s="606">
        <f t="shared" si="26"/>
        <v>0</v>
      </c>
      <c r="J86" s="606">
        <f t="shared" si="26"/>
        <v>0</v>
      </c>
      <c r="K86" s="608">
        <f>J86*(1+'LTFP Assumptions'!$J12)</f>
        <v>0</v>
      </c>
      <c r="L86" s="608">
        <f>K86*(1+'LTFP Assumptions'!$J12)</f>
        <v>0</v>
      </c>
      <c r="M86" s="608">
        <f>L86*(1+'LTFP Assumptions'!$J12)</f>
        <v>0</v>
      </c>
      <c r="N86" s="608">
        <f>M86*(1+'LTFP Assumptions'!$J12)</f>
        <v>0</v>
      </c>
      <c r="O86" s="608">
        <f>N86*(1+'LTFP Assumptions'!$J12)</f>
        <v>0</v>
      </c>
      <c r="P86" s="608">
        <f>O86*(1+'LTFP Assumptions'!$J12)</f>
        <v>0</v>
      </c>
    </row>
    <row r="87" spans="1:16" ht="11.25" x14ac:dyDescent="0.2">
      <c r="A87" s="607" t="s">
        <v>63</v>
      </c>
      <c r="B87" s="606"/>
      <c r="C87" s="606"/>
      <c r="D87" s="606"/>
      <c r="E87" s="606"/>
      <c r="F87" s="606"/>
    </row>
    <row r="88" spans="1:16" ht="11.25" x14ac:dyDescent="0.2">
      <c r="A88" s="764" t="s">
        <v>74</v>
      </c>
      <c r="B88" s="765">
        <f t="shared" ref="B88:P88" si="28">+B19</f>
        <v>0</v>
      </c>
      <c r="C88" s="765">
        <f t="shared" si="28"/>
        <v>0</v>
      </c>
      <c r="D88" s="765">
        <f t="shared" si="28"/>
        <v>0</v>
      </c>
      <c r="E88" s="765">
        <f t="shared" si="28"/>
        <v>9</v>
      </c>
      <c r="F88" s="765">
        <f t="shared" si="28"/>
        <v>0</v>
      </c>
      <c r="G88" s="765">
        <f t="shared" si="28"/>
        <v>0</v>
      </c>
      <c r="H88" s="765">
        <f t="shared" ref="H88" si="29">+H19</f>
        <v>0</v>
      </c>
      <c r="I88" s="765">
        <f t="shared" si="28"/>
        <v>0</v>
      </c>
      <c r="J88" s="765">
        <f t="shared" si="28"/>
        <v>0</v>
      </c>
      <c r="K88" s="765">
        <f t="shared" si="28"/>
        <v>0</v>
      </c>
      <c r="L88" s="765">
        <f t="shared" si="28"/>
        <v>0</v>
      </c>
      <c r="M88" s="765">
        <f t="shared" si="28"/>
        <v>0</v>
      </c>
      <c r="N88" s="765">
        <f t="shared" si="28"/>
        <v>0</v>
      </c>
      <c r="O88" s="765">
        <f t="shared" si="28"/>
        <v>0</v>
      </c>
      <c r="P88" s="765">
        <f t="shared" si="28"/>
        <v>0</v>
      </c>
    </row>
    <row r="89" spans="1:16" ht="11.25" x14ac:dyDescent="0.2">
      <c r="A89" s="758" t="s">
        <v>1047</v>
      </c>
      <c r="B89" s="765"/>
      <c r="C89" s="765"/>
      <c r="D89" s="765">
        <f t="shared" ref="D89:P89" si="30">+D20</f>
        <v>0</v>
      </c>
      <c r="E89" s="765">
        <f t="shared" si="30"/>
        <v>0</v>
      </c>
      <c r="F89" s="765">
        <f t="shared" si="30"/>
        <v>0</v>
      </c>
      <c r="G89" s="765">
        <f t="shared" si="30"/>
        <v>0</v>
      </c>
      <c r="H89" s="765">
        <f t="shared" ref="H89" si="31">+H20</f>
        <v>0</v>
      </c>
      <c r="I89" s="765">
        <f t="shared" si="30"/>
        <v>0</v>
      </c>
      <c r="J89" s="765">
        <f t="shared" si="30"/>
        <v>0</v>
      </c>
      <c r="K89" s="765">
        <f t="shared" si="30"/>
        <v>0</v>
      </c>
      <c r="L89" s="765">
        <f t="shared" si="30"/>
        <v>0</v>
      </c>
      <c r="M89" s="765">
        <f t="shared" si="30"/>
        <v>0</v>
      </c>
      <c r="N89" s="765">
        <f t="shared" si="30"/>
        <v>0</v>
      </c>
      <c r="O89" s="765">
        <f t="shared" si="30"/>
        <v>0</v>
      </c>
      <c r="P89" s="765">
        <f t="shared" si="30"/>
        <v>0</v>
      </c>
    </row>
    <row r="90" spans="1:16" ht="11.25" x14ac:dyDescent="0.2">
      <c r="A90" s="768" t="s">
        <v>64</v>
      </c>
      <c r="B90" s="767">
        <f>SUM(B80:B88)</f>
        <v>0</v>
      </c>
      <c r="C90" s="767">
        <f t="shared" ref="C90" si="32">SUM(C80:C88)</f>
        <v>0</v>
      </c>
      <c r="D90" s="767">
        <f>SUM(D80:D89)</f>
        <v>0</v>
      </c>
      <c r="E90" s="767">
        <f t="shared" ref="E90:P90" si="33">SUM(E80:E89)</f>
        <v>6152</v>
      </c>
      <c r="F90" s="767">
        <f t="shared" si="33"/>
        <v>6255.65</v>
      </c>
      <c r="G90" s="767">
        <f t="shared" si="33"/>
        <v>6310.875</v>
      </c>
      <c r="H90" s="767">
        <f t="shared" si="33"/>
        <v>6438.6569999999992</v>
      </c>
      <c r="I90" s="767">
        <f t="shared" si="33"/>
        <v>6656.4679999999989</v>
      </c>
      <c r="J90" s="767">
        <f t="shared" si="33"/>
        <v>6883.9070000000002</v>
      </c>
      <c r="K90" s="767">
        <f t="shared" si="33"/>
        <v>6997.7877750000007</v>
      </c>
      <c r="L90" s="767">
        <f t="shared" si="33"/>
        <v>7157.6286313230012</v>
      </c>
      <c r="M90" s="767">
        <f t="shared" si="33"/>
        <v>7320.7063508237561</v>
      </c>
      <c r="N90" s="767">
        <f t="shared" si="33"/>
        <v>7489.1922540278119</v>
      </c>
      <c r="O90" s="767">
        <f t="shared" si="33"/>
        <v>7674.8270182919232</v>
      </c>
      <c r="P90" s="767">
        <f t="shared" si="33"/>
        <v>7865.2876254518123</v>
      </c>
    </row>
    <row r="92" spans="1:16" ht="11.25" x14ac:dyDescent="0.2">
      <c r="A92" s="604" t="s">
        <v>65</v>
      </c>
    </row>
    <row r="93" spans="1:16" ht="11.25" x14ac:dyDescent="0.2">
      <c r="A93" s="600" t="str">
        <f>A23</f>
        <v>Employee Benefits and On-Costs</v>
      </c>
      <c r="B93" s="606">
        <f>+B23</f>
        <v>0</v>
      </c>
      <c r="C93" s="606">
        <f>+C23</f>
        <v>0</v>
      </c>
      <c r="D93" s="606">
        <f>+D23</f>
        <v>0</v>
      </c>
      <c r="E93" s="606">
        <f>+E23</f>
        <v>1007</v>
      </c>
      <c r="F93" s="606">
        <f>'Opex with SRV'!C203/1000</f>
        <v>977.89</v>
      </c>
      <c r="G93" s="606">
        <f>'Opex with SRV'!E203/1000</f>
        <v>1129.55</v>
      </c>
      <c r="H93" s="606">
        <f>'Opex with SRV'!G203/1000</f>
        <v>1172.491</v>
      </c>
      <c r="I93" s="606">
        <f>'Opex with SRV'!H203/1000</f>
        <v>1217.242</v>
      </c>
      <c r="J93" s="606">
        <f>'Opex with SRV'!I203/1000</f>
        <v>1263.922</v>
      </c>
      <c r="K93" s="606">
        <f>J93*(1+'LTFP Assumptions'!$J9)</f>
        <v>1301.8396600000001</v>
      </c>
      <c r="L93" s="606">
        <f>K93*(1+'LTFP Assumptions'!$J9)</f>
        <v>1340.8948498000002</v>
      </c>
      <c r="M93" s="606">
        <f>L93*(1+'LTFP Assumptions'!$J9)</f>
        <v>1381.1216952940003</v>
      </c>
      <c r="N93" s="606">
        <f>M93*(1+'LTFP Assumptions'!$J9)</f>
        <v>1422.5553461528204</v>
      </c>
      <c r="O93" s="606">
        <f>N93*(1+'LTFP Assumptions'!$J9)</f>
        <v>1465.2320065374051</v>
      </c>
      <c r="P93" s="606">
        <f>O93*(1+'LTFP Assumptions'!$J9)</f>
        <v>1509.1889667335274</v>
      </c>
    </row>
    <row r="94" spans="1:16" ht="11.25" x14ac:dyDescent="0.2">
      <c r="A94" s="600" t="str">
        <f>A24</f>
        <v>Borrowing Costs</v>
      </c>
      <c r="B94" s="606"/>
      <c r="C94" s="606"/>
      <c r="D94" s="606">
        <f t="shared" ref="D94:E100" si="34">+D24</f>
        <v>0</v>
      </c>
      <c r="E94" s="606">
        <f t="shared" si="34"/>
        <v>171</v>
      </c>
      <c r="F94" s="606">
        <f>'Opex with SRV'!C206/1000</f>
        <v>161.286</v>
      </c>
      <c r="G94" s="606">
        <f>'Opex with SRV'!E206/1000</f>
        <v>144.54</v>
      </c>
      <c r="H94" s="606">
        <f>'Opex with SRV'!G206/1000</f>
        <v>120.66</v>
      </c>
      <c r="I94" s="606">
        <f>'Opex with SRV'!H206/1000</f>
        <v>102.289</v>
      </c>
      <c r="J94" s="606">
        <f>'Opex with SRV'!I206/1000</f>
        <v>81.013999999999996</v>
      </c>
      <c r="K94" s="1310">
        <f>J94+(('Water Fund  Bal Sheet'!K72+'Water Fund  Bal Sheet'!K78)-('Water Fund  Bal Sheet'!J72+'Water Fund  Bal Sheet'!J78))*'LTFP Assumptions'!$H$18</f>
        <v>67.4933288</v>
      </c>
      <c r="L94" s="1310">
        <f>K94+(('Water Fund  Bal Sheet'!L72+'Water Fund  Bal Sheet'!L78)-('Water Fund  Bal Sheet'!K72+'Water Fund  Bal Sheet'!K78))*'LTFP Assumptions'!$H$18</f>
        <v>53.702244175999994</v>
      </c>
      <c r="M94" s="1310">
        <f>L94+(('Water Fund  Bal Sheet'!M72+'Water Fund  Bal Sheet'!M78)-('Water Fund  Bal Sheet'!L72+'Water Fund  Bal Sheet'!L78))*'LTFP Assumptions'!$H$18</f>
        <v>40.75533785951999</v>
      </c>
      <c r="N94" s="1310">
        <f>M94+(('Water Fund  Bal Sheet'!N72+'Water Fund  Bal Sheet'!N78)-('Water Fund  Bal Sheet'!M72+'Water Fund  Bal Sheet'!M78))*'LTFP Assumptions'!$H$18</f>
        <v>40.75533785951999</v>
      </c>
      <c r="O94" s="1310">
        <f>N94+(('Water Fund  Bal Sheet'!O72+'Water Fund  Bal Sheet'!O78)-('Water Fund  Bal Sheet'!N72+'Water Fund  Bal Sheet'!N78))*'LTFP Assumptions'!$H$18</f>
        <v>40.75533785951999</v>
      </c>
      <c r="P94" s="1310">
        <f>O94+(('Water Fund  Bal Sheet'!P72+'Water Fund  Bal Sheet'!P78)-('Water Fund  Bal Sheet'!O72+'Water Fund  Bal Sheet'!O78))*'LTFP Assumptions'!$H$18</f>
        <v>40.75533785951999</v>
      </c>
    </row>
    <row r="95" spans="1:16" ht="11.25" x14ac:dyDescent="0.2">
      <c r="A95" s="600" t="str">
        <f>A25</f>
        <v>Materials and Contracts</v>
      </c>
      <c r="B95" s="606">
        <f>+B25</f>
        <v>0</v>
      </c>
      <c r="C95" s="606">
        <f>+C25</f>
        <v>0</v>
      </c>
      <c r="D95" s="606">
        <f t="shared" si="34"/>
        <v>0</v>
      </c>
      <c r="E95" s="606">
        <f t="shared" si="34"/>
        <v>2370</v>
      </c>
      <c r="F95" s="606">
        <f>'Opex with SRV'!C204/1000</f>
        <v>1785.2</v>
      </c>
      <c r="G95" s="606">
        <f>'Opex with SRV'!E204/1000</f>
        <v>1589.6</v>
      </c>
      <c r="H95" s="606">
        <f>'Opex with SRV'!G204/1000</f>
        <v>1632.152</v>
      </c>
      <c r="I95" s="606">
        <f>'Opex with SRV'!H204/1000</f>
        <v>1676.3050000000001</v>
      </c>
      <c r="J95" s="606">
        <f>'Opex with SRV'!I204/1000</f>
        <v>1722.162</v>
      </c>
      <c r="K95" s="606">
        <f>J95*(1+'LTFP Assumptions'!$J13)</f>
        <v>1756.6052400000001</v>
      </c>
      <c r="L95" s="606">
        <f>K95*(1+'LTFP Assumptions'!$J13)</f>
        <v>1791.7373448000001</v>
      </c>
      <c r="M95" s="606">
        <f>L95*(1+'LTFP Assumptions'!$J13)</f>
        <v>1827.5720916960001</v>
      </c>
      <c r="N95" s="606">
        <f>M95*(1+'LTFP Assumptions'!$J13)</f>
        <v>1864.1235335299202</v>
      </c>
      <c r="O95" s="606">
        <f>N95*(1+'LTFP Assumptions'!$J13)</f>
        <v>1901.4060042005187</v>
      </c>
      <c r="P95" s="606">
        <f>O95*(1+'LTFP Assumptions'!$J13)</f>
        <v>1939.4341242845292</v>
      </c>
    </row>
    <row r="96" spans="1:16" ht="11.25" x14ac:dyDescent="0.2">
      <c r="A96" s="600" t="s">
        <v>1077</v>
      </c>
      <c r="B96" s="606"/>
      <c r="C96" s="606"/>
      <c r="D96" s="606">
        <f t="shared" si="34"/>
        <v>0</v>
      </c>
      <c r="E96" s="606">
        <f t="shared" si="34"/>
        <v>0</v>
      </c>
      <c r="F96" s="606">
        <f>'Opex with SRV'!C207/1000</f>
        <v>1228</v>
      </c>
      <c r="G96" s="606">
        <f>'Opex with SRV'!E207/1000</f>
        <v>1254.7</v>
      </c>
      <c r="H96" s="606">
        <f>'Opex with SRV'!G207/1000</f>
        <v>1282.067</v>
      </c>
      <c r="I96" s="606">
        <f>'Opex with SRV'!H207/1000</f>
        <v>1310.1179999999999</v>
      </c>
      <c r="J96" s="606">
        <f>'Opex with SRV'!I207/1000</f>
        <v>1338.8710000000001</v>
      </c>
      <c r="K96" s="606">
        <f>J96*(1+'LTFP Assumptions'!$J14)</f>
        <v>1365.6484200000002</v>
      </c>
      <c r="L96" s="606">
        <f>K96*(1+'LTFP Assumptions'!$J14)</f>
        <v>1392.9613884000003</v>
      </c>
      <c r="M96" s="606">
        <f>L96*(1+'LTFP Assumptions'!$J14)</f>
        <v>1420.8206161680002</v>
      </c>
      <c r="N96" s="606">
        <f>M96*(1+'LTFP Assumptions'!$J14)</f>
        <v>1449.2370284913602</v>
      </c>
      <c r="O96" s="606">
        <f>N96*(1+'LTFP Assumptions'!$J14)</f>
        <v>1478.2217690611874</v>
      </c>
      <c r="P96" s="606">
        <f>O96*(1+'LTFP Assumptions'!$J14)</f>
        <v>1507.7862044424112</v>
      </c>
    </row>
    <row r="97" spans="1:16" ht="11.25" x14ac:dyDescent="0.2">
      <c r="A97" s="600" t="str">
        <f>A27</f>
        <v>Depreciation and Amortisation</v>
      </c>
      <c r="B97" s="606">
        <f>+B27</f>
        <v>0</v>
      </c>
      <c r="C97" s="606">
        <f>+C27</f>
        <v>0</v>
      </c>
      <c r="D97" s="606">
        <f t="shared" si="34"/>
        <v>0</v>
      </c>
      <c r="E97" s="606">
        <f t="shared" si="34"/>
        <v>1482</v>
      </c>
      <c r="F97" s="606">
        <f>'Opex with SRV'!C208/1000</f>
        <v>1501.2719999999999</v>
      </c>
      <c r="G97" s="606">
        <f>'Opex with SRV'!E208/1000</f>
        <v>1518.1</v>
      </c>
      <c r="H97" s="606">
        <f>'Opex with SRV'!G208/1000</f>
        <v>1555.95</v>
      </c>
      <c r="I97" s="606">
        <f>'Opex with SRV'!H208/1000</f>
        <v>1594.848</v>
      </c>
      <c r="J97" s="606">
        <f>'Opex with SRV'!I208/1000</f>
        <v>1634.7180000000001</v>
      </c>
      <c r="K97" s="606">
        <f>J97*(1+'LTFP Assumptions'!$J16)</f>
        <v>1675.5859499999999</v>
      </c>
      <c r="L97" s="606">
        <f>K97*(1+'LTFP Assumptions'!$J16)</f>
        <v>1717.4755987499998</v>
      </c>
      <c r="M97" s="606">
        <f>L97*(1+'LTFP Assumptions'!$J16)</f>
        <v>1760.4124887187497</v>
      </c>
      <c r="N97" s="606">
        <f>M97*(1+'LTFP Assumptions'!$J16)</f>
        <v>1804.4228009367182</v>
      </c>
      <c r="O97" s="606">
        <f>N97*(1+'LTFP Assumptions'!$J16)</f>
        <v>1849.5333709601359</v>
      </c>
      <c r="P97" s="606">
        <f>O97*(1+'LTFP Assumptions'!$J16)</f>
        <v>1895.7717052341391</v>
      </c>
    </row>
    <row r="98" spans="1:16" ht="12" x14ac:dyDescent="0.2">
      <c r="A98" s="769" t="str">
        <f>A28</f>
        <v>Impairment</v>
      </c>
      <c r="B98" s="606"/>
      <c r="C98" s="606"/>
      <c r="D98" s="606">
        <f t="shared" si="34"/>
        <v>0</v>
      </c>
      <c r="E98" s="606">
        <f t="shared" si="34"/>
        <v>0</v>
      </c>
      <c r="F98" s="606">
        <f t="shared" ref="F98:H99" si="35">+F28</f>
        <v>0</v>
      </c>
      <c r="G98" s="606">
        <f t="shared" si="35"/>
        <v>0</v>
      </c>
      <c r="H98" s="606">
        <f t="shared" si="35"/>
        <v>0</v>
      </c>
      <c r="I98" s="606">
        <f t="shared" ref="I98:J98" si="36">+I28</f>
        <v>0</v>
      </c>
      <c r="J98" s="606">
        <f t="shared" si="36"/>
        <v>0</v>
      </c>
      <c r="K98" s="606">
        <f t="shared" ref="K98:P99" si="37">+K28</f>
        <v>0</v>
      </c>
      <c r="L98" s="606">
        <f t="shared" si="37"/>
        <v>0</v>
      </c>
      <c r="M98" s="606">
        <f t="shared" si="37"/>
        <v>0</v>
      </c>
      <c r="N98" s="606">
        <f t="shared" si="37"/>
        <v>0</v>
      </c>
      <c r="O98" s="606">
        <f t="shared" si="37"/>
        <v>0</v>
      </c>
      <c r="P98" s="606">
        <f t="shared" si="37"/>
        <v>0</v>
      </c>
    </row>
    <row r="99" spans="1:16" ht="12" x14ac:dyDescent="0.2">
      <c r="A99" s="769" t="str">
        <f>A29</f>
        <v>Net Losses from the disposal of assets</v>
      </c>
      <c r="B99" s="606"/>
      <c r="C99" s="606"/>
      <c r="D99" s="606">
        <f t="shared" si="34"/>
        <v>0</v>
      </c>
      <c r="E99" s="606">
        <f t="shared" si="34"/>
        <v>0</v>
      </c>
      <c r="F99" s="606">
        <f t="shared" si="35"/>
        <v>0</v>
      </c>
      <c r="G99" s="606">
        <f t="shared" si="35"/>
        <v>0</v>
      </c>
      <c r="H99" s="606">
        <f t="shared" si="35"/>
        <v>0</v>
      </c>
      <c r="I99" s="606">
        <f t="shared" ref="I99:J99" si="38">+I29</f>
        <v>0</v>
      </c>
      <c r="J99" s="606">
        <f t="shared" si="38"/>
        <v>0</v>
      </c>
      <c r="K99" s="606">
        <f t="shared" si="37"/>
        <v>0</v>
      </c>
      <c r="L99" s="606">
        <f t="shared" si="37"/>
        <v>0</v>
      </c>
      <c r="M99" s="606">
        <f t="shared" si="37"/>
        <v>0</v>
      </c>
      <c r="N99" s="606">
        <f t="shared" si="37"/>
        <v>0</v>
      </c>
      <c r="O99" s="606">
        <f t="shared" si="37"/>
        <v>0</v>
      </c>
      <c r="P99" s="606">
        <f t="shared" si="37"/>
        <v>0</v>
      </c>
    </row>
    <row r="100" spans="1:16" ht="11.25" x14ac:dyDescent="0.2">
      <c r="A100" s="614" t="s">
        <v>28</v>
      </c>
      <c r="B100" s="606">
        <f>+B30</f>
        <v>0</v>
      </c>
      <c r="C100" s="606">
        <f>+C30</f>
        <v>0</v>
      </c>
      <c r="D100" s="606">
        <f t="shared" si="34"/>
        <v>0</v>
      </c>
      <c r="E100" s="606">
        <f t="shared" si="34"/>
        <v>263</v>
      </c>
      <c r="F100" s="606">
        <f>'Opex with SRV'!C205/1000</f>
        <v>348</v>
      </c>
      <c r="G100" s="606">
        <f>'Opex with SRV'!E205/1000</f>
        <v>302.5</v>
      </c>
      <c r="H100" s="606">
        <f>'Opex with SRV'!G205/1000</f>
        <v>315.81</v>
      </c>
      <c r="I100" s="606">
        <f>'Opex with SRV'!H205/1000</f>
        <v>329.81099999999998</v>
      </c>
      <c r="J100" s="606">
        <f>'Opex with SRV'!I205/1000</f>
        <v>344.55200000000002</v>
      </c>
      <c r="K100" s="606">
        <f>J100*(1+'LTFP Assumptions'!$J14)</f>
        <v>351.44304000000005</v>
      </c>
      <c r="L100" s="606">
        <f>K100*(1+'LTFP Assumptions'!$J14)</f>
        <v>358.47190080000007</v>
      </c>
      <c r="M100" s="606">
        <f>L100*(1+'LTFP Assumptions'!$J14)</f>
        <v>365.64133881600009</v>
      </c>
      <c r="N100" s="606">
        <f>M100*(1+'LTFP Assumptions'!$J14)</f>
        <v>372.95416559232007</v>
      </c>
      <c r="O100" s="606">
        <f>N100*(1+'LTFP Assumptions'!$J14)</f>
        <v>380.41324890416649</v>
      </c>
      <c r="P100" s="606">
        <f>O100*(1+'LTFP Assumptions'!$J14)</f>
        <v>388.02151388224985</v>
      </c>
    </row>
    <row r="101" spans="1:16" ht="11.25" x14ac:dyDescent="0.2">
      <c r="A101" s="604" t="s">
        <v>66</v>
      </c>
      <c r="B101" s="610">
        <f t="shared" ref="B101:P101" si="39">SUM(B93:B100)</f>
        <v>0</v>
      </c>
      <c r="C101" s="610">
        <f t="shared" si="39"/>
        <v>0</v>
      </c>
      <c r="D101" s="610">
        <f t="shared" si="39"/>
        <v>0</v>
      </c>
      <c r="E101" s="610">
        <f t="shared" si="39"/>
        <v>5293</v>
      </c>
      <c r="F101" s="610">
        <f t="shared" si="39"/>
        <v>6001.6480000000001</v>
      </c>
      <c r="G101" s="610">
        <f t="shared" si="39"/>
        <v>5938.99</v>
      </c>
      <c r="H101" s="610">
        <f t="shared" si="39"/>
        <v>6079.13</v>
      </c>
      <c r="I101" s="610">
        <f t="shared" si="39"/>
        <v>6230.6129999999994</v>
      </c>
      <c r="J101" s="610">
        <f t="shared" si="39"/>
        <v>6385.2389999999996</v>
      </c>
      <c r="K101" s="610">
        <f t="shared" si="39"/>
        <v>6518.6156387999999</v>
      </c>
      <c r="L101" s="610">
        <f t="shared" si="39"/>
        <v>6655.2433267260012</v>
      </c>
      <c r="M101" s="610">
        <f t="shared" si="39"/>
        <v>6796.3235685522704</v>
      </c>
      <c r="N101" s="610">
        <f t="shared" si="39"/>
        <v>6954.0482125626595</v>
      </c>
      <c r="O101" s="610">
        <f t="shared" si="39"/>
        <v>7115.5617375229349</v>
      </c>
      <c r="P101" s="610">
        <f t="shared" si="39"/>
        <v>7280.9578524363769</v>
      </c>
    </row>
    <row r="103" spans="1:16" ht="12" thickBot="1" x14ac:dyDescent="0.25">
      <c r="A103" s="604" t="s">
        <v>67</v>
      </c>
      <c r="B103" s="633">
        <f t="shared" ref="B103:P103" si="40">+B90-B101</f>
        <v>0</v>
      </c>
      <c r="C103" s="633">
        <f t="shared" si="40"/>
        <v>0</v>
      </c>
      <c r="D103" s="633">
        <f t="shared" si="40"/>
        <v>0</v>
      </c>
      <c r="E103" s="633">
        <f t="shared" si="40"/>
        <v>859</v>
      </c>
      <c r="F103" s="633">
        <f t="shared" si="40"/>
        <v>254.0019999999995</v>
      </c>
      <c r="G103" s="633">
        <f t="shared" si="40"/>
        <v>371.88500000000022</v>
      </c>
      <c r="H103" s="633">
        <f t="shared" si="40"/>
        <v>359.52699999999913</v>
      </c>
      <c r="I103" s="633">
        <f t="shared" si="40"/>
        <v>425.85499999999956</v>
      </c>
      <c r="J103" s="633">
        <f t="shared" si="40"/>
        <v>498.66800000000057</v>
      </c>
      <c r="K103" s="633">
        <f t="shared" si="40"/>
        <v>479.17213620000075</v>
      </c>
      <c r="L103" s="633">
        <f t="shared" si="40"/>
        <v>502.38530459699996</v>
      </c>
      <c r="M103" s="633">
        <f t="shared" si="40"/>
        <v>524.38278227148567</v>
      </c>
      <c r="N103" s="633">
        <f t="shared" si="40"/>
        <v>535.14404146515244</v>
      </c>
      <c r="O103" s="633">
        <f t="shared" si="40"/>
        <v>559.2652807689883</v>
      </c>
      <c r="P103" s="633">
        <f t="shared" si="40"/>
        <v>584.32977301543542</v>
      </c>
    </row>
    <row r="104" spans="1:16" ht="11.25" x14ac:dyDescent="0.2">
      <c r="A104" s="616"/>
      <c r="B104" s="621"/>
      <c r="C104" s="621"/>
      <c r="D104" s="621"/>
      <c r="E104" s="621"/>
      <c r="F104" s="621"/>
      <c r="G104" s="621"/>
      <c r="H104" s="621"/>
      <c r="I104" s="621"/>
      <c r="J104" s="621"/>
      <c r="K104" s="621"/>
      <c r="L104" s="621"/>
      <c r="M104" s="621"/>
      <c r="N104" s="621"/>
      <c r="O104" s="621"/>
      <c r="P104" s="621"/>
    </row>
    <row r="105" spans="1:16" ht="11.25" x14ac:dyDescent="0.2">
      <c r="A105" s="604" t="s">
        <v>75</v>
      </c>
      <c r="B105" s="621"/>
      <c r="C105" s="621"/>
      <c r="D105" s="621"/>
      <c r="E105" s="621"/>
      <c r="F105" s="621"/>
      <c r="G105" s="621"/>
      <c r="H105" s="621"/>
      <c r="I105" s="621"/>
      <c r="J105" s="621"/>
      <c r="K105" s="621"/>
      <c r="L105" s="621"/>
      <c r="M105" s="621"/>
      <c r="N105" s="621"/>
      <c r="O105" s="621"/>
      <c r="P105" s="621"/>
    </row>
    <row r="106" spans="1:16" ht="11.25" x14ac:dyDescent="0.2">
      <c r="A106" s="614" t="s">
        <v>322</v>
      </c>
      <c r="B106" s="617">
        <v>0</v>
      </c>
      <c r="C106" s="617">
        <v>0</v>
      </c>
      <c r="D106" s="617">
        <v>0</v>
      </c>
      <c r="E106" s="617">
        <v>0</v>
      </c>
      <c r="F106" s="617">
        <v>0</v>
      </c>
      <c r="G106" s="617">
        <v>0</v>
      </c>
      <c r="H106" s="617">
        <v>0</v>
      </c>
      <c r="I106" s="617">
        <v>0</v>
      </c>
      <c r="J106" s="617">
        <v>0</v>
      </c>
      <c r="K106" s="617">
        <v>0</v>
      </c>
      <c r="L106" s="617">
        <v>0</v>
      </c>
      <c r="M106" s="617">
        <v>0</v>
      </c>
      <c r="N106" s="617">
        <v>0</v>
      </c>
      <c r="O106" s="617">
        <v>0</v>
      </c>
      <c r="P106" s="617">
        <v>0</v>
      </c>
    </row>
    <row r="107" spans="1:16" ht="11.25" x14ac:dyDescent="0.2">
      <c r="B107" s="621"/>
      <c r="C107" s="621"/>
      <c r="D107" s="621"/>
      <c r="E107" s="621"/>
      <c r="F107" s="621"/>
      <c r="G107" s="621"/>
      <c r="H107" s="621"/>
      <c r="I107" s="621"/>
      <c r="J107" s="621"/>
      <c r="K107" s="621"/>
      <c r="L107" s="621"/>
      <c r="M107" s="621"/>
      <c r="N107" s="621"/>
      <c r="O107" s="621"/>
      <c r="P107" s="621"/>
    </row>
    <row r="108" spans="1:16" ht="11.25" x14ac:dyDescent="0.2">
      <c r="A108" s="618" t="s">
        <v>76</v>
      </c>
      <c r="B108" s="634">
        <f>+B103+B106</f>
        <v>0</v>
      </c>
      <c r="C108" s="634">
        <f>+C103+C106</f>
        <v>0</v>
      </c>
      <c r="D108" s="634">
        <f>+D103+D106</f>
        <v>0</v>
      </c>
      <c r="E108" s="634">
        <f t="shared" ref="E108:P108" si="41">+E103+E106</f>
        <v>859</v>
      </c>
      <c r="F108" s="634">
        <f t="shared" si="41"/>
        <v>254.0019999999995</v>
      </c>
      <c r="G108" s="634">
        <f t="shared" si="41"/>
        <v>371.88500000000022</v>
      </c>
      <c r="H108" s="634">
        <f t="shared" si="41"/>
        <v>359.52699999999913</v>
      </c>
      <c r="I108" s="634">
        <f t="shared" si="41"/>
        <v>425.85499999999956</v>
      </c>
      <c r="J108" s="634">
        <f t="shared" si="41"/>
        <v>498.66800000000057</v>
      </c>
      <c r="K108" s="634">
        <f t="shared" si="41"/>
        <v>479.17213620000075</v>
      </c>
      <c r="L108" s="634">
        <f t="shared" si="41"/>
        <v>502.38530459699996</v>
      </c>
      <c r="M108" s="634">
        <f t="shared" si="41"/>
        <v>524.38278227148567</v>
      </c>
      <c r="N108" s="634">
        <f t="shared" si="41"/>
        <v>535.14404146515244</v>
      </c>
      <c r="O108" s="634">
        <f t="shared" si="41"/>
        <v>559.2652807689883</v>
      </c>
      <c r="P108" s="634">
        <f t="shared" si="41"/>
        <v>584.32977301543542</v>
      </c>
    </row>
    <row r="109" spans="1:16" ht="11.25" x14ac:dyDescent="0.2">
      <c r="B109" s="621"/>
      <c r="C109" s="621"/>
      <c r="D109" s="621"/>
      <c r="E109" s="621"/>
      <c r="F109" s="621"/>
      <c r="G109" s="621"/>
      <c r="H109" s="621"/>
      <c r="I109" s="621"/>
      <c r="J109" s="621"/>
      <c r="K109" s="621"/>
      <c r="L109" s="621"/>
      <c r="M109" s="621"/>
      <c r="N109" s="621"/>
      <c r="O109" s="621"/>
      <c r="P109" s="621"/>
    </row>
    <row r="110" spans="1:16" s="601" customFormat="1" ht="11.25" x14ac:dyDescent="0.2">
      <c r="A110" s="733" t="s">
        <v>77</v>
      </c>
      <c r="B110" s="715">
        <f>+B108</f>
        <v>0</v>
      </c>
      <c r="C110" s="734">
        <f>+C105+C108</f>
        <v>0</v>
      </c>
      <c r="D110" s="715">
        <f>+D108</f>
        <v>0</v>
      </c>
      <c r="E110" s="734">
        <f t="shared" ref="E110:P110" si="42">+E105+E108</f>
        <v>859</v>
      </c>
      <c r="F110" s="734">
        <f t="shared" si="42"/>
        <v>254.0019999999995</v>
      </c>
      <c r="G110" s="734">
        <f t="shared" si="42"/>
        <v>371.88500000000022</v>
      </c>
      <c r="H110" s="734">
        <f t="shared" si="42"/>
        <v>359.52699999999913</v>
      </c>
      <c r="I110" s="734">
        <f t="shared" si="42"/>
        <v>425.85499999999956</v>
      </c>
      <c r="J110" s="734">
        <f t="shared" si="42"/>
        <v>498.66800000000057</v>
      </c>
      <c r="K110" s="734">
        <f t="shared" si="42"/>
        <v>479.17213620000075</v>
      </c>
      <c r="L110" s="734">
        <f t="shared" si="42"/>
        <v>502.38530459699996</v>
      </c>
      <c r="M110" s="734">
        <f t="shared" si="42"/>
        <v>524.38278227148567</v>
      </c>
      <c r="N110" s="734">
        <f t="shared" si="42"/>
        <v>535.14404146515244</v>
      </c>
      <c r="O110" s="734">
        <f t="shared" si="42"/>
        <v>559.2652807689883</v>
      </c>
      <c r="P110" s="734">
        <f t="shared" si="42"/>
        <v>584.32977301543542</v>
      </c>
    </row>
    <row r="111" spans="1:16" s="601" customFormat="1" ht="10.5" customHeight="1" thickBot="1" x14ac:dyDescent="0.25">
      <c r="A111" s="739" t="s">
        <v>78</v>
      </c>
      <c r="B111" s="735">
        <v>0</v>
      </c>
      <c r="C111" s="735">
        <v>0</v>
      </c>
      <c r="D111" s="735">
        <v>0</v>
      </c>
      <c r="E111" s="735">
        <v>0</v>
      </c>
      <c r="F111" s="735"/>
      <c r="G111" s="735">
        <v>0</v>
      </c>
      <c r="H111" s="735">
        <v>0</v>
      </c>
      <c r="I111" s="735">
        <v>0</v>
      </c>
      <c r="J111" s="735">
        <v>0</v>
      </c>
      <c r="K111" s="735">
        <v>0</v>
      </c>
      <c r="L111" s="735">
        <v>0</v>
      </c>
      <c r="M111" s="735">
        <v>0</v>
      </c>
      <c r="N111" s="735">
        <v>0</v>
      </c>
      <c r="O111" s="735">
        <v>0</v>
      </c>
      <c r="P111" s="735">
        <v>0</v>
      </c>
    </row>
    <row r="112" spans="1:16" ht="3.75" customHeight="1" thickTop="1" x14ac:dyDescent="0.2">
      <c r="A112" s="726"/>
      <c r="B112" s="714"/>
      <c r="C112" s="714"/>
      <c r="D112" s="710"/>
      <c r="E112" s="710"/>
      <c r="F112" s="710"/>
      <c r="G112" s="710"/>
      <c r="H112" s="710"/>
      <c r="I112" s="710"/>
      <c r="J112" s="710"/>
      <c r="K112" s="710"/>
      <c r="L112" s="710"/>
      <c r="M112" s="710"/>
      <c r="N112" s="710"/>
      <c r="O112" s="710"/>
      <c r="P112" s="710"/>
    </row>
    <row r="113" spans="1:17" ht="31.5" customHeight="1" thickBot="1" x14ac:dyDescent="0.25">
      <c r="A113" s="705" t="s">
        <v>79</v>
      </c>
      <c r="B113" s="736">
        <f>+B108-B87-B89</f>
        <v>0</v>
      </c>
      <c r="C113" s="736">
        <f>+C108-C87-C89</f>
        <v>0</v>
      </c>
      <c r="D113" s="736">
        <f>+D108-D85-D88</f>
        <v>0</v>
      </c>
      <c r="E113" s="736">
        <f t="shared" ref="E113:P113" si="43">+E108-E85-E88</f>
        <v>762</v>
      </c>
      <c r="F113" s="736">
        <f t="shared" si="43"/>
        <v>204.0019999999995</v>
      </c>
      <c r="G113" s="736">
        <f t="shared" si="43"/>
        <v>321.88500000000022</v>
      </c>
      <c r="H113" s="736">
        <f t="shared" si="43"/>
        <v>309.52699999999913</v>
      </c>
      <c r="I113" s="736">
        <f t="shared" si="43"/>
        <v>375.85499999999956</v>
      </c>
      <c r="J113" s="736">
        <f t="shared" si="43"/>
        <v>448.66800000000057</v>
      </c>
      <c r="K113" s="736">
        <f t="shared" si="43"/>
        <v>428.17213620000075</v>
      </c>
      <c r="L113" s="736">
        <f t="shared" si="43"/>
        <v>450.36530459699998</v>
      </c>
      <c r="M113" s="736">
        <f t="shared" si="43"/>
        <v>472.36278227148568</v>
      </c>
      <c r="N113" s="736">
        <f t="shared" si="43"/>
        <v>483.12404146515246</v>
      </c>
      <c r="O113" s="736">
        <f t="shared" si="43"/>
        <v>507.24528076898832</v>
      </c>
      <c r="P113" s="736">
        <f t="shared" si="43"/>
        <v>532.30977301543544</v>
      </c>
    </row>
    <row r="114" spans="1:17" ht="4.5" customHeight="1" thickTop="1" x14ac:dyDescent="0.2">
      <c r="A114" s="705"/>
      <c r="B114" s="734"/>
      <c r="C114" s="734"/>
      <c r="D114" s="734"/>
      <c r="E114" s="734"/>
      <c r="F114" s="734"/>
      <c r="G114" s="734"/>
      <c r="H114" s="734"/>
      <c r="I114" s="734"/>
      <c r="J114" s="734"/>
      <c r="K114" s="734"/>
      <c r="L114" s="734"/>
      <c r="M114" s="734"/>
      <c r="N114" s="734"/>
      <c r="O114" s="734"/>
      <c r="P114" s="734"/>
    </row>
    <row r="115" spans="1:17" ht="11.25" x14ac:dyDescent="0.2">
      <c r="A115" s="730" t="s">
        <v>76</v>
      </c>
      <c r="B115" s="732">
        <f t="shared" ref="B115:P115" si="44">B108</f>
        <v>0</v>
      </c>
      <c r="C115" s="732">
        <f t="shared" si="44"/>
        <v>0</v>
      </c>
      <c r="D115" s="732">
        <f t="shared" si="44"/>
        <v>0</v>
      </c>
      <c r="E115" s="732">
        <f t="shared" si="44"/>
        <v>859</v>
      </c>
      <c r="F115" s="732">
        <f t="shared" si="44"/>
        <v>254.0019999999995</v>
      </c>
      <c r="G115" s="732">
        <f t="shared" si="44"/>
        <v>371.88500000000022</v>
      </c>
      <c r="H115" s="732">
        <f t="shared" si="44"/>
        <v>359.52699999999913</v>
      </c>
      <c r="I115" s="732">
        <f t="shared" si="44"/>
        <v>425.85499999999956</v>
      </c>
      <c r="J115" s="732">
        <f t="shared" si="44"/>
        <v>498.66800000000057</v>
      </c>
      <c r="K115" s="732">
        <f t="shared" si="44"/>
        <v>479.17213620000075</v>
      </c>
      <c r="L115" s="732">
        <f t="shared" si="44"/>
        <v>502.38530459699996</v>
      </c>
      <c r="M115" s="732">
        <f t="shared" si="44"/>
        <v>524.38278227148567</v>
      </c>
      <c r="N115" s="732">
        <f t="shared" si="44"/>
        <v>535.14404146515244</v>
      </c>
      <c r="O115" s="732">
        <f t="shared" si="44"/>
        <v>559.2652807689883</v>
      </c>
      <c r="P115" s="732">
        <f t="shared" si="44"/>
        <v>584.32977301543542</v>
      </c>
    </row>
    <row r="116" spans="1:17" ht="9.75" customHeight="1" x14ac:dyDescent="0.2">
      <c r="A116" s="737" t="s">
        <v>1015</v>
      </c>
      <c r="B116" s="734"/>
      <c r="C116" s="734"/>
      <c r="D116" s="734"/>
      <c r="E116" s="734"/>
      <c r="F116" s="734"/>
      <c r="G116" s="734"/>
      <c r="H116" s="734"/>
      <c r="I116" s="734"/>
      <c r="J116" s="734"/>
      <c r="K116" s="734"/>
      <c r="L116" s="734"/>
      <c r="M116" s="734"/>
      <c r="N116" s="734"/>
      <c r="O116" s="734"/>
      <c r="P116" s="734"/>
    </row>
    <row r="117" spans="1:17" ht="11.25" x14ac:dyDescent="0.2">
      <c r="A117" s="705" t="s">
        <v>1014</v>
      </c>
      <c r="B117" s="734"/>
      <c r="C117" s="734"/>
      <c r="D117" s="734">
        <v>-8350</v>
      </c>
      <c r="E117" s="734"/>
      <c r="F117" s="734"/>
      <c r="G117" s="734"/>
      <c r="H117" s="734"/>
      <c r="I117" s="734"/>
      <c r="J117" s="734"/>
      <c r="K117" s="734"/>
      <c r="L117" s="734"/>
      <c r="M117" s="734"/>
      <c r="N117" s="734"/>
      <c r="O117" s="734"/>
      <c r="P117" s="734"/>
    </row>
    <row r="118" spans="1:17" ht="1.5" customHeight="1" x14ac:dyDescent="0.2">
      <c r="A118" s="705"/>
      <c r="B118" s="734"/>
      <c r="C118" s="734"/>
      <c r="D118" s="734"/>
      <c r="E118" s="734"/>
      <c r="F118" s="734"/>
      <c r="G118" s="734"/>
      <c r="H118" s="734"/>
      <c r="I118" s="734"/>
      <c r="J118" s="734"/>
      <c r="K118" s="734"/>
      <c r="L118" s="734"/>
      <c r="M118" s="734"/>
      <c r="N118" s="734"/>
      <c r="O118" s="734"/>
      <c r="P118" s="734"/>
    </row>
    <row r="119" spans="1:17" ht="12" thickBot="1" x14ac:dyDescent="0.25">
      <c r="A119" s="705" t="s">
        <v>309</v>
      </c>
      <c r="B119" s="738">
        <f t="shared" ref="B119:P119" si="45">SUM(B115:B118)</f>
        <v>0</v>
      </c>
      <c r="C119" s="738">
        <f t="shared" si="45"/>
        <v>0</v>
      </c>
      <c r="D119" s="738">
        <f t="shared" si="45"/>
        <v>-8350</v>
      </c>
      <c r="E119" s="738">
        <f t="shared" si="45"/>
        <v>859</v>
      </c>
      <c r="F119" s="738">
        <f t="shared" si="45"/>
        <v>254.0019999999995</v>
      </c>
      <c r="G119" s="738">
        <f t="shared" si="45"/>
        <v>371.88500000000022</v>
      </c>
      <c r="H119" s="738">
        <f t="shared" si="45"/>
        <v>359.52699999999913</v>
      </c>
      <c r="I119" s="738">
        <f t="shared" si="45"/>
        <v>425.85499999999956</v>
      </c>
      <c r="J119" s="738">
        <f t="shared" si="45"/>
        <v>498.66800000000057</v>
      </c>
      <c r="K119" s="738">
        <f t="shared" si="45"/>
        <v>479.17213620000075</v>
      </c>
      <c r="L119" s="738">
        <f t="shared" si="45"/>
        <v>502.38530459699996</v>
      </c>
      <c r="M119" s="738">
        <f t="shared" si="45"/>
        <v>524.38278227148567</v>
      </c>
      <c r="N119" s="738">
        <f t="shared" si="45"/>
        <v>535.14404146515244</v>
      </c>
      <c r="O119" s="738">
        <f t="shared" si="45"/>
        <v>559.2652807689883</v>
      </c>
      <c r="P119" s="738">
        <f t="shared" si="45"/>
        <v>584.32977301543542</v>
      </c>
    </row>
    <row r="120" spans="1:17" ht="12" thickTop="1" x14ac:dyDescent="0.2">
      <c r="A120" s="616"/>
      <c r="B120" s="621"/>
      <c r="C120" s="621"/>
      <c r="D120" s="621"/>
      <c r="E120" s="621"/>
      <c r="F120" s="621"/>
      <c r="G120" s="621"/>
      <c r="H120" s="621"/>
      <c r="I120" s="621"/>
      <c r="J120" s="621"/>
      <c r="K120" s="621"/>
      <c r="L120" s="621"/>
      <c r="M120" s="621"/>
      <c r="N120" s="621"/>
      <c r="O120" s="621"/>
      <c r="P120" s="621"/>
    </row>
    <row r="121" spans="1:17" ht="11.25" hidden="1" outlineLevel="1" x14ac:dyDescent="0.2">
      <c r="A121" s="604" t="s">
        <v>1081</v>
      </c>
      <c r="B121" s="621"/>
      <c r="C121" s="621"/>
      <c r="D121" s="621"/>
      <c r="E121" s="622">
        <f>E51</f>
        <v>0</v>
      </c>
      <c r="F121" s="622">
        <f>F51</f>
        <v>3305</v>
      </c>
      <c r="G121" s="622">
        <f t="shared" ref="G121:J121" si="46">G51</f>
        <v>2255</v>
      </c>
      <c r="H121" s="622">
        <f t="shared" si="46"/>
        <v>1315</v>
      </c>
      <c r="I121" s="622">
        <f t="shared" si="46"/>
        <v>1135</v>
      </c>
      <c r="J121" s="622">
        <f t="shared" si="46"/>
        <v>1135</v>
      </c>
      <c r="K121" s="811">
        <f>J121*(1+'LTFP Assumptions'!$K$13)</f>
        <v>1157.7</v>
      </c>
      <c r="L121" s="811">
        <f>K121*(1+'LTFP Assumptions'!$K$13)</f>
        <v>1180.854</v>
      </c>
      <c r="M121" s="811">
        <f>L121*(1+'LTFP Assumptions'!$K$13)</f>
        <v>1204.47108</v>
      </c>
      <c r="N121" s="811">
        <f>M121*(1+'LTFP Assumptions'!$K$13)</f>
        <v>1228.5605016</v>
      </c>
      <c r="O121" s="811">
        <f>N121*(1+'LTFP Assumptions'!$K$13)</f>
        <v>1253.1317116319999</v>
      </c>
      <c r="P121" s="811">
        <f>O121*(1+'LTFP Assumptions'!$K$13)</f>
        <v>1278.1943458646399</v>
      </c>
      <c r="Q121" s="599" t="s">
        <v>32</v>
      </c>
    </row>
    <row r="122" spans="1:17" ht="11.25" hidden="1" outlineLevel="1" x14ac:dyDescent="0.2">
      <c r="A122" s="604"/>
      <c r="B122" s="621"/>
      <c r="C122" s="621"/>
      <c r="D122" s="621"/>
      <c r="E122" s="622"/>
      <c r="F122" s="622"/>
      <c r="G122" s="622"/>
      <c r="H122" s="622"/>
      <c r="I122" s="622"/>
      <c r="J122" s="622"/>
      <c r="K122" s="811">
        <f>J122*(1+'LTFP Assumptions'!$K$13)</f>
        <v>0</v>
      </c>
      <c r="L122" s="811">
        <f>K122*(1+'LTFP Assumptions'!$K$13)</f>
        <v>0</v>
      </c>
      <c r="M122" s="811">
        <f>L122*(1+'LTFP Assumptions'!$K$13)</f>
        <v>0</v>
      </c>
      <c r="N122" s="811">
        <f>M122*(1+'LTFP Assumptions'!$K$13)</f>
        <v>0</v>
      </c>
      <c r="O122" s="811">
        <f>N122*(1+'LTFP Assumptions'!$K$13)</f>
        <v>0</v>
      </c>
      <c r="P122" s="811">
        <f>O122*(1+'LTFP Assumptions'!$K$13)</f>
        <v>0</v>
      </c>
    </row>
    <row r="123" spans="1:17" ht="11.25" hidden="1" outlineLevel="1" x14ac:dyDescent="0.2">
      <c r="A123" s="604" t="s">
        <v>1082</v>
      </c>
      <c r="B123" s="621"/>
      <c r="C123" s="621"/>
      <c r="D123" s="621"/>
      <c r="E123" s="622">
        <f t="shared" ref="E123:F125" si="47">E53</f>
        <v>0</v>
      </c>
      <c r="F123" s="622">
        <f t="shared" si="47"/>
        <v>0</v>
      </c>
      <c r="G123" s="622">
        <f t="shared" ref="G123:J123" si="48">G53</f>
        <v>0</v>
      </c>
      <c r="H123" s="622">
        <f t="shared" si="48"/>
        <v>0</v>
      </c>
      <c r="I123" s="622">
        <f t="shared" si="48"/>
        <v>0</v>
      </c>
      <c r="J123" s="622">
        <f t="shared" si="48"/>
        <v>0</v>
      </c>
      <c r="K123" s="811">
        <f>J123*(1+'LTFP Assumptions'!$K$13)</f>
        <v>0</v>
      </c>
      <c r="L123" s="811">
        <f>K123*(1+'LTFP Assumptions'!$K$13)</f>
        <v>0</v>
      </c>
      <c r="M123" s="811">
        <f>L123*(1+'LTFP Assumptions'!$K$13)</f>
        <v>0</v>
      </c>
      <c r="N123" s="811">
        <f>M123*(1+'LTFP Assumptions'!$K$13)</f>
        <v>0</v>
      </c>
      <c r="O123" s="811">
        <f>N123*(1+'LTFP Assumptions'!$K$13)</f>
        <v>0</v>
      </c>
      <c r="P123" s="811">
        <f>O123*(1+'LTFP Assumptions'!$K$13)</f>
        <v>0</v>
      </c>
    </row>
    <row r="124" spans="1:17" ht="11.25" hidden="1" outlineLevel="1" x14ac:dyDescent="0.2">
      <c r="A124" s="604" t="s">
        <v>1083</v>
      </c>
      <c r="B124" s="621"/>
      <c r="C124" s="621"/>
      <c r="D124" s="621"/>
      <c r="E124" s="622">
        <f t="shared" si="47"/>
        <v>0</v>
      </c>
      <c r="F124" s="622">
        <f t="shared" si="47"/>
        <v>257.05099999999999</v>
      </c>
      <c r="G124" s="622">
        <f t="shared" ref="G124:J124" si="49">G54</f>
        <v>273.84699999999998</v>
      </c>
      <c r="H124" s="622">
        <f t="shared" si="49"/>
        <v>291.74400000000003</v>
      </c>
      <c r="I124" s="622">
        <f t="shared" si="49"/>
        <v>310.113</v>
      </c>
      <c r="J124" s="622">
        <f t="shared" si="49"/>
        <v>331.38900000000001</v>
      </c>
      <c r="K124" s="811">
        <f>IF(SUM('Water Fund  Bal Sheet'!J26+'Water Fund  Bal Sheet'!J32)&gt;0,J124*(1+'LTFP Assumptions'!$H$13),0)</f>
        <v>338.01678000000004</v>
      </c>
      <c r="L124" s="811">
        <f>IF(SUM('Water Fund  Bal Sheet'!K26+'Water Fund  Bal Sheet'!K32)&gt;0,K124*(1+'LTFP Assumptions'!$H$13),0)</f>
        <v>344.77711560000006</v>
      </c>
      <c r="M124" s="811">
        <f>IF(SUM('Water Fund  Bal Sheet'!L26+'Water Fund  Bal Sheet'!L32)&gt;0,L124*(1+'LTFP Assumptions'!$H$13),0)-28</f>
        <v>323.67265791200009</v>
      </c>
      <c r="N124" s="811">
        <f>IF(SUM('Water Fund  Bal Sheet'!M26+'Water Fund  Bal Sheet'!M32)&gt;0,M124*(1+'LTFP Assumptions'!$H$13),0)</f>
        <v>0</v>
      </c>
      <c r="O124" s="811">
        <f>IF(SUM('Water Fund  Bal Sheet'!N26+'Water Fund  Bal Sheet'!N32)&gt;0,N124*(1+'LTFP Assumptions'!$H$13),0)</f>
        <v>0</v>
      </c>
      <c r="P124" s="811">
        <f>IF(SUM('Water Fund  Bal Sheet'!O26+'Water Fund  Bal Sheet'!O32)&gt;0,O124*(1+'LTFP Assumptions'!$H$13),0)</f>
        <v>0</v>
      </c>
    </row>
    <row r="125" spans="1:17" ht="11.25" hidden="1" outlineLevel="1" x14ac:dyDescent="0.2">
      <c r="A125" s="604" t="s">
        <v>1089</v>
      </c>
      <c r="B125" s="621"/>
      <c r="C125" s="621"/>
      <c r="D125" s="621"/>
      <c r="E125" s="622">
        <f t="shared" si="47"/>
        <v>0</v>
      </c>
      <c r="F125" s="622">
        <f t="shared" si="47"/>
        <v>50</v>
      </c>
      <c r="G125" s="622">
        <f t="shared" ref="G125:J125" si="50">G55</f>
        <v>50</v>
      </c>
      <c r="H125" s="622">
        <f t="shared" si="50"/>
        <v>50</v>
      </c>
      <c r="I125" s="622">
        <f t="shared" si="50"/>
        <v>290.86</v>
      </c>
      <c r="J125" s="622">
        <f t="shared" si="50"/>
        <v>371.15</v>
      </c>
      <c r="K125" s="811">
        <f>J125*(1+'LTFP Assumptions'!$K$13)</f>
        <v>378.57299999999998</v>
      </c>
      <c r="L125" s="811">
        <f>K125*(1+'LTFP Assumptions'!$K$13)</f>
        <v>386.14445999999998</v>
      </c>
      <c r="M125" s="811">
        <f>L125*(1+'LTFP Assumptions'!$K$13)</f>
        <v>393.86734919999998</v>
      </c>
      <c r="N125" s="811">
        <f>M125*(1+'LTFP Assumptions'!$K$13)</f>
        <v>401.74469618399996</v>
      </c>
      <c r="O125" s="811">
        <f>N125*(1+'LTFP Assumptions'!$K$13)</f>
        <v>409.77959010767995</v>
      </c>
      <c r="P125" s="811">
        <f>O125*(1+'LTFP Assumptions'!$K$13)</f>
        <v>417.97518190983357</v>
      </c>
    </row>
    <row r="126" spans="1:17" ht="11.25" hidden="1" outlineLevel="1" x14ac:dyDescent="0.2">
      <c r="A126" s="604"/>
      <c r="B126" s="621"/>
      <c r="C126" s="621"/>
      <c r="D126" s="771">
        <f>SUM(D121:D125)</f>
        <v>0</v>
      </c>
      <c r="E126" s="771">
        <f t="shared" ref="E126:P126" si="51">SUM(E121:E125)</f>
        <v>0</v>
      </c>
      <c r="F126" s="771">
        <f t="shared" si="51"/>
        <v>3612.0509999999999</v>
      </c>
      <c r="G126" s="771">
        <f t="shared" si="51"/>
        <v>2578.8469999999998</v>
      </c>
      <c r="H126" s="771">
        <f t="shared" si="51"/>
        <v>1656.7440000000001</v>
      </c>
      <c r="I126" s="771">
        <f t="shared" si="51"/>
        <v>1735.973</v>
      </c>
      <c r="J126" s="771">
        <f t="shared" si="51"/>
        <v>1837.5390000000002</v>
      </c>
      <c r="K126" s="771">
        <f t="shared" si="51"/>
        <v>1874.2897800000001</v>
      </c>
      <c r="L126" s="771">
        <f t="shared" si="51"/>
        <v>1911.7755756000001</v>
      </c>
      <c r="M126" s="771">
        <f t="shared" si="51"/>
        <v>1922.0110871120003</v>
      </c>
      <c r="N126" s="771">
        <f t="shared" si="51"/>
        <v>1630.305197784</v>
      </c>
      <c r="O126" s="771">
        <f t="shared" si="51"/>
        <v>1662.9113017396799</v>
      </c>
      <c r="P126" s="771">
        <f t="shared" si="51"/>
        <v>1696.1695277744734</v>
      </c>
    </row>
    <row r="127" spans="1:17" s="608" customFormat="1" ht="11.25" hidden="1" outlineLevel="1" x14ac:dyDescent="0.2">
      <c r="A127" s="623" t="s">
        <v>1084</v>
      </c>
      <c r="B127" s="621"/>
      <c r="C127" s="621"/>
      <c r="D127" s="621"/>
      <c r="E127" s="621"/>
      <c r="F127" s="621"/>
      <c r="G127" s="621"/>
      <c r="H127" s="621"/>
      <c r="I127" s="621"/>
      <c r="J127" s="621"/>
      <c r="K127" s="621"/>
      <c r="L127" s="621"/>
      <c r="M127" s="621"/>
      <c r="N127" s="621"/>
      <c r="O127" s="621"/>
      <c r="P127" s="621"/>
    </row>
    <row r="128" spans="1:17" ht="11.25" hidden="1" outlineLevel="1" x14ac:dyDescent="0.2">
      <c r="A128" s="604" t="s">
        <v>931</v>
      </c>
      <c r="B128" s="621"/>
      <c r="C128" s="621"/>
      <c r="D128" s="621"/>
      <c r="E128" s="622">
        <f>E58</f>
        <v>0</v>
      </c>
      <c r="F128" s="622">
        <f>F58</f>
        <v>204.00200000000001</v>
      </c>
      <c r="G128" s="622">
        <f t="shared" ref="G128:J128" si="52">G58</f>
        <v>321.88499999999999</v>
      </c>
      <c r="H128" s="622">
        <f t="shared" si="52"/>
        <v>309.52699999999999</v>
      </c>
      <c r="I128" s="622">
        <f t="shared" si="52"/>
        <v>375.85500000000002</v>
      </c>
      <c r="J128" s="622">
        <f t="shared" si="52"/>
        <v>448.66800000000001</v>
      </c>
      <c r="K128" s="621">
        <f>K108</f>
        <v>479.17213620000075</v>
      </c>
      <c r="L128" s="621">
        <f t="shared" ref="L128:P128" si="53">L108</f>
        <v>502.38530459699996</v>
      </c>
      <c r="M128" s="621">
        <f t="shared" si="53"/>
        <v>524.38278227148567</v>
      </c>
      <c r="N128" s="621">
        <f t="shared" si="53"/>
        <v>535.14404146515244</v>
      </c>
      <c r="O128" s="621">
        <f t="shared" si="53"/>
        <v>559.2652807689883</v>
      </c>
      <c r="P128" s="621">
        <f t="shared" si="53"/>
        <v>584.32977301543542</v>
      </c>
    </row>
    <row r="129" spans="1:16" ht="11.25" hidden="1" outlineLevel="1" x14ac:dyDescent="0.2">
      <c r="A129" s="604" t="s">
        <v>244</v>
      </c>
      <c r="B129" s="621"/>
      <c r="C129" s="621"/>
      <c r="D129" s="621"/>
      <c r="E129" s="622">
        <f t="shared" ref="E129:F129" si="54">E59</f>
        <v>0</v>
      </c>
      <c r="F129" s="622">
        <f t="shared" si="54"/>
        <v>50</v>
      </c>
      <c r="G129" s="622">
        <f t="shared" ref="G129:J129" si="55">G59</f>
        <v>50</v>
      </c>
      <c r="H129" s="622">
        <f t="shared" si="55"/>
        <v>50</v>
      </c>
      <c r="I129" s="622">
        <f t="shared" si="55"/>
        <v>50</v>
      </c>
      <c r="J129" s="622">
        <f t="shared" si="55"/>
        <v>50</v>
      </c>
      <c r="K129" s="621">
        <f>J129*(1+'LTFP Assumptions'!J12)</f>
        <v>51</v>
      </c>
      <c r="L129" s="621">
        <f>K129*(1+'LTFP Assumptions'!K12)</f>
        <v>52.02</v>
      </c>
      <c r="M129" s="621">
        <f>L129*(1+'LTFP Assumptions'!L12)</f>
        <v>52.02</v>
      </c>
      <c r="N129" s="621">
        <f>M129*(1+'LTFP Assumptions'!M12)</f>
        <v>52.02</v>
      </c>
      <c r="O129" s="621">
        <f>N129*(1+'LTFP Assumptions'!N12)</f>
        <v>52.02</v>
      </c>
      <c r="P129" s="621">
        <f>O129*(1+'LTFP Assumptions'!O12)</f>
        <v>52.02</v>
      </c>
    </row>
    <row r="130" spans="1:16" ht="11.25" hidden="1" outlineLevel="1" x14ac:dyDescent="0.2">
      <c r="A130" s="604" t="s">
        <v>1085</v>
      </c>
      <c r="B130" s="621"/>
      <c r="C130" s="621"/>
      <c r="D130" s="621"/>
      <c r="E130" s="622">
        <f t="shared" ref="E130:F130" si="56">E60</f>
        <v>0</v>
      </c>
      <c r="F130" s="622">
        <f t="shared" si="56"/>
        <v>0</v>
      </c>
      <c r="G130" s="622">
        <f t="shared" ref="G130:J130" si="57">G60</f>
        <v>0</v>
      </c>
      <c r="H130" s="622">
        <f t="shared" si="57"/>
        <v>0</v>
      </c>
      <c r="I130" s="622">
        <f t="shared" si="57"/>
        <v>0</v>
      </c>
      <c r="J130" s="622">
        <f t="shared" si="57"/>
        <v>0</v>
      </c>
      <c r="K130" s="621"/>
      <c r="L130" s="621"/>
      <c r="M130" s="621"/>
      <c r="N130" s="621"/>
      <c r="O130" s="621"/>
      <c r="P130" s="621"/>
    </row>
    <row r="131" spans="1:16" ht="11.25" hidden="1" outlineLevel="1" x14ac:dyDescent="0.2">
      <c r="A131" s="604" t="s">
        <v>1086</v>
      </c>
      <c r="B131" s="621"/>
      <c r="C131" s="621"/>
      <c r="D131" s="621"/>
      <c r="E131" s="622">
        <f t="shared" ref="E131:P132" si="58">E61</f>
        <v>0</v>
      </c>
      <c r="F131" s="622">
        <f t="shared" si="58"/>
        <v>0</v>
      </c>
      <c r="G131" s="622">
        <f t="shared" si="58"/>
        <v>0</v>
      </c>
      <c r="H131" s="622">
        <f t="shared" si="58"/>
        <v>0</v>
      </c>
      <c r="I131" s="622">
        <f t="shared" si="58"/>
        <v>0</v>
      </c>
      <c r="J131" s="622">
        <f t="shared" si="58"/>
        <v>0</v>
      </c>
      <c r="K131" s="621"/>
      <c r="L131" s="621"/>
      <c r="M131" s="621"/>
      <c r="N131" s="621"/>
      <c r="O131" s="621"/>
      <c r="P131" s="621"/>
    </row>
    <row r="132" spans="1:16" ht="11.25" hidden="1" outlineLevel="1" x14ac:dyDescent="0.2">
      <c r="A132" s="604" t="s">
        <v>33</v>
      </c>
      <c r="B132" s="621">
        <f>+B97</f>
        <v>0</v>
      </c>
      <c r="C132" s="621">
        <f>C97</f>
        <v>0</v>
      </c>
      <c r="D132" s="621">
        <f>D97</f>
        <v>0</v>
      </c>
      <c r="E132" s="622">
        <f t="shared" ref="E132:F132" si="59">E62</f>
        <v>1482</v>
      </c>
      <c r="F132" s="622">
        <f t="shared" si="59"/>
        <v>1501.2719999999999</v>
      </c>
      <c r="G132" s="622">
        <f t="shared" si="58"/>
        <v>1254.7</v>
      </c>
      <c r="H132" s="622">
        <f t="shared" si="58"/>
        <v>1282.067</v>
      </c>
      <c r="I132" s="622">
        <f t="shared" si="58"/>
        <v>1310.1179999999999</v>
      </c>
      <c r="J132" s="622">
        <f t="shared" si="58"/>
        <v>1338.8710000000001</v>
      </c>
      <c r="K132" s="622">
        <f t="shared" si="58"/>
        <v>1675.5859499999999</v>
      </c>
      <c r="L132" s="622">
        <f t="shared" si="58"/>
        <v>1717.4755987499998</v>
      </c>
      <c r="M132" s="622">
        <f t="shared" si="58"/>
        <v>1760.4124887187497</v>
      </c>
      <c r="N132" s="622">
        <f t="shared" si="58"/>
        <v>1804.4228009367182</v>
      </c>
      <c r="O132" s="622">
        <f t="shared" si="58"/>
        <v>1849.5333709601359</v>
      </c>
      <c r="P132" s="622">
        <f t="shared" si="58"/>
        <v>1895.7717052341391</v>
      </c>
    </row>
    <row r="133" spans="1:16" ht="11.25" hidden="1" outlineLevel="1" x14ac:dyDescent="0.2">
      <c r="A133" s="604" t="s">
        <v>22</v>
      </c>
      <c r="B133" s="621"/>
      <c r="C133" s="621"/>
      <c r="D133" s="621"/>
      <c r="E133" s="622">
        <f t="shared" ref="E133:F133" si="60">E63</f>
        <v>0</v>
      </c>
      <c r="F133" s="622">
        <f t="shared" si="60"/>
        <v>1856.777</v>
      </c>
      <c r="G133" s="622">
        <f t="shared" ref="G133:J133" si="61">G63</f>
        <v>952.26199999999994</v>
      </c>
      <c r="H133" s="622">
        <f t="shared" si="61"/>
        <v>15.14</v>
      </c>
      <c r="I133" s="622">
        <f t="shared" si="61"/>
        <v>0</v>
      </c>
      <c r="J133" s="622">
        <f t="shared" si="61"/>
        <v>0</v>
      </c>
      <c r="K133" s="811">
        <f>J133*(1+'LTFP Assumptions'!$K$13)</f>
        <v>0</v>
      </c>
      <c r="L133" s="811">
        <f>K133*(1+'LTFP Assumptions'!$K$13)</f>
        <v>0</v>
      </c>
      <c r="M133" s="811">
        <f>L133*(1+'LTFP Assumptions'!$K$13)</f>
        <v>0</v>
      </c>
      <c r="N133" s="811">
        <f>M133*(1+'LTFP Assumptions'!$K$13)</f>
        <v>0</v>
      </c>
      <c r="O133" s="811">
        <f>N133*(1+'LTFP Assumptions'!$K$13)</f>
        <v>0</v>
      </c>
      <c r="P133" s="811">
        <f>O133*(1+'LTFP Assumptions'!$K$13)</f>
        <v>0</v>
      </c>
    </row>
    <row r="134" spans="1:16" ht="11.25" hidden="1" outlineLevel="1" x14ac:dyDescent="0.2">
      <c r="A134" s="604" t="s">
        <v>1087</v>
      </c>
      <c r="B134" s="621"/>
      <c r="C134" s="621"/>
      <c r="D134" s="621"/>
      <c r="E134" s="622">
        <f t="shared" ref="E134:F134" si="62">E64</f>
        <v>0</v>
      </c>
      <c r="F134" s="622">
        <f t="shared" si="62"/>
        <v>0</v>
      </c>
      <c r="G134" s="622">
        <f t="shared" ref="G134:J134" si="63">G64</f>
        <v>0</v>
      </c>
      <c r="H134" s="622">
        <f t="shared" si="63"/>
        <v>0</v>
      </c>
      <c r="I134" s="622">
        <f t="shared" si="63"/>
        <v>0</v>
      </c>
      <c r="J134" s="622">
        <f t="shared" si="63"/>
        <v>0</v>
      </c>
      <c r="K134" s="621"/>
      <c r="L134" s="621"/>
      <c r="M134" s="621"/>
      <c r="N134" s="621"/>
      <c r="O134" s="621"/>
      <c r="P134" s="621"/>
    </row>
    <row r="135" spans="1:16" ht="11.25" hidden="1" outlineLevel="1" x14ac:dyDescent="0.2">
      <c r="A135" s="604" t="s">
        <v>1088</v>
      </c>
      <c r="B135" s="621"/>
      <c r="C135" s="621"/>
      <c r="D135" s="621"/>
      <c r="E135" s="622">
        <f t="shared" ref="E135:F135" si="64">E65</f>
        <v>0</v>
      </c>
      <c r="F135" s="622">
        <f t="shared" si="64"/>
        <v>0</v>
      </c>
      <c r="G135" s="621"/>
      <c r="H135" s="621"/>
      <c r="I135" s="621"/>
      <c r="J135" s="621"/>
      <c r="K135" s="621"/>
      <c r="L135" s="621"/>
      <c r="M135" s="621"/>
      <c r="N135" s="621"/>
      <c r="O135" s="621"/>
      <c r="P135" s="621"/>
    </row>
    <row r="136" spans="1:16" ht="11.25" hidden="1" outlineLevel="1" x14ac:dyDescent="0.2">
      <c r="A136" s="604"/>
      <c r="B136" s="621"/>
      <c r="C136" s="621"/>
      <c r="D136" s="771">
        <f t="shared" ref="D136:P136" si="65">SUM(D128:D135)</f>
        <v>0</v>
      </c>
      <c r="E136" s="771">
        <f t="shared" si="65"/>
        <v>1482</v>
      </c>
      <c r="F136" s="771">
        <f t="shared" si="65"/>
        <v>3612.0509999999999</v>
      </c>
      <c r="G136" s="771">
        <f t="shared" si="65"/>
        <v>2578.8469999999998</v>
      </c>
      <c r="H136" s="771">
        <f t="shared" si="65"/>
        <v>1656.7340000000002</v>
      </c>
      <c r="I136" s="771">
        <f t="shared" si="65"/>
        <v>1735.973</v>
      </c>
      <c r="J136" s="771">
        <f t="shared" si="65"/>
        <v>1837.5390000000002</v>
      </c>
      <c r="K136" s="771">
        <f t="shared" si="65"/>
        <v>2205.7580862000004</v>
      </c>
      <c r="L136" s="771">
        <f t="shared" si="65"/>
        <v>2271.8809033469997</v>
      </c>
      <c r="M136" s="771">
        <f t="shared" si="65"/>
        <v>2336.8152709902351</v>
      </c>
      <c r="N136" s="771">
        <f t="shared" si="65"/>
        <v>2391.5868424018709</v>
      </c>
      <c r="O136" s="771">
        <f t="shared" si="65"/>
        <v>2460.8186517291242</v>
      </c>
      <c r="P136" s="771">
        <f t="shared" si="65"/>
        <v>2532.1214782495745</v>
      </c>
    </row>
    <row r="137" spans="1:16" ht="11.25" hidden="1" outlineLevel="1" x14ac:dyDescent="0.2">
      <c r="A137" s="599"/>
      <c r="B137" s="621"/>
      <c r="C137" s="621"/>
      <c r="D137" s="622"/>
      <c r="E137" s="622"/>
      <c r="F137" s="622"/>
      <c r="G137" s="622"/>
      <c r="H137" s="622"/>
      <c r="I137" s="622"/>
      <c r="J137" s="624"/>
      <c r="K137" s="624"/>
      <c r="L137" s="624"/>
      <c r="M137" s="624"/>
      <c r="N137" s="624"/>
      <c r="O137" s="624"/>
      <c r="P137" s="624"/>
    </row>
    <row r="138" spans="1:16" ht="11.25" hidden="1" outlineLevel="1" x14ac:dyDescent="0.2">
      <c r="A138" s="604"/>
      <c r="B138" s="621"/>
      <c r="C138" s="621"/>
      <c r="D138" s="621"/>
      <c r="E138" s="621"/>
      <c r="F138" s="621"/>
      <c r="G138" s="621"/>
      <c r="H138" s="621"/>
      <c r="I138" s="621"/>
      <c r="J138" s="621"/>
      <c r="K138" s="621"/>
      <c r="L138" s="621"/>
      <c r="M138" s="621"/>
      <c r="N138" s="621"/>
      <c r="O138" s="621"/>
      <c r="P138" s="621"/>
    </row>
    <row r="139" spans="1:16" ht="11.25" hidden="1" outlineLevel="1" x14ac:dyDescent="0.2">
      <c r="A139" s="604" t="s">
        <v>34</v>
      </c>
      <c r="B139" s="621">
        <f>+B108+SUM(B121:B138)</f>
        <v>0</v>
      </c>
      <c r="C139" s="621">
        <f>+C108+SUM(C121:C138)</f>
        <v>0</v>
      </c>
      <c r="D139" s="625">
        <f>D136-D126</f>
        <v>0</v>
      </c>
      <c r="E139" s="625">
        <f t="shared" ref="E139:P139" si="66">E136-E126</f>
        <v>1482</v>
      </c>
      <c r="F139" s="625">
        <f t="shared" si="66"/>
        <v>0</v>
      </c>
      <c r="G139" s="625">
        <f t="shared" si="66"/>
        <v>0</v>
      </c>
      <c r="H139" s="625">
        <f t="shared" si="66"/>
        <v>-9.9999999999909051E-3</v>
      </c>
      <c r="I139" s="625">
        <f t="shared" si="66"/>
        <v>0</v>
      </c>
      <c r="J139" s="625">
        <f t="shared" si="66"/>
        <v>0</v>
      </c>
      <c r="K139" s="625">
        <f t="shared" si="66"/>
        <v>331.46830620000037</v>
      </c>
      <c r="L139" s="625">
        <f t="shared" si="66"/>
        <v>360.10532774699959</v>
      </c>
      <c r="M139" s="625">
        <f t="shared" si="66"/>
        <v>414.80418387823488</v>
      </c>
      <c r="N139" s="625">
        <f t="shared" si="66"/>
        <v>761.28164461787082</v>
      </c>
      <c r="O139" s="625">
        <f t="shared" si="66"/>
        <v>797.90734998944436</v>
      </c>
      <c r="P139" s="625">
        <f t="shared" si="66"/>
        <v>835.95195047510106</v>
      </c>
    </row>
    <row r="140" spans="1:16" ht="11.25" hidden="1" outlineLevel="1" x14ac:dyDescent="0.2">
      <c r="A140" s="600" t="s">
        <v>451</v>
      </c>
      <c r="C140" s="606">
        <f>B141</f>
        <v>0</v>
      </c>
      <c r="D140" s="606">
        <f t="shared" ref="D140:E140" si="67">C141</f>
        <v>0</v>
      </c>
      <c r="E140" s="606">
        <f t="shared" si="67"/>
        <v>0</v>
      </c>
      <c r="F140" s="606">
        <v>0</v>
      </c>
      <c r="G140" s="606">
        <f t="shared" ref="G140:P140" si="68">F141</f>
        <v>0</v>
      </c>
      <c r="H140" s="606">
        <f t="shared" si="68"/>
        <v>0</v>
      </c>
      <c r="I140" s="606">
        <f t="shared" si="68"/>
        <v>-9.9999999999909051E-3</v>
      </c>
      <c r="J140" s="606">
        <f t="shared" si="68"/>
        <v>-9.9999999999909051E-3</v>
      </c>
      <c r="K140" s="606">
        <f t="shared" si="68"/>
        <v>-9.9999999999909051E-3</v>
      </c>
      <c r="L140" s="606">
        <f t="shared" si="68"/>
        <v>331.45830620000038</v>
      </c>
      <c r="M140" s="606">
        <f t="shared" si="68"/>
        <v>691.56363394699997</v>
      </c>
      <c r="N140" s="606">
        <f t="shared" si="68"/>
        <v>1106.3678178252349</v>
      </c>
      <c r="O140" s="606">
        <f t="shared" si="68"/>
        <v>1867.6494624431057</v>
      </c>
      <c r="P140" s="606">
        <f t="shared" si="68"/>
        <v>2665.55681243255</v>
      </c>
    </row>
    <row r="141" spans="1:16" ht="11.25" hidden="1" outlineLevel="1" x14ac:dyDescent="0.2">
      <c r="A141" s="620" t="s">
        <v>452</v>
      </c>
      <c r="B141" s="626"/>
      <c r="C141" s="627">
        <f>SUM(C139:C140)</f>
        <v>0</v>
      </c>
      <c r="D141" s="627">
        <f t="shared" ref="D141:P141" si="69">SUM(D139:D140)</f>
        <v>0</v>
      </c>
      <c r="E141" s="627">
        <f t="shared" si="69"/>
        <v>1482</v>
      </c>
      <c r="F141" s="627">
        <f t="shared" si="69"/>
        <v>0</v>
      </c>
      <c r="G141" s="627">
        <f t="shared" si="69"/>
        <v>0</v>
      </c>
      <c r="H141" s="627">
        <f t="shared" si="69"/>
        <v>-9.9999999999909051E-3</v>
      </c>
      <c r="I141" s="627">
        <f t="shared" si="69"/>
        <v>-9.9999999999909051E-3</v>
      </c>
      <c r="J141" s="627">
        <f t="shared" si="69"/>
        <v>-9.9999999999909051E-3</v>
      </c>
      <c r="K141" s="627">
        <f t="shared" si="69"/>
        <v>331.45830620000038</v>
      </c>
      <c r="L141" s="627">
        <f t="shared" si="69"/>
        <v>691.56363394699997</v>
      </c>
      <c r="M141" s="627">
        <f t="shared" si="69"/>
        <v>1106.3678178252349</v>
      </c>
      <c r="N141" s="627">
        <f t="shared" si="69"/>
        <v>1867.6494624431057</v>
      </c>
      <c r="O141" s="627">
        <f t="shared" si="69"/>
        <v>2665.55681243255</v>
      </c>
      <c r="P141" s="627">
        <f t="shared" si="69"/>
        <v>3501.5087629076511</v>
      </c>
    </row>
    <row r="142" spans="1:16" ht="11.25" hidden="1" outlineLevel="1" x14ac:dyDescent="0.2">
      <c r="A142" s="620"/>
      <c r="B142" s="626"/>
      <c r="C142" s="627"/>
      <c r="D142" s="627"/>
      <c r="E142" s="627"/>
      <c r="F142" s="627"/>
      <c r="G142" s="627"/>
      <c r="H142" s="627"/>
      <c r="I142" s="627"/>
      <c r="J142" s="627"/>
      <c r="K142" s="627"/>
      <c r="L142" s="627"/>
      <c r="M142" s="627"/>
      <c r="N142" s="627"/>
      <c r="O142" s="627"/>
      <c r="P142" s="627"/>
    </row>
    <row r="143" spans="1:16" ht="12.75" collapsed="1" x14ac:dyDescent="0.2">
      <c r="A143" s="1091" t="s">
        <v>1363</v>
      </c>
    </row>
    <row r="144" spans="1:16" ht="12" x14ac:dyDescent="0.2">
      <c r="A144" s="635" t="s">
        <v>1066</v>
      </c>
      <c r="B144" s="586" t="s">
        <v>69</v>
      </c>
      <c r="C144" s="586" t="s">
        <v>69</v>
      </c>
      <c r="D144" s="586" t="s">
        <v>69</v>
      </c>
      <c r="E144" s="586" t="s">
        <v>69</v>
      </c>
      <c r="F144" s="586" t="s">
        <v>70</v>
      </c>
      <c r="G144" s="586" t="s">
        <v>70</v>
      </c>
      <c r="H144" s="586" t="s">
        <v>71</v>
      </c>
      <c r="I144" s="586" t="s">
        <v>71</v>
      </c>
      <c r="J144" s="586" t="s">
        <v>71</v>
      </c>
      <c r="K144" s="586" t="s">
        <v>71</v>
      </c>
      <c r="L144" s="586" t="s">
        <v>71</v>
      </c>
      <c r="M144" s="586" t="s">
        <v>71</v>
      </c>
      <c r="N144" s="586" t="s">
        <v>71</v>
      </c>
      <c r="O144" s="586" t="s">
        <v>71</v>
      </c>
      <c r="P144" s="586" t="s">
        <v>71</v>
      </c>
    </row>
    <row r="145" spans="1:16" ht="11.25" x14ac:dyDescent="0.2">
      <c r="A145" s="598" t="s">
        <v>73</v>
      </c>
      <c r="B145" s="741" t="s">
        <v>68</v>
      </c>
      <c r="C145" s="694" t="s">
        <v>0</v>
      </c>
      <c r="D145" s="694" t="s">
        <v>1</v>
      </c>
      <c r="E145" s="694" t="s">
        <v>2</v>
      </c>
      <c r="F145" s="694" t="s">
        <v>3</v>
      </c>
      <c r="G145" s="694" t="s">
        <v>4</v>
      </c>
      <c r="H145" s="694" t="s">
        <v>5</v>
      </c>
      <c r="I145" s="694" t="s">
        <v>6</v>
      </c>
      <c r="J145" s="694" t="s">
        <v>7</v>
      </c>
      <c r="K145" s="694" t="s">
        <v>8</v>
      </c>
      <c r="L145" s="694" t="s">
        <v>9</v>
      </c>
      <c r="M145" s="694" t="s">
        <v>514</v>
      </c>
      <c r="N145" s="694" t="s">
        <v>515</v>
      </c>
      <c r="O145" s="694" t="s">
        <v>904</v>
      </c>
      <c r="P145" s="694" t="s">
        <v>1046</v>
      </c>
    </row>
    <row r="146" spans="1:16" ht="11.25" x14ac:dyDescent="0.2">
      <c r="A146" s="604" t="s">
        <v>61</v>
      </c>
    </row>
    <row r="147" spans="1:16" ht="11.25" x14ac:dyDescent="0.2">
      <c r="A147" s="607" t="s">
        <v>62</v>
      </c>
    </row>
    <row r="148" spans="1:16" ht="11.25" x14ac:dyDescent="0.2">
      <c r="A148" s="600" t="s">
        <v>11</v>
      </c>
      <c r="B148" s="606">
        <f t="shared" ref="B148:C153" si="70">+B11</f>
        <v>0</v>
      </c>
      <c r="C148" s="606">
        <f t="shared" si="70"/>
        <v>0</v>
      </c>
      <c r="D148" s="606">
        <f>D80</f>
        <v>0</v>
      </c>
      <c r="E148" s="606">
        <f t="shared" ref="E148:P148" si="71">E80</f>
        <v>1380</v>
      </c>
      <c r="F148" s="606">
        <f t="shared" si="71"/>
        <v>1580</v>
      </c>
      <c r="G148" s="606">
        <f t="shared" si="71"/>
        <v>1485</v>
      </c>
      <c r="H148" s="606">
        <f t="shared" si="71"/>
        <v>1498.365</v>
      </c>
      <c r="I148" s="606">
        <f t="shared" si="71"/>
        <v>1511.85</v>
      </c>
      <c r="J148" s="606">
        <f t="shared" si="71"/>
        <v>1525.4559999999999</v>
      </c>
      <c r="K148" s="606">
        <f t="shared" si="71"/>
        <v>1563.5923999999998</v>
      </c>
      <c r="L148" s="606">
        <f t="shared" si="71"/>
        <v>1602.6822099999997</v>
      </c>
      <c r="M148" s="606">
        <f t="shared" si="71"/>
        <v>1642.7492652499996</v>
      </c>
      <c r="N148" s="606">
        <f t="shared" si="71"/>
        <v>1683.8179968812494</v>
      </c>
      <c r="O148" s="606">
        <f t="shared" si="71"/>
        <v>1725.9134468032805</v>
      </c>
      <c r="P148" s="606">
        <f t="shared" si="71"/>
        <v>1769.0612829733625</v>
      </c>
    </row>
    <row r="149" spans="1:16" ht="11.25" x14ac:dyDescent="0.2">
      <c r="A149" s="600" t="s">
        <v>12</v>
      </c>
      <c r="B149" s="606">
        <f t="shared" si="70"/>
        <v>0</v>
      </c>
      <c r="C149" s="606">
        <f t="shared" si="70"/>
        <v>0</v>
      </c>
      <c r="D149" s="606">
        <f t="shared" ref="D149:P149" si="72">D81</f>
        <v>0</v>
      </c>
      <c r="E149" s="606">
        <f t="shared" si="72"/>
        <v>3422</v>
      </c>
      <c r="F149" s="606">
        <f t="shared" si="72"/>
        <v>3719.15</v>
      </c>
      <c r="G149" s="606">
        <f t="shared" si="72"/>
        <v>3922.375</v>
      </c>
      <c r="H149" s="606">
        <f t="shared" si="72"/>
        <v>4115.482</v>
      </c>
      <c r="I149" s="606">
        <f t="shared" si="72"/>
        <v>4318.1729999999998</v>
      </c>
      <c r="J149" s="606">
        <f t="shared" si="72"/>
        <v>4530.9430000000002</v>
      </c>
      <c r="K149" s="606">
        <f t="shared" si="72"/>
        <v>4621.5618600000007</v>
      </c>
      <c r="L149" s="606">
        <f t="shared" si="72"/>
        <v>4713.9930972000011</v>
      </c>
      <c r="M149" s="606">
        <f t="shared" si="72"/>
        <v>4808.2729591440011</v>
      </c>
      <c r="N149" s="606">
        <f t="shared" si="72"/>
        <v>4904.4384183268812</v>
      </c>
      <c r="O149" s="606">
        <f t="shared" si="72"/>
        <v>5002.527186693419</v>
      </c>
      <c r="P149" s="606">
        <f t="shared" si="72"/>
        <v>5102.5777304272879</v>
      </c>
    </row>
    <row r="150" spans="1:16" ht="11.25" x14ac:dyDescent="0.2">
      <c r="A150" s="600" t="s">
        <v>13</v>
      </c>
      <c r="B150" s="606">
        <f t="shared" si="70"/>
        <v>0</v>
      </c>
      <c r="C150" s="606">
        <f t="shared" si="70"/>
        <v>0</v>
      </c>
      <c r="D150" s="606">
        <f t="shared" ref="D150:P150" si="73">D82</f>
        <v>0</v>
      </c>
      <c r="E150" s="606">
        <f t="shared" si="73"/>
        <v>976</v>
      </c>
      <c r="F150" s="606">
        <f t="shared" si="73"/>
        <v>868</v>
      </c>
      <c r="G150" s="606">
        <f t="shared" si="73"/>
        <v>819</v>
      </c>
      <c r="H150" s="606">
        <f t="shared" si="73"/>
        <v>739.62</v>
      </c>
      <c r="I150" s="606">
        <f t="shared" si="73"/>
        <v>740.55200000000002</v>
      </c>
      <c r="J150" s="606">
        <f t="shared" si="73"/>
        <v>740.89700000000005</v>
      </c>
      <c r="K150" s="606">
        <f t="shared" si="73"/>
        <v>724.10723999999993</v>
      </c>
      <c r="L150" s="606">
        <f t="shared" si="73"/>
        <v>750.46889224799986</v>
      </c>
      <c r="M150" s="606">
        <f t="shared" si="73"/>
        <v>778.23808375787985</v>
      </c>
      <c r="N150" s="606">
        <f t="shared" si="73"/>
        <v>808.50414508100937</v>
      </c>
      <c r="O150" s="606">
        <f t="shared" si="73"/>
        <v>852.9443987130843</v>
      </c>
      <c r="P150" s="606">
        <f t="shared" si="73"/>
        <v>899.17107631696911</v>
      </c>
    </row>
    <row r="151" spans="1:16" ht="11.25" x14ac:dyDescent="0.2">
      <c r="A151" s="600" t="s">
        <v>14</v>
      </c>
      <c r="B151" s="606">
        <f t="shared" si="70"/>
        <v>0</v>
      </c>
      <c r="C151" s="606">
        <f t="shared" si="70"/>
        <v>0</v>
      </c>
      <c r="D151" s="606">
        <f t="shared" ref="D151:P151" si="74">D83</f>
        <v>0</v>
      </c>
      <c r="E151" s="606">
        <f t="shared" si="74"/>
        <v>241</v>
      </c>
      <c r="F151" s="606">
        <f t="shared" si="74"/>
        <v>0</v>
      </c>
      <c r="G151" s="606">
        <f t="shared" si="74"/>
        <v>0</v>
      </c>
      <c r="H151" s="606">
        <f t="shared" si="74"/>
        <v>0</v>
      </c>
      <c r="I151" s="606">
        <f t="shared" si="74"/>
        <v>0</v>
      </c>
      <c r="J151" s="606">
        <f t="shared" si="74"/>
        <v>0</v>
      </c>
      <c r="K151" s="606">
        <f t="shared" si="74"/>
        <v>0</v>
      </c>
      <c r="L151" s="606">
        <f t="shared" si="74"/>
        <v>0</v>
      </c>
      <c r="M151" s="606">
        <f t="shared" si="74"/>
        <v>0</v>
      </c>
      <c r="N151" s="606">
        <f t="shared" si="74"/>
        <v>0</v>
      </c>
      <c r="O151" s="606">
        <f t="shared" si="74"/>
        <v>0</v>
      </c>
      <c r="P151" s="606">
        <f t="shared" si="74"/>
        <v>0</v>
      </c>
    </row>
    <row r="152" spans="1:16" ht="22.5" x14ac:dyDescent="0.2">
      <c r="A152" s="600" t="s">
        <v>15</v>
      </c>
      <c r="B152" s="606">
        <f t="shared" si="70"/>
        <v>0</v>
      </c>
      <c r="C152" s="606">
        <f t="shared" si="70"/>
        <v>0</v>
      </c>
      <c r="D152" s="606">
        <f t="shared" ref="D152:P152" si="75">D84</f>
        <v>0</v>
      </c>
      <c r="E152" s="606">
        <f t="shared" si="75"/>
        <v>36</v>
      </c>
      <c r="F152" s="606">
        <f t="shared" si="75"/>
        <v>38.5</v>
      </c>
      <c r="G152" s="606">
        <f t="shared" si="75"/>
        <v>34.5</v>
      </c>
      <c r="H152" s="606">
        <f t="shared" si="75"/>
        <v>35.19</v>
      </c>
      <c r="I152" s="606">
        <f t="shared" si="75"/>
        <v>35.893000000000001</v>
      </c>
      <c r="J152" s="606">
        <f t="shared" si="75"/>
        <v>36.610999999999997</v>
      </c>
      <c r="K152" s="606">
        <f t="shared" si="75"/>
        <v>37.526274999999991</v>
      </c>
      <c r="L152" s="606">
        <f t="shared" si="75"/>
        <v>38.464431874999988</v>
      </c>
      <c r="M152" s="606">
        <f t="shared" si="75"/>
        <v>39.426042671874981</v>
      </c>
      <c r="N152" s="606">
        <f t="shared" si="75"/>
        <v>40.41169373867185</v>
      </c>
      <c r="O152" s="606">
        <f t="shared" si="75"/>
        <v>41.421986082138645</v>
      </c>
      <c r="P152" s="606">
        <f t="shared" si="75"/>
        <v>42.457535734192106</v>
      </c>
    </row>
    <row r="153" spans="1:16" ht="22.5" x14ac:dyDescent="0.2">
      <c r="A153" s="600" t="s">
        <v>18</v>
      </c>
      <c r="B153" s="606">
        <f t="shared" si="70"/>
        <v>0</v>
      </c>
      <c r="C153" s="606">
        <f t="shared" si="70"/>
        <v>0</v>
      </c>
      <c r="D153" s="606">
        <f t="shared" ref="D153:P154" si="76">D85</f>
        <v>0</v>
      </c>
      <c r="E153" s="606">
        <f t="shared" si="76"/>
        <v>88</v>
      </c>
      <c r="F153" s="606">
        <f t="shared" si="76"/>
        <v>50</v>
      </c>
      <c r="G153" s="606">
        <f t="shared" si="76"/>
        <v>50</v>
      </c>
      <c r="H153" s="606">
        <f t="shared" si="76"/>
        <v>50</v>
      </c>
      <c r="I153" s="606">
        <f t="shared" si="76"/>
        <v>50</v>
      </c>
      <c r="J153" s="606">
        <f t="shared" si="76"/>
        <v>50</v>
      </c>
      <c r="K153" s="606">
        <f t="shared" si="76"/>
        <v>51</v>
      </c>
      <c r="L153" s="606">
        <f t="shared" si="76"/>
        <v>52.02</v>
      </c>
      <c r="M153" s="606">
        <f t="shared" si="76"/>
        <v>52.02</v>
      </c>
      <c r="N153" s="606">
        <f t="shared" si="76"/>
        <v>52.02</v>
      </c>
      <c r="O153" s="606">
        <f t="shared" si="76"/>
        <v>52.02</v>
      </c>
      <c r="P153" s="606">
        <f t="shared" si="76"/>
        <v>52.02</v>
      </c>
    </row>
    <row r="154" spans="1:16" x14ac:dyDescent="0.2">
      <c r="A154" s="1149" t="s">
        <v>1180</v>
      </c>
      <c r="B154" s="606"/>
      <c r="C154" s="606"/>
      <c r="D154" s="606">
        <f t="shared" si="76"/>
        <v>0</v>
      </c>
      <c r="E154" s="606">
        <f t="shared" si="76"/>
        <v>0</v>
      </c>
      <c r="F154" s="606">
        <f t="shared" si="76"/>
        <v>0</v>
      </c>
      <c r="G154" s="606">
        <f t="shared" si="76"/>
        <v>0</v>
      </c>
      <c r="H154" s="606">
        <f t="shared" si="76"/>
        <v>0</v>
      </c>
      <c r="I154" s="606">
        <f t="shared" si="76"/>
        <v>0</v>
      </c>
      <c r="J154" s="606">
        <f t="shared" si="76"/>
        <v>0</v>
      </c>
      <c r="K154" s="606">
        <f t="shared" si="76"/>
        <v>0</v>
      </c>
      <c r="L154" s="606">
        <f t="shared" si="76"/>
        <v>0</v>
      </c>
      <c r="M154" s="606">
        <f t="shared" si="76"/>
        <v>0</v>
      </c>
      <c r="N154" s="606">
        <f t="shared" si="76"/>
        <v>0</v>
      </c>
      <c r="O154" s="606">
        <f t="shared" si="76"/>
        <v>0</v>
      </c>
      <c r="P154" s="606">
        <f t="shared" si="76"/>
        <v>0</v>
      </c>
    </row>
    <row r="155" spans="1:16" x14ac:dyDescent="0.2">
      <c r="A155" s="607" t="s">
        <v>63</v>
      </c>
      <c r="B155" s="606"/>
      <c r="C155" s="606"/>
      <c r="D155" s="606">
        <f t="shared" ref="D155:P155" si="77">D87</f>
        <v>0</v>
      </c>
      <c r="E155" s="606">
        <f t="shared" si="77"/>
        <v>0</v>
      </c>
      <c r="F155" s="606">
        <f t="shared" si="77"/>
        <v>0</v>
      </c>
      <c r="G155" s="606">
        <f t="shared" si="77"/>
        <v>0</v>
      </c>
      <c r="H155" s="606">
        <f t="shared" si="77"/>
        <v>0</v>
      </c>
      <c r="I155" s="606">
        <f t="shared" si="77"/>
        <v>0</v>
      </c>
      <c r="J155" s="606">
        <f t="shared" si="77"/>
        <v>0</v>
      </c>
      <c r="K155" s="606">
        <f t="shared" si="77"/>
        <v>0</v>
      </c>
      <c r="L155" s="606">
        <f t="shared" si="77"/>
        <v>0</v>
      </c>
      <c r="M155" s="606">
        <f t="shared" si="77"/>
        <v>0</v>
      </c>
      <c r="N155" s="606">
        <f t="shared" si="77"/>
        <v>0</v>
      </c>
      <c r="O155" s="606">
        <f t="shared" si="77"/>
        <v>0</v>
      </c>
      <c r="P155" s="606">
        <f t="shared" si="77"/>
        <v>0</v>
      </c>
    </row>
    <row r="156" spans="1:16" x14ac:dyDescent="0.2">
      <c r="A156" s="764" t="s">
        <v>74</v>
      </c>
      <c r="B156" s="765">
        <f>+B19</f>
        <v>0</v>
      </c>
      <c r="C156" s="765">
        <f>+C19</f>
        <v>0</v>
      </c>
      <c r="D156" s="606">
        <f t="shared" ref="D156:P156" si="78">D88</f>
        <v>0</v>
      </c>
      <c r="E156" s="606">
        <f t="shared" si="78"/>
        <v>9</v>
      </c>
      <c r="F156" s="606">
        <f t="shared" si="78"/>
        <v>0</v>
      </c>
      <c r="G156" s="606">
        <f t="shared" si="78"/>
        <v>0</v>
      </c>
      <c r="H156" s="606">
        <f t="shared" si="78"/>
        <v>0</v>
      </c>
      <c r="I156" s="606">
        <f t="shared" si="78"/>
        <v>0</v>
      </c>
      <c r="J156" s="606">
        <f t="shared" si="78"/>
        <v>0</v>
      </c>
      <c r="K156" s="606">
        <f t="shared" si="78"/>
        <v>0</v>
      </c>
      <c r="L156" s="606">
        <f t="shared" si="78"/>
        <v>0</v>
      </c>
      <c r="M156" s="606">
        <f t="shared" si="78"/>
        <v>0</v>
      </c>
      <c r="N156" s="606">
        <f t="shared" si="78"/>
        <v>0</v>
      </c>
      <c r="O156" s="606">
        <f t="shared" si="78"/>
        <v>0</v>
      </c>
      <c r="P156" s="606">
        <f t="shared" si="78"/>
        <v>0</v>
      </c>
    </row>
    <row r="157" spans="1:16" x14ac:dyDescent="0.2">
      <c r="A157" s="758" t="s">
        <v>1047</v>
      </c>
      <c r="B157" s="765"/>
      <c r="C157" s="765"/>
      <c r="D157" s="606">
        <f t="shared" ref="D157:P157" si="79">D89</f>
        <v>0</v>
      </c>
      <c r="E157" s="606">
        <f t="shared" si="79"/>
        <v>0</v>
      </c>
      <c r="F157" s="606">
        <f t="shared" si="79"/>
        <v>0</v>
      </c>
      <c r="G157" s="606">
        <f t="shared" si="79"/>
        <v>0</v>
      </c>
      <c r="H157" s="606">
        <f t="shared" si="79"/>
        <v>0</v>
      </c>
      <c r="I157" s="606">
        <f t="shared" si="79"/>
        <v>0</v>
      </c>
      <c r="J157" s="606">
        <f t="shared" si="79"/>
        <v>0</v>
      </c>
      <c r="K157" s="606">
        <f t="shared" si="79"/>
        <v>0</v>
      </c>
      <c r="L157" s="606">
        <f t="shared" si="79"/>
        <v>0</v>
      </c>
      <c r="M157" s="606">
        <f t="shared" si="79"/>
        <v>0</v>
      </c>
      <c r="N157" s="606">
        <f t="shared" si="79"/>
        <v>0</v>
      </c>
      <c r="O157" s="606">
        <f t="shared" si="79"/>
        <v>0</v>
      </c>
      <c r="P157" s="606">
        <f t="shared" si="79"/>
        <v>0</v>
      </c>
    </row>
    <row r="158" spans="1:16" x14ac:dyDescent="0.2">
      <c r="A158" s="604" t="s">
        <v>64</v>
      </c>
      <c r="B158" s="766">
        <f>SUM(B148:B156)</f>
        <v>0</v>
      </c>
      <c r="C158" s="766">
        <f t="shared" ref="C158" si="80">SUM(C148:C156)</f>
        <v>0</v>
      </c>
      <c r="D158" s="767">
        <f>SUM(D148:D157)</f>
        <v>0</v>
      </c>
      <c r="E158" s="767">
        <f t="shared" ref="E158:P158" si="81">SUM(E148:E157)</f>
        <v>6152</v>
      </c>
      <c r="F158" s="767">
        <f t="shared" si="81"/>
        <v>6255.65</v>
      </c>
      <c r="G158" s="767">
        <f t="shared" si="81"/>
        <v>6310.875</v>
      </c>
      <c r="H158" s="767">
        <f t="shared" si="81"/>
        <v>6438.6569999999992</v>
      </c>
      <c r="I158" s="767">
        <f t="shared" si="81"/>
        <v>6656.4679999999989</v>
      </c>
      <c r="J158" s="767">
        <f t="shared" si="81"/>
        <v>6883.9070000000002</v>
      </c>
      <c r="K158" s="767">
        <f t="shared" si="81"/>
        <v>6997.7877750000007</v>
      </c>
      <c r="L158" s="767">
        <f t="shared" si="81"/>
        <v>7157.6286313230012</v>
      </c>
      <c r="M158" s="767">
        <f t="shared" si="81"/>
        <v>7320.7063508237561</v>
      </c>
      <c r="N158" s="767">
        <f t="shared" si="81"/>
        <v>7489.1922540278119</v>
      </c>
      <c r="O158" s="767">
        <f t="shared" si="81"/>
        <v>7674.8270182919232</v>
      </c>
      <c r="P158" s="767">
        <f t="shared" si="81"/>
        <v>7865.2876254518123</v>
      </c>
    </row>
    <row r="159" spans="1:16" ht="7.5" customHeight="1" x14ac:dyDescent="0.2"/>
    <row r="160" spans="1:16" x14ac:dyDescent="0.2">
      <c r="A160" s="604" t="s">
        <v>65</v>
      </c>
    </row>
    <row r="161" spans="1:17" x14ac:dyDescent="0.2">
      <c r="A161" s="600" t="s">
        <v>25</v>
      </c>
      <c r="B161" s="606">
        <f>+B23</f>
        <v>0</v>
      </c>
      <c r="C161" s="606">
        <f>+C23</f>
        <v>0</v>
      </c>
      <c r="D161" s="606">
        <f>D93</f>
        <v>0</v>
      </c>
      <c r="E161" s="606">
        <f t="shared" ref="E161:P161" si="82">E93</f>
        <v>1007</v>
      </c>
      <c r="F161" s="606">
        <f t="shared" si="82"/>
        <v>977.89</v>
      </c>
      <c r="G161" s="606">
        <f t="shared" si="82"/>
        <v>1129.55</v>
      </c>
      <c r="H161" s="606">
        <f t="shared" si="82"/>
        <v>1172.491</v>
      </c>
      <c r="I161" s="606">
        <f t="shared" si="82"/>
        <v>1217.242</v>
      </c>
      <c r="J161" s="606">
        <f t="shared" si="82"/>
        <v>1263.922</v>
      </c>
      <c r="K161" s="606">
        <f t="shared" si="82"/>
        <v>1301.8396600000001</v>
      </c>
      <c r="L161" s="606">
        <f t="shared" si="82"/>
        <v>1340.8948498000002</v>
      </c>
      <c r="M161" s="606">
        <f t="shared" si="82"/>
        <v>1381.1216952940003</v>
      </c>
      <c r="N161" s="606">
        <f t="shared" si="82"/>
        <v>1422.5553461528204</v>
      </c>
      <c r="O161" s="606">
        <f t="shared" si="82"/>
        <v>1465.2320065374051</v>
      </c>
      <c r="P161" s="606">
        <f t="shared" si="82"/>
        <v>1509.1889667335274</v>
      </c>
    </row>
    <row r="162" spans="1:17" x14ac:dyDescent="0.2">
      <c r="A162" s="600" t="s">
        <v>926</v>
      </c>
      <c r="B162" s="606"/>
      <c r="C162" s="606"/>
      <c r="D162" s="606">
        <f t="shared" ref="D162:J162" si="83">D94</f>
        <v>0</v>
      </c>
      <c r="E162" s="606">
        <f t="shared" si="83"/>
        <v>171</v>
      </c>
      <c r="F162" s="606">
        <f t="shared" si="83"/>
        <v>161.286</v>
      </c>
      <c r="G162" s="606">
        <f t="shared" si="83"/>
        <v>144.54</v>
      </c>
      <c r="H162" s="606">
        <f t="shared" si="83"/>
        <v>120.66</v>
      </c>
      <c r="I162" s="606">
        <f t="shared" si="83"/>
        <v>102.289</v>
      </c>
      <c r="J162" s="606">
        <f t="shared" si="83"/>
        <v>81.013999999999996</v>
      </c>
      <c r="K162" s="1310">
        <f>J162+(('Water Fund  Bal Sheet'!K118+'Water Fund  Bal Sheet'!K124)-('Water Fund  Bal Sheet'!J118+'Water Fund  Bal Sheet'!J124))*'LTFP Assumptions'!$H$18</f>
        <v>67.4933288</v>
      </c>
      <c r="L162" s="1310">
        <f>K162+(('Water Fund  Bal Sheet'!L118+'Water Fund  Bal Sheet'!L124)-('Water Fund  Bal Sheet'!K118+'Water Fund  Bal Sheet'!K124))*'LTFP Assumptions'!$H$18</f>
        <v>53.702244175999994</v>
      </c>
      <c r="M162" s="1310">
        <f>L162+(('Water Fund  Bal Sheet'!M118+'Water Fund  Bal Sheet'!M124)-('Water Fund  Bal Sheet'!L118+'Water Fund  Bal Sheet'!L124))*'LTFP Assumptions'!$H$18</f>
        <v>40.75533785951999</v>
      </c>
      <c r="N162" s="1310">
        <f>M162+(('Water Fund  Bal Sheet'!N118+'Water Fund  Bal Sheet'!N124)-('Water Fund  Bal Sheet'!M118+'Water Fund  Bal Sheet'!M124))*'LTFP Assumptions'!$H$18</f>
        <v>40.75533785951999</v>
      </c>
      <c r="O162" s="1310">
        <f>N162+(('Water Fund  Bal Sheet'!O118+'Water Fund  Bal Sheet'!O124)-('Water Fund  Bal Sheet'!N118+'Water Fund  Bal Sheet'!N124))*'LTFP Assumptions'!$H$18</f>
        <v>40.75533785951999</v>
      </c>
      <c r="P162" s="1310">
        <f>O162+(('Water Fund  Bal Sheet'!P118+'Water Fund  Bal Sheet'!P124)-('Water Fund  Bal Sheet'!O118+'Water Fund  Bal Sheet'!O124))*'LTFP Assumptions'!$H$18</f>
        <v>40.75533785951999</v>
      </c>
    </row>
    <row r="163" spans="1:17" x14ac:dyDescent="0.2">
      <c r="A163" s="600" t="s">
        <v>27</v>
      </c>
      <c r="B163" s="606">
        <f>+B25</f>
        <v>0</v>
      </c>
      <c r="C163" s="606">
        <f>+C25</f>
        <v>0</v>
      </c>
      <c r="D163" s="606">
        <f t="shared" ref="D163:P164" si="84">D95</f>
        <v>0</v>
      </c>
      <c r="E163" s="606">
        <f t="shared" si="84"/>
        <v>2370</v>
      </c>
      <c r="F163" s="606">
        <f t="shared" si="84"/>
        <v>1785.2</v>
      </c>
      <c r="G163" s="606">
        <f t="shared" si="84"/>
        <v>1589.6</v>
      </c>
      <c r="H163" s="606">
        <f t="shared" si="84"/>
        <v>1632.152</v>
      </c>
      <c r="I163" s="606">
        <f t="shared" si="84"/>
        <v>1676.3050000000001</v>
      </c>
      <c r="J163" s="606">
        <f t="shared" si="84"/>
        <v>1722.162</v>
      </c>
      <c r="K163" s="606">
        <f t="shared" si="84"/>
        <v>1756.6052400000001</v>
      </c>
      <c r="L163" s="606">
        <f t="shared" si="84"/>
        <v>1791.7373448000001</v>
      </c>
      <c r="M163" s="606">
        <f t="shared" si="84"/>
        <v>1827.5720916960001</v>
      </c>
      <c r="N163" s="606">
        <f t="shared" si="84"/>
        <v>1864.1235335299202</v>
      </c>
      <c r="O163" s="606">
        <f t="shared" si="84"/>
        <v>1901.4060042005187</v>
      </c>
      <c r="P163" s="606">
        <f t="shared" si="84"/>
        <v>1939.4341242845292</v>
      </c>
    </row>
    <row r="164" spans="1:17" x14ac:dyDescent="0.2">
      <c r="A164" s="600" t="s">
        <v>1077</v>
      </c>
      <c r="B164" s="606"/>
      <c r="C164" s="606"/>
      <c r="D164" s="606">
        <f t="shared" si="84"/>
        <v>0</v>
      </c>
      <c r="E164" s="606">
        <f t="shared" si="84"/>
        <v>0</v>
      </c>
      <c r="F164" s="606">
        <f t="shared" si="84"/>
        <v>1228</v>
      </c>
      <c r="G164" s="606">
        <f t="shared" si="84"/>
        <v>1254.7</v>
      </c>
      <c r="H164" s="606">
        <f t="shared" si="84"/>
        <v>1282.067</v>
      </c>
      <c r="I164" s="606">
        <f t="shared" si="84"/>
        <v>1310.1179999999999</v>
      </c>
      <c r="J164" s="606">
        <f t="shared" si="84"/>
        <v>1338.8710000000001</v>
      </c>
      <c r="K164" s="606">
        <f t="shared" si="84"/>
        <v>1365.6484200000002</v>
      </c>
      <c r="L164" s="606">
        <f t="shared" si="84"/>
        <v>1392.9613884000003</v>
      </c>
      <c r="M164" s="606">
        <f t="shared" si="84"/>
        <v>1420.8206161680002</v>
      </c>
      <c r="N164" s="606">
        <f t="shared" si="84"/>
        <v>1449.2370284913602</v>
      </c>
      <c r="O164" s="606">
        <f t="shared" si="84"/>
        <v>1478.2217690611874</v>
      </c>
      <c r="P164" s="606">
        <f t="shared" si="84"/>
        <v>1507.7862044424112</v>
      </c>
    </row>
    <row r="165" spans="1:17" x14ac:dyDescent="0.2">
      <c r="A165" s="600" t="s">
        <v>29</v>
      </c>
      <c r="B165" s="606">
        <f>+B27</f>
        <v>0</v>
      </c>
      <c r="C165" s="606">
        <f>+C27</f>
        <v>0</v>
      </c>
      <c r="D165" s="606">
        <f t="shared" ref="D165:P165" si="85">D97</f>
        <v>0</v>
      </c>
      <c r="E165" s="606">
        <f t="shared" si="85"/>
        <v>1482</v>
      </c>
      <c r="F165" s="606">
        <f t="shared" si="85"/>
        <v>1501.2719999999999</v>
      </c>
      <c r="G165" s="606">
        <f t="shared" si="85"/>
        <v>1518.1</v>
      </c>
      <c r="H165" s="606">
        <f t="shared" si="85"/>
        <v>1555.95</v>
      </c>
      <c r="I165" s="606">
        <f t="shared" si="85"/>
        <v>1594.848</v>
      </c>
      <c r="J165" s="606">
        <f t="shared" si="85"/>
        <v>1634.7180000000001</v>
      </c>
      <c r="K165" s="606">
        <f t="shared" si="85"/>
        <v>1675.5859499999999</v>
      </c>
      <c r="L165" s="606">
        <f t="shared" si="85"/>
        <v>1717.4755987499998</v>
      </c>
      <c r="M165" s="606">
        <f t="shared" si="85"/>
        <v>1760.4124887187497</v>
      </c>
      <c r="N165" s="606">
        <f t="shared" si="85"/>
        <v>1804.4228009367182</v>
      </c>
      <c r="O165" s="606">
        <f t="shared" si="85"/>
        <v>1849.5333709601359</v>
      </c>
      <c r="P165" s="606">
        <f t="shared" si="85"/>
        <v>1895.7717052341391</v>
      </c>
    </row>
    <row r="166" spans="1:17" x14ac:dyDescent="0.2">
      <c r="A166" s="600" t="str">
        <f>A98</f>
        <v>Impairment</v>
      </c>
      <c r="B166" s="606"/>
      <c r="C166" s="606"/>
      <c r="D166" s="606">
        <f t="shared" ref="D166:P166" si="86">D98</f>
        <v>0</v>
      </c>
      <c r="E166" s="606">
        <f t="shared" si="86"/>
        <v>0</v>
      </c>
      <c r="F166" s="606">
        <f t="shared" si="86"/>
        <v>0</v>
      </c>
      <c r="G166" s="606">
        <f t="shared" si="86"/>
        <v>0</v>
      </c>
      <c r="H166" s="606">
        <f t="shared" si="86"/>
        <v>0</v>
      </c>
      <c r="I166" s="606">
        <f t="shared" si="86"/>
        <v>0</v>
      </c>
      <c r="J166" s="606">
        <f t="shared" si="86"/>
        <v>0</v>
      </c>
      <c r="K166" s="606">
        <f t="shared" si="86"/>
        <v>0</v>
      </c>
      <c r="L166" s="606">
        <f t="shared" si="86"/>
        <v>0</v>
      </c>
      <c r="M166" s="606">
        <f t="shared" si="86"/>
        <v>0</v>
      </c>
      <c r="N166" s="606">
        <f t="shared" si="86"/>
        <v>0</v>
      </c>
      <c r="O166" s="606">
        <f t="shared" si="86"/>
        <v>0</v>
      </c>
      <c r="P166" s="606">
        <f t="shared" si="86"/>
        <v>0</v>
      </c>
      <c r="Q166" s="606">
        <f>+Q28</f>
        <v>0</v>
      </c>
    </row>
    <row r="167" spans="1:17" x14ac:dyDescent="0.2">
      <c r="A167" s="600" t="str">
        <f>A99</f>
        <v>Net Losses from the disposal of assets</v>
      </c>
      <c r="B167" s="606"/>
      <c r="C167" s="606"/>
      <c r="D167" s="606">
        <f t="shared" ref="D167:P167" si="87">D99</f>
        <v>0</v>
      </c>
      <c r="E167" s="606">
        <f t="shared" si="87"/>
        <v>0</v>
      </c>
      <c r="F167" s="606">
        <f t="shared" si="87"/>
        <v>0</v>
      </c>
      <c r="G167" s="606">
        <f t="shared" si="87"/>
        <v>0</v>
      </c>
      <c r="H167" s="606">
        <f t="shared" si="87"/>
        <v>0</v>
      </c>
      <c r="I167" s="606">
        <f t="shared" si="87"/>
        <v>0</v>
      </c>
      <c r="J167" s="606">
        <f t="shared" si="87"/>
        <v>0</v>
      </c>
      <c r="K167" s="606">
        <f t="shared" si="87"/>
        <v>0</v>
      </c>
      <c r="L167" s="606">
        <f t="shared" si="87"/>
        <v>0</v>
      </c>
      <c r="M167" s="606">
        <f t="shared" si="87"/>
        <v>0</v>
      </c>
      <c r="N167" s="606">
        <f t="shared" si="87"/>
        <v>0</v>
      </c>
      <c r="O167" s="606">
        <f t="shared" si="87"/>
        <v>0</v>
      </c>
      <c r="P167" s="606">
        <f t="shared" si="87"/>
        <v>0</v>
      </c>
      <c r="Q167" s="606">
        <f>+Q29</f>
        <v>0</v>
      </c>
    </row>
    <row r="168" spans="1:17" x14ac:dyDescent="0.2">
      <c r="A168" s="614" t="s">
        <v>28</v>
      </c>
      <c r="B168" s="606">
        <f>+B30</f>
        <v>0</v>
      </c>
      <c r="C168" s="606">
        <f>+C30</f>
        <v>0</v>
      </c>
      <c r="D168" s="606">
        <f t="shared" ref="D168:P168" si="88">D100</f>
        <v>0</v>
      </c>
      <c r="E168" s="606">
        <f t="shared" si="88"/>
        <v>263</v>
      </c>
      <c r="F168" s="606">
        <f t="shared" si="88"/>
        <v>348</v>
      </c>
      <c r="G168" s="606">
        <f t="shared" si="88"/>
        <v>302.5</v>
      </c>
      <c r="H168" s="606">
        <f t="shared" si="88"/>
        <v>315.81</v>
      </c>
      <c r="I168" s="606">
        <f t="shared" si="88"/>
        <v>329.81099999999998</v>
      </c>
      <c r="J168" s="606">
        <f t="shared" si="88"/>
        <v>344.55200000000002</v>
      </c>
      <c r="K168" s="606">
        <f t="shared" si="88"/>
        <v>351.44304000000005</v>
      </c>
      <c r="L168" s="606">
        <f t="shared" si="88"/>
        <v>358.47190080000007</v>
      </c>
      <c r="M168" s="606">
        <f t="shared" si="88"/>
        <v>365.64133881600009</v>
      </c>
      <c r="N168" s="606">
        <f t="shared" si="88"/>
        <v>372.95416559232007</v>
      </c>
      <c r="O168" s="606">
        <f t="shared" si="88"/>
        <v>380.41324890416649</v>
      </c>
      <c r="P168" s="606">
        <f t="shared" si="88"/>
        <v>388.02151388224985</v>
      </c>
    </row>
    <row r="169" spans="1:17" x14ac:dyDescent="0.2">
      <c r="A169" s="604" t="s">
        <v>66</v>
      </c>
      <c r="B169" s="610">
        <f>SUM(B161:B168)</f>
        <v>0</v>
      </c>
      <c r="C169" s="610">
        <f t="shared" ref="C169:P169" si="89">SUM(C161:C168)</f>
        <v>0</v>
      </c>
      <c r="D169" s="610">
        <f t="shared" si="89"/>
        <v>0</v>
      </c>
      <c r="E169" s="610">
        <f t="shared" si="89"/>
        <v>5293</v>
      </c>
      <c r="F169" s="610">
        <f t="shared" si="89"/>
        <v>6001.6480000000001</v>
      </c>
      <c r="G169" s="610">
        <f t="shared" si="89"/>
        <v>5938.99</v>
      </c>
      <c r="H169" s="610">
        <f t="shared" si="89"/>
        <v>6079.13</v>
      </c>
      <c r="I169" s="610">
        <f t="shared" si="89"/>
        <v>6230.6129999999994</v>
      </c>
      <c r="J169" s="610">
        <f t="shared" si="89"/>
        <v>6385.2389999999996</v>
      </c>
      <c r="K169" s="610">
        <f t="shared" si="89"/>
        <v>6518.6156387999999</v>
      </c>
      <c r="L169" s="610">
        <f t="shared" si="89"/>
        <v>6655.2433267260012</v>
      </c>
      <c r="M169" s="610">
        <f t="shared" si="89"/>
        <v>6796.3235685522704</v>
      </c>
      <c r="N169" s="610">
        <f t="shared" si="89"/>
        <v>6954.0482125626595</v>
      </c>
      <c r="O169" s="610">
        <f t="shared" si="89"/>
        <v>7115.5617375229349</v>
      </c>
      <c r="P169" s="610">
        <f t="shared" si="89"/>
        <v>7280.9578524363769</v>
      </c>
    </row>
    <row r="170" spans="1:17" ht="6" customHeight="1" x14ac:dyDescent="0.2"/>
    <row r="171" spans="1:17" ht="10.8" thickBot="1" x14ac:dyDescent="0.25">
      <c r="A171" s="604" t="s">
        <v>67</v>
      </c>
      <c r="B171" s="636">
        <f t="shared" ref="B171:P171" si="90">+B158-B169</f>
        <v>0</v>
      </c>
      <c r="C171" s="636">
        <f t="shared" si="90"/>
        <v>0</v>
      </c>
      <c r="D171" s="636">
        <f t="shared" si="90"/>
        <v>0</v>
      </c>
      <c r="E171" s="636">
        <f t="shared" si="90"/>
        <v>859</v>
      </c>
      <c r="F171" s="636">
        <f t="shared" si="90"/>
        <v>254.0019999999995</v>
      </c>
      <c r="G171" s="636">
        <f t="shared" si="90"/>
        <v>371.88500000000022</v>
      </c>
      <c r="H171" s="636">
        <f t="shared" si="90"/>
        <v>359.52699999999913</v>
      </c>
      <c r="I171" s="636">
        <f t="shared" si="90"/>
        <v>425.85499999999956</v>
      </c>
      <c r="J171" s="636">
        <f t="shared" si="90"/>
        <v>498.66800000000057</v>
      </c>
      <c r="K171" s="636">
        <f t="shared" si="90"/>
        <v>479.17213620000075</v>
      </c>
      <c r="L171" s="636">
        <f t="shared" si="90"/>
        <v>502.38530459699996</v>
      </c>
      <c r="M171" s="636">
        <f t="shared" si="90"/>
        <v>524.38278227148567</v>
      </c>
      <c r="N171" s="636">
        <f t="shared" si="90"/>
        <v>535.14404146515244</v>
      </c>
      <c r="O171" s="636">
        <f t="shared" si="90"/>
        <v>559.2652807689883</v>
      </c>
      <c r="P171" s="636">
        <f t="shared" si="90"/>
        <v>584.32977301543542</v>
      </c>
    </row>
    <row r="172" spans="1:17" ht="5.25" customHeight="1" x14ac:dyDescent="0.2">
      <c r="A172" s="616"/>
      <c r="B172" s="621"/>
      <c r="C172" s="621"/>
      <c r="D172" s="621"/>
      <c r="E172" s="621"/>
      <c r="F172" s="621"/>
      <c r="G172" s="621"/>
      <c r="H172" s="621"/>
      <c r="I172" s="621"/>
      <c r="J172" s="621"/>
      <c r="K172" s="621"/>
      <c r="L172" s="621"/>
      <c r="M172" s="621"/>
      <c r="N172" s="621"/>
      <c r="O172" s="621"/>
      <c r="P172" s="621"/>
    </row>
    <row r="173" spans="1:17" x14ac:dyDescent="0.2">
      <c r="A173" s="604" t="s">
        <v>75</v>
      </c>
      <c r="B173" s="621"/>
      <c r="C173" s="621"/>
      <c r="D173" s="621"/>
      <c r="E173" s="621"/>
      <c r="F173" s="621"/>
      <c r="G173" s="621"/>
      <c r="H173" s="621"/>
      <c r="I173" s="621"/>
      <c r="J173" s="621"/>
      <c r="K173" s="621"/>
      <c r="L173" s="621"/>
      <c r="M173" s="621"/>
      <c r="N173" s="621"/>
      <c r="O173" s="621"/>
      <c r="P173" s="621"/>
    </row>
    <row r="174" spans="1:17" x14ac:dyDescent="0.2">
      <c r="A174" s="614" t="s">
        <v>322</v>
      </c>
      <c r="B174" s="617">
        <v>0</v>
      </c>
      <c r="C174" s="617">
        <v>0</v>
      </c>
      <c r="D174" s="617">
        <v>0</v>
      </c>
      <c r="E174" s="617">
        <v>0</v>
      </c>
      <c r="F174" s="617">
        <v>0</v>
      </c>
      <c r="G174" s="617">
        <v>0</v>
      </c>
      <c r="H174" s="617">
        <v>0</v>
      </c>
      <c r="I174" s="617">
        <v>0</v>
      </c>
      <c r="J174" s="617">
        <v>0</v>
      </c>
      <c r="K174" s="617">
        <v>0</v>
      </c>
      <c r="L174" s="617">
        <v>0</v>
      </c>
      <c r="M174" s="617">
        <v>0</v>
      </c>
      <c r="N174" s="617">
        <v>0</v>
      </c>
      <c r="O174" s="617">
        <v>0</v>
      </c>
      <c r="P174" s="617">
        <v>0</v>
      </c>
    </row>
    <row r="175" spans="1:17" x14ac:dyDescent="0.2">
      <c r="B175" s="621"/>
      <c r="C175" s="621"/>
      <c r="D175" s="621"/>
      <c r="E175" s="621"/>
      <c r="F175" s="621"/>
      <c r="G175" s="621"/>
      <c r="H175" s="621"/>
      <c r="I175" s="621"/>
      <c r="J175" s="621"/>
      <c r="K175" s="621"/>
      <c r="L175" s="621"/>
      <c r="M175" s="621"/>
      <c r="N175" s="621"/>
      <c r="O175" s="621"/>
      <c r="P175" s="621"/>
    </row>
    <row r="176" spans="1:17" x14ac:dyDescent="0.2">
      <c r="A176" s="618" t="s">
        <v>76</v>
      </c>
      <c r="B176" s="634">
        <f>+B171+B174</f>
        <v>0</v>
      </c>
      <c r="C176" s="634">
        <f>+C171+C174</f>
        <v>0</v>
      </c>
      <c r="D176" s="634">
        <f>+D171+D174</f>
        <v>0</v>
      </c>
      <c r="E176" s="634">
        <f t="shared" ref="E176:P176" si="91">+E171+E174</f>
        <v>859</v>
      </c>
      <c r="F176" s="634">
        <f t="shared" si="91"/>
        <v>254.0019999999995</v>
      </c>
      <c r="G176" s="634">
        <f t="shared" si="91"/>
        <v>371.88500000000022</v>
      </c>
      <c r="H176" s="634">
        <f t="shared" si="91"/>
        <v>359.52699999999913</v>
      </c>
      <c r="I176" s="634">
        <f t="shared" si="91"/>
        <v>425.85499999999956</v>
      </c>
      <c r="J176" s="634">
        <f t="shared" si="91"/>
        <v>498.66800000000057</v>
      </c>
      <c r="K176" s="634">
        <f t="shared" si="91"/>
        <v>479.17213620000075</v>
      </c>
      <c r="L176" s="634">
        <f t="shared" si="91"/>
        <v>502.38530459699996</v>
      </c>
      <c r="M176" s="634">
        <f t="shared" si="91"/>
        <v>524.38278227148567</v>
      </c>
      <c r="N176" s="634">
        <f t="shared" si="91"/>
        <v>535.14404146515244</v>
      </c>
      <c r="O176" s="634">
        <f t="shared" si="91"/>
        <v>559.2652807689883</v>
      </c>
      <c r="P176" s="634">
        <f t="shared" si="91"/>
        <v>584.32977301543542</v>
      </c>
    </row>
    <row r="177" spans="1:17" x14ac:dyDescent="0.2">
      <c r="B177" s="621"/>
      <c r="C177" s="621"/>
      <c r="D177" s="621"/>
      <c r="E177" s="621"/>
      <c r="F177" s="621"/>
      <c r="G177" s="621"/>
      <c r="H177" s="621"/>
      <c r="I177" s="621"/>
      <c r="J177" s="621"/>
      <c r="K177" s="621"/>
      <c r="L177" s="621"/>
      <c r="M177" s="621"/>
      <c r="N177" s="621"/>
      <c r="O177" s="621"/>
      <c r="P177" s="621"/>
    </row>
    <row r="178" spans="1:17" s="601" customFormat="1" x14ac:dyDescent="0.2">
      <c r="A178" s="733" t="s">
        <v>77</v>
      </c>
      <c r="B178" s="715">
        <f>+B176</f>
        <v>0</v>
      </c>
      <c r="C178" s="734">
        <f>+C173+C176</f>
        <v>0</v>
      </c>
      <c r="D178" s="715">
        <f>+D176</f>
        <v>0</v>
      </c>
      <c r="E178" s="734">
        <f t="shared" ref="E178:P178" si="92">+E173+E176</f>
        <v>859</v>
      </c>
      <c r="F178" s="734">
        <f t="shared" si="92"/>
        <v>254.0019999999995</v>
      </c>
      <c r="G178" s="734">
        <f t="shared" si="92"/>
        <v>371.88500000000022</v>
      </c>
      <c r="H178" s="734">
        <f t="shared" si="92"/>
        <v>359.52699999999913</v>
      </c>
      <c r="I178" s="734">
        <f t="shared" si="92"/>
        <v>425.85499999999956</v>
      </c>
      <c r="J178" s="734">
        <f t="shared" si="92"/>
        <v>498.66800000000057</v>
      </c>
      <c r="K178" s="734">
        <f t="shared" si="92"/>
        <v>479.17213620000075</v>
      </c>
      <c r="L178" s="734">
        <f t="shared" si="92"/>
        <v>502.38530459699996</v>
      </c>
      <c r="M178" s="734">
        <f t="shared" si="92"/>
        <v>524.38278227148567</v>
      </c>
      <c r="N178" s="734">
        <f t="shared" si="92"/>
        <v>535.14404146515244</v>
      </c>
      <c r="O178" s="734">
        <f t="shared" si="92"/>
        <v>559.2652807689883</v>
      </c>
      <c r="P178" s="734">
        <f t="shared" si="92"/>
        <v>584.32977301543542</v>
      </c>
    </row>
    <row r="179" spans="1:17" s="601" customFormat="1" ht="10.5" customHeight="1" thickBot="1" x14ac:dyDescent="0.25">
      <c r="A179" s="739" t="s">
        <v>78</v>
      </c>
      <c r="B179" s="735">
        <v>0</v>
      </c>
      <c r="C179" s="735">
        <v>0</v>
      </c>
      <c r="D179" s="735">
        <v>0</v>
      </c>
      <c r="E179" s="735">
        <v>0</v>
      </c>
      <c r="F179" s="735"/>
      <c r="G179" s="735">
        <v>0</v>
      </c>
      <c r="H179" s="735">
        <v>0</v>
      </c>
      <c r="I179" s="735">
        <v>0</v>
      </c>
      <c r="J179" s="735">
        <v>0</v>
      </c>
      <c r="K179" s="735">
        <v>0</v>
      </c>
      <c r="L179" s="735">
        <v>0</v>
      </c>
      <c r="M179" s="735">
        <v>0</v>
      </c>
      <c r="N179" s="735">
        <v>0</v>
      </c>
      <c r="O179" s="735">
        <v>0</v>
      </c>
      <c r="P179" s="735">
        <v>0</v>
      </c>
    </row>
    <row r="180" spans="1:17" ht="3.75" customHeight="1" thickTop="1" x14ac:dyDescent="0.2">
      <c r="A180" s="726"/>
      <c r="B180" s="714"/>
      <c r="C180" s="714"/>
      <c r="D180" s="710"/>
      <c r="E180" s="710"/>
      <c r="F180" s="710"/>
      <c r="G180" s="710"/>
      <c r="H180" s="710"/>
      <c r="I180" s="710"/>
      <c r="J180" s="710"/>
      <c r="K180" s="710"/>
      <c r="L180" s="710"/>
      <c r="M180" s="710"/>
      <c r="N180" s="710"/>
      <c r="O180" s="710"/>
      <c r="P180" s="710"/>
    </row>
    <row r="181" spans="1:17" ht="31.5" customHeight="1" thickBot="1" x14ac:dyDescent="0.25">
      <c r="A181" s="705" t="s">
        <v>79</v>
      </c>
      <c r="B181" s="736">
        <f>+B176-B155-B157</f>
        <v>0</v>
      </c>
      <c r="C181" s="736">
        <f>+C176-C155-C157</f>
        <v>0</v>
      </c>
      <c r="D181" s="736">
        <f>+D176-D153-D156</f>
        <v>0</v>
      </c>
      <c r="E181" s="736">
        <f t="shared" ref="E181:P181" si="93">+E176-E153-E156</f>
        <v>762</v>
      </c>
      <c r="F181" s="736">
        <f t="shared" si="93"/>
        <v>204.0019999999995</v>
      </c>
      <c r="G181" s="736">
        <f t="shared" si="93"/>
        <v>321.88500000000022</v>
      </c>
      <c r="H181" s="736">
        <f t="shared" si="93"/>
        <v>309.52699999999913</v>
      </c>
      <c r="I181" s="736">
        <f t="shared" si="93"/>
        <v>375.85499999999956</v>
      </c>
      <c r="J181" s="736">
        <f t="shared" si="93"/>
        <v>448.66800000000057</v>
      </c>
      <c r="K181" s="736">
        <f t="shared" si="93"/>
        <v>428.17213620000075</v>
      </c>
      <c r="L181" s="736">
        <f t="shared" si="93"/>
        <v>450.36530459699998</v>
      </c>
      <c r="M181" s="736">
        <f t="shared" si="93"/>
        <v>472.36278227148568</v>
      </c>
      <c r="N181" s="736">
        <f t="shared" si="93"/>
        <v>483.12404146515246</v>
      </c>
      <c r="O181" s="736">
        <f t="shared" si="93"/>
        <v>507.24528076898832</v>
      </c>
      <c r="P181" s="736">
        <f t="shared" si="93"/>
        <v>532.30977301543544</v>
      </c>
    </row>
    <row r="182" spans="1:17" ht="4.5" customHeight="1" thickTop="1" x14ac:dyDescent="0.2">
      <c r="A182" s="705"/>
      <c r="B182" s="734"/>
      <c r="C182" s="734"/>
      <c r="D182" s="734"/>
      <c r="E182" s="734"/>
      <c r="F182" s="734"/>
      <c r="G182" s="734"/>
      <c r="H182" s="734"/>
      <c r="I182" s="734"/>
      <c r="J182" s="734"/>
      <c r="K182" s="734"/>
      <c r="L182" s="734"/>
      <c r="M182" s="734"/>
      <c r="N182" s="734"/>
      <c r="O182" s="734"/>
      <c r="P182" s="734"/>
    </row>
    <row r="183" spans="1:17" x14ac:dyDescent="0.2">
      <c r="A183" s="730" t="s">
        <v>76</v>
      </c>
      <c r="B183" s="732">
        <f t="shared" ref="B183:P183" si="94">B176</f>
        <v>0</v>
      </c>
      <c r="C183" s="732">
        <f t="shared" si="94"/>
        <v>0</v>
      </c>
      <c r="D183" s="732">
        <f t="shared" si="94"/>
        <v>0</v>
      </c>
      <c r="E183" s="732">
        <f t="shared" si="94"/>
        <v>859</v>
      </c>
      <c r="F183" s="732">
        <f t="shared" si="94"/>
        <v>254.0019999999995</v>
      </c>
      <c r="G183" s="732">
        <f t="shared" si="94"/>
        <v>371.88500000000022</v>
      </c>
      <c r="H183" s="732">
        <f t="shared" si="94"/>
        <v>359.52699999999913</v>
      </c>
      <c r="I183" s="732">
        <f t="shared" si="94"/>
        <v>425.85499999999956</v>
      </c>
      <c r="J183" s="732">
        <f t="shared" si="94"/>
        <v>498.66800000000057</v>
      </c>
      <c r="K183" s="732">
        <f t="shared" si="94"/>
        <v>479.17213620000075</v>
      </c>
      <c r="L183" s="732">
        <f t="shared" si="94"/>
        <v>502.38530459699996</v>
      </c>
      <c r="M183" s="732">
        <f t="shared" si="94"/>
        <v>524.38278227148567</v>
      </c>
      <c r="N183" s="732">
        <f t="shared" si="94"/>
        <v>535.14404146515244</v>
      </c>
      <c r="O183" s="732">
        <f t="shared" si="94"/>
        <v>559.2652807689883</v>
      </c>
      <c r="P183" s="732">
        <f t="shared" si="94"/>
        <v>584.32977301543542</v>
      </c>
    </row>
    <row r="184" spans="1:17" ht="9.75" customHeight="1" x14ac:dyDescent="0.2">
      <c r="A184" s="737" t="s">
        <v>1015</v>
      </c>
      <c r="B184" s="734"/>
      <c r="C184" s="734"/>
      <c r="D184" s="734"/>
      <c r="E184" s="734"/>
      <c r="F184" s="734"/>
      <c r="G184" s="734"/>
      <c r="H184" s="734"/>
      <c r="I184" s="734"/>
      <c r="J184" s="734"/>
      <c r="K184" s="734"/>
      <c r="L184" s="734"/>
      <c r="M184" s="734"/>
      <c r="N184" s="734"/>
      <c r="O184" s="734"/>
      <c r="P184" s="734"/>
    </row>
    <row r="185" spans="1:17" x14ac:dyDescent="0.2">
      <c r="A185" s="705" t="s">
        <v>1014</v>
      </c>
      <c r="B185" s="734"/>
      <c r="C185" s="734"/>
      <c r="D185" s="734">
        <f>D47</f>
        <v>-8350</v>
      </c>
      <c r="E185" s="734"/>
      <c r="F185" s="734"/>
      <c r="G185" s="734"/>
      <c r="H185" s="734"/>
      <c r="I185" s="734"/>
      <c r="J185" s="734"/>
      <c r="K185" s="734"/>
      <c r="L185" s="734"/>
      <c r="M185" s="734"/>
      <c r="N185" s="734"/>
      <c r="O185" s="734"/>
      <c r="P185" s="734"/>
    </row>
    <row r="186" spans="1:17" ht="1.5" customHeight="1" x14ac:dyDescent="0.2">
      <c r="A186" s="705"/>
      <c r="B186" s="734"/>
      <c r="C186" s="734"/>
      <c r="D186" s="734"/>
      <c r="E186" s="734"/>
      <c r="F186" s="734"/>
      <c r="G186" s="734"/>
      <c r="H186" s="734"/>
      <c r="I186" s="734"/>
      <c r="J186" s="734"/>
      <c r="K186" s="734"/>
      <c r="L186" s="734"/>
      <c r="M186" s="734"/>
      <c r="N186" s="734"/>
      <c r="O186" s="734"/>
      <c r="P186" s="734"/>
    </row>
    <row r="187" spans="1:17" ht="10.8" thickBot="1" x14ac:dyDescent="0.25">
      <c r="A187" s="705" t="s">
        <v>309</v>
      </c>
      <c r="B187" s="738">
        <f t="shared" ref="B187:P187" si="95">SUM(B183:B186)</f>
        <v>0</v>
      </c>
      <c r="C187" s="738">
        <f t="shared" si="95"/>
        <v>0</v>
      </c>
      <c r="D187" s="738">
        <f t="shared" si="95"/>
        <v>-8350</v>
      </c>
      <c r="E187" s="738">
        <f t="shared" si="95"/>
        <v>859</v>
      </c>
      <c r="F187" s="738">
        <f t="shared" si="95"/>
        <v>254.0019999999995</v>
      </c>
      <c r="G187" s="738">
        <f t="shared" si="95"/>
        <v>371.88500000000022</v>
      </c>
      <c r="H187" s="738">
        <f t="shared" si="95"/>
        <v>359.52699999999913</v>
      </c>
      <c r="I187" s="738">
        <f t="shared" si="95"/>
        <v>425.85499999999956</v>
      </c>
      <c r="J187" s="738">
        <f t="shared" si="95"/>
        <v>498.66800000000057</v>
      </c>
      <c r="K187" s="738">
        <f t="shared" si="95"/>
        <v>479.17213620000075</v>
      </c>
      <c r="L187" s="738">
        <f t="shared" si="95"/>
        <v>502.38530459699996</v>
      </c>
      <c r="M187" s="738">
        <f t="shared" si="95"/>
        <v>524.38278227148567</v>
      </c>
      <c r="N187" s="738">
        <f t="shared" si="95"/>
        <v>535.14404146515244</v>
      </c>
      <c r="O187" s="738">
        <f t="shared" si="95"/>
        <v>559.2652807689883</v>
      </c>
      <c r="P187" s="738">
        <f t="shared" si="95"/>
        <v>584.32977301543542</v>
      </c>
    </row>
    <row r="188" spans="1:17" ht="5.25" customHeight="1" thickTop="1" x14ac:dyDescent="0.2">
      <c r="A188" s="616"/>
      <c r="B188" s="621"/>
      <c r="C188" s="621"/>
      <c r="D188" s="621"/>
      <c r="E188" s="621"/>
      <c r="F188" s="621"/>
      <c r="G188" s="621"/>
      <c r="H188" s="621"/>
      <c r="I188" s="621"/>
      <c r="J188" s="621"/>
      <c r="K188" s="621"/>
      <c r="L188" s="621"/>
      <c r="M188" s="621"/>
      <c r="N188" s="621"/>
      <c r="O188" s="621"/>
      <c r="P188" s="621"/>
    </row>
    <row r="189" spans="1:17" ht="11.25" hidden="1" outlineLevel="1" x14ac:dyDescent="0.2">
      <c r="A189" s="604" t="s">
        <v>1081</v>
      </c>
      <c r="B189" s="621"/>
      <c r="C189" s="621"/>
      <c r="D189" s="606">
        <f>D121</f>
        <v>0</v>
      </c>
      <c r="E189" s="606">
        <f t="shared" ref="E189:P189" si="96">E121</f>
        <v>0</v>
      </c>
      <c r="F189" s="606">
        <f t="shared" si="96"/>
        <v>3305</v>
      </c>
      <c r="G189" s="606">
        <f t="shared" si="96"/>
        <v>2255</v>
      </c>
      <c r="H189" s="606">
        <f t="shared" si="96"/>
        <v>1315</v>
      </c>
      <c r="I189" s="606">
        <f t="shared" si="96"/>
        <v>1135</v>
      </c>
      <c r="J189" s="606">
        <f t="shared" si="96"/>
        <v>1135</v>
      </c>
      <c r="K189" s="606">
        <f t="shared" si="96"/>
        <v>1157.7</v>
      </c>
      <c r="L189" s="606">
        <f t="shared" si="96"/>
        <v>1180.854</v>
      </c>
      <c r="M189" s="606">
        <f t="shared" si="96"/>
        <v>1204.47108</v>
      </c>
      <c r="N189" s="606">
        <f t="shared" si="96"/>
        <v>1228.5605016</v>
      </c>
      <c r="O189" s="606">
        <f t="shared" si="96"/>
        <v>1253.1317116319999</v>
      </c>
      <c r="P189" s="606">
        <f t="shared" si="96"/>
        <v>1278.1943458646399</v>
      </c>
      <c r="Q189" s="599" t="s">
        <v>32</v>
      </c>
    </row>
    <row r="190" spans="1:17" ht="11.25" hidden="1" outlineLevel="1" x14ac:dyDescent="0.2">
      <c r="A190" s="604"/>
      <c r="B190" s="621"/>
      <c r="C190" s="621"/>
      <c r="D190" s="606">
        <f t="shared" ref="D190:P190" si="97">D122</f>
        <v>0</v>
      </c>
      <c r="E190" s="606">
        <f t="shared" si="97"/>
        <v>0</v>
      </c>
      <c r="F190" s="606">
        <f t="shared" si="97"/>
        <v>0</v>
      </c>
      <c r="G190" s="606">
        <f t="shared" si="97"/>
        <v>0</v>
      </c>
      <c r="H190" s="606">
        <f t="shared" si="97"/>
        <v>0</v>
      </c>
      <c r="I190" s="606">
        <f t="shared" si="97"/>
        <v>0</v>
      </c>
      <c r="J190" s="606">
        <f t="shared" si="97"/>
        <v>0</v>
      </c>
      <c r="K190" s="606">
        <f t="shared" si="97"/>
        <v>0</v>
      </c>
      <c r="L190" s="606">
        <f t="shared" si="97"/>
        <v>0</v>
      </c>
      <c r="M190" s="606">
        <f t="shared" si="97"/>
        <v>0</v>
      </c>
      <c r="N190" s="606">
        <f t="shared" si="97"/>
        <v>0</v>
      </c>
      <c r="O190" s="606">
        <f t="shared" si="97"/>
        <v>0</v>
      </c>
      <c r="P190" s="606">
        <f t="shared" si="97"/>
        <v>0</v>
      </c>
    </row>
    <row r="191" spans="1:17" ht="11.25" hidden="1" outlineLevel="1" x14ac:dyDescent="0.2">
      <c r="A191" s="604" t="s">
        <v>1082</v>
      </c>
      <c r="B191" s="621"/>
      <c r="C191" s="621"/>
      <c r="D191" s="606">
        <f t="shared" ref="D191:P191" si="98">D123</f>
        <v>0</v>
      </c>
      <c r="E191" s="606">
        <f t="shared" si="98"/>
        <v>0</v>
      </c>
      <c r="F191" s="606">
        <f t="shared" si="98"/>
        <v>0</v>
      </c>
      <c r="G191" s="606">
        <f t="shared" si="98"/>
        <v>0</v>
      </c>
      <c r="H191" s="606">
        <f t="shared" si="98"/>
        <v>0</v>
      </c>
      <c r="I191" s="606">
        <f t="shared" si="98"/>
        <v>0</v>
      </c>
      <c r="J191" s="606">
        <f t="shared" si="98"/>
        <v>0</v>
      </c>
      <c r="K191" s="606">
        <f t="shared" si="98"/>
        <v>0</v>
      </c>
      <c r="L191" s="606">
        <f t="shared" si="98"/>
        <v>0</v>
      </c>
      <c r="M191" s="606">
        <f t="shared" si="98"/>
        <v>0</v>
      </c>
      <c r="N191" s="606">
        <f t="shared" si="98"/>
        <v>0</v>
      </c>
      <c r="O191" s="606">
        <f t="shared" si="98"/>
        <v>0</v>
      </c>
      <c r="P191" s="606">
        <f t="shared" si="98"/>
        <v>0</v>
      </c>
    </row>
    <row r="192" spans="1:17" ht="11.25" hidden="1" outlineLevel="1" x14ac:dyDescent="0.2">
      <c r="A192" s="604" t="s">
        <v>1083</v>
      </c>
      <c r="B192" s="621"/>
      <c r="C192" s="621"/>
      <c r="D192" s="606">
        <f t="shared" ref="D192:P192" si="99">D124</f>
        <v>0</v>
      </c>
      <c r="E192" s="606">
        <f t="shared" si="99"/>
        <v>0</v>
      </c>
      <c r="F192" s="606">
        <f t="shared" si="99"/>
        <v>257.05099999999999</v>
      </c>
      <c r="G192" s="606">
        <f t="shared" si="99"/>
        <v>273.84699999999998</v>
      </c>
      <c r="H192" s="606">
        <f t="shared" si="99"/>
        <v>291.74400000000003</v>
      </c>
      <c r="I192" s="606">
        <f t="shared" si="99"/>
        <v>310.113</v>
      </c>
      <c r="J192" s="606">
        <f t="shared" si="99"/>
        <v>331.38900000000001</v>
      </c>
      <c r="K192" s="606">
        <f t="shared" si="99"/>
        <v>338.01678000000004</v>
      </c>
      <c r="L192" s="606">
        <f t="shared" si="99"/>
        <v>344.77711560000006</v>
      </c>
      <c r="M192" s="606">
        <f t="shared" si="99"/>
        <v>323.67265791200009</v>
      </c>
      <c r="N192" s="606">
        <f t="shared" si="99"/>
        <v>0</v>
      </c>
      <c r="O192" s="606">
        <f t="shared" si="99"/>
        <v>0</v>
      </c>
      <c r="P192" s="606">
        <f t="shared" si="99"/>
        <v>0</v>
      </c>
    </row>
    <row r="193" spans="1:16" ht="11.25" hidden="1" outlineLevel="1" x14ac:dyDescent="0.2">
      <c r="A193" s="604" t="s">
        <v>1089</v>
      </c>
      <c r="B193" s="621"/>
      <c r="C193" s="621"/>
      <c r="D193" s="606">
        <f t="shared" ref="D193:P193" si="100">D125</f>
        <v>0</v>
      </c>
      <c r="E193" s="606">
        <f t="shared" si="100"/>
        <v>0</v>
      </c>
      <c r="F193" s="606">
        <f t="shared" si="100"/>
        <v>50</v>
      </c>
      <c r="G193" s="606">
        <f t="shared" si="100"/>
        <v>50</v>
      </c>
      <c r="H193" s="606">
        <f t="shared" si="100"/>
        <v>50</v>
      </c>
      <c r="I193" s="606">
        <f t="shared" si="100"/>
        <v>290.86</v>
      </c>
      <c r="J193" s="606">
        <f t="shared" si="100"/>
        <v>371.15</v>
      </c>
      <c r="K193" s="606">
        <f t="shared" si="100"/>
        <v>378.57299999999998</v>
      </c>
      <c r="L193" s="606">
        <f t="shared" si="100"/>
        <v>386.14445999999998</v>
      </c>
      <c r="M193" s="606">
        <f t="shared" si="100"/>
        <v>393.86734919999998</v>
      </c>
      <c r="N193" s="606">
        <f t="shared" si="100"/>
        <v>401.74469618399996</v>
      </c>
      <c r="O193" s="606">
        <f t="shared" si="100"/>
        <v>409.77959010767995</v>
      </c>
      <c r="P193" s="606">
        <f t="shared" si="100"/>
        <v>417.97518190983357</v>
      </c>
    </row>
    <row r="194" spans="1:16" ht="11.25" hidden="1" outlineLevel="1" x14ac:dyDescent="0.2">
      <c r="A194" s="604"/>
      <c r="B194" s="621"/>
      <c r="C194" s="621"/>
      <c r="D194" s="771">
        <f>SUM(D189:D193)</f>
        <v>0</v>
      </c>
      <c r="E194" s="771">
        <f t="shared" ref="E194:P194" si="101">SUM(E189:E193)</f>
        <v>0</v>
      </c>
      <c r="F194" s="771">
        <f t="shared" si="101"/>
        <v>3612.0509999999999</v>
      </c>
      <c r="G194" s="771">
        <f t="shared" si="101"/>
        <v>2578.8469999999998</v>
      </c>
      <c r="H194" s="771">
        <f t="shared" si="101"/>
        <v>1656.7440000000001</v>
      </c>
      <c r="I194" s="771">
        <f t="shared" si="101"/>
        <v>1735.973</v>
      </c>
      <c r="J194" s="771">
        <f t="shared" si="101"/>
        <v>1837.5390000000002</v>
      </c>
      <c r="K194" s="771">
        <f t="shared" si="101"/>
        <v>1874.2897800000001</v>
      </c>
      <c r="L194" s="771">
        <f t="shared" si="101"/>
        <v>1911.7755756000001</v>
      </c>
      <c r="M194" s="771">
        <f t="shared" si="101"/>
        <v>1922.0110871120003</v>
      </c>
      <c r="N194" s="771">
        <f t="shared" si="101"/>
        <v>1630.305197784</v>
      </c>
      <c r="O194" s="771">
        <f t="shared" si="101"/>
        <v>1662.9113017396799</v>
      </c>
      <c r="P194" s="771">
        <f t="shared" si="101"/>
        <v>1696.1695277744734</v>
      </c>
    </row>
    <row r="195" spans="1:16" s="608" customFormat="1" ht="11.25" hidden="1" outlineLevel="1" x14ac:dyDescent="0.2">
      <c r="A195" s="623" t="s">
        <v>1084</v>
      </c>
      <c r="B195" s="621"/>
      <c r="C195" s="621"/>
      <c r="D195" s="621"/>
      <c r="E195" s="621"/>
      <c r="F195" s="621"/>
      <c r="G195" s="621"/>
      <c r="H195" s="621"/>
      <c r="I195" s="621"/>
      <c r="J195" s="621"/>
      <c r="K195" s="621"/>
      <c r="L195" s="621"/>
      <c r="M195" s="621"/>
      <c r="N195" s="621"/>
      <c r="O195" s="621"/>
      <c r="P195" s="621"/>
    </row>
    <row r="196" spans="1:16" ht="11.25" hidden="1" outlineLevel="1" x14ac:dyDescent="0.2">
      <c r="A196" s="604" t="s">
        <v>931</v>
      </c>
      <c r="B196" s="621"/>
      <c r="C196" s="621"/>
      <c r="D196" s="606">
        <f>D128</f>
        <v>0</v>
      </c>
      <c r="E196" s="606">
        <f t="shared" ref="E196:P196" si="102">E128</f>
        <v>0</v>
      </c>
      <c r="F196" s="606">
        <f t="shared" si="102"/>
        <v>204.00200000000001</v>
      </c>
      <c r="G196" s="606">
        <f t="shared" si="102"/>
        <v>321.88499999999999</v>
      </c>
      <c r="H196" s="606">
        <f t="shared" si="102"/>
        <v>309.52699999999999</v>
      </c>
      <c r="I196" s="606">
        <f t="shared" si="102"/>
        <v>375.85500000000002</v>
      </c>
      <c r="J196" s="606">
        <f t="shared" si="102"/>
        <v>448.66800000000001</v>
      </c>
      <c r="K196" s="606">
        <f t="shared" si="102"/>
        <v>479.17213620000075</v>
      </c>
      <c r="L196" s="606">
        <f t="shared" si="102"/>
        <v>502.38530459699996</v>
      </c>
      <c r="M196" s="606">
        <f t="shared" si="102"/>
        <v>524.38278227148567</v>
      </c>
      <c r="N196" s="606">
        <f t="shared" si="102"/>
        <v>535.14404146515244</v>
      </c>
      <c r="O196" s="606">
        <f t="shared" si="102"/>
        <v>559.2652807689883</v>
      </c>
      <c r="P196" s="606">
        <f t="shared" si="102"/>
        <v>584.32977301543542</v>
      </c>
    </row>
    <row r="197" spans="1:16" ht="11.25" hidden="1" outlineLevel="1" x14ac:dyDescent="0.2">
      <c r="A197" s="604" t="s">
        <v>244</v>
      </c>
      <c r="B197" s="621"/>
      <c r="C197" s="621"/>
      <c r="D197" s="606">
        <f t="shared" ref="D197:P197" si="103">D129</f>
        <v>0</v>
      </c>
      <c r="E197" s="606">
        <f t="shared" si="103"/>
        <v>0</v>
      </c>
      <c r="F197" s="606">
        <f t="shared" si="103"/>
        <v>50</v>
      </c>
      <c r="G197" s="606">
        <f t="shared" si="103"/>
        <v>50</v>
      </c>
      <c r="H197" s="606">
        <f t="shared" si="103"/>
        <v>50</v>
      </c>
      <c r="I197" s="606">
        <f t="shared" si="103"/>
        <v>50</v>
      </c>
      <c r="J197" s="606">
        <f t="shared" si="103"/>
        <v>50</v>
      </c>
      <c r="K197" s="606">
        <f t="shared" si="103"/>
        <v>51</v>
      </c>
      <c r="L197" s="606">
        <f t="shared" si="103"/>
        <v>52.02</v>
      </c>
      <c r="M197" s="606">
        <f t="shared" si="103"/>
        <v>52.02</v>
      </c>
      <c r="N197" s="606">
        <f t="shared" si="103"/>
        <v>52.02</v>
      </c>
      <c r="O197" s="606">
        <f t="shared" si="103"/>
        <v>52.02</v>
      </c>
      <c r="P197" s="606">
        <f t="shared" si="103"/>
        <v>52.02</v>
      </c>
    </row>
    <row r="198" spans="1:16" ht="11.25" hidden="1" outlineLevel="1" x14ac:dyDescent="0.2">
      <c r="A198" s="604" t="s">
        <v>1085</v>
      </c>
      <c r="B198" s="621"/>
      <c r="C198" s="621"/>
      <c r="D198" s="606">
        <f t="shared" ref="D198:P198" si="104">D130</f>
        <v>0</v>
      </c>
      <c r="E198" s="606">
        <f t="shared" si="104"/>
        <v>0</v>
      </c>
      <c r="F198" s="606">
        <f t="shared" si="104"/>
        <v>0</v>
      </c>
      <c r="G198" s="606">
        <f t="shared" si="104"/>
        <v>0</v>
      </c>
      <c r="H198" s="606">
        <f t="shared" si="104"/>
        <v>0</v>
      </c>
      <c r="I198" s="606">
        <f t="shared" si="104"/>
        <v>0</v>
      </c>
      <c r="J198" s="606">
        <f t="shared" si="104"/>
        <v>0</v>
      </c>
      <c r="K198" s="606">
        <f t="shared" si="104"/>
        <v>0</v>
      </c>
      <c r="L198" s="606">
        <f t="shared" si="104"/>
        <v>0</v>
      </c>
      <c r="M198" s="606">
        <f t="shared" si="104"/>
        <v>0</v>
      </c>
      <c r="N198" s="606">
        <f t="shared" si="104"/>
        <v>0</v>
      </c>
      <c r="O198" s="606">
        <f t="shared" si="104"/>
        <v>0</v>
      </c>
      <c r="P198" s="606">
        <f t="shared" si="104"/>
        <v>0</v>
      </c>
    </row>
    <row r="199" spans="1:16" ht="11.25" hidden="1" outlineLevel="1" x14ac:dyDescent="0.2">
      <c r="A199" s="604" t="s">
        <v>1086</v>
      </c>
      <c r="B199" s="621"/>
      <c r="C199" s="621"/>
      <c r="D199" s="606">
        <f t="shared" ref="D199:P199" si="105">D131</f>
        <v>0</v>
      </c>
      <c r="E199" s="606">
        <f t="shared" si="105"/>
        <v>0</v>
      </c>
      <c r="F199" s="606">
        <f t="shared" si="105"/>
        <v>0</v>
      </c>
      <c r="G199" s="606">
        <f t="shared" si="105"/>
        <v>0</v>
      </c>
      <c r="H199" s="606">
        <f t="shared" si="105"/>
        <v>0</v>
      </c>
      <c r="I199" s="606">
        <f t="shared" si="105"/>
        <v>0</v>
      </c>
      <c r="J199" s="606">
        <f t="shared" si="105"/>
        <v>0</v>
      </c>
      <c r="K199" s="606">
        <f t="shared" si="105"/>
        <v>0</v>
      </c>
      <c r="L199" s="606">
        <f t="shared" si="105"/>
        <v>0</v>
      </c>
      <c r="M199" s="606">
        <f t="shared" si="105"/>
        <v>0</v>
      </c>
      <c r="N199" s="606">
        <f t="shared" si="105"/>
        <v>0</v>
      </c>
      <c r="O199" s="606">
        <f t="shared" si="105"/>
        <v>0</v>
      </c>
      <c r="P199" s="606">
        <f t="shared" si="105"/>
        <v>0</v>
      </c>
    </row>
    <row r="200" spans="1:16" ht="11.25" hidden="1" outlineLevel="1" x14ac:dyDescent="0.2">
      <c r="A200" s="604" t="s">
        <v>33</v>
      </c>
      <c r="B200" s="621">
        <f>+B165</f>
        <v>0</v>
      </c>
      <c r="C200" s="621">
        <f>C165</f>
        <v>0</v>
      </c>
      <c r="D200" s="606">
        <f t="shared" ref="D200:P200" si="106">D132</f>
        <v>0</v>
      </c>
      <c r="E200" s="606">
        <f t="shared" si="106"/>
        <v>1482</v>
      </c>
      <c r="F200" s="606">
        <f t="shared" si="106"/>
        <v>1501.2719999999999</v>
      </c>
      <c r="G200" s="606">
        <f t="shared" si="106"/>
        <v>1254.7</v>
      </c>
      <c r="H200" s="606">
        <f t="shared" si="106"/>
        <v>1282.067</v>
      </c>
      <c r="I200" s="606">
        <f t="shared" si="106"/>
        <v>1310.1179999999999</v>
      </c>
      <c r="J200" s="606">
        <f t="shared" si="106"/>
        <v>1338.8710000000001</v>
      </c>
      <c r="K200" s="606">
        <f t="shared" si="106"/>
        <v>1675.5859499999999</v>
      </c>
      <c r="L200" s="606">
        <f t="shared" si="106"/>
        <v>1717.4755987499998</v>
      </c>
      <c r="M200" s="606">
        <f t="shared" si="106"/>
        <v>1760.4124887187497</v>
      </c>
      <c r="N200" s="606">
        <f t="shared" si="106"/>
        <v>1804.4228009367182</v>
      </c>
      <c r="O200" s="606">
        <f t="shared" si="106"/>
        <v>1849.5333709601359</v>
      </c>
      <c r="P200" s="606">
        <f t="shared" si="106"/>
        <v>1895.7717052341391</v>
      </c>
    </row>
    <row r="201" spans="1:16" ht="11.25" hidden="1" outlineLevel="1" x14ac:dyDescent="0.2">
      <c r="A201" s="604" t="s">
        <v>22</v>
      </c>
      <c r="B201" s="621"/>
      <c r="C201" s="621"/>
      <c r="D201" s="606">
        <f t="shared" ref="D201:P201" si="107">D133</f>
        <v>0</v>
      </c>
      <c r="E201" s="606">
        <f t="shared" si="107"/>
        <v>0</v>
      </c>
      <c r="F201" s="606">
        <f t="shared" si="107"/>
        <v>1856.777</v>
      </c>
      <c r="G201" s="606">
        <f t="shared" si="107"/>
        <v>952.26199999999994</v>
      </c>
      <c r="H201" s="606">
        <f t="shared" si="107"/>
        <v>15.14</v>
      </c>
      <c r="I201" s="606">
        <f t="shared" si="107"/>
        <v>0</v>
      </c>
      <c r="J201" s="606">
        <f t="shared" si="107"/>
        <v>0</v>
      </c>
      <c r="K201" s="606">
        <f t="shared" si="107"/>
        <v>0</v>
      </c>
      <c r="L201" s="606">
        <f t="shared" si="107"/>
        <v>0</v>
      </c>
      <c r="M201" s="606">
        <f t="shared" si="107"/>
        <v>0</v>
      </c>
      <c r="N201" s="606">
        <f t="shared" si="107"/>
        <v>0</v>
      </c>
      <c r="O201" s="606">
        <f t="shared" si="107"/>
        <v>0</v>
      </c>
      <c r="P201" s="606">
        <f t="shared" si="107"/>
        <v>0</v>
      </c>
    </row>
    <row r="202" spans="1:16" ht="11.25" hidden="1" outlineLevel="1" x14ac:dyDescent="0.2">
      <c r="A202" s="604" t="s">
        <v>1087</v>
      </c>
      <c r="B202" s="621"/>
      <c r="C202" s="621"/>
      <c r="D202" s="606">
        <f t="shared" ref="D202:P202" si="108">D134</f>
        <v>0</v>
      </c>
      <c r="E202" s="606">
        <f t="shared" si="108"/>
        <v>0</v>
      </c>
      <c r="F202" s="606">
        <f t="shared" si="108"/>
        <v>0</v>
      </c>
      <c r="G202" s="606">
        <f t="shared" si="108"/>
        <v>0</v>
      </c>
      <c r="H202" s="606">
        <f t="shared" si="108"/>
        <v>0</v>
      </c>
      <c r="I202" s="606">
        <f t="shared" si="108"/>
        <v>0</v>
      </c>
      <c r="J202" s="606">
        <f t="shared" si="108"/>
        <v>0</v>
      </c>
      <c r="K202" s="606">
        <f t="shared" si="108"/>
        <v>0</v>
      </c>
      <c r="L202" s="606">
        <f t="shared" si="108"/>
        <v>0</v>
      </c>
      <c r="M202" s="606">
        <f t="shared" si="108"/>
        <v>0</v>
      </c>
      <c r="N202" s="606">
        <f t="shared" si="108"/>
        <v>0</v>
      </c>
      <c r="O202" s="606">
        <f t="shared" si="108"/>
        <v>0</v>
      </c>
      <c r="P202" s="606">
        <f t="shared" si="108"/>
        <v>0</v>
      </c>
    </row>
    <row r="203" spans="1:16" ht="11.25" hidden="1" outlineLevel="1" x14ac:dyDescent="0.2">
      <c r="A203" s="604" t="s">
        <v>1088</v>
      </c>
      <c r="B203" s="621"/>
      <c r="C203" s="621"/>
      <c r="D203" s="606">
        <f t="shared" ref="D203:P203" si="109">D135</f>
        <v>0</v>
      </c>
      <c r="E203" s="606">
        <f t="shared" si="109"/>
        <v>0</v>
      </c>
      <c r="F203" s="606">
        <f t="shared" si="109"/>
        <v>0</v>
      </c>
      <c r="G203" s="606">
        <f t="shared" si="109"/>
        <v>0</v>
      </c>
      <c r="H203" s="606">
        <f t="shared" si="109"/>
        <v>0</v>
      </c>
      <c r="I203" s="606">
        <f t="shared" si="109"/>
        <v>0</v>
      </c>
      <c r="J203" s="606">
        <f t="shared" si="109"/>
        <v>0</v>
      </c>
      <c r="K203" s="606">
        <f t="shared" si="109"/>
        <v>0</v>
      </c>
      <c r="L203" s="606">
        <f t="shared" si="109"/>
        <v>0</v>
      </c>
      <c r="M203" s="606">
        <f t="shared" si="109"/>
        <v>0</v>
      </c>
      <c r="N203" s="606">
        <f t="shared" si="109"/>
        <v>0</v>
      </c>
      <c r="O203" s="606">
        <f t="shared" si="109"/>
        <v>0</v>
      </c>
      <c r="P203" s="606">
        <f t="shared" si="109"/>
        <v>0</v>
      </c>
    </row>
    <row r="204" spans="1:16" ht="11.25" hidden="1" outlineLevel="1" x14ac:dyDescent="0.2">
      <c r="A204" s="604"/>
      <c r="B204" s="621"/>
      <c r="C204" s="621"/>
      <c r="D204" s="771">
        <f t="shared" ref="D204:P204" si="110">SUM(D196:D203)</f>
        <v>0</v>
      </c>
      <c r="E204" s="771">
        <f t="shared" si="110"/>
        <v>1482</v>
      </c>
      <c r="F204" s="771">
        <f t="shared" si="110"/>
        <v>3612.0509999999999</v>
      </c>
      <c r="G204" s="771">
        <f t="shared" si="110"/>
        <v>2578.8469999999998</v>
      </c>
      <c r="H204" s="771">
        <f t="shared" si="110"/>
        <v>1656.7340000000002</v>
      </c>
      <c r="I204" s="771">
        <f t="shared" si="110"/>
        <v>1735.973</v>
      </c>
      <c r="J204" s="771">
        <f t="shared" si="110"/>
        <v>1837.5390000000002</v>
      </c>
      <c r="K204" s="771">
        <f t="shared" si="110"/>
        <v>2205.7580862000004</v>
      </c>
      <c r="L204" s="771">
        <f t="shared" si="110"/>
        <v>2271.8809033469997</v>
      </c>
      <c r="M204" s="771">
        <f t="shared" si="110"/>
        <v>2336.8152709902351</v>
      </c>
      <c r="N204" s="771">
        <f t="shared" si="110"/>
        <v>2391.5868424018709</v>
      </c>
      <c r="O204" s="771">
        <f t="shared" si="110"/>
        <v>2460.8186517291242</v>
      </c>
      <c r="P204" s="771">
        <f t="shared" si="110"/>
        <v>2532.1214782495745</v>
      </c>
    </row>
    <row r="205" spans="1:16" ht="11.25" hidden="1" outlineLevel="1" x14ac:dyDescent="0.2">
      <c r="A205" s="599"/>
      <c r="B205" s="621"/>
      <c r="C205" s="621"/>
      <c r="D205" s="622"/>
      <c r="E205" s="622"/>
      <c r="F205" s="622"/>
      <c r="G205" s="622"/>
      <c r="H205" s="622"/>
      <c r="I205" s="622"/>
      <c r="J205" s="624"/>
      <c r="K205" s="624"/>
      <c r="L205" s="624"/>
      <c r="M205" s="624"/>
      <c r="N205" s="624"/>
      <c r="O205" s="624"/>
      <c r="P205" s="624"/>
    </row>
    <row r="206" spans="1:16" ht="11.25" hidden="1" outlineLevel="1" x14ac:dyDescent="0.2">
      <c r="A206" s="604"/>
      <c r="B206" s="621"/>
      <c r="C206" s="621"/>
      <c r="D206" s="621"/>
      <c r="E206" s="621"/>
      <c r="F206" s="621"/>
      <c r="G206" s="621"/>
      <c r="H206" s="621"/>
      <c r="I206" s="621"/>
      <c r="J206" s="621"/>
      <c r="K206" s="621"/>
      <c r="L206" s="621"/>
      <c r="M206" s="621"/>
      <c r="N206" s="621"/>
      <c r="O206" s="621"/>
      <c r="P206" s="621"/>
    </row>
    <row r="207" spans="1:16" ht="11.25" hidden="1" outlineLevel="1" x14ac:dyDescent="0.2">
      <c r="A207" s="604" t="s">
        <v>34</v>
      </c>
      <c r="B207" s="621">
        <f>+B176+SUM(B189:B206)</f>
        <v>0</v>
      </c>
      <c r="C207" s="621">
        <f>+C176+SUM(C189:C206)</f>
        <v>0</v>
      </c>
      <c r="D207" s="625">
        <f>D204-D194</f>
        <v>0</v>
      </c>
      <c r="E207" s="625">
        <f t="shared" ref="E207:P207" si="111">E204-E194</f>
        <v>1482</v>
      </c>
      <c r="F207" s="625">
        <f t="shared" si="111"/>
        <v>0</v>
      </c>
      <c r="G207" s="625">
        <f t="shared" si="111"/>
        <v>0</v>
      </c>
      <c r="H207" s="625">
        <f t="shared" si="111"/>
        <v>-9.9999999999909051E-3</v>
      </c>
      <c r="I207" s="625">
        <f t="shared" si="111"/>
        <v>0</v>
      </c>
      <c r="J207" s="625">
        <f t="shared" si="111"/>
        <v>0</v>
      </c>
      <c r="K207" s="625">
        <f t="shared" si="111"/>
        <v>331.46830620000037</v>
      </c>
      <c r="L207" s="625">
        <f t="shared" si="111"/>
        <v>360.10532774699959</v>
      </c>
      <c r="M207" s="625">
        <f t="shared" si="111"/>
        <v>414.80418387823488</v>
      </c>
      <c r="N207" s="625">
        <f t="shared" si="111"/>
        <v>761.28164461787082</v>
      </c>
      <c r="O207" s="625">
        <f t="shared" si="111"/>
        <v>797.90734998944436</v>
      </c>
      <c r="P207" s="625">
        <f t="shared" si="111"/>
        <v>835.95195047510106</v>
      </c>
    </row>
    <row r="208" spans="1:16" ht="11.25" hidden="1" outlineLevel="1" x14ac:dyDescent="0.2">
      <c r="A208" s="600" t="s">
        <v>451</v>
      </c>
      <c r="C208" s="606">
        <f>B209</f>
        <v>0</v>
      </c>
      <c r="D208" s="606">
        <f t="shared" ref="D208:E208" si="112">C209</f>
        <v>0</v>
      </c>
      <c r="E208" s="606">
        <f t="shared" si="112"/>
        <v>0</v>
      </c>
      <c r="F208" s="606">
        <v>0</v>
      </c>
      <c r="G208" s="606">
        <f t="shared" ref="G208:P208" si="113">F209</f>
        <v>0</v>
      </c>
      <c r="H208" s="606">
        <f t="shared" si="113"/>
        <v>0</v>
      </c>
      <c r="I208" s="606">
        <f t="shared" si="113"/>
        <v>-9.9999999999909051E-3</v>
      </c>
      <c r="J208" s="606">
        <f t="shared" si="113"/>
        <v>-9.9999999999909051E-3</v>
      </c>
      <c r="K208" s="606">
        <f t="shared" si="113"/>
        <v>-9.9999999999909051E-3</v>
      </c>
      <c r="L208" s="606">
        <f t="shared" si="113"/>
        <v>331.45830620000038</v>
      </c>
      <c r="M208" s="606">
        <f t="shared" si="113"/>
        <v>691.56363394699997</v>
      </c>
      <c r="N208" s="606">
        <f t="shared" si="113"/>
        <v>1106.3678178252349</v>
      </c>
      <c r="O208" s="606">
        <f t="shared" si="113"/>
        <v>1867.6494624431057</v>
      </c>
      <c r="P208" s="606">
        <f t="shared" si="113"/>
        <v>2665.55681243255</v>
      </c>
    </row>
    <row r="209" spans="1:16" ht="11.25" hidden="1" outlineLevel="1" x14ac:dyDescent="0.2">
      <c r="A209" s="620" t="s">
        <v>452</v>
      </c>
      <c r="B209" s="626"/>
      <c r="C209" s="627">
        <f>SUM(C207:C208)</f>
        <v>0</v>
      </c>
      <c r="D209" s="627">
        <f t="shared" ref="D209:P209" si="114">SUM(D207:D208)</f>
        <v>0</v>
      </c>
      <c r="E209" s="627">
        <f t="shared" si="114"/>
        <v>1482</v>
      </c>
      <c r="F209" s="627">
        <f t="shared" si="114"/>
        <v>0</v>
      </c>
      <c r="G209" s="627">
        <f t="shared" si="114"/>
        <v>0</v>
      </c>
      <c r="H209" s="627">
        <f t="shared" si="114"/>
        <v>-9.9999999999909051E-3</v>
      </c>
      <c r="I209" s="627">
        <f t="shared" si="114"/>
        <v>-9.9999999999909051E-3</v>
      </c>
      <c r="J209" s="627">
        <f t="shared" si="114"/>
        <v>-9.9999999999909051E-3</v>
      </c>
      <c r="K209" s="627">
        <f t="shared" si="114"/>
        <v>331.45830620000038</v>
      </c>
      <c r="L209" s="627">
        <f t="shared" si="114"/>
        <v>691.56363394699997</v>
      </c>
      <c r="M209" s="627">
        <f t="shared" si="114"/>
        <v>1106.3678178252349</v>
      </c>
      <c r="N209" s="627">
        <f t="shared" si="114"/>
        <v>1867.6494624431057</v>
      </c>
      <c r="O209" s="627">
        <f t="shared" si="114"/>
        <v>2665.55681243255</v>
      </c>
      <c r="P209" s="627">
        <f t="shared" si="114"/>
        <v>3501.5087629076511</v>
      </c>
    </row>
    <row r="210" spans="1:16" collapsed="1" x14ac:dyDescent="0.2"/>
  </sheetData>
  <pageMargins left="0.74803149606299213" right="0.74803149606299213" top="0.6692913385826772" bottom="0.6692913385826772" header="0.51181102362204722" footer="0.51181102362204722"/>
  <pageSetup paperSize="9" scale="89" fitToHeight="0" orientation="landscape" r:id="rId1"/>
  <headerFooter alignWithMargins="0"/>
  <rowBreaks count="3" manualBreakCount="3">
    <brk id="71" max="16383" man="1"/>
    <brk id="142" max="16383" man="1"/>
    <brk id="188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V901"/>
  <sheetViews>
    <sheetView topLeftCell="B1" zoomScale="85" zoomScaleNormal="85" workbookViewId="0">
      <pane xSplit="1" ySplit="6" topLeftCell="C565" activePane="bottomRight" state="frozen"/>
      <selection activeCell="B1" sqref="B1"/>
      <selection pane="topRight" activeCell="C1" sqref="C1"/>
      <selection pane="bottomLeft" activeCell="B7" sqref="B7"/>
      <selection pane="bottomRight" activeCell="G248" sqref="G248"/>
    </sheetView>
  </sheetViews>
  <sheetFormatPr defaultColWidth="8.88671875" defaultRowHeight="13.8" outlineLevelRow="1" x14ac:dyDescent="0.25"/>
  <cols>
    <col min="1" max="1" width="4.88671875" style="424" customWidth="1"/>
    <col min="2" max="2" width="50" style="424" customWidth="1"/>
    <col min="3" max="15" width="12.44140625" style="424" bestFit="1" customWidth="1"/>
    <col min="16" max="16" width="48.44140625" style="424" customWidth="1"/>
    <col min="17" max="17" width="14.33203125" style="424" customWidth="1"/>
    <col min="18" max="18" width="10.88671875" style="424" customWidth="1"/>
    <col min="19" max="28" width="12" style="424" customWidth="1"/>
    <col min="29" max="29" width="14.33203125" style="424" customWidth="1"/>
    <col min="30" max="30" width="14.44140625" style="424" customWidth="1"/>
    <col min="31" max="31" width="9.88671875" style="424" bestFit="1" customWidth="1"/>
    <col min="32" max="16384" width="8.88671875" style="424"/>
  </cols>
  <sheetData>
    <row r="1" spans="2:48" ht="15" x14ac:dyDescent="0.25">
      <c r="B1" s="467" t="s">
        <v>1044</v>
      </c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</row>
    <row r="2" spans="2:48" ht="18" x14ac:dyDescent="0.25">
      <c r="B2" s="469" t="s">
        <v>913</v>
      </c>
      <c r="C2" s="471"/>
      <c r="D2" s="471"/>
      <c r="E2" s="471"/>
      <c r="F2" s="471"/>
      <c r="G2" s="471"/>
      <c r="H2" s="471"/>
      <c r="I2" s="471"/>
      <c r="J2" s="471"/>
      <c r="K2" s="471"/>
      <c r="L2" s="471">
        <v>1676270.4676194983</v>
      </c>
      <c r="M2" s="471"/>
      <c r="N2" s="471"/>
      <c r="O2" s="471"/>
    </row>
    <row r="3" spans="2:48" ht="15.75" x14ac:dyDescent="0.25">
      <c r="B3" s="903" t="s">
        <v>1079</v>
      </c>
      <c r="C3" s="897"/>
      <c r="D3" s="897"/>
      <c r="E3" s="897"/>
      <c r="F3" s="897"/>
      <c r="G3" s="897"/>
      <c r="H3" s="898"/>
      <c r="I3" s="442"/>
      <c r="J3" s="442"/>
      <c r="K3" s="442"/>
      <c r="L3" s="442"/>
      <c r="M3" s="442"/>
      <c r="N3" s="442"/>
      <c r="O3" s="442"/>
    </row>
    <row r="4" spans="2:48" ht="16.5" thickBot="1" x14ac:dyDescent="0.3">
      <c r="B4" s="896" t="s">
        <v>1270</v>
      </c>
      <c r="C4" s="442"/>
      <c r="D4" s="442"/>
      <c r="E4" s="442"/>
      <c r="F4" s="442"/>
      <c r="G4" s="442"/>
      <c r="H4" s="442"/>
      <c r="I4" s="442"/>
      <c r="J4" s="442"/>
      <c r="K4" s="442"/>
      <c r="L4" s="442"/>
      <c r="M4" s="442"/>
      <c r="N4" s="442"/>
      <c r="O4" s="442"/>
    </row>
    <row r="5" spans="2:48" ht="15" x14ac:dyDescent="0.25">
      <c r="B5" s="473" t="s">
        <v>1115</v>
      </c>
      <c r="C5" s="474">
        <v>2015</v>
      </c>
      <c r="D5" s="474">
        <v>2016</v>
      </c>
      <c r="E5" s="474">
        <f t="shared" ref="E5:L5" si="0">D5+1</f>
        <v>2017</v>
      </c>
      <c r="F5" s="474">
        <f t="shared" si="0"/>
        <v>2018</v>
      </c>
      <c r="G5" s="474">
        <f t="shared" si="0"/>
        <v>2019</v>
      </c>
      <c r="H5" s="474">
        <f t="shared" si="0"/>
        <v>2020</v>
      </c>
      <c r="I5" s="474">
        <f t="shared" si="0"/>
        <v>2021</v>
      </c>
      <c r="J5" s="474">
        <f t="shared" si="0"/>
        <v>2022</v>
      </c>
      <c r="K5" s="474">
        <f t="shared" si="0"/>
        <v>2023</v>
      </c>
      <c r="L5" s="474">
        <f t="shared" si="0"/>
        <v>2024</v>
      </c>
      <c r="M5" s="474">
        <f>L5+1</f>
        <v>2025</v>
      </c>
      <c r="N5" s="474">
        <f>M5+1</f>
        <v>2026</v>
      </c>
      <c r="O5" s="474">
        <f>N5+1</f>
        <v>2027</v>
      </c>
    </row>
    <row r="6" spans="2:48" ht="15.75" thickBot="1" x14ac:dyDescent="0.3">
      <c r="B6" s="457"/>
      <c r="C6" s="475" t="s">
        <v>875</v>
      </c>
      <c r="D6" s="475" t="s">
        <v>875</v>
      </c>
      <c r="E6" s="475" t="s">
        <v>875</v>
      </c>
      <c r="F6" s="475" t="s">
        <v>875</v>
      </c>
      <c r="G6" s="475" t="s">
        <v>875</v>
      </c>
      <c r="H6" s="475" t="s">
        <v>875</v>
      </c>
      <c r="I6" s="475" t="s">
        <v>875</v>
      </c>
      <c r="J6" s="475" t="s">
        <v>875</v>
      </c>
      <c r="K6" s="475" t="s">
        <v>875</v>
      </c>
      <c r="L6" s="475" t="s">
        <v>875</v>
      </c>
      <c r="M6" s="475" t="s">
        <v>875</v>
      </c>
      <c r="N6" s="475" t="s">
        <v>875</v>
      </c>
      <c r="O6" s="475" t="s">
        <v>875</v>
      </c>
    </row>
    <row r="7" spans="2:48" s="433" customFormat="1" ht="15" x14ac:dyDescent="0.25">
      <c r="B7" s="455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  <c r="N7" s="476"/>
      <c r="O7" s="476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424"/>
      <c r="AG7" s="424"/>
      <c r="AH7" s="424"/>
      <c r="AI7" s="424"/>
      <c r="AJ7" s="424"/>
      <c r="AK7" s="424"/>
      <c r="AL7" s="424"/>
      <c r="AM7" s="424"/>
      <c r="AN7" s="424"/>
      <c r="AO7" s="424"/>
      <c r="AP7" s="424"/>
      <c r="AQ7" s="424"/>
      <c r="AR7" s="424"/>
      <c r="AS7" s="424"/>
      <c r="AT7" s="424"/>
      <c r="AU7" s="424"/>
      <c r="AV7" s="424"/>
    </row>
    <row r="8" spans="2:48" ht="15" x14ac:dyDescent="0.25">
      <c r="B8" s="472" t="s">
        <v>914</v>
      </c>
      <c r="C8" s="477"/>
      <c r="D8" s="477"/>
      <c r="E8" s="477">
        <f t="shared" ref="E8:L8" si="1">(E12/D12)-1</f>
        <v>5.5537983929875967E-2</v>
      </c>
      <c r="F8" s="477">
        <f t="shared" si="1"/>
        <v>5.6304998195541245E-2</v>
      </c>
      <c r="G8" s="477">
        <f t="shared" si="1"/>
        <v>3.3539015243872816E-2</v>
      </c>
      <c r="H8" s="477">
        <f t="shared" si="1"/>
        <v>4.2864734533569981E-2</v>
      </c>
      <c r="I8" s="477">
        <f t="shared" si="1"/>
        <v>2.7375956760284259E-2</v>
      </c>
      <c r="J8" s="477">
        <f t="shared" si="1"/>
        <v>2.4999999999999911E-2</v>
      </c>
      <c r="K8" s="477">
        <f t="shared" si="1"/>
        <v>2.4999999999999911E-2</v>
      </c>
      <c r="L8" s="477">
        <f t="shared" si="1"/>
        <v>2.4999999999999911E-2</v>
      </c>
      <c r="M8" s="477"/>
      <c r="N8" s="477"/>
      <c r="O8" s="477"/>
    </row>
    <row r="9" spans="2:48" ht="15.75" thickBot="1" x14ac:dyDescent="0.3">
      <c r="B9" s="478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476"/>
    </row>
    <row r="10" spans="2:48" ht="15" x14ac:dyDescent="0.25">
      <c r="B10" s="422" t="s">
        <v>80</v>
      </c>
      <c r="C10" s="423">
        <f t="shared" ref="C10" si="2">C5</f>
        <v>2015</v>
      </c>
      <c r="D10" s="423">
        <f t="shared" ref="D10:L10" si="3">D5</f>
        <v>2016</v>
      </c>
      <c r="E10" s="423">
        <f t="shared" si="3"/>
        <v>2017</v>
      </c>
      <c r="F10" s="423">
        <f t="shared" si="3"/>
        <v>2018</v>
      </c>
      <c r="G10" s="423">
        <f t="shared" si="3"/>
        <v>2019</v>
      </c>
      <c r="H10" s="423">
        <f t="shared" si="3"/>
        <v>2020</v>
      </c>
      <c r="I10" s="423">
        <f t="shared" si="3"/>
        <v>2021</v>
      </c>
      <c r="J10" s="423">
        <f t="shared" si="3"/>
        <v>2022</v>
      </c>
      <c r="K10" s="423">
        <f t="shared" si="3"/>
        <v>2023</v>
      </c>
      <c r="L10" s="423">
        <f t="shared" si="3"/>
        <v>2024</v>
      </c>
      <c r="M10" s="423">
        <f>M5</f>
        <v>2025</v>
      </c>
      <c r="N10" s="423">
        <f>N5</f>
        <v>2026</v>
      </c>
      <c r="O10" s="423">
        <f>O5</f>
        <v>2027</v>
      </c>
    </row>
    <row r="11" spans="2:48" ht="30" thickBot="1" x14ac:dyDescent="0.3">
      <c r="B11" s="479" t="s">
        <v>915</v>
      </c>
      <c r="C11" s="475" t="s">
        <v>875</v>
      </c>
      <c r="D11" s="475" t="s">
        <v>875</v>
      </c>
      <c r="E11" s="475" t="s">
        <v>875</v>
      </c>
      <c r="F11" s="475" t="s">
        <v>875</v>
      </c>
      <c r="G11" s="475" t="s">
        <v>875</v>
      </c>
      <c r="H11" s="475" t="s">
        <v>875</v>
      </c>
      <c r="I11" s="475" t="s">
        <v>875</v>
      </c>
      <c r="J11" s="475" t="s">
        <v>875</v>
      </c>
      <c r="K11" s="475" t="s">
        <v>875</v>
      </c>
      <c r="L11" s="475" t="s">
        <v>875</v>
      </c>
      <c r="M11" s="475" t="s">
        <v>875</v>
      </c>
      <c r="N11" s="475" t="s">
        <v>875</v>
      </c>
      <c r="O11" s="475" t="s">
        <v>875</v>
      </c>
    </row>
    <row r="12" spans="2:48" ht="15" x14ac:dyDescent="0.25">
      <c r="B12" s="480" t="s">
        <v>916</v>
      </c>
      <c r="C12" s="481">
        <f>'GF &amp; FF  Inc Exp Statement'!D11</f>
        <v>0</v>
      </c>
      <c r="D12" s="481">
        <f>'GF &amp; FF  Inc Exp Statement'!E11</f>
        <v>13690</v>
      </c>
      <c r="E12" s="481">
        <f>'GF &amp; FF  Inc Exp Statement'!F11</f>
        <v>14450.315000000001</v>
      </c>
      <c r="F12" s="481">
        <f>'GF &amp; FF  Inc Exp Statement'!G11</f>
        <v>15263.939960000002</v>
      </c>
      <c r="G12" s="481">
        <f>'GF &amp; FF  Inc Exp Statement'!H11</f>
        <v>15775.877474999999</v>
      </c>
      <c r="H12" s="481">
        <f>'GF &amp; FF  Inc Exp Statement'!I11</f>
        <v>16452.106275000002</v>
      </c>
      <c r="I12" s="481">
        <f>'GF &amp; FF  Inc Exp Statement'!J11</f>
        <v>16902.498425000002</v>
      </c>
      <c r="J12" s="481">
        <f>'GF &amp; FF  Inc Exp Statement'!K11</f>
        <v>17325.060885625</v>
      </c>
      <c r="K12" s="481">
        <f>'GF &amp; FF  Inc Exp Statement'!L11</f>
        <v>17758.187407765625</v>
      </c>
      <c r="L12" s="481">
        <f>'GF &amp; FF  Inc Exp Statement'!M11</f>
        <v>18202.142092959763</v>
      </c>
      <c r="M12" s="481">
        <f>'GF &amp; FF  Inc Exp Statement'!N11</f>
        <v>18657.195645283755</v>
      </c>
      <c r="N12" s="481">
        <f>'GF &amp; FF  Inc Exp Statement'!O11</f>
        <v>19123.625536415846</v>
      </c>
      <c r="O12" s="481">
        <f>'GF &amp; FF  Inc Exp Statement'!P11</f>
        <v>19601.716174826241</v>
      </c>
    </row>
    <row r="13" spans="2:48" ht="15" x14ac:dyDescent="0.25">
      <c r="B13" s="428" t="s">
        <v>580</v>
      </c>
      <c r="C13" s="481">
        <f>'GF &amp; FF  Inc Exp Statement'!D12</f>
        <v>0</v>
      </c>
      <c r="D13" s="481">
        <f>'GF &amp; FF  Inc Exp Statement'!E12</f>
        <v>7643</v>
      </c>
      <c r="E13" s="481">
        <f>'GF &amp; FF  Inc Exp Statement'!F12</f>
        <v>9486.969000000001</v>
      </c>
      <c r="F13" s="481">
        <f>'GF &amp; FF  Inc Exp Statement'!G12</f>
        <v>9897.5250000000015</v>
      </c>
      <c r="G13" s="481">
        <f>'GF &amp; FF  Inc Exp Statement'!H12</f>
        <v>10068</v>
      </c>
      <c r="H13" s="481">
        <f>'GF &amp; FF  Inc Exp Statement'!I12</f>
        <v>10252.253000000001</v>
      </c>
      <c r="I13" s="481">
        <f>'GF &amp; FF  Inc Exp Statement'!J12</f>
        <v>10485.2922</v>
      </c>
      <c r="J13" s="481">
        <f>'GF &amp; FF  Inc Exp Statement'!K12</f>
        <v>10694.998044</v>
      </c>
      <c r="K13" s="481">
        <f>'GF &amp; FF  Inc Exp Statement'!L12</f>
        <v>10908.89800488</v>
      </c>
      <c r="L13" s="481">
        <f>'GF &amp; FF  Inc Exp Statement'!M12</f>
        <v>11127.075964977601</v>
      </c>
      <c r="M13" s="481">
        <f>'GF &amp; FF  Inc Exp Statement'!N12</f>
        <v>11349.617484277152</v>
      </c>
      <c r="N13" s="481">
        <f>'GF &amp; FF  Inc Exp Statement'!O12</f>
        <v>11576.609833962695</v>
      </c>
      <c r="O13" s="481">
        <f>'GF &amp; FF  Inc Exp Statement'!P12</f>
        <v>11808.14203064195</v>
      </c>
    </row>
    <row r="14" spans="2:48" ht="15" x14ac:dyDescent="0.25">
      <c r="B14" s="428" t="s">
        <v>917</v>
      </c>
      <c r="C14" s="481">
        <f>'GF &amp; FF  Inc Exp Statement'!D15</f>
        <v>0</v>
      </c>
      <c r="D14" s="481">
        <f>'GF &amp; FF  Inc Exp Statement'!E15</f>
        <v>8953</v>
      </c>
      <c r="E14" s="481">
        <f>'GF &amp; FF  Inc Exp Statement'!F15</f>
        <v>6174.7439999999997</v>
      </c>
      <c r="F14" s="481">
        <f>'GF &amp; FF  Inc Exp Statement'!G15</f>
        <v>5450.8890000000001</v>
      </c>
      <c r="G14" s="481">
        <f>'GF &amp; FF  Inc Exp Statement'!H15</f>
        <v>5547.3509999999997</v>
      </c>
      <c r="H14" s="481">
        <f>'GF &amp; FF  Inc Exp Statement'!I15</f>
        <v>5643.5889999999999</v>
      </c>
      <c r="I14" s="481">
        <f>'GF &amp; FF  Inc Exp Statement'!J15</f>
        <v>5741.7657600000002</v>
      </c>
      <c r="J14" s="481">
        <f>'GF &amp; FF  Inc Exp Statement'!K15</f>
        <v>5885.3099039999997</v>
      </c>
      <c r="K14" s="481">
        <f>'GF &amp; FF  Inc Exp Statement'!L15</f>
        <v>6032.4426515999994</v>
      </c>
      <c r="L14" s="481">
        <f>'GF &amp; FF  Inc Exp Statement'!M15</f>
        <v>6183.2537178899993</v>
      </c>
      <c r="M14" s="481">
        <f>'GF &amp; FF  Inc Exp Statement'!N15</f>
        <v>6337.8350608372484</v>
      </c>
      <c r="N14" s="481">
        <f>'GF &amp; FF  Inc Exp Statement'!O15</f>
        <v>6496.2809373581795</v>
      </c>
      <c r="O14" s="481">
        <f>'GF &amp; FF  Inc Exp Statement'!P15</f>
        <v>6658.6879607921337</v>
      </c>
    </row>
    <row r="15" spans="2:48" ht="15" x14ac:dyDescent="0.25">
      <c r="B15" s="428" t="s">
        <v>918</v>
      </c>
      <c r="C15" s="481">
        <f>'GF &amp; FF  Inc Exp Statement'!D14</f>
        <v>0</v>
      </c>
      <c r="D15" s="481">
        <f>'GF &amp; FF  Inc Exp Statement'!E16</f>
        <v>14459</v>
      </c>
      <c r="E15" s="481">
        <f>'GF &amp; FF  Inc Exp Statement'!F16</f>
        <v>2898.0070000000001</v>
      </c>
      <c r="F15" s="481">
        <f>'GF &amp; FF  Inc Exp Statement'!G16</f>
        <v>3787.9670000000001</v>
      </c>
      <c r="G15" s="481">
        <f>'GF &amp; FF  Inc Exp Statement'!H16</f>
        <v>3844.3710099999998</v>
      </c>
      <c r="H15" s="481">
        <f>'GF &amp; FF  Inc Exp Statement'!I16</f>
        <v>3902.4590153000004</v>
      </c>
      <c r="I15" s="481">
        <f>'GF &amp; FF  Inc Exp Statement'!J16</f>
        <v>3962.2813326340001</v>
      </c>
      <c r="J15" s="481">
        <f>'GF &amp; FF  Inc Exp Statement'!K16</f>
        <v>4061.33836594985</v>
      </c>
      <c r="K15" s="481">
        <f>'GF &amp; FF  Inc Exp Statement'!L16</f>
        <v>4162.8718250985949</v>
      </c>
      <c r="L15" s="481">
        <f>'GF &amp; FF  Inc Exp Statement'!M16</f>
        <v>4266.9436207260605</v>
      </c>
      <c r="M15" s="481">
        <f>'GF &amp; FF  Inc Exp Statement'!N16</f>
        <v>4373.6172112442109</v>
      </c>
      <c r="N15" s="481">
        <f>'GF &amp; FF  Inc Exp Statement'!O16</f>
        <v>4482.9576415253168</v>
      </c>
      <c r="O15" s="481">
        <f>'GF &amp; FF  Inc Exp Statement'!P16</f>
        <v>4595.0315825634489</v>
      </c>
    </row>
    <row r="16" spans="2:48" ht="15" x14ac:dyDescent="0.25">
      <c r="B16" s="428" t="s">
        <v>919</v>
      </c>
      <c r="C16" s="481">
        <f>'GF &amp; FF  Inc Exp Statement'!D13</f>
        <v>0</v>
      </c>
      <c r="D16" s="481">
        <f>'GF &amp; FF  Inc Exp Statement'!E13</f>
        <v>1053</v>
      </c>
      <c r="E16" s="481">
        <f>'GF &amp; FF  Inc Exp Statement'!F13</f>
        <v>931.5</v>
      </c>
      <c r="F16" s="481">
        <f>'GF &amp; FF  Inc Exp Statement'!G13</f>
        <v>938.20899999999995</v>
      </c>
      <c r="G16" s="481">
        <f>'GF &amp; FF  Inc Exp Statement'!H13</f>
        <v>947.19299999999998</v>
      </c>
      <c r="H16" s="481">
        <f>'GF &amp; FF  Inc Exp Statement'!I13</f>
        <v>956.88900000000001</v>
      </c>
      <c r="I16" s="481">
        <f>'GF &amp; FF  Inc Exp Statement'!J13</f>
        <v>965.43299999999999</v>
      </c>
      <c r="J16" s="481">
        <f>'GF &amp; FF  Inc Exp Statement'!K13</f>
        <v>665.95123412236012</v>
      </c>
      <c r="K16" s="481">
        <f>'GF &amp; FF  Inc Exp Statement'!L13</f>
        <v>667.94846667024865</v>
      </c>
      <c r="L16" s="481">
        <f>'GF &amp; FF  Inc Exp Statement'!M13</f>
        <v>672.94786350282743</v>
      </c>
      <c r="M16" s="481">
        <f>'GF &amp; FF  Inc Exp Statement'!N13</f>
        <v>692.51450252355767</v>
      </c>
      <c r="N16" s="481">
        <f>'GF &amp; FF  Inc Exp Statement'!O13</f>
        <v>706.94833283437345</v>
      </c>
      <c r="O16" s="481">
        <f>'GF &amp; FF  Inc Exp Statement'!P13</f>
        <v>721.43375179095733</v>
      </c>
    </row>
    <row r="17" spans="2:29" ht="15" x14ac:dyDescent="0.25">
      <c r="B17" s="428" t="s">
        <v>920</v>
      </c>
      <c r="C17" s="481">
        <f>'GF &amp; FF  Inc Exp Statement'!D16</f>
        <v>0</v>
      </c>
      <c r="D17" s="481">
        <v>0</v>
      </c>
      <c r="E17" s="481">
        <v>0</v>
      </c>
      <c r="F17" s="481">
        <v>0</v>
      </c>
      <c r="G17" s="481">
        <v>0</v>
      </c>
      <c r="H17" s="481">
        <v>0</v>
      </c>
      <c r="I17" s="481">
        <v>0</v>
      </c>
      <c r="J17" s="481">
        <v>0</v>
      </c>
      <c r="K17" s="481">
        <v>0</v>
      </c>
      <c r="L17" s="481">
        <v>0</v>
      </c>
      <c r="M17" s="481">
        <v>0</v>
      </c>
      <c r="N17" s="481">
        <v>0</v>
      </c>
      <c r="O17" s="481">
        <v>0</v>
      </c>
    </row>
    <row r="18" spans="2:29" ht="15" x14ac:dyDescent="0.25">
      <c r="B18" s="1322" t="s">
        <v>1180</v>
      </c>
      <c r="C18" s="481"/>
      <c r="D18" s="481">
        <f>'GF &amp; FF  Inc Exp Statement'!E17</f>
        <v>0</v>
      </c>
      <c r="E18" s="481">
        <f>'GF &amp; FF  Inc Exp Statement'!F17</f>
        <v>4783.3530000000001</v>
      </c>
      <c r="F18" s="481">
        <f>'GF &amp; FF  Inc Exp Statement'!G17</f>
        <v>5059.8519999999999</v>
      </c>
      <c r="G18" s="481">
        <f>'GF &amp; FF  Inc Exp Statement'!H17</f>
        <v>5239.6229999999996</v>
      </c>
      <c r="H18" s="481">
        <f>'GF &amp; FF  Inc Exp Statement'!I17</f>
        <v>5419.1779999999999</v>
      </c>
      <c r="I18" s="481">
        <f>'GF &amp; FF  Inc Exp Statement'!J17</f>
        <v>5456.5190000000002</v>
      </c>
      <c r="J18" s="481">
        <f>'GF &amp; FF  Inc Exp Statement'!K17</f>
        <v>5565.6493800000007</v>
      </c>
      <c r="K18" s="481">
        <f>'GF &amp; FF  Inc Exp Statement'!L17</f>
        <v>5676.962367600001</v>
      </c>
      <c r="L18" s="481">
        <f>'GF &amp; FF  Inc Exp Statement'!M17</f>
        <v>5790.5016149520015</v>
      </c>
      <c r="M18" s="481">
        <f>'GF &amp; FF  Inc Exp Statement'!N17</f>
        <v>5906.3116472510419</v>
      </c>
      <c r="N18" s="481">
        <f>'GF &amp; FF  Inc Exp Statement'!O17</f>
        <v>6024.4378801960629</v>
      </c>
      <c r="O18" s="481">
        <f>'GF &amp; FF  Inc Exp Statement'!P17</f>
        <v>6144.9266377999838</v>
      </c>
    </row>
    <row r="19" spans="2:29" ht="15" x14ac:dyDescent="0.25">
      <c r="B19" s="428" t="s">
        <v>921</v>
      </c>
      <c r="C19" s="481">
        <f>'GF &amp; FF  Inc Exp Statement'!D18</f>
        <v>0</v>
      </c>
      <c r="D19" s="481">
        <f>'GF &amp; FF  Inc Exp Statement'!E14</f>
        <v>1018</v>
      </c>
      <c r="E19" s="481">
        <f>'GF &amp; FF  Inc Exp Statement'!F14</f>
        <v>2424.5369999999998</v>
      </c>
      <c r="F19" s="481">
        <f>'GF &amp; FF  Inc Exp Statement'!G14</f>
        <v>2409.788</v>
      </c>
      <c r="G19" s="481">
        <f>'GF &amp; FF  Inc Exp Statement'!H14</f>
        <v>2463.8040000000001</v>
      </c>
      <c r="H19" s="481">
        <f>'GF &amp; FF  Inc Exp Statement'!I14</f>
        <v>2520.3789999999999</v>
      </c>
      <c r="I19" s="481">
        <f>'GF &amp; FF  Inc Exp Statement'!J14</f>
        <v>2578.0160000000001</v>
      </c>
      <c r="J19" s="481">
        <f>'GF &amp; FF  Inc Exp Statement'!K14</f>
        <v>2629.5763200000001</v>
      </c>
      <c r="K19" s="481">
        <f>'GF &amp; FF  Inc Exp Statement'!L14</f>
        <v>2682.1678464000001</v>
      </c>
      <c r="L19" s="481">
        <f>'GF &amp; FF  Inc Exp Statement'!M14</f>
        <v>2735.8112033280004</v>
      </c>
      <c r="M19" s="481">
        <f>'GF &amp; FF  Inc Exp Statement'!N14</f>
        <v>2790.5274273945606</v>
      </c>
      <c r="N19" s="481">
        <f>'GF &amp; FF  Inc Exp Statement'!O14</f>
        <v>2846.337975942452</v>
      </c>
      <c r="O19" s="481">
        <f>'GF &amp; FF  Inc Exp Statement'!P14</f>
        <v>2903.2647354613009</v>
      </c>
    </row>
    <row r="20" spans="2:29" ht="15.75" thickBot="1" x14ac:dyDescent="0.3">
      <c r="B20" s="482" t="s">
        <v>922</v>
      </c>
      <c r="C20" s="484">
        <f t="shared" ref="C20" si="4">SUM(C12:C19)</f>
        <v>0</v>
      </c>
      <c r="D20" s="484">
        <f t="shared" ref="D20:L20" si="5">SUM(D12:D19)</f>
        <v>46816</v>
      </c>
      <c r="E20" s="484">
        <f t="shared" si="5"/>
        <v>41149.424999999996</v>
      </c>
      <c r="F20" s="484">
        <f t="shared" si="5"/>
        <v>42808.169960000007</v>
      </c>
      <c r="G20" s="484">
        <f>SUM(G12:G19)</f>
        <v>43886.219484999994</v>
      </c>
      <c r="H20" s="484">
        <f>SUM(H12:H19)</f>
        <v>45146.853290300009</v>
      </c>
      <c r="I20" s="484">
        <f t="shared" si="5"/>
        <v>46091.805717634001</v>
      </c>
      <c r="J20" s="484">
        <f t="shared" si="5"/>
        <v>46827.884133697211</v>
      </c>
      <c r="K20" s="484">
        <f t="shared" si="5"/>
        <v>47889.478570014471</v>
      </c>
      <c r="L20" s="484">
        <f t="shared" si="5"/>
        <v>48978.676078336248</v>
      </c>
      <c r="M20" s="484">
        <f>SUM(M12:M19)</f>
        <v>50107.618978811523</v>
      </c>
      <c r="N20" s="484">
        <f>SUM(N12:N19)</f>
        <v>51257.198138234919</v>
      </c>
      <c r="O20" s="484">
        <f>SUM(O12:O19)</f>
        <v>52433.202873876013</v>
      </c>
      <c r="AA20" s="485"/>
      <c r="AB20" s="485"/>
      <c r="AC20" s="485"/>
    </row>
    <row r="21" spans="2:29" ht="15" x14ac:dyDescent="0.25">
      <c r="B21" s="428" t="s">
        <v>923</v>
      </c>
      <c r="C21" s="487">
        <f t="shared" ref="C21" si="6">C20-C17</f>
        <v>0</v>
      </c>
      <c r="D21" s="487">
        <f t="shared" ref="D21:L21" si="7">D20-D17</f>
        <v>46816</v>
      </c>
      <c r="E21" s="487">
        <f t="shared" si="7"/>
        <v>41149.424999999996</v>
      </c>
      <c r="F21" s="487">
        <f t="shared" si="7"/>
        <v>42808.169960000007</v>
      </c>
      <c r="G21" s="487">
        <f t="shared" si="7"/>
        <v>43886.219484999994</v>
      </c>
      <c r="H21" s="487">
        <f t="shared" si="7"/>
        <v>45146.853290300009</v>
      </c>
      <c r="I21" s="487">
        <f t="shared" si="7"/>
        <v>46091.805717634001</v>
      </c>
      <c r="J21" s="487">
        <f>J20-J17</f>
        <v>46827.884133697211</v>
      </c>
      <c r="K21" s="487">
        <f t="shared" si="7"/>
        <v>47889.478570014471</v>
      </c>
      <c r="L21" s="487">
        <f t="shared" si="7"/>
        <v>48978.676078336248</v>
      </c>
      <c r="M21" s="487">
        <f>M20-M17</f>
        <v>50107.618978811523</v>
      </c>
      <c r="N21" s="487">
        <f>N20-N17</f>
        <v>51257.198138234919</v>
      </c>
      <c r="O21" s="487">
        <f>O20-O17</f>
        <v>52433.202873876013</v>
      </c>
      <c r="AA21" s="485"/>
      <c r="AB21" s="485"/>
      <c r="AC21" s="485"/>
    </row>
    <row r="22" spans="2:29" ht="15" x14ac:dyDescent="0.25">
      <c r="B22" s="428" t="s">
        <v>924</v>
      </c>
      <c r="C22" s="487">
        <f>C20-C17-C15</f>
        <v>0</v>
      </c>
      <c r="D22" s="487">
        <f>D20-D17-D15</f>
        <v>32357</v>
      </c>
      <c r="E22" s="487">
        <f t="shared" ref="E22:L22" si="8">E20-E17-E15</f>
        <v>38251.417999999998</v>
      </c>
      <c r="F22" s="487">
        <f t="shared" si="8"/>
        <v>39020.20296000001</v>
      </c>
      <c r="G22" s="487">
        <f t="shared" si="8"/>
        <v>40041.848474999992</v>
      </c>
      <c r="H22" s="487">
        <f t="shared" si="8"/>
        <v>41244.394275000006</v>
      </c>
      <c r="I22" s="487">
        <f t="shared" si="8"/>
        <v>42129.524384999997</v>
      </c>
      <c r="J22" s="487">
        <f t="shared" si="8"/>
        <v>42766.545767747361</v>
      </c>
      <c r="K22" s="487">
        <f t="shared" si="8"/>
        <v>43726.606744915873</v>
      </c>
      <c r="L22" s="487">
        <f t="shared" si="8"/>
        <v>44711.732457610189</v>
      </c>
      <c r="M22" s="487">
        <f>M20-M17-M15</f>
        <v>45734.001767567315</v>
      </c>
      <c r="N22" s="487">
        <f>N20-N17-N15</f>
        <v>46774.240496709601</v>
      </c>
      <c r="O22" s="487">
        <f>O20-O17-O15</f>
        <v>47838.171291312567</v>
      </c>
      <c r="AA22" s="485"/>
      <c r="AB22" s="485"/>
      <c r="AC22" s="485"/>
    </row>
    <row r="23" spans="2:29" ht="14.25" x14ac:dyDescent="0.2">
      <c r="B23" s="428"/>
      <c r="C23" s="489"/>
      <c r="D23" s="489"/>
      <c r="E23" s="489"/>
      <c r="F23" s="489"/>
      <c r="G23" s="489"/>
      <c r="H23" s="489"/>
      <c r="I23" s="489"/>
      <c r="J23" s="489"/>
      <c r="K23" s="489"/>
      <c r="L23" s="489"/>
      <c r="M23" s="489"/>
      <c r="N23" s="489"/>
      <c r="O23" s="489"/>
      <c r="AA23" s="485"/>
      <c r="AB23" s="485"/>
      <c r="AC23" s="485"/>
    </row>
    <row r="24" spans="2:29" ht="15" x14ac:dyDescent="0.25">
      <c r="B24" s="490" t="s">
        <v>925</v>
      </c>
      <c r="C24" s="489"/>
      <c r="D24" s="489"/>
      <c r="E24" s="489"/>
      <c r="F24" s="489"/>
      <c r="G24" s="489"/>
      <c r="H24" s="489"/>
      <c r="I24" s="489"/>
      <c r="J24" s="489"/>
      <c r="K24" s="489"/>
      <c r="L24" s="489"/>
      <c r="M24" s="489"/>
      <c r="N24" s="489"/>
      <c r="O24" s="489"/>
      <c r="AA24" s="485"/>
      <c r="AB24" s="485"/>
      <c r="AC24" s="485"/>
    </row>
    <row r="25" spans="2:29" ht="15" x14ac:dyDescent="0.25">
      <c r="B25" s="428" t="s">
        <v>926</v>
      </c>
      <c r="C25" s="481"/>
      <c r="D25" s="481">
        <f>'GF &amp; FF  Inc Exp Statement'!E24</f>
        <v>743</v>
      </c>
      <c r="E25" s="481">
        <f>'GF &amp; FF  Inc Exp Statement'!F24</f>
        <v>1500.3620000000001</v>
      </c>
      <c r="F25" s="481">
        <f>'GF &amp; FF  Inc Exp Statement'!G24</f>
        <v>1497.172</v>
      </c>
      <c r="G25" s="481">
        <f>'GF &amp; FF  Inc Exp Statement'!H24</f>
        <v>1494.3220000000001</v>
      </c>
      <c r="H25" s="481">
        <f>'GF &amp; FF  Inc Exp Statement'!I24</f>
        <v>1491.566</v>
      </c>
      <c r="I25" s="481">
        <f>'GF &amp; FF  Inc Exp Statement'!J24</f>
        <v>1488.5889999999999</v>
      </c>
      <c r="J25" s="481">
        <f>'GF &amp; FF  Inc Exp Statement'!K24</f>
        <v>1469.6289999999999</v>
      </c>
      <c r="K25" s="481">
        <f>'GF &amp; FF  Inc Exp Statement'!L24</f>
        <v>1449.5889999999999</v>
      </c>
      <c r="L25" s="481">
        <f>'GF &amp; FF  Inc Exp Statement'!M24</f>
        <v>1440.3090000000002</v>
      </c>
      <c r="M25" s="481">
        <f>'GF &amp; FF  Inc Exp Statement'!N24</f>
        <v>1434.509</v>
      </c>
      <c r="N25" s="481">
        <f>'GF &amp; FF  Inc Exp Statement'!O24</f>
        <v>1428.4290000000001</v>
      </c>
      <c r="O25" s="481">
        <f>'GF &amp; FF  Inc Exp Statement'!P24</f>
        <v>1422.029</v>
      </c>
      <c r="AA25" s="485"/>
      <c r="AB25" s="485"/>
      <c r="AC25" s="485"/>
    </row>
    <row r="26" spans="2:29" ht="15" x14ac:dyDescent="0.25">
      <c r="B26" s="428" t="s">
        <v>26</v>
      </c>
      <c r="C26" s="481">
        <f>'GF &amp; FF  Inc Exp Statement'!D23/1000</f>
        <v>0</v>
      </c>
      <c r="D26" s="481">
        <f>'GF &amp; FF  Inc Exp Statement'!E23</f>
        <v>10980</v>
      </c>
      <c r="E26" s="481">
        <f>'GF &amp; FF  Inc Exp Statement'!F23</f>
        <v>11311.316000000001</v>
      </c>
      <c r="F26" s="481">
        <f>'GF &amp; FF  Inc Exp Statement'!G23</f>
        <v>11644.458000000001</v>
      </c>
      <c r="G26" s="481">
        <f>'GF &amp; FF  Inc Exp Statement'!H23</f>
        <v>12065.505999999999</v>
      </c>
      <c r="H26" s="481">
        <f>'GF &amp; FF  Inc Exp Statement'!I23</f>
        <v>12400.875</v>
      </c>
      <c r="I26" s="481">
        <f>'GF &amp; FF  Inc Exp Statement'!J23</f>
        <v>12761.976000000001</v>
      </c>
      <c r="J26" s="481">
        <f>'GF &amp; FF  Inc Exp Statement'!K23</f>
        <v>13144.835280000001</v>
      </c>
      <c r="K26" s="481">
        <f>'GF &amp; FF  Inc Exp Statement'!L23</f>
        <v>13539.180338400003</v>
      </c>
      <c r="L26" s="481">
        <f>'GF &amp; FF  Inc Exp Statement'!M23</f>
        <v>13945.355748552003</v>
      </c>
      <c r="M26" s="481">
        <f>'GF &amp; FF  Inc Exp Statement'!N23</f>
        <v>14363.716421008563</v>
      </c>
      <c r="N26" s="481">
        <f>'GF &amp; FF  Inc Exp Statement'!O23</f>
        <v>14794.627913638822</v>
      </c>
      <c r="O26" s="481">
        <f>'GF &amp; FF  Inc Exp Statement'!P23</f>
        <v>15238.466751047987</v>
      </c>
      <c r="AA26" s="485"/>
      <c r="AB26" s="485"/>
      <c r="AC26" s="485"/>
    </row>
    <row r="27" spans="2:29" ht="15" x14ac:dyDescent="0.25">
      <c r="B27" s="428" t="s">
        <v>927</v>
      </c>
      <c r="C27" s="481"/>
      <c r="D27" s="481">
        <f>'GF &amp; FF  Inc Exp Statement'!E28+'GF &amp; FF  Inc Exp Statement'!E29</f>
        <v>600</v>
      </c>
      <c r="E27" s="481">
        <f>'GF &amp; FF  Inc Exp Statement'!F28+'GF &amp; FF  Inc Exp Statement'!F29</f>
        <v>0</v>
      </c>
      <c r="F27" s="481">
        <f>'GF &amp; FF  Inc Exp Statement'!G28+'GF &amp; FF  Inc Exp Statement'!G29</f>
        <v>0</v>
      </c>
      <c r="G27" s="481">
        <f>'GF &amp; FF  Inc Exp Statement'!H28+'GF &amp; FF  Inc Exp Statement'!H29</f>
        <v>0</v>
      </c>
      <c r="H27" s="481">
        <f>'GF &amp; FF  Inc Exp Statement'!I28+'GF &amp; FF  Inc Exp Statement'!I29</f>
        <v>0</v>
      </c>
      <c r="I27" s="481">
        <f>'GF &amp; FF  Inc Exp Statement'!J28+'GF &amp; FF  Inc Exp Statement'!J29</f>
        <v>0</v>
      </c>
      <c r="J27" s="481">
        <f>'GF &amp; FF  Inc Exp Statement'!K28+'GF &amp; FF  Inc Exp Statement'!K29</f>
        <v>0</v>
      </c>
      <c r="K27" s="481">
        <f>'GF &amp; FF  Inc Exp Statement'!L28+'GF &amp; FF  Inc Exp Statement'!L29</f>
        <v>0</v>
      </c>
      <c r="L27" s="481">
        <f>'GF &amp; FF  Inc Exp Statement'!M28+'GF &amp; FF  Inc Exp Statement'!M29</f>
        <v>0</v>
      </c>
      <c r="M27" s="481">
        <f>'GF &amp; FF  Inc Exp Statement'!N28+'GF &amp; FF  Inc Exp Statement'!N29</f>
        <v>0</v>
      </c>
      <c r="N27" s="481">
        <f>'GF &amp; FF  Inc Exp Statement'!O28+'GF &amp; FF  Inc Exp Statement'!O29</f>
        <v>0</v>
      </c>
      <c r="O27" s="481">
        <f>'GF &amp; FF  Inc Exp Statement'!P28+'GF &amp; FF  Inc Exp Statement'!P29</f>
        <v>0</v>
      </c>
      <c r="AA27" s="485"/>
      <c r="AB27" s="485"/>
      <c r="AC27" s="485"/>
    </row>
    <row r="28" spans="2:29" ht="15" x14ac:dyDescent="0.25">
      <c r="B28" s="428" t="s">
        <v>928</v>
      </c>
      <c r="C28" s="481">
        <f>'GF &amp; FF  Inc Exp Statement'!D27/1000</f>
        <v>0</v>
      </c>
      <c r="D28" s="481">
        <f>'GF &amp; FF  Inc Exp Statement'!E27</f>
        <v>7182</v>
      </c>
      <c r="E28" s="481">
        <f>'GF &amp; FF  Inc Exp Statement'!F27</f>
        <v>8510.6460000000006</v>
      </c>
      <c r="F28" s="481">
        <f>'GF &amp; FF  Inc Exp Statement'!G27</f>
        <v>7625.4650000000001</v>
      </c>
      <c r="G28" s="481">
        <f>'GF &amp; FF  Inc Exp Statement'!H27</f>
        <v>7813.7809999999999</v>
      </c>
      <c r="H28" s="481">
        <f>'GF &amp; FF  Inc Exp Statement'!I27</f>
        <v>8004.9439999999995</v>
      </c>
      <c r="I28" s="481">
        <f>'GF &amp; FF  Inc Exp Statement'!J27</f>
        <v>8204.5040000000008</v>
      </c>
      <c r="J28" s="481">
        <f>'GF &amp; FF  Inc Exp Statement'!K27</f>
        <v>8409.6165999999994</v>
      </c>
      <c r="K28" s="481">
        <f>'GF &amp; FF  Inc Exp Statement'!L27</f>
        <v>8619.8570149999996</v>
      </c>
      <c r="L28" s="481">
        <f>'GF &amp; FF  Inc Exp Statement'!M27</f>
        <v>8835.3534403749982</v>
      </c>
      <c r="M28" s="481">
        <f>'GF &amp; FF  Inc Exp Statement'!N27</f>
        <v>9056.2372763843741</v>
      </c>
      <c r="N28" s="481">
        <f>'GF &amp; FF  Inc Exp Statement'!O27</f>
        <v>9282.6432082939809</v>
      </c>
      <c r="O28" s="481">
        <f>'GF &amp; FF  Inc Exp Statement'!P27</f>
        <v>9514.7092885013317</v>
      </c>
      <c r="AA28" s="485"/>
      <c r="AB28" s="485"/>
      <c r="AC28" s="485"/>
    </row>
    <row r="29" spans="2:29" ht="15" x14ac:dyDescent="0.25">
      <c r="B29" s="1322" t="s">
        <v>1077</v>
      </c>
      <c r="C29" s="481"/>
      <c r="D29" s="481">
        <f>'GF &amp; FF  Inc Exp Statement'!E26</f>
        <v>0</v>
      </c>
      <c r="E29" s="481">
        <f>'GF &amp; FF  Inc Exp Statement'!F26</f>
        <v>2763.3530000000001</v>
      </c>
      <c r="F29" s="481">
        <f>'GF &amp; FF  Inc Exp Statement'!G26</f>
        <v>2935.1769999999997</v>
      </c>
      <c r="G29" s="481">
        <f>'GF &amp; FF  Inc Exp Statement'!H26</f>
        <v>3069.2200000000003</v>
      </c>
      <c r="H29" s="481">
        <f>'GF &amp; FF  Inc Exp Statement'!I26</f>
        <v>3204.4650000000001</v>
      </c>
      <c r="I29" s="481">
        <f>'GF &amp; FF  Inc Exp Statement'!J26</f>
        <v>3340.5709999999999</v>
      </c>
      <c r="J29" s="481">
        <f>'GF &amp; FF  Inc Exp Statement'!K26</f>
        <v>3407.3824199999999</v>
      </c>
      <c r="K29" s="481">
        <f>'GF &amp; FF  Inc Exp Statement'!L26</f>
        <v>3475.5300683999999</v>
      </c>
      <c r="L29" s="481">
        <f>'GF &amp; FF  Inc Exp Statement'!M26</f>
        <v>3545.040669768</v>
      </c>
      <c r="M29" s="481">
        <f>'GF &amp; FF  Inc Exp Statement'!N26</f>
        <v>3615.9414831633594</v>
      </c>
      <c r="N29" s="481">
        <f>'GF &amp; FF  Inc Exp Statement'!O26</f>
        <v>3688.2603128266273</v>
      </c>
      <c r="O29" s="481">
        <f>'GF &amp; FF  Inc Exp Statement'!P26</f>
        <v>3762.0255190831599</v>
      </c>
      <c r="AA29" s="485"/>
      <c r="AB29" s="485"/>
      <c r="AC29" s="485"/>
    </row>
    <row r="30" spans="2:29" ht="15" x14ac:dyDescent="0.25">
      <c r="B30" s="428" t="s">
        <v>929</v>
      </c>
      <c r="C30" s="481"/>
      <c r="D30" s="481">
        <f>'GF &amp; FF  Inc Exp Statement'!E25+'GF &amp; FF  Inc Exp Statement'!E30</f>
        <v>15498</v>
      </c>
      <c r="E30" s="481">
        <f>'GF &amp; FF  Inc Exp Statement'!F25+'GF &amp; FF  Inc Exp Statement'!F30</f>
        <v>14135.741</v>
      </c>
      <c r="F30" s="481">
        <f>'GF &amp; FF  Inc Exp Statement'!G25+'GF &amp; FF  Inc Exp Statement'!G30</f>
        <v>14685.998</v>
      </c>
      <c r="G30" s="481">
        <f>'GF &amp; FF  Inc Exp Statement'!H25+'GF &amp; FF  Inc Exp Statement'!H30</f>
        <v>15041.108</v>
      </c>
      <c r="H30" s="481">
        <f>'GF &amp; FF  Inc Exp Statement'!I25+'GF &amp; FF  Inc Exp Statement'!I30</f>
        <v>15383.621999999999</v>
      </c>
      <c r="I30" s="481">
        <f>'GF &amp; FF  Inc Exp Statement'!J25+'GF &amp; FF  Inc Exp Statement'!J30</f>
        <v>15748.880999999998</v>
      </c>
      <c r="J30" s="481">
        <f>'GF &amp; FF  Inc Exp Statement'!K25+'GF &amp; FF  Inc Exp Statement'!K30</f>
        <v>16063.858619999999</v>
      </c>
      <c r="K30" s="481">
        <f>'GF &amp; FF  Inc Exp Statement'!L25+'GF &amp; FF  Inc Exp Statement'!L30</f>
        <v>16385.135792399997</v>
      </c>
      <c r="L30" s="481">
        <f>'GF &amp; FF  Inc Exp Statement'!M25+'GF &amp; FF  Inc Exp Statement'!M30</f>
        <v>16712.838508247998</v>
      </c>
      <c r="M30" s="481">
        <f>'GF &amp; FF  Inc Exp Statement'!N25+'GF &amp; FF  Inc Exp Statement'!N30</f>
        <v>17047.095278412959</v>
      </c>
      <c r="N30" s="481">
        <f>'GF &amp; FF  Inc Exp Statement'!O25+'GF &amp; FF  Inc Exp Statement'!O30</f>
        <v>17388.037183981218</v>
      </c>
      <c r="O30" s="481">
        <f>'GF &amp; FF  Inc Exp Statement'!P25+'GF &amp; FF  Inc Exp Statement'!P30</f>
        <v>17735.797927660846</v>
      </c>
      <c r="AA30" s="485"/>
      <c r="AB30" s="485"/>
      <c r="AC30" s="485"/>
    </row>
    <row r="31" spans="2:29" ht="15.75" thickBot="1" x14ac:dyDescent="0.3">
      <c r="B31" s="482" t="s">
        <v>930</v>
      </c>
      <c r="C31" s="492">
        <f t="shared" ref="C31" si="9">SUM(C25:C30)</f>
        <v>0</v>
      </c>
      <c r="D31" s="492">
        <f t="shared" ref="D31:N31" si="10">SUM(D25:D30)</f>
        <v>35003</v>
      </c>
      <c r="E31" s="492">
        <f t="shared" si="10"/>
        <v>38221.417999999998</v>
      </c>
      <c r="F31" s="492">
        <f t="shared" si="10"/>
        <v>38388.270000000004</v>
      </c>
      <c r="G31" s="492">
        <f t="shared" si="10"/>
        <v>39483.937000000005</v>
      </c>
      <c r="H31" s="492">
        <f t="shared" si="10"/>
        <v>40485.472000000002</v>
      </c>
      <c r="I31" s="492">
        <f t="shared" si="10"/>
        <v>41544.521000000001</v>
      </c>
      <c r="J31" s="492">
        <f t="shared" si="10"/>
        <v>42495.321920000002</v>
      </c>
      <c r="K31" s="492">
        <f t="shared" si="10"/>
        <v>43469.292214200002</v>
      </c>
      <c r="L31" s="492">
        <f t="shared" si="10"/>
        <v>44478.897366942998</v>
      </c>
      <c r="M31" s="492">
        <f t="shared" si="10"/>
        <v>45517.499458969251</v>
      </c>
      <c r="N31" s="492">
        <f t="shared" si="10"/>
        <v>46581.997618740643</v>
      </c>
      <c r="O31" s="492">
        <f t="shared" ref="O31" si="11">SUM(O25:O30)</f>
        <v>47673.028486293326</v>
      </c>
      <c r="AA31" s="485"/>
      <c r="AB31" s="485"/>
      <c r="AC31" s="485"/>
    </row>
    <row r="32" spans="2:29" ht="14.25" x14ac:dyDescent="0.2">
      <c r="B32" s="428"/>
      <c r="C32" s="447"/>
      <c r="D32" s="447"/>
      <c r="E32" s="447"/>
      <c r="F32" s="447"/>
      <c r="G32" s="447"/>
      <c r="H32" s="447"/>
      <c r="I32" s="447"/>
      <c r="J32" s="447"/>
      <c r="K32" s="447"/>
      <c r="L32" s="447"/>
      <c r="M32" s="447"/>
      <c r="N32" s="447"/>
      <c r="O32" s="447"/>
      <c r="AA32" s="485"/>
      <c r="AB32" s="485"/>
      <c r="AC32" s="485"/>
    </row>
    <row r="33" spans="2:31" ht="15" x14ac:dyDescent="0.25">
      <c r="B33" s="478" t="s">
        <v>931</v>
      </c>
      <c r="C33" s="450">
        <f t="shared" ref="C33" si="12">C20-C31</f>
        <v>0</v>
      </c>
      <c r="D33" s="450">
        <f t="shared" ref="D33:L33" si="13">D20-D31</f>
        <v>11813</v>
      </c>
      <c r="E33" s="450">
        <f t="shared" si="13"/>
        <v>2928.0069999999978</v>
      </c>
      <c r="F33" s="450">
        <f t="shared" si="13"/>
        <v>4419.8999600000025</v>
      </c>
      <c r="G33" s="450">
        <f t="shared" si="13"/>
        <v>4402.2824849999888</v>
      </c>
      <c r="H33" s="450">
        <f t="shared" si="13"/>
        <v>4661.3812903000071</v>
      </c>
      <c r="I33" s="450">
        <f t="shared" si="13"/>
        <v>4547.2847176340001</v>
      </c>
      <c r="J33" s="450">
        <f t="shared" si="13"/>
        <v>4332.5622136972088</v>
      </c>
      <c r="K33" s="450">
        <f t="shared" si="13"/>
        <v>4420.1863558144687</v>
      </c>
      <c r="L33" s="450">
        <f t="shared" si="13"/>
        <v>4499.77871139325</v>
      </c>
      <c r="M33" s="450">
        <f>M20-M31</f>
        <v>4590.119519842272</v>
      </c>
      <c r="N33" s="450">
        <f>N20-N31</f>
        <v>4675.2005194942758</v>
      </c>
      <c r="O33" s="450">
        <f>O20-O31</f>
        <v>4760.1743875826869</v>
      </c>
      <c r="AA33" s="485"/>
      <c r="AB33" s="485"/>
      <c r="AC33" s="485"/>
    </row>
    <row r="34" spans="2:31" ht="30" x14ac:dyDescent="0.25">
      <c r="B34" s="478" t="s">
        <v>932</v>
      </c>
      <c r="C34" s="450">
        <f t="shared" ref="C34" si="14">C33-C15</f>
        <v>0</v>
      </c>
      <c r="D34" s="450">
        <f t="shared" ref="D34:L34" si="15">D33-D15</f>
        <v>-2646</v>
      </c>
      <c r="E34" s="450">
        <f t="shared" si="15"/>
        <v>29.999999999997726</v>
      </c>
      <c r="F34" s="450">
        <f t="shared" si="15"/>
        <v>631.93296000000237</v>
      </c>
      <c r="G34" s="450">
        <f t="shared" si="15"/>
        <v>557.91147499998897</v>
      </c>
      <c r="H34" s="450">
        <f t="shared" si="15"/>
        <v>758.92227500000672</v>
      </c>
      <c r="I34" s="450">
        <f t="shared" si="15"/>
        <v>585.00338499999998</v>
      </c>
      <c r="J34" s="450">
        <f t="shared" si="15"/>
        <v>271.22384774735883</v>
      </c>
      <c r="K34" s="450">
        <f t="shared" si="15"/>
        <v>257.31453071587384</v>
      </c>
      <c r="L34" s="450">
        <f t="shared" si="15"/>
        <v>232.83509066718943</v>
      </c>
      <c r="M34" s="450">
        <f>M33-M15</f>
        <v>216.50230859806106</v>
      </c>
      <c r="N34" s="450">
        <f>N33-N15</f>
        <v>192.24287796895896</v>
      </c>
      <c r="O34" s="450">
        <f>O33-O15</f>
        <v>165.14280501923804</v>
      </c>
      <c r="AA34" s="485"/>
      <c r="AB34" s="485"/>
      <c r="AC34" s="485"/>
    </row>
    <row r="35" spans="2:31" ht="30" x14ac:dyDescent="0.25">
      <c r="B35" s="478" t="s">
        <v>933</v>
      </c>
      <c r="C35" s="450">
        <f t="shared" ref="C35" si="16">C33-C15-C17+C27</f>
        <v>0</v>
      </c>
      <c r="D35" s="450">
        <f t="shared" ref="D35:L35" si="17">D33-D15-D17+D27</f>
        <v>-2046</v>
      </c>
      <c r="E35" s="450">
        <f t="shared" si="17"/>
        <v>29.999999999997726</v>
      </c>
      <c r="F35" s="450">
        <f t="shared" si="17"/>
        <v>631.93296000000237</v>
      </c>
      <c r="G35" s="450">
        <f t="shared" si="17"/>
        <v>557.91147499998897</v>
      </c>
      <c r="H35" s="450">
        <f t="shared" si="17"/>
        <v>758.92227500000672</v>
      </c>
      <c r="I35" s="450">
        <f t="shared" si="17"/>
        <v>585.00338499999998</v>
      </c>
      <c r="J35" s="450">
        <f t="shared" si="17"/>
        <v>271.22384774735883</v>
      </c>
      <c r="K35" s="450">
        <f t="shared" si="17"/>
        <v>257.31453071587384</v>
      </c>
      <c r="L35" s="450">
        <f t="shared" si="17"/>
        <v>232.83509066718943</v>
      </c>
      <c r="M35" s="450">
        <f>M33-M15-M17+M27</f>
        <v>216.50230859806106</v>
      </c>
      <c r="N35" s="450">
        <f>N33-N15-N17+N27</f>
        <v>192.24287796895896</v>
      </c>
      <c r="O35" s="450">
        <f>O33-O15-O17+O27</f>
        <v>165.14280501923804</v>
      </c>
      <c r="AA35" s="485"/>
      <c r="AB35" s="485"/>
      <c r="AC35" s="485"/>
    </row>
    <row r="36" spans="2:31" ht="15" x14ac:dyDescent="0.25">
      <c r="B36" s="478" t="s">
        <v>934</v>
      </c>
      <c r="C36" s="450">
        <f t="shared" ref="C36" si="18">C35+C28+C25</f>
        <v>0</v>
      </c>
      <c r="D36" s="450">
        <f t="shared" ref="D36:N36" si="19">D35+D28+D25</f>
        <v>5879</v>
      </c>
      <c r="E36" s="450">
        <f t="shared" si="19"/>
        <v>10041.007999999998</v>
      </c>
      <c r="F36" s="450">
        <f t="shared" si="19"/>
        <v>9754.5699600000025</v>
      </c>
      <c r="G36" s="450">
        <f t="shared" si="19"/>
        <v>9866.014474999989</v>
      </c>
      <c r="H36" s="450">
        <f t="shared" si="19"/>
        <v>10255.432275000006</v>
      </c>
      <c r="I36" s="450">
        <f t="shared" si="19"/>
        <v>10278.096385000001</v>
      </c>
      <c r="J36" s="450">
        <f t="shared" si="19"/>
        <v>10150.469447747357</v>
      </c>
      <c r="K36" s="450">
        <f t="shared" si="19"/>
        <v>10326.760545715873</v>
      </c>
      <c r="L36" s="450">
        <f t="shared" si="19"/>
        <v>10508.497531042187</v>
      </c>
      <c r="M36" s="450">
        <f t="shared" si="19"/>
        <v>10707.248584982435</v>
      </c>
      <c r="N36" s="450">
        <f t="shared" si="19"/>
        <v>10903.315086262941</v>
      </c>
      <c r="O36" s="450">
        <f t="shared" ref="O36" si="20">O35+O28+O25</f>
        <v>11101.881093520571</v>
      </c>
      <c r="AA36" s="485"/>
      <c r="AB36" s="485"/>
      <c r="AC36" s="485"/>
    </row>
    <row r="37" spans="2:31" ht="15" thickBot="1" x14ac:dyDescent="0.25">
      <c r="B37" s="493"/>
      <c r="C37" s="494"/>
      <c r="D37" s="494"/>
      <c r="E37" s="494"/>
      <c r="F37" s="494"/>
      <c r="G37" s="494"/>
      <c r="H37" s="494"/>
      <c r="I37" s="494"/>
      <c r="J37" s="494"/>
      <c r="K37" s="494"/>
      <c r="L37" s="494"/>
      <c r="M37" s="494"/>
      <c r="N37" s="494"/>
      <c r="O37" s="494"/>
      <c r="AA37" s="485"/>
      <c r="AB37" s="485"/>
      <c r="AC37" s="485"/>
    </row>
    <row r="38" spans="2:31" ht="14.25" x14ac:dyDescent="0.2">
      <c r="AA38" s="485"/>
      <c r="AB38" s="485"/>
      <c r="AC38" s="485"/>
    </row>
    <row r="39" spans="2:31" ht="15" hidden="1" outlineLevel="1" x14ac:dyDescent="0.25">
      <c r="B39" s="422" t="s">
        <v>81</v>
      </c>
      <c r="C39" s="423">
        <f t="shared" ref="C39" si="21">C5</f>
        <v>2015</v>
      </c>
      <c r="D39" s="423">
        <f t="shared" ref="D39:L39" si="22">D5</f>
        <v>2016</v>
      </c>
      <c r="E39" s="423">
        <f t="shared" si="22"/>
        <v>2017</v>
      </c>
      <c r="F39" s="423">
        <f t="shared" si="22"/>
        <v>2018</v>
      </c>
      <c r="G39" s="423">
        <f t="shared" si="22"/>
        <v>2019</v>
      </c>
      <c r="H39" s="423">
        <f t="shared" si="22"/>
        <v>2020</v>
      </c>
      <c r="I39" s="423">
        <f t="shared" si="22"/>
        <v>2021</v>
      </c>
      <c r="J39" s="423">
        <f t="shared" si="22"/>
        <v>2022</v>
      </c>
      <c r="K39" s="423">
        <f t="shared" si="22"/>
        <v>2023</v>
      </c>
      <c r="L39" s="423">
        <f t="shared" si="22"/>
        <v>2024</v>
      </c>
      <c r="M39" s="423">
        <f>M5</f>
        <v>2025</v>
      </c>
      <c r="N39" s="423">
        <f>N5</f>
        <v>2026</v>
      </c>
      <c r="O39" s="423">
        <f>O5</f>
        <v>2027</v>
      </c>
      <c r="AA39" s="485"/>
      <c r="AB39" s="485"/>
      <c r="AC39" s="485"/>
    </row>
    <row r="40" spans="2:31" ht="15.75" hidden="1" outlineLevel="1" thickBot="1" x14ac:dyDescent="0.3">
      <c r="B40" s="425"/>
      <c r="C40" s="475" t="s">
        <v>875</v>
      </c>
      <c r="D40" s="475" t="s">
        <v>875</v>
      </c>
      <c r="E40" s="475" t="s">
        <v>875</v>
      </c>
      <c r="F40" s="475" t="s">
        <v>875</v>
      </c>
      <c r="G40" s="475" t="s">
        <v>875</v>
      </c>
      <c r="H40" s="475" t="s">
        <v>875</v>
      </c>
      <c r="I40" s="475" t="s">
        <v>875</v>
      </c>
      <c r="J40" s="475" t="s">
        <v>875</v>
      </c>
      <c r="K40" s="475" t="s">
        <v>875</v>
      </c>
      <c r="L40" s="475" t="s">
        <v>875</v>
      </c>
      <c r="M40" s="475" t="s">
        <v>875</v>
      </c>
      <c r="N40" s="475" t="s">
        <v>875</v>
      </c>
      <c r="O40" s="475" t="s">
        <v>875</v>
      </c>
      <c r="AA40" s="485"/>
      <c r="AB40" s="485"/>
      <c r="AC40" s="485"/>
    </row>
    <row r="41" spans="2:31" ht="14.25" hidden="1" outlineLevel="1" x14ac:dyDescent="0.2">
      <c r="B41" s="480"/>
      <c r="C41" s="468"/>
      <c r="D41" s="468"/>
      <c r="E41" s="468"/>
      <c r="F41" s="468"/>
      <c r="G41" s="468"/>
      <c r="H41" s="468"/>
      <c r="I41" s="468"/>
      <c r="J41" s="468"/>
      <c r="K41" s="468"/>
      <c r="L41" s="468"/>
      <c r="M41" s="468"/>
      <c r="N41" s="468"/>
      <c r="O41" s="468"/>
      <c r="AA41" s="485"/>
      <c r="AB41" s="485"/>
      <c r="AC41" s="485"/>
    </row>
    <row r="42" spans="2:31" ht="15" hidden="1" outlineLevel="1" x14ac:dyDescent="0.25">
      <c r="B42" s="478" t="s">
        <v>35</v>
      </c>
      <c r="C42" s="470"/>
      <c r="D42" s="470"/>
      <c r="E42" s="470"/>
      <c r="F42" s="470"/>
      <c r="G42" s="470"/>
      <c r="H42" s="470"/>
      <c r="I42" s="470"/>
      <c r="J42" s="470"/>
      <c r="K42" s="470"/>
      <c r="L42" s="470"/>
      <c r="M42" s="470"/>
      <c r="N42" s="470"/>
      <c r="O42" s="470"/>
      <c r="AA42" s="485"/>
      <c r="AB42" s="485"/>
      <c r="AC42" s="485"/>
    </row>
    <row r="43" spans="2:31" ht="14.25" hidden="1" outlineLevel="1" x14ac:dyDescent="0.2">
      <c r="B43" s="428"/>
      <c r="C43" s="470"/>
      <c r="D43" s="470"/>
      <c r="E43" s="470"/>
      <c r="F43" s="470"/>
      <c r="G43" s="470"/>
      <c r="H43" s="470"/>
      <c r="I43" s="470"/>
      <c r="J43" s="470"/>
      <c r="K43" s="470"/>
      <c r="L43" s="470"/>
      <c r="M43" s="470"/>
      <c r="N43" s="470"/>
      <c r="O43" s="470"/>
      <c r="AA43" s="485"/>
      <c r="AB43" s="485"/>
      <c r="AC43" s="485"/>
    </row>
    <row r="44" spans="2:31" ht="15" hidden="1" outlineLevel="1" x14ac:dyDescent="0.25">
      <c r="B44" s="428" t="s">
        <v>935</v>
      </c>
      <c r="C44" s="496"/>
      <c r="D44" s="496"/>
      <c r="E44" s="496"/>
      <c r="F44" s="496"/>
      <c r="G44" s="496"/>
      <c r="H44" s="496"/>
      <c r="I44" s="496"/>
      <c r="J44" s="496"/>
      <c r="K44" s="496"/>
      <c r="L44" s="496"/>
      <c r="M44" s="495"/>
      <c r="N44" s="495"/>
      <c r="O44" s="495"/>
      <c r="AA44" s="485"/>
      <c r="AB44" s="485"/>
      <c r="AC44" s="485"/>
      <c r="AE44" s="424">
        <v>6</v>
      </c>
    </row>
    <row r="45" spans="2:31" ht="15" hidden="1" outlineLevel="1" x14ac:dyDescent="0.25">
      <c r="B45" s="428" t="s">
        <v>38</v>
      </c>
      <c r="C45" s="496"/>
      <c r="D45" s="496"/>
      <c r="E45" s="496"/>
      <c r="F45" s="496"/>
      <c r="G45" s="496"/>
      <c r="H45" s="496"/>
      <c r="I45" s="496"/>
      <c r="J45" s="496"/>
      <c r="K45" s="496"/>
      <c r="L45" s="496"/>
      <c r="M45" s="495"/>
      <c r="N45" s="495"/>
      <c r="O45" s="495"/>
    </row>
    <row r="46" spans="2:31" ht="15" hidden="1" outlineLevel="1" x14ac:dyDescent="0.25">
      <c r="B46" s="428" t="s">
        <v>39</v>
      </c>
      <c r="C46" s="496"/>
      <c r="D46" s="496"/>
      <c r="E46" s="496"/>
      <c r="F46" s="496"/>
      <c r="G46" s="496"/>
      <c r="H46" s="496"/>
      <c r="I46" s="496"/>
      <c r="J46" s="496"/>
      <c r="K46" s="496"/>
      <c r="L46" s="496"/>
      <c r="M46" s="495"/>
      <c r="N46" s="495"/>
      <c r="O46" s="495"/>
    </row>
    <row r="47" spans="2:31" ht="15" hidden="1" outlineLevel="1" x14ac:dyDescent="0.25">
      <c r="B47" s="428" t="s">
        <v>40</v>
      </c>
      <c r="C47" s="496"/>
      <c r="D47" s="496"/>
      <c r="E47" s="496"/>
      <c r="F47" s="496"/>
      <c r="G47" s="496"/>
      <c r="H47" s="496"/>
      <c r="I47" s="496"/>
      <c r="J47" s="496"/>
      <c r="K47" s="496"/>
      <c r="L47" s="496"/>
      <c r="M47" s="495"/>
      <c r="N47" s="495"/>
      <c r="O47" s="495"/>
    </row>
    <row r="48" spans="2:31" ht="15" hidden="1" outlineLevel="1" x14ac:dyDescent="0.25">
      <c r="B48" s="428" t="s">
        <v>41</v>
      </c>
      <c r="C48" s="496"/>
      <c r="D48" s="496"/>
      <c r="E48" s="496"/>
      <c r="F48" s="496"/>
      <c r="G48" s="496"/>
      <c r="H48" s="496"/>
      <c r="I48" s="496"/>
      <c r="J48" s="496"/>
      <c r="K48" s="496"/>
      <c r="L48" s="496"/>
      <c r="M48" s="495"/>
      <c r="N48" s="495"/>
      <c r="O48" s="495"/>
    </row>
    <row r="49" spans="2:29" ht="15" hidden="1" outlineLevel="1" x14ac:dyDescent="0.25">
      <c r="B49" s="428" t="s">
        <v>936</v>
      </c>
      <c r="C49" s="496"/>
      <c r="D49" s="496"/>
      <c r="E49" s="496"/>
      <c r="F49" s="496"/>
      <c r="G49" s="496"/>
      <c r="H49" s="496"/>
      <c r="I49" s="496"/>
      <c r="J49" s="496"/>
      <c r="K49" s="496"/>
      <c r="L49" s="496"/>
      <c r="M49" s="495"/>
      <c r="N49" s="495"/>
      <c r="O49" s="495"/>
      <c r="P49" s="485"/>
      <c r="R49" s="485"/>
      <c r="T49" s="485"/>
      <c r="U49" s="485"/>
      <c r="V49" s="485"/>
      <c r="W49" s="485"/>
      <c r="X49" s="485"/>
      <c r="Y49" s="485"/>
      <c r="Z49" s="485"/>
      <c r="AA49" s="485"/>
      <c r="AB49" s="485"/>
      <c r="AC49" s="485"/>
    </row>
    <row r="50" spans="2:29" ht="15" hidden="1" outlineLevel="1" x14ac:dyDescent="0.25">
      <c r="B50" s="478" t="s">
        <v>42</v>
      </c>
      <c r="C50" s="486">
        <f t="shared" ref="C50" si="23">SUM(C44:C49)</f>
        <v>0</v>
      </c>
      <c r="D50" s="486">
        <f t="shared" ref="D50:L50" si="24">SUM(D44:D49)</f>
        <v>0</v>
      </c>
      <c r="E50" s="486">
        <f t="shared" si="24"/>
        <v>0</v>
      </c>
      <c r="F50" s="486">
        <f t="shared" si="24"/>
        <v>0</v>
      </c>
      <c r="G50" s="486">
        <f t="shared" si="24"/>
        <v>0</v>
      </c>
      <c r="H50" s="486">
        <f t="shared" si="24"/>
        <v>0</v>
      </c>
      <c r="I50" s="486">
        <f t="shared" si="24"/>
        <v>0</v>
      </c>
      <c r="J50" s="486">
        <f t="shared" si="24"/>
        <v>0</v>
      </c>
      <c r="K50" s="486">
        <f t="shared" si="24"/>
        <v>0</v>
      </c>
      <c r="L50" s="486">
        <f t="shared" si="24"/>
        <v>0</v>
      </c>
      <c r="M50" s="486">
        <f>SUM(M44:M49)</f>
        <v>0</v>
      </c>
      <c r="N50" s="486">
        <f>SUM(N44:N49)</f>
        <v>0</v>
      </c>
      <c r="O50" s="486">
        <f>SUM(O44:O49)</f>
        <v>0</v>
      </c>
    </row>
    <row r="51" spans="2:29" ht="14.25" hidden="1" outlineLevel="1" x14ac:dyDescent="0.2">
      <c r="B51" s="428"/>
      <c r="C51" s="488"/>
      <c r="D51" s="488"/>
      <c r="E51" s="488"/>
      <c r="F51" s="488"/>
      <c r="G51" s="488"/>
      <c r="H51" s="488"/>
      <c r="I51" s="488"/>
      <c r="J51" s="488"/>
      <c r="K51" s="488"/>
      <c r="L51" s="488"/>
      <c r="M51" s="488"/>
      <c r="N51" s="488"/>
      <c r="O51" s="488"/>
    </row>
    <row r="52" spans="2:29" ht="15" hidden="1" outlineLevel="1" x14ac:dyDescent="0.25">
      <c r="B52" s="428" t="s">
        <v>937</v>
      </c>
      <c r="C52" s="496"/>
      <c r="D52" s="496"/>
      <c r="E52" s="496"/>
      <c r="F52" s="496"/>
      <c r="G52" s="496"/>
      <c r="H52" s="496"/>
      <c r="I52" s="496"/>
      <c r="J52" s="496"/>
      <c r="K52" s="496"/>
      <c r="L52" s="496"/>
      <c r="M52" s="495"/>
      <c r="N52" s="495"/>
      <c r="O52" s="495"/>
      <c r="P52" s="485"/>
      <c r="R52" s="485"/>
      <c r="T52" s="485"/>
      <c r="U52" s="485"/>
      <c r="V52" s="485"/>
      <c r="W52" s="485"/>
      <c r="X52" s="485"/>
      <c r="Y52" s="485"/>
      <c r="Z52" s="485"/>
      <c r="AA52" s="485"/>
      <c r="AB52" s="485"/>
      <c r="AC52" s="485"/>
    </row>
    <row r="53" spans="2:29" ht="15" hidden="1" outlineLevel="1" x14ac:dyDescent="0.25">
      <c r="B53" s="428" t="s">
        <v>38</v>
      </c>
      <c r="C53" s="496"/>
      <c r="D53" s="496"/>
      <c r="E53" s="496"/>
      <c r="F53" s="496"/>
      <c r="G53" s="496"/>
      <c r="H53" s="496"/>
      <c r="I53" s="496"/>
      <c r="J53" s="496"/>
      <c r="K53" s="496"/>
      <c r="L53" s="496"/>
      <c r="M53" s="495"/>
      <c r="N53" s="495"/>
      <c r="O53" s="495"/>
    </row>
    <row r="54" spans="2:29" ht="15" hidden="1" outlineLevel="1" x14ac:dyDescent="0.25">
      <c r="B54" s="428" t="s">
        <v>39</v>
      </c>
      <c r="C54" s="496"/>
      <c r="D54" s="496"/>
      <c r="E54" s="496"/>
      <c r="F54" s="496"/>
      <c r="G54" s="496"/>
      <c r="H54" s="496"/>
      <c r="I54" s="496"/>
      <c r="J54" s="496"/>
      <c r="K54" s="496"/>
      <c r="L54" s="496"/>
      <c r="M54" s="495"/>
      <c r="N54" s="495"/>
      <c r="O54" s="495"/>
    </row>
    <row r="55" spans="2:29" ht="15" hidden="1" outlineLevel="1" x14ac:dyDescent="0.25">
      <c r="B55" s="428" t="s">
        <v>40</v>
      </c>
      <c r="C55" s="496"/>
      <c r="D55" s="496"/>
      <c r="E55" s="496"/>
      <c r="F55" s="496"/>
      <c r="G55" s="496"/>
      <c r="H55" s="496"/>
      <c r="I55" s="496"/>
      <c r="J55" s="496"/>
      <c r="K55" s="496"/>
      <c r="L55" s="496"/>
      <c r="M55" s="495"/>
      <c r="N55" s="495"/>
      <c r="O55" s="495"/>
    </row>
    <row r="56" spans="2:29" ht="15" hidden="1" outlineLevel="1" x14ac:dyDescent="0.25">
      <c r="B56" s="428" t="s">
        <v>938</v>
      </c>
      <c r="C56" s="496"/>
      <c r="D56" s="496"/>
      <c r="E56" s="496"/>
      <c r="F56" s="496"/>
      <c r="G56" s="496"/>
      <c r="H56" s="496"/>
      <c r="I56" s="496"/>
      <c r="J56" s="496"/>
      <c r="K56" s="496"/>
      <c r="L56" s="496"/>
      <c r="M56" s="495"/>
      <c r="N56" s="495"/>
      <c r="O56" s="495"/>
    </row>
    <row r="57" spans="2:29" ht="15" hidden="1" outlineLevel="1" x14ac:dyDescent="0.25">
      <c r="B57" s="428" t="s">
        <v>939</v>
      </c>
      <c r="C57" s="496"/>
      <c r="D57" s="496"/>
      <c r="E57" s="496"/>
      <c r="F57" s="496"/>
      <c r="G57" s="496"/>
      <c r="H57" s="496"/>
      <c r="I57" s="496"/>
      <c r="J57" s="496"/>
      <c r="K57" s="496"/>
      <c r="L57" s="496"/>
      <c r="M57" s="495"/>
      <c r="N57" s="495"/>
      <c r="O57" s="495"/>
    </row>
    <row r="58" spans="2:29" ht="15" hidden="1" outlineLevel="1" x14ac:dyDescent="0.25">
      <c r="B58" s="428" t="s">
        <v>940</v>
      </c>
      <c r="C58" s="496"/>
      <c r="D58" s="496"/>
      <c r="E58" s="496"/>
      <c r="F58" s="496"/>
      <c r="G58" s="496"/>
      <c r="H58" s="496"/>
      <c r="I58" s="496"/>
      <c r="J58" s="496"/>
      <c r="K58" s="496"/>
      <c r="L58" s="496"/>
      <c r="M58" s="495"/>
      <c r="N58" s="495"/>
      <c r="O58" s="495"/>
    </row>
    <row r="59" spans="2:29" ht="15" hidden="1" outlineLevel="1" x14ac:dyDescent="0.25">
      <c r="B59" s="478" t="s">
        <v>941</v>
      </c>
      <c r="C59" s="486">
        <f>SUM(C52:C58)</f>
        <v>0</v>
      </c>
      <c r="D59" s="486">
        <f>SUM(D52:D58)</f>
        <v>0</v>
      </c>
      <c r="E59" s="486">
        <f t="shared" ref="E59:L59" si="25">SUM(E52:E58)</f>
        <v>0</v>
      </c>
      <c r="F59" s="486">
        <f t="shared" si="25"/>
        <v>0</v>
      </c>
      <c r="G59" s="486">
        <f t="shared" si="25"/>
        <v>0</v>
      </c>
      <c r="H59" s="486">
        <f t="shared" si="25"/>
        <v>0</v>
      </c>
      <c r="I59" s="486">
        <f t="shared" si="25"/>
        <v>0</v>
      </c>
      <c r="J59" s="486">
        <f t="shared" si="25"/>
        <v>0</v>
      </c>
      <c r="K59" s="486">
        <f t="shared" si="25"/>
        <v>0</v>
      </c>
      <c r="L59" s="486">
        <f t="shared" si="25"/>
        <v>0</v>
      </c>
      <c r="M59" s="486">
        <f>SUM(M52:M58)</f>
        <v>0</v>
      </c>
      <c r="N59" s="486">
        <f>SUM(N52:N58)</f>
        <v>0</v>
      </c>
      <c r="O59" s="486">
        <f>SUM(O52:O58)</f>
        <v>0</v>
      </c>
    </row>
    <row r="60" spans="2:29" ht="14.25" hidden="1" outlineLevel="1" x14ac:dyDescent="0.2">
      <c r="B60" s="428"/>
      <c r="C60" s="488"/>
      <c r="D60" s="488"/>
      <c r="E60" s="488"/>
      <c r="F60" s="488"/>
      <c r="G60" s="488"/>
      <c r="H60" s="488"/>
      <c r="I60" s="488"/>
      <c r="J60" s="488"/>
      <c r="K60" s="488"/>
      <c r="L60" s="488"/>
      <c r="M60" s="488"/>
      <c r="N60" s="488"/>
      <c r="O60" s="488"/>
    </row>
    <row r="61" spans="2:29" ht="15.75" hidden="1" outlineLevel="1" thickBot="1" x14ac:dyDescent="0.3">
      <c r="B61" s="478" t="s">
        <v>46</v>
      </c>
      <c r="C61" s="483">
        <f t="shared" ref="C61" si="26">C50+C59</f>
        <v>0</v>
      </c>
      <c r="D61" s="483">
        <f t="shared" ref="D61:L61" si="27">D50+D59</f>
        <v>0</v>
      </c>
      <c r="E61" s="483">
        <f t="shared" si="27"/>
        <v>0</v>
      </c>
      <c r="F61" s="483">
        <f t="shared" si="27"/>
        <v>0</v>
      </c>
      <c r="G61" s="483">
        <f t="shared" si="27"/>
        <v>0</v>
      </c>
      <c r="H61" s="483">
        <f t="shared" si="27"/>
        <v>0</v>
      </c>
      <c r="I61" s="483">
        <f t="shared" si="27"/>
        <v>0</v>
      </c>
      <c r="J61" s="483">
        <f t="shared" si="27"/>
        <v>0</v>
      </c>
      <c r="K61" s="483">
        <f t="shared" si="27"/>
        <v>0</v>
      </c>
      <c r="L61" s="483">
        <f t="shared" si="27"/>
        <v>0</v>
      </c>
      <c r="M61" s="483">
        <f>M50+M59</f>
        <v>0</v>
      </c>
      <c r="N61" s="483">
        <f>N50+N59</f>
        <v>0</v>
      </c>
      <c r="O61" s="483">
        <f>O50+O59</f>
        <v>0</v>
      </c>
    </row>
    <row r="62" spans="2:29" ht="15" hidden="1" outlineLevel="1" x14ac:dyDescent="0.25">
      <c r="B62" s="478"/>
      <c r="C62" s="497"/>
      <c r="D62" s="497"/>
      <c r="E62" s="497"/>
      <c r="F62" s="497"/>
      <c r="G62" s="497"/>
      <c r="H62" s="497"/>
      <c r="I62" s="497"/>
      <c r="J62" s="497"/>
      <c r="K62" s="497"/>
      <c r="L62" s="497"/>
      <c r="M62" s="497"/>
      <c r="N62" s="497"/>
      <c r="O62" s="497"/>
    </row>
    <row r="63" spans="2:29" ht="15" hidden="1" outlineLevel="1" x14ac:dyDescent="0.25">
      <c r="B63" s="478" t="s">
        <v>47</v>
      </c>
      <c r="C63" s="497"/>
      <c r="D63" s="497"/>
      <c r="E63" s="497"/>
      <c r="F63" s="497"/>
      <c r="G63" s="497"/>
      <c r="H63" s="497"/>
      <c r="I63" s="497"/>
      <c r="J63" s="497"/>
      <c r="K63" s="497"/>
      <c r="L63" s="497"/>
      <c r="M63" s="497"/>
      <c r="N63" s="497"/>
      <c r="O63" s="497"/>
    </row>
    <row r="64" spans="2:29" ht="14.25" hidden="1" outlineLevel="1" x14ac:dyDescent="0.2">
      <c r="B64" s="428"/>
      <c r="C64" s="488"/>
      <c r="D64" s="488"/>
      <c r="E64" s="488"/>
      <c r="F64" s="488"/>
      <c r="G64" s="488"/>
      <c r="H64" s="488"/>
      <c r="I64" s="488"/>
      <c r="J64" s="488"/>
      <c r="K64" s="488"/>
      <c r="L64" s="488"/>
      <c r="M64" s="488"/>
      <c r="N64" s="488"/>
      <c r="O64" s="488"/>
    </row>
    <row r="65" spans="2:15" ht="15" hidden="1" outlineLevel="1" x14ac:dyDescent="0.25">
      <c r="B65" s="428" t="s">
        <v>942</v>
      </c>
      <c r="C65" s="496"/>
      <c r="D65" s="496"/>
      <c r="E65" s="496"/>
      <c r="F65" s="496"/>
      <c r="G65" s="496"/>
      <c r="H65" s="496"/>
      <c r="I65" s="496"/>
      <c r="J65" s="496"/>
      <c r="K65" s="496"/>
      <c r="L65" s="496"/>
      <c r="M65" s="495"/>
      <c r="N65" s="495"/>
      <c r="O65" s="495"/>
    </row>
    <row r="66" spans="2:15" ht="15" hidden="1" outlineLevel="1" x14ac:dyDescent="0.25">
      <c r="B66" s="428" t="s">
        <v>49</v>
      </c>
      <c r="C66" s="496"/>
      <c r="D66" s="496"/>
      <c r="E66" s="496"/>
      <c r="F66" s="496"/>
      <c r="G66" s="496"/>
      <c r="H66" s="496"/>
      <c r="I66" s="496"/>
      <c r="J66" s="496"/>
      <c r="K66" s="496"/>
      <c r="L66" s="496"/>
      <c r="M66" s="495"/>
      <c r="N66" s="495"/>
      <c r="O66" s="495"/>
    </row>
    <row r="67" spans="2:15" ht="15" hidden="1" outlineLevel="1" x14ac:dyDescent="0.25">
      <c r="B67" s="428" t="s">
        <v>50</v>
      </c>
      <c r="C67" s="496"/>
      <c r="D67" s="496"/>
      <c r="E67" s="496"/>
      <c r="F67" s="496"/>
      <c r="G67" s="496"/>
      <c r="H67" s="496"/>
      <c r="I67" s="496"/>
      <c r="J67" s="496"/>
      <c r="K67" s="496"/>
      <c r="L67" s="496"/>
      <c r="M67" s="495"/>
      <c r="N67" s="495"/>
      <c r="O67" s="495"/>
    </row>
    <row r="68" spans="2:15" ht="15" hidden="1" outlineLevel="1" x14ac:dyDescent="0.25">
      <c r="B68" s="478" t="s">
        <v>51</v>
      </c>
      <c r="C68" s="486">
        <f t="shared" ref="C68" si="28">SUM(C65:C67)</f>
        <v>0</v>
      </c>
      <c r="D68" s="486">
        <f t="shared" ref="D68:L68" si="29">SUM(D65:D67)</f>
        <v>0</v>
      </c>
      <c r="E68" s="486">
        <f t="shared" si="29"/>
        <v>0</v>
      </c>
      <c r="F68" s="486">
        <f t="shared" si="29"/>
        <v>0</v>
      </c>
      <c r="G68" s="486">
        <f t="shared" si="29"/>
        <v>0</v>
      </c>
      <c r="H68" s="486">
        <f t="shared" si="29"/>
        <v>0</v>
      </c>
      <c r="I68" s="486">
        <f t="shared" si="29"/>
        <v>0</v>
      </c>
      <c r="J68" s="486">
        <f t="shared" si="29"/>
        <v>0</v>
      </c>
      <c r="K68" s="486">
        <f t="shared" si="29"/>
        <v>0</v>
      </c>
      <c r="L68" s="486">
        <f t="shared" si="29"/>
        <v>0</v>
      </c>
      <c r="M68" s="486">
        <f>SUM(M65:M67)</f>
        <v>0</v>
      </c>
      <c r="N68" s="486">
        <f>SUM(N65:N67)</f>
        <v>0</v>
      </c>
      <c r="O68" s="486">
        <f>SUM(O65:O67)</f>
        <v>0</v>
      </c>
    </row>
    <row r="69" spans="2:15" ht="14.25" hidden="1" outlineLevel="1" x14ac:dyDescent="0.2">
      <c r="B69" s="428"/>
      <c r="C69" s="488"/>
      <c r="D69" s="488"/>
      <c r="E69" s="488"/>
      <c r="F69" s="488"/>
      <c r="G69" s="488"/>
      <c r="H69" s="488"/>
      <c r="I69" s="488"/>
      <c r="J69" s="488"/>
      <c r="K69" s="488"/>
      <c r="L69" s="488"/>
      <c r="M69" s="488"/>
      <c r="N69" s="488"/>
      <c r="O69" s="488"/>
    </row>
    <row r="70" spans="2:15" ht="14.25" hidden="1" outlineLevel="1" x14ac:dyDescent="0.2">
      <c r="B70" s="428"/>
      <c r="C70" s="488"/>
      <c r="D70" s="488"/>
      <c r="E70" s="488"/>
      <c r="F70" s="488"/>
      <c r="G70" s="488"/>
      <c r="H70" s="488"/>
      <c r="I70" s="488"/>
      <c r="J70" s="488"/>
      <c r="K70" s="488"/>
      <c r="L70" s="488"/>
      <c r="M70" s="488"/>
      <c r="N70" s="488"/>
      <c r="O70" s="488"/>
    </row>
    <row r="71" spans="2:15" ht="15" hidden="1" outlineLevel="1" x14ac:dyDescent="0.25">
      <c r="B71" s="428" t="s">
        <v>943</v>
      </c>
      <c r="C71" s="496"/>
      <c r="D71" s="496"/>
      <c r="E71" s="496"/>
      <c r="F71" s="496"/>
      <c r="G71" s="496"/>
      <c r="H71" s="496"/>
      <c r="I71" s="496"/>
      <c r="J71" s="496"/>
      <c r="K71" s="496"/>
      <c r="L71" s="496"/>
      <c r="M71" s="495"/>
      <c r="N71" s="495"/>
      <c r="O71" s="495"/>
    </row>
    <row r="72" spans="2:15" ht="15" hidden="1" outlineLevel="1" x14ac:dyDescent="0.25">
      <c r="B72" s="428" t="s">
        <v>49</v>
      </c>
      <c r="C72" s="496"/>
      <c r="D72" s="496"/>
      <c r="E72" s="496"/>
      <c r="F72" s="496"/>
      <c r="G72" s="496"/>
      <c r="H72" s="496"/>
      <c r="I72" s="496"/>
      <c r="J72" s="496"/>
      <c r="K72" s="496"/>
      <c r="L72" s="496"/>
      <c r="M72" s="495"/>
      <c r="N72" s="495"/>
      <c r="O72" s="495"/>
    </row>
    <row r="73" spans="2:15" ht="15" hidden="1" outlineLevel="1" x14ac:dyDescent="0.25">
      <c r="B73" s="428" t="s">
        <v>50</v>
      </c>
      <c r="C73" s="496"/>
      <c r="D73" s="496"/>
      <c r="E73" s="496"/>
      <c r="F73" s="496"/>
      <c r="G73" s="496"/>
      <c r="H73" s="496"/>
      <c r="I73" s="496"/>
      <c r="J73" s="496"/>
      <c r="K73" s="496"/>
      <c r="L73" s="496"/>
      <c r="M73" s="495"/>
      <c r="N73" s="495"/>
      <c r="O73" s="495"/>
    </row>
    <row r="74" spans="2:15" ht="15" hidden="1" outlineLevel="1" x14ac:dyDescent="0.25">
      <c r="B74" s="478" t="s">
        <v>944</v>
      </c>
      <c r="C74" s="486">
        <f t="shared" ref="C74" si="30">SUM(C70:C73)</f>
        <v>0</v>
      </c>
      <c r="D74" s="486">
        <f t="shared" ref="D74:L74" si="31">SUM(D70:D73)</f>
        <v>0</v>
      </c>
      <c r="E74" s="486">
        <f t="shared" si="31"/>
        <v>0</v>
      </c>
      <c r="F74" s="486">
        <f>SUM(F70:F73)</f>
        <v>0</v>
      </c>
      <c r="G74" s="486">
        <f t="shared" si="31"/>
        <v>0</v>
      </c>
      <c r="H74" s="486">
        <f t="shared" si="31"/>
        <v>0</v>
      </c>
      <c r="I74" s="486">
        <f t="shared" si="31"/>
        <v>0</v>
      </c>
      <c r="J74" s="486">
        <f t="shared" si="31"/>
        <v>0</v>
      </c>
      <c r="K74" s="486">
        <f t="shared" si="31"/>
        <v>0</v>
      </c>
      <c r="L74" s="486">
        <f t="shared" si="31"/>
        <v>0</v>
      </c>
      <c r="M74" s="486">
        <f>SUM(M70:M73)</f>
        <v>0</v>
      </c>
      <c r="N74" s="486">
        <f>SUM(N70:N73)</f>
        <v>0</v>
      </c>
      <c r="O74" s="486">
        <f>SUM(O70:O73)</f>
        <v>0</v>
      </c>
    </row>
    <row r="75" spans="2:15" ht="14.25" hidden="1" outlineLevel="1" x14ac:dyDescent="0.2">
      <c r="B75" s="428"/>
      <c r="C75" s="488"/>
      <c r="D75" s="488"/>
      <c r="E75" s="488"/>
      <c r="F75" s="488"/>
      <c r="G75" s="488"/>
      <c r="H75" s="488"/>
      <c r="I75" s="488"/>
      <c r="J75" s="488"/>
      <c r="K75" s="488"/>
      <c r="L75" s="488"/>
      <c r="M75" s="488"/>
      <c r="N75" s="488"/>
      <c r="O75" s="488"/>
    </row>
    <row r="76" spans="2:15" ht="15.75" hidden="1" outlineLevel="1" thickBot="1" x14ac:dyDescent="0.3">
      <c r="B76" s="498" t="s">
        <v>945</v>
      </c>
      <c r="C76" s="483">
        <f t="shared" ref="C76" si="32">C61-C68-C74</f>
        <v>0</v>
      </c>
      <c r="D76" s="483">
        <f t="shared" ref="D76:L76" si="33">D61-D68-D74</f>
        <v>0</v>
      </c>
      <c r="E76" s="483">
        <f t="shared" si="33"/>
        <v>0</v>
      </c>
      <c r="F76" s="483">
        <f>F61-F68-F74</f>
        <v>0</v>
      </c>
      <c r="G76" s="483">
        <f t="shared" si="33"/>
        <v>0</v>
      </c>
      <c r="H76" s="483">
        <f t="shared" si="33"/>
        <v>0</v>
      </c>
      <c r="I76" s="483">
        <f t="shared" si="33"/>
        <v>0</v>
      </c>
      <c r="J76" s="483">
        <f t="shared" si="33"/>
        <v>0</v>
      </c>
      <c r="K76" s="483">
        <f t="shared" si="33"/>
        <v>0</v>
      </c>
      <c r="L76" s="483">
        <f t="shared" si="33"/>
        <v>0</v>
      </c>
      <c r="M76" s="483">
        <f>M61-M68-M74</f>
        <v>0</v>
      </c>
      <c r="N76" s="483">
        <f>N61-N68-N74</f>
        <v>0</v>
      </c>
      <c r="O76" s="483">
        <f>O61-O68-O74</f>
        <v>0</v>
      </c>
    </row>
    <row r="77" spans="2:15" ht="15" hidden="1" outlineLevel="1" x14ac:dyDescent="0.25">
      <c r="B77" s="478"/>
      <c r="C77" s="497"/>
      <c r="D77" s="497"/>
      <c r="E77" s="497"/>
      <c r="F77" s="497"/>
      <c r="G77" s="497"/>
      <c r="H77" s="497"/>
      <c r="I77" s="497"/>
      <c r="J77" s="497"/>
      <c r="K77" s="497"/>
      <c r="L77" s="497"/>
      <c r="M77" s="497"/>
      <c r="N77" s="497"/>
      <c r="O77" s="497"/>
    </row>
    <row r="78" spans="2:15" ht="15" hidden="1" outlineLevel="1" x14ac:dyDescent="0.25">
      <c r="B78" s="478" t="s">
        <v>56</v>
      </c>
      <c r="C78" s="497"/>
      <c r="D78" s="497"/>
      <c r="E78" s="497"/>
      <c r="F78" s="497"/>
      <c r="G78" s="497"/>
      <c r="H78" s="497"/>
      <c r="I78" s="497"/>
      <c r="J78" s="497"/>
      <c r="K78" s="497"/>
      <c r="L78" s="497"/>
      <c r="M78" s="497"/>
      <c r="N78" s="497"/>
      <c r="O78" s="497"/>
    </row>
    <row r="79" spans="2:15" ht="15" hidden="1" outlineLevel="1" x14ac:dyDescent="0.25">
      <c r="B79" s="478"/>
      <c r="C79" s="497"/>
      <c r="D79" s="497"/>
      <c r="E79" s="497"/>
      <c r="F79" s="497"/>
      <c r="G79" s="497"/>
      <c r="H79" s="497"/>
      <c r="I79" s="497"/>
      <c r="J79" s="497"/>
      <c r="K79" s="497"/>
      <c r="L79" s="497"/>
      <c r="M79" s="497"/>
      <c r="N79" s="497"/>
      <c r="O79" s="497"/>
    </row>
    <row r="80" spans="2:15" ht="15" hidden="1" outlineLevel="1" x14ac:dyDescent="0.25">
      <c r="B80" s="428" t="s">
        <v>57</v>
      </c>
      <c r="C80" s="496"/>
      <c r="D80" s="496"/>
      <c r="E80" s="496"/>
      <c r="F80" s="496"/>
      <c r="G80" s="496"/>
      <c r="H80" s="496"/>
      <c r="I80" s="496"/>
      <c r="J80" s="496"/>
      <c r="K80" s="496"/>
      <c r="L80" s="496"/>
      <c r="M80" s="495"/>
      <c r="N80" s="495"/>
      <c r="O80" s="495"/>
    </row>
    <row r="81" spans="2:15" ht="15" hidden="1" outlineLevel="1" x14ac:dyDescent="0.25">
      <c r="B81" s="428" t="s">
        <v>58</v>
      </c>
      <c r="C81" s="496"/>
      <c r="D81" s="496"/>
      <c r="E81" s="496"/>
      <c r="F81" s="496"/>
      <c r="G81" s="496"/>
      <c r="H81" s="496"/>
      <c r="I81" s="496"/>
      <c r="J81" s="496"/>
      <c r="K81" s="496"/>
      <c r="L81" s="496"/>
      <c r="M81" s="495"/>
      <c r="N81" s="495"/>
      <c r="O81" s="495"/>
    </row>
    <row r="82" spans="2:15" ht="15.75" hidden="1" outlineLevel="1" thickBot="1" x14ac:dyDescent="0.3">
      <c r="B82" s="478" t="s">
        <v>946</v>
      </c>
      <c r="C82" s="491">
        <f t="shared" ref="C82" si="34">SUM(C80:C81)</f>
        <v>0</v>
      </c>
      <c r="D82" s="491">
        <f t="shared" ref="D82:L82" si="35">SUM(D80:D81)</f>
        <v>0</v>
      </c>
      <c r="E82" s="491">
        <f t="shared" si="35"/>
        <v>0</v>
      </c>
      <c r="F82" s="491">
        <f t="shared" si="35"/>
        <v>0</v>
      </c>
      <c r="G82" s="491">
        <f t="shared" si="35"/>
        <v>0</v>
      </c>
      <c r="H82" s="491">
        <f t="shared" si="35"/>
        <v>0</v>
      </c>
      <c r="I82" s="491">
        <f t="shared" si="35"/>
        <v>0</v>
      </c>
      <c r="J82" s="491">
        <f t="shared" si="35"/>
        <v>0</v>
      </c>
      <c r="K82" s="491">
        <f t="shared" si="35"/>
        <v>0</v>
      </c>
      <c r="L82" s="491">
        <f t="shared" si="35"/>
        <v>0</v>
      </c>
      <c r="M82" s="491">
        <f>SUM(M80:M81)</f>
        <v>0</v>
      </c>
      <c r="N82" s="491">
        <f>SUM(N80:N81)</f>
        <v>0</v>
      </c>
      <c r="O82" s="491">
        <f>SUM(O80:O81)</f>
        <v>0</v>
      </c>
    </row>
    <row r="83" spans="2:15" ht="14.25" hidden="1" outlineLevel="1" x14ac:dyDescent="0.2">
      <c r="B83" s="428" t="s">
        <v>947</v>
      </c>
      <c r="C83" s="495"/>
      <c r="D83" s="495"/>
      <c r="E83" s="495"/>
      <c r="F83" s="495"/>
      <c r="G83" s="495"/>
      <c r="H83" s="495"/>
      <c r="I83" s="495"/>
      <c r="J83" s="495"/>
      <c r="K83" s="495"/>
      <c r="L83" s="495"/>
      <c r="M83" s="495"/>
      <c r="N83" s="495"/>
      <c r="O83" s="495"/>
    </row>
    <row r="84" spans="2:15" ht="15.75" hidden="1" outlineLevel="1" thickBot="1" x14ac:dyDescent="0.3">
      <c r="B84" s="478" t="s">
        <v>59</v>
      </c>
      <c r="C84" s="491">
        <f t="shared" ref="C84" si="36">SUM(C82:C83)</f>
        <v>0</v>
      </c>
      <c r="D84" s="491">
        <f t="shared" ref="D84:L84" si="37">SUM(D82:D83)</f>
        <v>0</v>
      </c>
      <c r="E84" s="491">
        <f t="shared" si="37"/>
        <v>0</v>
      </c>
      <c r="F84" s="491">
        <f t="shared" si="37"/>
        <v>0</v>
      </c>
      <c r="G84" s="491">
        <f t="shared" si="37"/>
        <v>0</v>
      </c>
      <c r="H84" s="491">
        <f t="shared" si="37"/>
        <v>0</v>
      </c>
      <c r="I84" s="491">
        <f t="shared" si="37"/>
        <v>0</v>
      </c>
      <c r="J84" s="491">
        <f t="shared" si="37"/>
        <v>0</v>
      </c>
      <c r="K84" s="491">
        <f t="shared" si="37"/>
        <v>0</v>
      </c>
      <c r="L84" s="491">
        <f t="shared" si="37"/>
        <v>0</v>
      </c>
      <c r="M84" s="491">
        <f>SUM(M82:M83)</f>
        <v>0</v>
      </c>
      <c r="N84" s="491">
        <f>SUM(N82:N83)</f>
        <v>0</v>
      </c>
      <c r="O84" s="491">
        <f>SUM(O82:O83)</f>
        <v>0</v>
      </c>
    </row>
    <row r="85" spans="2:15" ht="15" hidden="1" outlineLevel="1" x14ac:dyDescent="0.25">
      <c r="B85" s="478"/>
      <c r="C85" s="499"/>
      <c r="D85" s="499"/>
      <c r="E85" s="499"/>
      <c r="F85" s="499"/>
      <c r="G85" s="499"/>
      <c r="H85" s="499"/>
      <c r="I85" s="499"/>
      <c r="J85" s="499"/>
      <c r="K85" s="499"/>
      <c r="L85" s="499"/>
      <c r="M85" s="499"/>
      <c r="N85" s="499"/>
      <c r="O85" s="499"/>
    </row>
    <row r="86" spans="2:15" ht="15" hidden="1" outlineLevel="1" x14ac:dyDescent="0.25">
      <c r="B86" s="428" t="s">
        <v>131</v>
      </c>
      <c r="C86" s="450">
        <f t="shared" ref="C86" si="38">C84-C76</f>
        <v>0</v>
      </c>
      <c r="D86" s="450">
        <f t="shared" ref="D86:L86" si="39">D84-D76</f>
        <v>0</v>
      </c>
      <c r="E86" s="450">
        <f t="shared" si="39"/>
        <v>0</v>
      </c>
      <c r="F86" s="450">
        <f t="shared" si="39"/>
        <v>0</v>
      </c>
      <c r="G86" s="450">
        <f t="shared" si="39"/>
        <v>0</v>
      </c>
      <c r="H86" s="450">
        <f t="shared" si="39"/>
        <v>0</v>
      </c>
      <c r="I86" s="450">
        <f t="shared" si="39"/>
        <v>0</v>
      </c>
      <c r="J86" s="450">
        <f t="shared" si="39"/>
        <v>0</v>
      </c>
      <c r="K86" s="450">
        <f t="shared" si="39"/>
        <v>0</v>
      </c>
      <c r="L86" s="450">
        <f t="shared" si="39"/>
        <v>0</v>
      </c>
      <c r="M86" s="450">
        <f>M84-M76</f>
        <v>0</v>
      </c>
      <c r="N86" s="450">
        <f>N84-N76</f>
        <v>0</v>
      </c>
      <c r="O86" s="450">
        <f>O84-O76</f>
        <v>0</v>
      </c>
    </row>
    <row r="87" spans="2:15" ht="15" hidden="1" outlineLevel="1" x14ac:dyDescent="0.25">
      <c r="B87" s="500" t="s">
        <v>948</v>
      </c>
      <c r="C87" s="476"/>
      <c r="D87" s="476"/>
      <c r="E87" s="476"/>
      <c r="F87" s="476"/>
      <c r="G87" s="476"/>
      <c r="H87" s="476"/>
      <c r="I87" s="476"/>
      <c r="J87" s="476"/>
      <c r="K87" s="476"/>
      <c r="L87" s="476"/>
      <c r="M87" s="476"/>
      <c r="N87" s="476"/>
      <c r="O87" s="476"/>
    </row>
    <row r="88" spans="2:15" ht="15" hidden="1" outlineLevel="1" x14ac:dyDescent="0.25">
      <c r="B88" s="426" t="str">
        <f>B21</f>
        <v>Income excl Gains\losses</v>
      </c>
      <c r="C88" s="501"/>
      <c r="D88" s="501"/>
      <c r="E88" s="501"/>
      <c r="F88" s="501"/>
      <c r="G88" s="501"/>
      <c r="H88" s="501"/>
      <c r="I88" s="501"/>
      <c r="J88" s="501"/>
      <c r="K88" s="501"/>
      <c r="L88" s="501"/>
      <c r="M88" s="495"/>
      <c r="N88" s="495"/>
      <c r="O88" s="495"/>
    </row>
    <row r="89" spans="2:15" ht="15" hidden="1" outlineLevel="1" thickBot="1" x14ac:dyDescent="0.25">
      <c r="B89" s="442"/>
      <c r="C89" s="442"/>
      <c r="D89" s="442"/>
      <c r="E89" s="442"/>
      <c r="F89" s="442"/>
      <c r="G89" s="442"/>
      <c r="H89" s="442"/>
      <c r="I89" s="442"/>
      <c r="J89" s="442"/>
      <c r="K89" s="442"/>
      <c r="L89" s="442"/>
      <c r="M89" s="442"/>
      <c r="N89" s="442"/>
      <c r="O89" s="442"/>
    </row>
    <row r="90" spans="2:15" ht="15" hidden="1" outlineLevel="1" x14ac:dyDescent="0.25">
      <c r="B90" s="422" t="s">
        <v>949</v>
      </c>
      <c r="C90" s="468"/>
      <c r="D90" s="468"/>
      <c r="E90" s="468"/>
      <c r="F90" s="468"/>
      <c r="G90" s="468"/>
      <c r="H90" s="468"/>
      <c r="I90" s="468"/>
      <c r="J90" s="468"/>
      <c r="K90" s="468"/>
      <c r="L90" s="468"/>
      <c r="M90" s="468"/>
      <c r="N90" s="468"/>
      <c r="O90" s="468"/>
    </row>
    <row r="91" spans="2:15" ht="15" hidden="1" outlineLevel="1" x14ac:dyDescent="0.25">
      <c r="B91" s="428" t="s">
        <v>30</v>
      </c>
      <c r="C91" s="501"/>
      <c r="D91" s="501"/>
      <c r="E91" s="501"/>
      <c r="F91" s="501"/>
      <c r="G91" s="501"/>
      <c r="H91" s="501"/>
      <c r="I91" s="501"/>
      <c r="J91" s="501"/>
      <c r="K91" s="501"/>
      <c r="L91" s="501"/>
      <c r="M91" s="501"/>
      <c r="N91" s="501"/>
      <c r="O91" s="501"/>
    </row>
    <row r="92" spans="2:15" ht="15" hidden="1" outlineLevel="1" x14ac:dyDescent="0.25">
      <c r="B92" s="503" t="s">
        <v>950</v>
      </c>
      <c r="C92" s="501"/>
      <c r="D92" s="501"/>
      <c r="E92" s="501"/>
      <c r="F92" s="501"/>
      <c r="G92" s="501"/>
      <c r="H92" s="501"/>
      <c r="I92" s="501"/>
      <c r="J92" s="501"/>
      <c r="K92" s="501"/>
      <c r="L92" s="501"/>
      <c r="M92" s="502"/>
      <c r="N92" s="502"/>
      <c r="O92" s="502"/>
    </row>
    <row r="93" spans="2:15" ht="15" hidden="1" outlineLevel="1" x14ac:dyDescent="0.25">
      <c r="B93" s="503" t="s">
        <v>951</v>
      </c>
      <c r="C93" s="496"/>
      <c r="D93" s="496"/>
      <c r="E93" s="496"/>
      <c r="F93" s="496"/>
      <c r="G93" s="496"/>
      <c r="H93" s="496"/>
      <c r="I93" s="496"/>
      <c r="J93" s="496"/>
      <c r="K93" s="496"/>
      <c r="L93" s="496"/>
      <c r="M93" s="495"/>
      <c r="N93" s="495"/>
      <c r="O93" s="495"/>
    </row>
    <row r="94" spans="2:15" ht="15" hidden="1" outlineLevel="1" x14ac:dyDescent="0.25">
      <c r="B94" s="428" t="s">
        <v>952</v>
      </c>
      <c r="C94" s="501"/>
      <c r="D94" s="501"/>
      <c r="E94" s="501"/>
      <c r="F94" s="501"/>
      <c r="G94" s="501"/>
      <c r="H94" s="501"/>
      <c r="I94" s="501"/>
      <c r="J94" s="501"/>
      <c r="K94" s="501"/>
      <c r="L94" s="501"/>
      <c r="M94" s="502"/>
      <c r="N94" s="502"/>
      <c r="O94" s="502"/>
    </row>
    <row r="95" spans="2:15" ht="15.75" hidden="1" outlineLevel="1" thickBot="1" x14ac:dyDescent="0.3">
      <c r="B95" s="493" t="s">
        <v>953</v>
      </c>
      <c r="C95" s="504">
        <f t="shared" ref="C95" si="40">C44</f>
        <v>0</v>
      </c>
      <c r="D95" s="504">
        <f t="shared" ref="D95:L95" si="41">D44</f>
        <v>0</v>
      </c>
      <c r="E95" s="504">
        <f t="shared" si="41"/>
        <v>0</v>
      </c>
      <c r="F95" s="504">
        <f t="shared" si="41"/>
        <v>0</v>
      </c>
      <c r="G95" s="504">
        <f t="shared" si="41"/>
        <v>0</v>
      </c>
      <c r="H95" s="504">
        <f t="shared" si="41"/>
        <v>0</v>
      </c>
      <c r="I95" s="504">
        <f t="shared" si="41"/>
        <v>0</v>
      </c>
      <c r="J95" s="504">
        <f t="shared" si="41"/>
        <v>0</v>
      </c>
      <c r="K95" s="504">
        <f t="shared" si="41"/>
        <v>0</v>
      </c>
      <c r="L95" s="504">
        <f t="shared" si="41"/>
        <v>0</v>
      </c>
      <c r="M95" s="504">
        <f>M44</f>
        <v>0</v>
      </c>
      <c r="N95" s="504">
        <f>N44</f>
        <v>0</v>
      </c>
      <c r="O95" s="504">
        <f>O44</f>
        <v>0</v>
      </c>
    </row>
    <row r="96" spans="2:15" ht="15" collapsed="1" thickBot="1" x14ac:dyDescent="0.25"/>
    <row r="97" spans="2:41" ht="15" x14ac:dyDescent="0.25">
      <c r="B97" s="422" t="s">
        <v>1274</v>
      </c>
      <c r="C97" s="423">
        <f t="shared" ref="C97" si="42">C5</f>
        <v>2015</v>
      </c>
      <c r="D97" s="423">
        <f t="shared" ref="D97:L97" si="43">D5</f>
        <v>2016</v>
      </c>
      <c r="E97" s="423">
        <f t="shared" si="43"/>
        <v>2017</v>
      </c>
      <c r="F97" s="423">
        <f t="shared" si="43"/>
        <v>2018</v>
      </c>
      <c r="G97" s="423">
        <f t="shared" si="43"/>
        <v>2019</v>
      </c>
      <c r="H97" s="423">
        <f t="shared" si="43"/>
        <v>2020</v>
      </c>
      <c r="I97" s="423">
        <f t="shared" si="43"/>
        <v>2021</v>
      </c>
      <c r="J97" s="423">
        <f t="shared" si="43"/>
        <v>2022</v>
      </c>
      <c r="K97" s="423">
        <f t="shared" si="43"/>
        <v>2023</v>
      </c>
      <c r="L97" s="423">
        <f t="shared" si="43"/>
        <v>2024</v>
      </c>
      <c r="M97" s="423">
        <f>M5</f>
        <v>2025</v>
      </c>
      <c r="N97" s="423">
        <f>N5</f>
        <v>2026</v>
      </c>
      <c r="O97" s="423">
        <f>O5</f>
        <v>2027</v>
      </c>
    </row>
    <row r="98" spans="2:41" ht="15.75" thickBot="1" x14ac:dyDescent="0.3">
      <c r="B98" s="425"/>
      <c r="C98" s="475" t="s">
        <v>875</v>
      </c>
      <c r="D98" s="475" t="s">
        <v>875</v>
      </c>
      <c r="E98" s="475" t="s">
        <v>875</v>
      </c>
      <c r="F98" s="475" t="s">
        <v>875</v>
      </c>
      <c r="G98" s="475" t="s">
        <v>875</v>
      </c>
      <c r="H98" s="475" t="s">
        <v>875</v>
      </c>
      <c r="I98" s="475" t="s">
        <v>875</v>
      </c>
      <c r="J98" s="475" t="s">
        <v>875</v>
      </c>
      <c r="K98" s="475" t="s">
        <v>875</v>
      </c>
      <c r="L98" s="475" t="s">
        <v>875</v>
      </c>
      <c r="M98" s="475" t="s">
        <v>875</v>
      </c>
      <c r="N98" s="475" t="s">
        <v>875</v>
      </c>
      <c r="O98" s="475" t="s">
        <v>875</v>
      </c>
    </row>
    <row r="99" spans="2:41" ht="15" x14ac:dyDescent="0.25">
      <c r="B99" s="480" t="s">
        <v>954</v>
      </c>
      <c r="C99" s="501"/>
      <c r="D99" s="501"/>
      <c r="E99" s="501"/>
      <c r="F99" s="501"/>
      <c r="G99" s="501"/>
      <c r="H99" s="501"/>
      <c r="I99" s="501"/>
      <c r="J99" s="501"/>
      <c r="K99" s="501"/>
      <c r="L99" s="501"/>
      <c r="M99" s="505"/>
      <c r="N99" s="505"/>
      <c r="O99" s="505"/>
    </row>
    <row r="100" spans="2:41" ht="15" x14ac:dyDescent="0.25">
      <c r="B100" s="428" t="s">
        <v>955</v>
      </c>
      <c r="C100" s="501"/>
      <c r="D100" s="501"/>
      <c r="E100" s="501"/>
      <c r="F100" s="501"/>
      <c r="G100" s="501"/>
      <c r="H100" s="501"/>
      <c r="I100" s="501"/>
      <c r="J100" s="501"/>
      <c r="K100" s="501"/>
      <c r="L100" s="501"/>
      <c r="M100" s="505"/>
      <c r="N100" s="505"/>
      <c r="O100" s="505"/>
      <c r="AG100" s="506"/>
      <c r="AH100" s="506"/>
      <c r="AI100" s="506"/>
      <c r="AJ100" s="506"/>
      <c r="AK100" s="506"/>
      <c r="AL100" s="506"/>
      <c r="AM100" s="506"/>
      <c r="AN100" s="506"/>
      <c r="AO100" s="506"/>
    </row>
    <row r="101" spans="2:41" ht="15.75" thickBot="1" x14ac:dyDescent="0.3">
      <c r="B101" s="498" t="s">
        <v>956</v>
      </c>
      <c r="C101" s="491">
        <f t="shared" ref="C101" si="44">SUM(C99:C100)</f>
        <v>0</v>
      </c>
      <c r="D101" s="491">
        <f t="shared" ref="D101:L101" si="45">SUM(D99:D100)</f>
        <v>0</v>
      </c>
      <c r="E101" s="491">
        <f t="shared" si="45"/>
        <v>0</v>
      </c>
      <c r="F101" s="491">
        <f t="shared" si="45"/>
        <v>0</v>
      </c>
      <c r="G101" s="491">
        <f t="shared" si="45"/>
        <v>0</v>
      </c>
      <c r="H101" s="491">
        <f t="shared" si="45"/>
        <v>0</v>
      </c>
      <c r="I101" s="491">
        <f t="shared" si="45"/>
        <v>0</v>
      </c>
      <c r="J101" s="491">
        <f t="shared" si="45"/>
        <v>0</v>
      </c>
      <c r="K101" s="491">
        <f t="shared" si="45"/>
        <v>0</v>
      </c>
      <c r="L101" s="491">
        <f t="shared" si="45"/>
        <v>0</v>
      </c>
      <c r="M101" s="491">
        <f>SUM(M99:M100)</f>
        <v>0</v>
      </c>
      <c r="N101" s="491">
        <f>SUM(N99:N100)</f>
        <v>0</v>
      </c>
      <c r="O101" s="491">
        <f>SUM(O99:O100)</f>
        <v>0</v>
      </c>
      <c r="AG101" s="506"/>
      <c r="AH101" s="506"/>
      <c r="AI101" s="506"/>
      <c r="AJ101" s="506"/>
      <c r="AK101" s="506"/>
      <c r="AL101" s="506"/>
      <c r="AM101" s="506"/>
      <c r="AN101" s="506"/>
      <c r="AO101" s="506"/>
    </row>
    <row r="102" spans="2:41" ht="15" thickBot="1" x14ac:dyDescent="0.25">
      <c r="C102" s="507">
        <f>C91-C99-C100</f>
        <v>0</v>
      </c>
      <c r="D102" s="507">
        <f>D91-D99-D100</f>
        <v>0</v>
      </c>
      <c r="E102" s="507">
        <f t="shared" ref="E102:L102" si="46">E91-E99-E100</f>
        <v>0</v>
      </c>
      <c r="F102" s="507">
        <f t="shared" si="46"/>
        <v>0</v>
      </c>
      <c r="G102" s="507">
        <f t="shared" si="46"/>
        <v>0</v>
      </c>
      <c r="H102" s="507">
        <f t="shared" si="46"/>
        <v>0</v>
      </c>
      <c r="I102" s="507">
        <f t="shared" si="46"/>
        <v>0</v>
      </c>
      <c r="J102" s="507">
        <f t="shared" si="46"/>
        <v>0</v>
      </c>
      <c r="K102" s="507">
        <f t="shared" si="46"/>
        <v>0</v>
      </c>
      <c r="L102" s="507">
        <f t="shared" si="46"/>
        <v>0</v>
      </c>
      <c r="M102" s="507">
        <f>M91-M99-M100</f>
        <v>0</v>
      </c>
      <c r="N102" s="507">
        <f>N91-N99-N100</f>
        <v>0</v>
      </c>
      <c r="O102" s="507">
        <f>O91-O99-O100</f>
        <v>0</v>
      </c>
      <c r="AG102" s="506"/>
      <c r="AH102" s="506"/>
      <c r="AI102" s="506"/>
      <c r="AJ102" s="506"/>
      <c r="AK102" s="506"/>
      <c r="AL102" s="506"/>
      <c r="AM102" s="506"/>
      <c r="AN102" s="506"/>
      <c r="AO102" s="506"/>
    </row>
    <row r="103" spans="2:41" ht="15" x14ac:dyDescent="0.25">
      <c r="B103" s="422" t="s">
        <v>957</v>
      </c>
      <c r="C103" s="509"/>
      <c r="D103" s="822">
        <v>8.9999999999999993E-3</v>
      </c>
      <c r="E103" s="508"/>
      <c r="F103" s="508"/>
      <c r="G103" s="508"/>
      <c r="H103" s="508"/>
      <c r="I103" s="508"/>
      <c r="J103" s="508"/>
      <c r="K103" s="508"/>
      <c r="L103" s="508"/>
      <c r="M103" s="508"/>
      <c r="N103" s="508"/>
      <c r="O103" s="508"/>
      <c r="Q103" s="819">
        <v>2016</v>
      </c>
      <c r="R103" s="819">
        <v>2021</v>
      </c>
      <c r="S103" s="819">
        <v>2026</v>
      </c>
      <c r="T103" s="819">
        <v>2031</v>
      </c>
      <c r="U103" s="819">
        <v>2036</v>
      </c>
      <c r="AG103" s="506"/>
      <c r="AH103" s="506"/>
      <c r="AI103" s="506"/>
      <c r="AJ103" s="506"/>
      <c r="AK103" s="506"/>
      <c r="AL103" s="506"/>
      <c r="AM103" s="506"/>
      <c r="AN103" s="506"/>
      <c r="AO103" s="506"/>
    </row>
    <row r="104" spans="2:41" ht="15" x14ac:dyDescent="0.25">
      <c r="B104" s="428" t="s">
        <v>958</v>
      </c>
      <c r="C104" s="501"/>
      <c r="D104" s="501"/>
      <c r="E104" s="501"/>
      <c r="F104" s="501"/>
      <c r="G104" s="501"/>
      <c r="H104" s="501"/>
      <c r="I104" s="501"/>
      <c r="J104" s="501"/>
      <c r="K104" s="501"/>
      <c r="L104" s="501"/>
      <c r="M104" s="502"/>
      <c r="N104" s="502"/>
      <c r="O104" s="502"/>
      <c r="Q104" s="820">
        <v>17150</v>
      </c>
      <c r="R104" s="820">
        <v>18000</v>
      </c>
      <c r="S104" s="820">
        <v>18800</v>
      </c>
      <c r="T104" s="820">
        <v>19550</v>
      </c>
      <c r="U104" s="821">
        <v>20300</v>
      </c>
      <c r="AG104" s="506"/>
      <c r="AH104" s="506"/>
      <c r="AI104" s="506"/>
      <c r="AJ104" s="506"/>
      <c r="AK104" s="506"/>
      <c r="AL104" s="506"/>
      <c r="AM104" s="506"/>
      <c r="AN104" s="506"/>
      <c r="AO104" s="506"/>
    </row>
    <row r="105" spans="2:41" ht="15" x14ac:dyDescent="0.25">
      <c r="B105" s="428" t="s">
        <v>959</v>
      </c>
      <c r="C105" s="501">
        <f>Q104</f>
        <v>17150</v>
      </c>
      <c r="D105" s="501">
        <f>C105*1.009</f>
        <v>17304.349999999999</v>
      </c>
      <c r="E105" s="501">
        <f t="shared" ref="E105:O105" si="47">D105*1.009</f>
        <v>17460.089149999996</v>
      </c>
      <c r="F105" s="501">
        <f t="shared" si="47"/>
        <v>17617.229952349993</v>
      </c>
      <c r="G105" s="501">
        <f t="shared" si="47"/>
        <v>17775.78502192114</v>
      </c>
      <c r="H105" s="501">
        <f t="shared" si="47"/>
        <v>17935.767087118427</v>
      </c>
      <c r="I105" s="501">
        <f>R104</f>
        <v>18000</v>
      </c>
      <c r="J105" s="501">
        <f t="shared" si="47"/>
        <v>18161.999999999996</v>
      </c>
      <c r="K105" s="501">
        <f t="shared" si="47"/>
        <v>18325.457999999995</v>
      </c>
      <c r="L105" s="501">
        <f t="shared" si="47"/>
        <v>18490.387121999993</v>
      </c>
      <c r="M105" s="501">
        <f t="shared" si="47"/>
        <v>18656.80060609799</v>
      </c>
      <c r="N105" s="502">
        <f>S104</f>
        <v>18800</v>
      </c>
      <c r="O105" s="501">
        <f t="shared" si="47"/>
        <v>18969.199999999997</v>
      </c>
      <c r="Q105" s="900" t="s">
        <v>1272</v>
      </c>
      <c r="AG105" s="506"/>
      <c r="AH105" s="506"/>
      <c r="AI105" s="506"/>
      <c r="AJ105" s="506"/>
      <c r="AK105" s="506"/>
      <c r="AL105" s="506"/>
      <c r="AM105" s="506"/>
      <c r="AN105" s="506"/>
      <c r="AO105" s="506"/>
    </row>
    <row r="106" spans="2:41" ht="16.5" thickBot="1" x14ac:dyDescent="0.3">
      <c r="B106" s="493" t="s">
        <v>960</v>
      </c>
      <c r="C106" s="510"/>
      <c r="D106" s="510"/>
      <c r="E106" s="510"/>
      <c r="F106" s="510"/>
      <c r="G106" s="510"/>
      <c r="H106" s="510"/>
      <c r="I106" s="510"/>
      <c r="J106" s="510"/>
      <c r="K106" s="510"/>
      <c r="L106" s="510"/>
      <c r="M106" s="510"/>
      <c r="N106" s="510"/>
      <c r="O106" s="510"/>
      <c r="Q106" s="899" t="s">
        <v>1271</v>
      </c>
      <c r="AG106" s="506"/>
      <c r="AH106" s="506"/>
      <c r="AI106" s="506"/>
      <c r="AJ106" s="506"/>
      <c r="AK106" s="506"/>
      <c r="AL106" s="506"/>
      <c r="AM106" s="506"/>
      <c r="AN106" s="506"/>
      <c r="AO106" s="506"/>
    </row>
    <row r="107" spans="2:41" ht="15" thickBot="1" x14ac:dyDescent="0.25">
      <c r="C107" s="511"/>
      <c r="D107" s="511"/>
      <c r="E107" s="511"/>
      <c r="F107" s="511"/>
      <c r="G107" s="511"/>
      <c r="H107" s="511"/>
      <c r="I107" s="511"/>
      <c r="J107" s="511"/>
      <c r="K107" s="511"/>
      <c r="L107" s="511"/>
      <c r="M107" s="511"/>
      <c r="N107" s="511"/>
      <c r="O107" s="511"/>
      <c r="Q107" s="900" t="s">
        <v>1273</v>
      </c>
      <c r="AG107" s="506"/>
      <c r="AH107" s="506"/>
      <c r="AI107" s="506"/>
      <c r="AJ107" s="506"/>
      <c r="AK107" s="506"/>
      <c r="AL107" s="506"/>
      <c r="AM107" s="506"/>
      <c r="AN107" s="506"/>
      <c r="AO107" s="506"/>
    </row>
    <row r="108" spans="2:41" ht="15" customHeight="1" x14ac:dyDescent="0.25">
      <c r="B108" s="512" t="s">
        <v>961</v>
      </c>
      <c r="C108" s="221"/>
      <c r="D108" s="221"/>
      <c r="E108" s="513"/>
      <c r="F108" s="513"/>
      <c r="G108" s="513"/>
      <c r="H108" s="513"/>
      <c r="I108" s="513"/>
      <c r="J108" s="513"/>
      <c r="K108" s="513"/>
      <c r="L108" s="513"/>
      <c r="AG108" s="506"/>
      <c r="AH108" s="506"/>
      <c r="AI108" s="506"/>
      <c r="AJ108" s="506"/>
      <c r="AK108" s="506"/>
      <c r="AL108" s="506"/>
      <c r="AM108" s="506"/>
      <c r="AN108" s="506"/>
      <c r="AO108" s="506"/>
    </row>
    <row r="109" spans="2:41" ht="15" x14ac:dyDescent="0.25">
      <c r="B109" s="428" t="s">
        <v>962</v>
      </c>
      <c r="C109" s="496"/>
      <c r="D109" s="496"/>
      <c r="E109" s="496">
        <f>'Renewals &amp; Maintenance'!G24</f>
        <v>6862</v>
      </c>
      <c r="F109" s="496">
        <f>'Renewals &amp; Maintenance'!H24</f>
        <v>6549.5910000000003</v>
      </c>
      <c r="G109" s="496">
        <f>'Renewals &amp; Maintenance'!I24</f>
        <v>10802.8825</v>
      </c>
      <c r="H109" s="496">
        <f>'Renewals &amp; Maintenance'!J24</f>
        <v>6510.3760000000002</v>
      </c>
      <c r="I109" s="496">
        <f>'Renewals &amp; Maintenance'!K24</f>
        <v>6654.5879999999997</v>
      </c>
      <c r="J109" s="496">
        <f>'Renewals &amp; Maintenance'!L24</f>
        <v>6869.9465</v>
      </c>
      <c r="K109" s="496">
        <f>'Renewals &amp; Maintenance'!M24</f>
        <v>6963.8391624999995</v>
      </c>
      <c r="L109" s="496">
        <f>'Renewals &amp; Maintenance'!N24</f>
        <v>7141.0371415625004</v>
      </c>
      <c r="M109" s="496">
        <f>'Renewals &amp; Maintenance'!O24</f>
        <v>7354.5472301015634</v>
      </c>
      <c r="N109" s="496">
        <f>'Renewals &amp; Maintenance'!P24</f>
        <v>7504.3763740541017</v>
      </c>
      <c r="O109" s="496">
        <f>'Renewals &amp; Maintenance'!Q24</f>
        <v>7699.5316758694544</v>
      </c>
      <c r="AG109" s="514"/>
      <c r="AH109" s="514"/>
      <c r="AI109" s="514"/>
      <c r="AJ109" s="514"/>
      <c r="AK109" s="514"/>
      <c r="AL109" s="514"/>
      <c r="AM109" s="514"/>
      <c r="AN109" s="514"/>
      <c r="AO109" s="514"/>
    </row>
    <row r="110" spans="2:41" ht="15" x14ac:dyDescent="0.25">
      <c r="B110" s="428" t="s">
        <v>963</v>
      </c>
      <c r="C110" s="496"/>
      <c r="D110" s="496"/>
      <c r="E110" s="496">
        <f>'Renewals &amp; Maintenance'!G25</f>
        <v>0</v>
      </c>
      <c r="F110" s="496">
        <f>'Renewals &amp; Maintenance'!H25</f>
        <v>1686.5450000000001</v>
      </c>
      <c r="G110" s="496">
        <f>'Renewals &amp; Maintenance'!I25</f>
        <v>1796.6877999999999</v>
      </c>
      <c r="H110" s="496">
        <f>'Renewals &amp; Maintenance'!J25</f>
        <v>1849.9013950000001</v>
      </c>
      <c r="I110" s="496">
        <f>'Renewals &amp; Maintenance'!K25</f>
        <v>1851.8494048749997</v>
      </c>
      <c r="J110" s="496">
        <f>'Renewals &amp; Maintenance'!L25</f>
        <v>1821.87</v>
      </c>
      <c r="K110" s="496">
        <f>'Renewals &amp; Maintenance'!M25</f>
        <v>1877.645</v>
      </c>
      <c r="L110" s="496">
        <f>'Renewals &amp; Maintenance'!N25</f>
        <v>1884.05125</v>
      </c>
      <c r="M110" s="496">
        <f>'Renewals &amp; Maintenance'!O25</f>
        <v>1890.61765625</v>
      </c>
      <c r="N110" s="496">
        <f>'Renewals &amp; Maintenance'!P25</f>
        <v>1897.3482226562501</v>
      </c>
      <c r="O110" s="496">
        <f>'Renewals &amp; Maintenance'!Q25</f>
        <v>1929.2470532226562</v>
      </c>
      <c r="AG110" s="506"/>
      <c r="AH110" s="506"/>
      <c r="AI110" s="506"/>
      <c r="AJ110" s="506"/>
      <c r="AK110" s="506"/>
      <c r="AL110" s="506"/>
      <c r="AM110" s="506"/>
      <c r="AN110" s="506"/>
      <c r="AO110" s="506"/>
    </row>
    <row r="111" spans="2:41" ht="15.75" thickBot="1" x14ac:dyDescent="0.3">
      <c r="B111" s="478" t="s">
        <v>964</v>
      </c>
      <c r="C111" s="491">
        <f t="shared" ref="C111" si="48">SUM(C109:C110)</f>
        <v>0</v>
      </c>
      <c r="D111" s="491">
        <f t="shared" ref="D111:L111" si="49">SUM(D109:D110)</f>
        <v>0</v>
      </c>
      <c r="E111" s="491">
        <f t="shared" si="49"/>
        <v>6862</v>
      </c>
      <c r="F111" s="491">
        <f t="shared" si="49"/>
        <v>8236.1360000000004</v>
      </c>
      <c r="G111" s="491">
        <f t="shared" si="49"/>
        <v>12599.570299999999</v>
      </c>
      <c r="H111" s="491">
        <f t="shared" si="49"/>
        <v>8360.277395000001</v>
      </c>
      <c r="I111" s="491">
        <f t="shared" si="49"/>
        <v>8506.4374048749996</v>
      </c>
      <c r="J111" s="491">
        <f t="shared" si="49"/>
        <v>8691.8165000000008</v>
      </c>
      <c r="K111" s="491">
        <f t="shared" si="49"/>
        <v>8841.484162499999</v>
      </c>
      <c r="L111" s="491">
        <f t="shared" si="49"/>
        <v>9025.0883915625</v>
      </c>
      <c r="M111" s="491">
        <f>SUM(M109:M110)</f>
        <v>9245.1648863515638</v>
      </c>
      <c r="N111" s="491">
        <f>SUM(N109:N110)</f>
        <v>9401.7245967103518</v>
      </c>
      <c r="O111" s="491">
        <f>SUM(O109:O110)</f>
        <v>9628.7787290921115</v>
      </c>
      <c r="AG111" s="515"/>
      <c r="AH111" s="515"/>
      <c r="AI111" s="515"/>
      <c r="AJ111" s="515"/>
      <c r="AK111" s="515"/>
      <c r="AL111" s="515"/>
      <c r="AM111" s="515"/>
      <c r="AN111" s="515"/>
      <c r="AO111" s="515"/>
    </row>
    <row r="112" spans="2:41" ht="15" x14ac:dyDescent="0.25">
      <c r="B112" s="428" t="s">
        <v>965</v>
      </c>
      <c r="C112" s="496"/>
      <c r="D112" s="496"/>
      <c r="E112" s="496">
        <f>'GF &amp; FF  Inc Exp Statement'!F51-E113</f>
        <v>11320.421999999999</v>
      </c>
      <c r="F112" s="496">
        <f>'GF &amp; FF  Inc Exp Statement'!G51-F113</f>
        <v>3222.8580000000002</v>
      </c>
      <c r="G112" s="496">
        <f>'GF &amp; FF  Inc Exp Statement'!H51-G113</f>
        <v>4748.0245000000004</v>
      </c>
      <c r="H112" s="496">
        <f>'GF &amp; FF  Inc Exp Statement'!I51-H113</f>
        <v>3849.145</v>
      </c>
      <c r="I112" s="496">
        <f>'GF &amp; FF  Inc Exp Statement'!J51-I113</f>
        <v>3839.348</v>
      </c>
      <c r="J112" s="496">
        <f>'GF &amp; FF  Inc Exp Statement'!K51-J113</f>
        <v>3674.7064999999998</v>
      </c>
      <c r="K112" s="496">
        <f>'GF &amp; FF  Inc Exp Statement'!L51-K113</f>
        <v>3724.1991625000001</v>
      </c>
      <c r="L112" s="496">
        <f>'GF &amp; FF  Inc Exp Statement'!M51-L113</f>
        <v>3743.9291415625003</v>
      </c>
      <c r="M112" s="496">
        <f>'GF &amp; FF  Inc Exp Statement'!N51-M113</f>
        <v>4053.9023701015626</v>
      </c>
      <c r="N112" s="496">
        <f>'GF &amp; FF  Inc Exp Statement'!O51-N113</f>
        <v>4204.1249293541014</v>
      </c>
      <c r="O112" s="496">
        <f>'GF &amp; FF  Inc Exp Statement'!P51-O113</f>
        <v>4029.6030525879537</v>
      </c>
      <c r="AG112" s="515"/>
      <c r="AH112" s="506"/>
      <c r="AI112" s="506"/>
      <c r="AJ112" s="515"/>
      <c r="AK112" s="506"/>
      <c r="AL112" s="506"/>
      <c r="AM112" s="506"/>
      <c r="AN112" s="506"/>
      <c r="AO112" s="515"/>
    </row>
    <row r="113" spans="2:40" ht="15" x14ac:dyDescent="0.25">
      <c r="B113" s="428" t="s">
        <v>966</v>
      </c>
      <c r="C113" s="496"/>
      <c r="D113" s="496"/>
      <c r="E113" s="516"/>
      <c r="F113" s="516"/>
      <c r="G113" s="516"/>
      <c r="H113" s="516"/>
      <c r="I113" s="516"/>
      <c r="J113" s="516"/>
      <c r="K113" s="516"/>
      <c r="L113" s="516"/>
      <c r="M113" s="516"/>
      <c r="N113" s="516"/>
      <c r="O113" s="516"/>
      <c r="AG113" s="506"/>
      <c r="AH113" s="506"/>
      <c r="AI113" s="506"/>
      <c r="AJ113" s="506"/>
      <c r="AK113" s="506"/>
      <c r="AL113" s="506"/>
      <c r="AM113" s="506"/>
      <c r="AN113" s="506"/>
    </row>
    <row r="114" spans="2:40" ht="15.75" thickBot="1" x14ac:dyDescent="0.3">
      <c r="B114" s="478" t="s">
        <v>967</v>
      </c>
      <c r="C114" s="491"/>
      <c r="D114" s="491"/>
      <c r="E114" s="491">
        <f>SUM(E112:E113)</f>
        <v>11320.421999999999</v>
      </c>
      <c r="F114" s="491">
        <f t="shared" ref="F114:O114" si="50">SUM(F112:F113)</f>
        <v>3222.8580000000002</v>
      </c>
      <c r="G114" s="491">
        <f t="shared" si="50"/>
        <v>4748.0245000000004</v>
      </c>
      <c r="H114" s="491">
        <f t="shared" si="50"/>
        <v>3849.145</v>
      </c>
      <c r="I114" s="491">
        <f t="shared" si="50"/>
        <v>3839.348</v>
      </c>
      <c r="J114" s="491">
        <f t="shared" si="50"/>
        <v>3674.7064999999998</v>
      </c>
      <c r="K114" s="491">
        <f t="shared" si="50"/>
        <v>3724.1991625000001</v>
      </c>
      <c r="L114" s="491">
        <f t="shared" si="50"/>
        <v>3743.9291415625003</v>
      </c>
      <c r="M114" s="491">
        <f t="shared" si="50"/>
        <v>4053.9023701015626</v>
      </c>
      <c r="N114" s="491">
        <f t="shared" si="50"/>
        <v>4204.1249293541014</v>
      </c>
      <c r="O114" s="491">
        <f t="shared" si="50"/>
        <v>4029.6030525879537</v>
      </c>
      <c r="AG114" s="515"/>
      <c r="AH114" s="515"/>
      <c r="AI114" s="515"/>
      <c r="AJ114" s="515"/>
      <c r="AK114" s="515"/>
      <c r="AL114" s="515"/>
      <c r="AM114" s="515"/>
      <c r="AN114" s="515"/>
    </row>
    <row r="115" spans="2:40" ht="15.75" thickBot="1" x14ac:dyDescent="0.3">
      <c r="B115" s="498" t="s">
        <v>910</v>
      </c>
      <c r="C115" s="491">
        <f t="shared" ref="C115" si="51">C111+C114</f>
        <v>0</v>
      </c>
      <c r="D115" s="491">
        <f t="shared" ref="D115:L115" si="52">D111+D114</f>
        <v>0</v>
      </c>
      <c r="E115" s="491">
        <f t="shared" si="52"/>
        <v>18182.421999999999</v>
      </c>
      <c r="F115" s="491">
        <f t="shared" si="52"/>
        <v>11458.994000000001</v>
      </c>
      <c r="G115" s="491">
        <f t="shared" si="52"/>
        <v>17347.594799999999</v>
      </c>
      <c r="H115" s="491">
        <f t="shared" si="52"/>
        <v>12209.422395000001</v>
      </c>
      <c r="I115" s="491">
        <f t="shared" si="52"/>
        <v>12345.785404875</v>
      </c>
      <c r="J115" s="491">
        <f t="shared" si="52"/>
        <v>12366.523000000001</v>
      </c>
      <c r="K115" s="491">
        <f t="shared" si="52"/>
        <v>12565.683324999998</v>
      </c>
      <c r="L115" s="491">
        <f t="shared" si="52"/>
        <v>12769.017533124999</v>
      </c>
      <c r="M115" s="491">
        <f>M111+M114</f>
        <v>13299.067256453127</v>
      </c>
      <c r="N115" s="491">
        <f>N111+N114</f>
        <v>13605.849526064452</v>
      </c>
      <c r="O115" s="491">
        <f>O111+O114</f>
        <v>13658.381781680066</v>
      </c>
      <c r="AG115" s="506"/>
      <c r="AH115" s="506"/>
      <c r="AI115" s="515"/>
      <c r="AJ115" s="506"/>
      <c r="AK115" s="515"/>
      <c r="AL115" s="506"/>
      <c r="AM115" s="506"/>
      <c r="AN115" s="515"/>
    </row>
    <row r="116" spans="2:40" ht="15" thickBot="1" x14ac:dyDescent="0.25"/>
    <row r="117" spans="2:40" ht="30" x14ac:dyDescent="0.25">
      <c r="B117" s="422" t="s">
        <v>1114</v>
      </c>
      <c r="C117" s="474">
        <f>C5</f>
        <v>2015</v>
      </c>
      <c r="D117" s="474">
        <f t="shared" ref="D117:O117" si="53">D5</f>
        <v>2016</v>
      </c>
      <c r="E117" s="474">
        <f t="shared" si="53"/>
        <v>2017</v>
      </c>
      <c r="F117" s="474">
        <f t="shared" si="53"/>
        <v>2018</v>
      </c>
      <c r="G117" s="474">
        <f t="shared" si="53"/>
        <v>2019</v>
      </c>
      <c r="H117" s="474">
        <f t="shared" si="53"/>
        <v>2020</v>
      </c>
      <c r="I117" s="474">
        <f t="shared" si="53"/>
        <v>2021</v>
      </c>
      <c r="J117" s="474">
        <f t="shared" si="53"/>
        <v>2022</v>
      </c>
      <c r="K117" s="474">
        <f t="shared" si="53"/>
        <v>2023</v>
      </c>
      <c r="L117" s="474">
        <f t="shared" si="53"/>
        <v>2024</v>
      </c>
      <c r="M117" s="474">
        <f t="shared" si="53"/>
        <v>2025</v>
      </c>
      <c r="N117" s="474">
        <f t="shared" si="53"/>
        <v>2026</v>
      </c>
      <c r="O117" s="474">
        <f t="shared" si="53"/>
        <v>2027</v>
      </c>
    </row>
    <row r="118" spans="2:40" ht="15.75" thickBot="1" x14ac:dyDescent="0.3">
      <c r="B118" s="517" t="str">
        <f>B87</f>
        <v>Statement of Cashflows</v>
      </c>
      <c r="C118" s="475" t="s">
        <v>875</v>
      </c>
      <c r="D118" s="475" t="s">
        <v>875</v>
      </c>
      <c r="E118" s="475" t="s">
        <v>875</v>
      </c>
      <c r="F118" s="475" t="s">
        <v>875</v>
      </c>
      <c r="G118" s="475" t="s">
        <v>875</v>
      </c>
      <c r="H118" s="475" t="s">
        <v>875</v>
      </c>
      <c r="I118" s="475" t="s">
        <v>875</v>
      </c>
      <c r="J118" s="475" t="s">
        <v>875</v>
      </c>
      <c r="K118" s="475" t="s">
        <v>875</v>
      </c>
      <c r="L118" s="475" t="s">
        <v>875</v>
      </c>
      <c r="M118" s="475" t="s">
        <v>875</v>
      </c>
      <c r="N118" s="475" t="s">
        <v>875</v>
      </c>
      <c r="O118" s="475" t="s">
        <v>875</v>
      </c>
    </row>
    <row r="119" spans="2:40" ht="15" customHeight="1" x14ac:dyDescent="0.25">
      <c r="B119" s="518" t="s">
        <v>968</v>
      </c>
      <c r="C119" s="450"/>
      <c r="D119" s="450">
        <f>D28-SUM(D120:D126)</f>
        <v>0</v>
      </c>
      <c r="E119" s="450">
        <f t="shared" ref="E119:O119" si="54">E28-SUM(E120:E126)</f>
        <v>0</v>
      </c>
      <c r="F119" s="450">
        <f t="shared" si="54"/>
        <v>0</v>
      </c>
      <c r="G119" s="450">
        <f t="shared" si="54"/>
        <v>-5.7169999999132415E-2</v>
      </c>
      <c r="H119" s="450">
        <f t="shared" si="54"/>
        <v>-0.12665364999884332</v>
      </c>
      <c r="I119" s="450">
        <f t="shared" si="54"/>
        <v>-0.18522797924742918</v>
      </c>
      <c r="J119" s="450">
        <f t="shared" si="54"/>
        <v>-0.18985867873016105</v>
      </c>
      <c r="K119" s="450">
        <f t="shared" si="54"/>
        <v>-0.19460514569618681</v>
      </c>
      <c r="L119" s="450">
        <f t="shared" si="54"/>
        <v>-0.19947027433954645</v>
      </c>
      <c r="M119" s="450">
        <f t="shared" si="54"/>
        <v>-0.20445703119548853</v>
      </c>
      <c r="N119" s="450">
        <f t="shared" si="54"/>
        <v>-0.20956845697764948</v>
      </c>
      <c r="O119" s="450">
        <f t="shared" si="54"/>
        <v>-0.21480766839886201</v>
      </c>
    </row>
    <row r="120" spans="2:40" ht="15" x14ac:dyDescent="0.25">
      <c r="B120" s="428" t="s">
        <v>969</v>
      </c>
      <c r="C120" s="519"/>
      <c r="D120" s="519"/>
      <c r="E120" s="519"/>
      <c r="F120" s="519"/>
      <c r="G120" s="519"/>
      <c r="H120" s="519"/>
      <c r="I120" s="519"/>
      <c r="J120" s="519"/>
      <c r="K120" s="519"/>
      <c r="L120" s="519"/>
      <c r="M120" s="519"/>
      <c r="N120" s="519"/>
      <c r="O120" s="519"/>
    </row>
    <row r="121" spans="2:40" ht="15" x14ac:dyDescent="0.25">
      <c r="B121" s="428" t="s">
        <v>970</v>
      </c>
      <c r="C121" s="450"/>
      <c r="D121" s="450"/>
      <c r="E121" s="450"/>
      <c r="F121" s="450"/>
      <c r="G121" s="450"/>
      <c r="H121" s="450"/>
      <c r="I121" s="450"/>
      <c r="J121" s="450"/>
      <c r="K121" s="450"/>
      <c r="L121" s="450"/>
      <c r="M121" s="450"/>
      <c r="N121" s="450"/>
      <c r="O121" s="450"/>
    </row>
    <row r="122" spans="2:40" ht="15" x14ac:dyDescent="0.25">
      <c r="B122" s="428" t="s">
        <v>971</v>
      </c>
      <c r="C122" s="450"/>
      <c r="D122" s="450"/>
      <c r="E122" s="450"/>
      <c r="F122" s="450"/>
      <c r="G122" s="450"/>
      <c r="H122" s="450"/>
      <c r="I122" s="450"/>
      <c r="J122" s="450"/>
      <c r="K122" s="450"/>
      <c r="L122" s="450"/>
      <c r="M122" s="450"/>
      <c r="N122" s="450"/>
      <c r="O122" s="450"/>
    </row>
    <row r="123" spans="2:40" ht="15" x14ac:dyDescent="0.25">
      <c r="B123" s="428" t="s">
        <v>972</v>
      </c>
      <c r="C123" s="450"/>
      <c r="D123" s="450"/>
      <c r="E123" s="450"/>
      <c r="F123" s="450"/>
      <c r="G123" s="450"/>
      <c r="H123" s="450"/>
      <c r="I123" s="450"/>
      <c r="J123" s="450"/>
      <c r="K123" s="450"/>
      <c r="L123" s="450"/>
      <c r="M123" s="450"/>
      <c r="N123" s="450"/>
      <c r="O123" s="450"/>
    </row>
    <row r="124" spans="2:40" ht="15" x14ac:dyDescent="0.25">
      <c r="B124" s="428" t="s">
        <v>973</v>
      </c>
      <c r="C124" s="450"/>
      <c r="D124" s="450">
        <f>'Renewals &amp; Maintenance'!F19</f>
        <v>5616</v>
      </c>
      <c r="E124" s="450">
        <f>'Renewals &amp; Maintenance'!G19</f>
        <v>6905.496000000001</v>
      </c>
      <c r="F124" s="450">
        <f>'Renewals &amp; Maintenance'!H19</f>
        <v>6136.0370000000003</v>
      </c>
      <c r="G124" s="450">
        <f>'Renewals &amp; Maintenance'!I19</f>
        <v>6288.4847499999996</v>
      </c>
      <c r="H124" s="450">
        <f>'Renewals &amp; Maintenance'!J19</f>
        <v>6442.9218437499985</v>
      </c>
      <c r="I124" s="450">
        <f>'Renewals &amp; Maintenance'!K19</f>
        <v>6604.8493898437482</v>
      </c>
      <c r="J124" s="450">
        <f>'Renewals &amp; Maintenance'!L19</f>
        <v>6769.9706245898415</v>
      </c>
      <c r="K124" s="450">
        <f>'Renewals &amp; Maintenance'!M19</f>
        <v>6939.2198902045866</v>
      </c>
      <c r="L124" s="450">
        <f>'Renewals &amp; Maintenance'!N19</f>
        <v>7112.7003874597003</v>
      </c>
      <c r="M124" s="450">
        <f>'Renewals &amp; Maintenance'!O19</f>
        <v>7290.5178971461919</v>
      </c>
      <c r="N124" s="450">
        <f>'Renewals &amp; Maintenance'!P19</f>
        <v>7472.7808445748469</v>
      </c>
      <c r="O124" s="450">
        <f>'Renewals &amp; Maintenance'!Q19</f>
        <v>7659.6003656892171</v>
      </c>
    </row>
    <row r="125" spans="2:40" ht="15" x14ac:dyDescent="0.25">
      <c r="B125" s="428" t="s">
        <v>974</v>
      </c>
      <c r="C125" s="450"/>
      <c r="D125" s="450"/>
      <c r="E125" s="450"/>
      <c r="F125" s="450"/>
      <c r="G125" s="450"/>
      <c r="H125" s="450"/>
      <c r="I125" s="450"/>
      <c r="J125" s="450"/>
      <c r="K125" s="450"/>
      <c r="L125" s="450"/>
      <c r="M125" s="450"/>
      <c r="N125" s="450"/>
      <c r="O125" s="450"/>
    </row>
    <row r="126" spans="2:40" ht="15.75" thickBot="1" x14ac:dyDescent="0.3">
      <c r="B126" s="428" t="s">
        <v>975</v>
      </c>
      <c r="C126" s="520">
        <f>'Renewals &amp; Maintenance'!E20</f>
        <v>0</v>
      </c>
      <c r="D126" s="520">
        <f>'Renewals &amp; Maintenance'!F20</f>
        <v>1566</v>
      </c>
      <c r="E126" s="520">
        <f>'Renewals &amp; Maintenance'!G20</f>
        <v>1605.1499999999999</v>
      </c>
      <c r="F126" s="520">
        <f>'Renewals &amp; Maintenance'!H20</f>
        <v>1489.4280000000001</v>
      </c>
      <c r="G126" s="520">
        <f>'Renewals &amp; Maintenance'!I20</f>
        <v>1525.3534199999999</v>
      </c>
      <c r="H126" s="520">
        <f>'Renewals &amp; Maintenance'!J20</f>
        <v>1562.1488098999998</v>
      </c>
      <c r="I126" s="520">
        <f>'Renewals &amp; Maintenance'!K20</f>
        <v>1599.8398381355</v>
      </c>
      <c r="J126" s="520">
        <f>'Renewals &amp; Maintenance'!L20</f>
        <v>1639.8358340888872</v>
      </c>
      <c r="K126" s="520">
        <f>'Renewals &amp; Maintenance'!M20</f>
        <v>1680.831729941109</v>
      </c>
      <c r="L126" s="520">
        <f>'Renewals &amp; Maintenance'!N20</f>
        <v>1722.8525231896365</v>
      </c>
      <c r="M126" s="520">
        <f>'Renewals &amp; Maintenance'!O20</f>
        <v>1765.9238362693773</v>
      </c>
      <c r="N126" s="520">
        <f>'Renewals &amp; Maintenance'!P20</f>
        <v>1810.0719321761114</v>
      </c>
      <c r="O126" s="520">
        <f>'Renewals &amp; Maintenance'!Q20</f>
        <v>1855.3237304805141</v>
      </c>
    </row>
    <row r="127" spans="2:40" ht="15.75" thickBot="1" x14ac:dyDescent="0.3">
      <c r="B127" s="521" t="s">
        <v>614</v>
      </c>
      <c r="C127" s="491">
        <f>SUM(C119:C126)</f>
        <v>0</v>
      </c>
      <c r="D127" s="491">
        <f>SUM(D119:D126)</f>
        <v>7182</v>
      </c>
      <c r="E127" s="491">
        <f t="shared" ref="E127:O127" si="55">SUM(E119:E126)</f>
        <v>8510.6460000000006</v>
      </c>
      <c r="F127" s="491">
        <f t="shared" si="55"/>
        <v>7625.4650000000001</v>
      </c>
      <c r="G127" s="491">
        <f t="shared" si="55"/>
        <v>7813.7810000000009</v>
      </c>
      <c r="H127" s="491">
        <f t="shared" si="55"/>
        <v>8004.9439999999995</v>
      </c>
      <c r="I127" s="491">
        <f t="shared" si="55"/>
        <v>8204.5040000000008</v>
      </c>
      <c r="J127" s="491">
        <f t="shared" si="55"/>
        <v>8409.6165999999976</v>
      </c>
      <c r="K127" s="491">
        <f t="shared" si="55"/>
        <v>8619.8570149999996</v>
      </c>
      <c r="L127" s="491">
        <f t="shared" si="55"/>
        <v>8835.3534403749982</v>
      </c>
      <c r="M127" s="491">
        <f t="shared" si="55"/>
        <v>9056.2372763843741</v>
      </c>
      <c r="N127" s="491">
        <f t="shared" si="55"/>
        <v>9282.6432082939809</v>
      </c>
      <c r="O127" s="491">
        <f t="shared" si="55"/>
        <v>9514.7092885013317</v>
      </c>
    </row>
    <row r="128" spans="2:40" ht="15.75" thickBot="1" x14ac:dyDescent="0.3">
      <c r="B128" s="493" t="s">
        <v>976</v>
      </c>
      <c r="C128" s="522"/>
      <c r="D128" s="522">
        <f>SUM(D121:D125)</f>
        <v>5616</v>
      </c>
      <c r="E128" s="522">
        <f t="shared" ref="E128:O128" si="56">SUM(E121:E125)</f>
        <v>6905.496000000001</v>
      </c>
      <c r="F128" s="522">
        <f t="shared" si="56"/>
        <v>6136.0370000000003</v>
      </c>
      <c r="G128" s="522">
        <f t="shared" si="56"/>
        <v>6288.4847499999996</v>
      </c>
      <c r="H128" s="522">
        <f t="shared" si="56"/>
        <v>6442.9218437499985</v>
      </c>
      <c r="I128" s="522">
        <f t="shared" si="56"/>
        <v>6604.8493898437482</v>
      </c>
      <c r="J128" s="522">
        <f t="shared" si="56"/>
        <v>6769.9706245898415</v>
      </c>
      <c r="K128" s="522">
        <f t="shared" si="56"/>
        <v>6939.2198902045866</v>
      </c>
      <c r="L128" s="522">
        <f t="shared" si="56"/>
        <v>7112.7003874597003</v>
      </c>
      <c r="M128" s="522">
        <f t="shared" si="56"/>
        <v>7290.5178971461919</v>
      </c>
      <c r="N128" s="522">
        <f t="shared" si="56"/>
        <v>7472.7808445748469</v>
      </c>
      <c r="O128" s="522">
        <f t="shared" si="56"/>
        <v>7659.6003656892171</v>
      </c>
    </row>
    <row r="129" spans="2:15" ht="15" thickBot="1" x14ac:dyDescent="0.25"/>
    <row r="130" spans="2:15" ht="15" x14ac:dyDescent="0.25">
      <c r="B130" s="422" t="s">
        <v>977</v>
      </c>
      <c r="C130" s="474">
        <f t="shared" ref="C130" si="57">C5</f>
        <v>2015</v>
      </c>
      <c r="D130" s="474">
        <f t="shared" ref="D130:L130" si="58">D5</f>
        <v>2016</v>
      </c>
      <c r="E130" s="474">
        <f t="shared" si="58"/>
        <v>2017</v>
      </c>
      <c r="F130" s="474">
        <f t="shared" si="58"/>
        <v>2018</v>
      </c>
      <c r="G130" s="474">
        <f t="shared" si="58"/>
        <v>2019</v>
      </c>
      <c r="H130" s="474">
        <f t="shared" si="58"/>
        <v>2020</v>
      </c>
      <c r="I130" s="474">
        <f t="shared" si="58"/>
        <v>2021</v>
      </c>
      <c r="J130" s="474">
        <f t="shared" si="58"/>
        <v>2022</v>
      </c>
      <c r="K130" s="474">
        <f t="shared" si="58"/>
        <v>2023</v>
      </c>
      <c r="L130" s="474">
        <f t="shared" si="58"/>
        <v>2024</v>
      </c>
      <c r="M130" s="474">
        <f>M5</f>
        <v>2025</v>
      </c>
      <c r="N130" s="474">
        <f>N5</f>
        <v>2026</v>
      </c>
      <c r="O130" s="474">
        <f>O5</f>
        <v>2027</v>
      </c>
    </row>
    <row r="131" spans="2:15" ht="15.75" thickBot="1" x14ac:dyDescent="0.3">
      <c r="B131" s="517" t="s">
        <v>978</v>
      </c>
      <c r="C131" s="475" t="s">
        <v>875</v>
      </c>
      <c r="D131" s="475" t="s">
        <v>875</v>
      </c>
      <c r="E131" s="475" t="s">
        <v>875</v>
      </c>
      <c r="F131" s="475" t="s">
        <v>875</v>
      </c>
      <c r="G131" s="475" t="s">
        <v>875</v>
      </c>
      <c r="H131" s="475" t="s">
        <v>875</v>
      </c>
      <c r="I131" s="475" t="s">
        <v>875</v>
      </c>
      <c r="J131" s="475" t="s">
        <v>875</v>
      </c>
      <c r="K131" s="475" t="s">
        <v>875</v>
      </c>
      <c r="L131" s="475" t="s">
        <v>875</v>
      </c>
      <c r="M131" s="475" t="s">
        <v>875</v>
      </c>
      <c r="N131" s="475" t="s">
        <v>875</v>
      </c>
      <c r="O131" s="475" t="s">
        <v>875</v>
      </c>
    </row>
    <row r="132" spans="2:15" ht="15" x14ac:dyDescent="0.25">
      <c r="B132" s="523" t="s">
        <v>909</v>
      </c>
      <c r="C132" s="442"/>
      <c r="D132" s="442"/>
      <c r="E132" s="442"/>
      <c r="F132" s="442"/>
      <c r="G132" s="442"/>
      <c r="H132" s="442"/>
      <c r="I132" s="442"/>
      <c r="J132" s="442"/>
      <c r="K132" s="442"/>
      <c r="L132" s="442"/>
      <c r="M132" s="442"/>
      <c r="N132" s="442"/>
      <c r="O132" s="442"/>
    </row>
    <row r="133" spans="2:15" ht="14.25" x14ac:dyDescent="0.2">
      <c r="B133" s="442" t="s">
        <v>979</v>
      </c>
      <c r="C133" s="442"/>
      <c r="D133" s="442">
        <v>373</v>
      </c>
      <c r="E133" s="442"/>
      <c r="F133" s="442"/>
      <c r="G133" s="442"/>
      <c r="H133" s="442"/>
      <c r="I133" s="442"/>
      <c r="J133" s="442"/>
      <c r="K133" s="442"/>
      <c r="L133" s="442"/>
      <c r="M133" s="442"/>
      <c r="N133" s="442"/>
      <c r="O133" s="442"/>
    </row>
    <row r="134" spans="2:15" ht="14.25" x14ac:dyDescent="0.2">
      <c r="B134" s="442" t="s">
        <v>980</v>
      </c>
      <c r="C134" s="442"/>
      <c r="D134" s="442">
        <v>350</v>
      </c>
      <c r="E134" s="442"/>
      <c r="F134" s="442"/>
      <c r="G134" s="442"/>
      <c r="H134" s="442"/>
      <c r="I134" s="442"/>
      <c r="J134" s="442"/>
      <c r="K134" s="442"/>
      <c r="L134" s="442"/>
      <c r="M134" s="442"/>
      <c r="N134" s="442"/>
      <c r="O134" s="442"/>
    </row>
    <row r="135" spans="2:15" ht="14.25" x14ac:dyDescent="0.2">
      <c r="B135" s="442" t="s">
        <v>981</v>
      </c>
      <c r="C135" s="442"/>
      <c r="D135" s="442">
        <v>208</v>
      </c>
      <c r="E135" s="442"/>
      <c r="F135" s="442"/>
      <c r="G135" s="442"/>
      <c r="H135" s="442"/>
      <c r="I135" s="442"/>
      <c r="J135" s="442"/>
      <c r="K135" s="442"/>
      <c r="L135" s="442"/>
      <c r="M135" s="442"/>
      <c r="N135" s="442"/>
      <c r="O135" s="442"/>
    </row>
    <row r="136" spans="2:15" ht="14.25" x14ac:dyDescent="0.2">
      <c r="B136" s="442" t="s">
        <v>982</v>
      </c>
      <c r="C136" s="442"/>
      <c r="D136" s="442"/>
      <c r="E136" s="442"/>
      <c r="F136" s="442"/>
      <c r="G136" s="442"/>
      <c r="H136" s="442"/>
      <c r="I136" s="442"/>
      <c r="J136" s="442"/>
      <c r="K136" s="442"/>
      <c r="L136" s="442"/>
      <c r="M136" s="442"/>
      <c r="N136" s="442"/>
      <c r="O136" s="442"/>
    </row>
    <row r="137" spans="2:15" ht="14.25" x14ac:dyDescent="0.2">
      <c r="B137" s="442" t="s">
        <v>983</v>
      </c>
      <c r="C137" s="442"/>
      <c r="D137" s="442">
        <v>51016</v>
      </c>
      <c r="E137" s="442"/>
      <c r="F137" s="442"/>
      <c r="G137" s="442"/>
      <c r="H137" s="442"/>
      <c r="I137" s="442"/>
      <c r="J137" s="442"/>
      <c r="K137" s="442"/>
      <c r="L137" s="442"/>
      <c r="M137" s="442"/>
      <c r="N137" s="442"/>
      <c r="O137" s="442"/>
    </row>
    <row r="138" spans="2:15" ht="14.25" x14ac:dyDescent="0.2">
      <c r="B138" s="442" t="s">
        <v>984</v>
      </c>
      <c r="C138" s="552"/>
      <c r="D138" s="552">
        <f>1+277</f>
        <v>278</v>
      </c>
      <c r="E138" s="442"/>
      <c r="F138" s="442"/>
      <c r="G138" s="442"/>
      <c r="H138" s="442"/>
      <c r="I138" s="442"/>
      <c r="J138" s="442"/>
      <c r="K138" s="442"/>
      <c r="L138" s="442"/>
      <c r="M138" s="442"/>
      <c r="N138" s="442"/>
      <c r="O138" s="442"/>
    </row>
    <row r="139" spans="2:15" ht="15" x14ac:dyDescent="0.25">
      <c r="B139" s="523" t="s">
        <v>972</v>
      </c>
      <c r="C139" s="442"/>
      <c r="D139" s="442"/>
      <c r="E139" s="442"/>
      <c r="F139" s="442"/>
      <c r="G139" s="442"/>
      <c r="H139" s="442"/>
      <c r="I139" s="442"/>
      <c r="J139" s="442"/>
      <c r="K139" s="442"/>
      <c r="L139" s="442"/>
      <c r="M139" s="442"/>
      <c r="N139" s="442"/>
      <c r="O139" s="442"/>
    </row>
    <row r="140" spans="2:15" ht="14.25" x14ac:dyDescent="0.2">
      <c r="B140" s="442" t="s">
        <v>979</v>
      </c>
      <c r="C140" s="442"/>
      <c r="D140" s="442"/>
      <c r="E140" s="442"/>
      <c r="F140" s="442"/>
      <c r="G140" s="442"/>
      <c r="H140" s="442"/>
      <c r="I140" s="442"/>
      <c r="J140" s="442"/>
      <c r="K140" s="442"/>
      <c r="L140" s="442"/>
      <c r="M140" s="442"/>
      <c r="N140" s="442"/>
      <c r="O140" s="442"/>
    </row>
    <row r="141" spans="2:15" ht="14.25" x14ac:dyDescent="0.2">
      <c r="B141" s="442" t="s">
        <v>980</v>
      </c>
      <c r="C141" s="442"/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</row>
    <row r="142" spans="2:15" ht="14.25" x14ac:dyDescent="0.2">
      <c r="B142" s="442" t="s">
        <v>981</v>
      </c>
      <c r="C142" s="442"/>
      <c r="D142" s="442"/>
      <c r="E142" s="442"/>
      <c r="F142" s="442"/>
      <c r="G142" s="442"/>
      <c r="H142" s="442"/>
      <c r="I142" s="442"/>
      <c r="J142" s="442"/>
      <c r="K142" s="442"/>
      <c r="L142" s="442"/>
      <c r="M142" s="442"/>
      <c r="N142" s="442"/>
      <c r="O142" s="442"/>
    </row>
    <row r="143" spans="2:15" ht="14.25" x14ac:dyDescent="0.2">
      <c r="B143" s="442" t="s">
        <v>982</v>
      </c>
      <c r="C143" s="442"/>
      <c r="D143" s="442"/>
      <c r="E143" s="442"/>
      <c r="F143" s="442"/>
      <c r="G143" s="442"/>
      <c r="H143" s="442"/>
      <c r="I143" s="442"/>
      <c r="J143" s="442"/>
      <c r="K143" s="442"/>
      <c r="L143" s="442"/>
      <c r="M143" s="442"/>
      <c r="N143" s="442"/>
      <c r="O143" s="442"/>
    </row>
    <row r="144" spans="2:15" ht="14.25" x14ac:dyDescent="0.2">
      <c r="B144" s="442" t="s">
        <v>983</v>
      </c>
      <c r="C144" s="442"/>
      <c r="D144" s="442"/>
      <c r="E144" s="442"/>
      <c r="F144" s="442"/>
      <c r="G144" s="442"/>
      <c r="H144" s="442"/>
      <c r="I144" s="442"/>
      <c r="J144" s="442"/>
      <c r="K144" s="442"/>
      <c r="L144" s="442"/>
      <c r="M144" s="442"/>
      <c r="N144" s="442"/>
      <c r="O144" s="442"/>
    </row>
    <row r="145" spans="2:15" ht="14.25" x14ac:dyDescent="0.2">
      <c r="B145" s="442" t="s">
        <v>984</v>
      </c>
      <c r="C145" s="442"/>
      <c r="D145" s="442"/>
      <c r="E145" s="442"/>
      <c r="F145" s="442"/>
      <c r="G145" s="442"/>
      <c r="H145" s="442"/>
      <c r="I145" s="442"/>
      <c r="J145" s="442"/>
      <c r="K145" s="442"/>
      <c r="L145" s="442"/>
      <c r="M145" s="442"/>
      <c r="N145" s="442"/>
      <c r="O145" s="442"/>
    </row>
    <row r="146" spans="2:15" ht="15" x14ac:dyDescent="0.25">
      <c r="B146" s="523" t="s">
        <v>985</v>
      </c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</row>
    <row r="147" spans="2:15" ht="14.25" x14ac:dyDescent="0.2">
      <c r="B147" s="442" t="s">
        <v>979</v>
      </c>
      <c r="C147" s="442"/>
      <c r="D147" s="442">
        <v>5379</v>
      </c>
      <c r="E147" s="442"/>
      <c r="F147" s="442"/>
      <c r="G147" s="442"/>
      <c r="H147" s="442"/>
      <c r="I147" s="442"/>
      <c r="J147" s="442"/>
      <c r="K147" s="442"/>
      <c r="L147" s="442"/>
      <c r="M147" s="442"/>
      <c r="N147" s="442"/>
      <c r="O147" s="442"/>
    </row>
    <row r="148" spans="2:15" ht="14.25" x14ac:dyDescent="0.2">
      <c r="B148" s="442" t="s">
        <v>980</v>
      </c>
      <c r="C148" s="442"/>
      <c r="D148" s="442">
        <v>2622</v>
      </c>
      <c r="E148" s="442"/>
      <c r="F148" s="442"/>
      <c r="G148" s="442"/>
      <c r="H148" s="442"/>
      <c r="I148" s="442"/>
      <c r="J148" s="442"/>
      <c r="K148" s="442"/>
      <c r="L148" s="442"/>
      <c r="M148" s="442"/>
      <c r="N148" s="442"/>
      <c r="O148" s="442"/>
    </row>
    <row r="149" spans="2:15" ht="14.25" x14ac:dyDescent="0.2">
      <c r="B149" s="442" t="s">
        <v>981</v>
      </c>
      <c r="C149" s="442"/>
      <c r="D149" s="442">
        <v>2229</v>
      </c>
      <c r="E149" s="442"/>
      <c r="F149" s="442"/>
      <c r="G149" s="442"/>
      <c r="H149" s="442"/>
      <c r="I149" s="442"/>
      <c r="J149" s="442"/>
      <c r="K149" s="442"/>
      <c r="L149" s="442"/>
      <c r="M149" s="442"/>
      <c r="N149" s="442"/>
      <c r="O149" s="442"/>
    </row>
    <row r="150" spans="2:15" ht="14.25" x14ac:dyDescent="0.2">
      <c r="B150" s="442" t="s">
        <v>982</v>
      </c>
      <c r="C150" s="442"/>
      <c r="D150" s="442"/>
      <c r="E150" s="442"/>
      <c r="F150" s="442"/>
      <c r="G150" s="442"/>
      <c r="H150" s="442"/>
      <c r="I150" s="442"/>
      <c r="J150" s="442"/>
      <c r="K150" s="442"/>
      <c r="L150" s="442"/>
      <c r="M150" s="442"/>
      <c r="N150" s="442"/>
      <c r="O150" s="442"/>
    </row>
    <row r="151" spans="2:15" ht="14.25" x14ac:dyDescent="0.2">
      <c r="B151" s="442" t="s">
        <v>983</v>
      </c>
      <c r="C151" s="442"/>
      <c r="D151" s="442">
        <v>324724</v>
      </c>
      <c r="E151" s="442"/>
      <c r="F151" s="442"/>
      <c r="G151" s="442"/>
      <c r="H151" s="442"/>
      <c r="I151" s="442"/>
      <c r="J151" s="442"/>
      <c r="K151" s="442"/>
      <c r="L151" s="442"/>
      <c r="M151" s="442"/>
      <c r="N151" s="442"/>
      <c r="O151" s="442"/>
    </row>
    <row r="152" spans="2:15" ht="14.25" x14ac:dyDescent="0.2">
      <c r="B152" s="442" t="s">
        <v>984</v>
      </c>
      <c r="C152" s="552"/>
      <c r="D152" s="552">
        <f>3522+605+281</f>
        <v>4408</v>
      </c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</row>
    <row r="153" spans="2:15" ht="15" x14ac:dyDescent="0.25">
      <c r="B153" s="523" t="s">
        <v>974</v>
      </c>
      <c r="C153" s="442"/>
      <c r="D153" s="442"/>
      <c r="E153" s="442"/>
      <c r="F153" s="442"/>
      <c r="G153" s="442"/>
      <c r="H153" s="442"/>
      <c r="I153" s="442"/>
      <c r="J153" s="442"/>
      <c r="K153" s="442"/>
      <c r="L153" s="442"/>
      <c r="M153" s="442"/>
      <c r="N153" s="442"/>
      <c r="O153" s="442"/>
    </row>
    <row r="154" spans="2:15" ht="14.25" x14ac:dyDescent="0.2">
      <c r="B154" s="442" t="s">
        <v>979</v>
      </c>
      <c r="C154" s="442"/>
      <c r="D154" s="442">
        <v>511</v>
      </c>
      <c r="E154" s="442"/>
      <c r="F154" s="442"/>
      <c r="G154" s="442"/>
      <c r="H154" s="442"/>
      <c r="I154" s="442"/>
      <c r="J154" s="442"/>
      <c r="K154" s="442"/>
      <c r="L154" s="442"/>
      <c r="M154" s="442"/>
      <c r="N154" s="442"/>
      <c r="O154" s="442"/>
    </row>
    <row r="155" spans="2:15" ht="14.25" x14ac:dyDescent="0.2">
      <c r="B155" s="442" t="s">
        <v>980</v>
      </c>
      <c r="C155" s="442"/>
      <c r="D155" s="442">
        <v>77</v>
      </c>
      <c r="E155" s="442"/>
      <c r="F155" s="442"/>
      <c r="G155" s="442"/>
      <c r="H155" s="442"/>
      <c r="I155" s="442"/>
      <c r="J155" s="442"/>
      <c r="K155" s="442"/>
      <c r="L155" s="442"/>
      <c r="M155" s="442"/>
      <c r="N155" s="442"/>
      <c r="O155" s="442"/>
    </row>
    <row r="156" spans="2:15" ht="14.25" x14ac:dyDescent="0.2">
      <c r="B156" s="442" t="s">
        <v>981</v>
      </c>
      <c r="C156" s="442"/>
      <c r="D156" s="442">
        <v>65</v>
      </c>
      <c r="E156" s="442"/>
      <c r="F156" s="442"/>
      <c r="G156" s="442"/>
      <c r="H156" s="442"/>
      <c r="I156" s="442"/>
      <c r="J156" s="442"/>
      <c r="K156" s="442"/>
      <c r="L156" s="442"/>
      <c r="M156" s="442"/>
      <c r="N156" s="442"/>
      <c r="O156" s="442"/>
    </row>
    <row r="157" spans="2:15" ht="14.25" x14ac:dyDescent="0.2">
      <c r="B157" s="442" t="s">
        <v>982</v>
      </c>
      <c r="C157" s="442"/>
      <c r="D157" s="442"/>
      <c r="E157" s="442"/>
      <c r="F157" s="442"/>
      <c r="G157" s="442"/>
      <c r="H157" s="442"/>
      <c r="I157" s="442"/>
      <c r="J157" s="442"/>
      <c r="K157" s="442"/>
      <c r="L157" s="442"/>
      <c r="M157" s="442"/>
      <c r="N157" s="442"/>
      <c r="O157" s="442"/>
    </row>
    <row r="158" spans="2:15" ht="14.25" x14ac:dyDescent="0.2">
      <c r="B158" s="442" t="s">
        <v>983</v>
      </c>
      <c r="C158" s="442"/>
      <c r="D158" s="442">
        <v>38284</v>
      </c>
      <c r="E158" s="442"/>
      <c r="F158" s="442"/>
      <c r="G158" s="442"/>
      <c r="H158" s="442"/>
      <c r="I158" s="442"/>
      <c r="J158" s="442"/>
      <c r="K158" s="442"/>
      <c r="L158" s="442"/>
      <c r="M158" s="442"/>
      <c r="N158" s="442"/>
      <c r="O158" s="442"/>
    </row>
    <row r="159" spans="2:15" ht="14.25" x14ac:dyDescent="0.2">
      <c r="B159" s="442" t="s">
        <v>984</v>
      </c>
      <c r="C159" s="552"/>
      <c r="D159" s="552">
        <v>593</v>
      </c>
      <c r="E159" s="442"/>
      <c r="F159" s="442"/>
      <c r="G159" s="442"/>
      <c r="H159" s="442"/>
      <c r="I159" s="442"/>
      <c r="J159" s="442"/>
      <c r="K159" s="442"/>
      <c r="L159" s="442"/>
      <c r="M159" s="442"/>
      <c r="N159" s="442"/>
      <c r="O159" s="442"/>
    </row>
    <row r="160" spans="2:15" ht="15" x14ac:dyDescent="0.25">
      <c r="B160" s="523" t="s">
        <v>986</v>
      </c>
      <c r="C160" s="442"/>
      <c r="D160" s="442"/>
      <c r="E160" s="442"/>
      <c r="F160" s="442"/>
      <c r="G160" s="442"/>
      <c r="H160" s="442"/>
      <c r="I160" s="442"/>
      <c r="J160" s="442"/>
      <c r="K160" s="442"/>
      <c r="L160" s="442"/>
      <c r="M160" s="442"/>
      <c r="N160" s="442"/>
      <c r="O160" s="442"/>
    </row>
    <row r="161" spans="2:15" ht="14.25" x14ac:dyDescent="0.2">
      <c r="B161" s="442" t="s">
        <v>979</v>
      </c>
      <c r="C161" s="442"/>
      <c r="D161" s="442">
        <f>2256+356</f>
        <v>2612</v>
      </c>
      <c r="E161" s="442"/>
      <c r="F161" s="442"/>
      <c r="G161" s="442"/>
      <c r="H161" s="442"/>
      <c r="I161" s="442"/>
      <c r="J161" s="442"/>
      <c r="K161" s="442"/>
      <c r="L161" s="442"/>
      <c r="M161" s="442"/>
      <c r="N161" s="442"/>
      <c r="O161" s="442"/>
    </row>
    <row r="162" spans="2:15" ht="14.25" x14ac:dyDescent="0.2">
      <c r="B162" s="442" t="s">
        <v>980</v>
      </c>
      <c r="C162" s="442"/>
      <c r="D162" s="442">
        <f>209+617</f>
        <v>826</v>
      </c>
      <c r="E162" s="442"/>
      <c r="F162" s="442"/>
      <c r="G162" s="442"/>
      <c r="H162" s="442"/>
      <c r="I162" s="442"/>
      <c r="J162" s="442"/>
      <c r="K162" s="442"/>
      <c r="L162" s="442"/>
      <c r="M162" s="442"/>
      <c r="N162" s="442"/>
      <c r="O162" s="442"/>
    </row>
    <row r="163" spans="2:15" ht="14.25" x14ac:dyDescent="0.2">
      <c r="B163" s="442" t="s">
        <v>981</v>
      </c>
      <c r="C163" s="442"/>
      <c r="D163" s="442">
        <f>82+617</f>
        <v>699</v>
      </c>
      <c r="E163" s="442"/>
      <c r="F163" s="442"/>
      <c r="G163" s="442"/>
      <c r="H163" s="442"/>
      <c r="I163" s="442"/>
      <c r="J163" s="442"/>
      <c r="K163" s="442"/>
      <c r="L163" s="442"/>
      <c r="M163" s="442"/>
      <c r="N163" s="442"/>
      <c r="O163" s="442"/>
    </row>
    <row r="164" spans="2:15" ht="14.25" x14ac:dyDescent="0.2">
      <c r="B164" s="442" t="s">
        <v>982</v>
      </c>
      <c r="C164" s="442"/>
      <c r="D164" s="442"/>
      <c r="E164" s="442"/>
      <c r="F164" s="442"/>
      <c r="G164" s="442"/>
      <c r="H164" s="442"/>
      <c r="I164" s="442"/>
      <c r="J164" s="442"/>
      <c r="K164" s="442"/>
      <c r="L164" s="442"/>
      <c r="M164" s="442"/>
      <c r="N164" s="442"/>
      <c r="O164" s="442"/>
    </row>
    <row r="165" spans="2:15" ht="14.25" x14ac:dyDescent="0.2">
      <c r="B165" s="442" t="s">
        <v>983</v>
      </c>
      <c r="C165" s="442"/>
      <c r="D165" s="442">
        <f>4291+5887</f>
        <v>10178</v>
      </c>
      <c r="E165" s="442"/>
      <c r="F165" s="442"/>
      <c r="G165" s="442"/>
      <c r="H165" s="442"/>
      <c r="I165" s="442"/>
      <c r="J165" s="442"/>
      <c r="K165" s="442"/>
      <c r="L165" s="442"/>
      <c r="M165" s="442"/>
      <c r="N165" s="442"/>
      <c r="O165" s="442"/>
    </row>
    <row r="166" spans="2:15" ht="14.25" x14ac:dyDescent="0.2">
      <c r="B166" s="442" t="s">
        <v>984</v>
      </c>
      <c r="C166" s="553"/>
      <c r="D166" s="552">
        <f>112+283</f>
        <v>395</v>
      </c>
      <c r="E166" s="442"/>
      <c r="F166" s="442"/>
      <c r="G166" s="442"/>
      <c r="H166" s="442"/>
      <c r="I166" s="442"/>
      <c r="J166" s="442"/>
      <c r="K166" s="442"/>
      <c r="L166" s="442"/>
      <c r="M166" s="442"/>
      <c r="N166" s="442"/>
      <c r="O166" s="442"/>
    </row>
    <row r="167" spans="2:15" ht="15" x14ac:dyDescent="0.25">
      <c r="B167" s="523" t="s">
        <v>987</v>
      </c>
      <c r="C167" s="442"/>
      <c r="D167" s="442"/>
      <c r="E167" s="442"/>
      <c r="F167" s="442"/>
      <c r="G167" s="442"/>
      <c r="H167" s="442"/>
      <c r="I167" s="442"/>
      <c r="J167" s="442"/>
      <c r="K167" s="442"/>
      <c r="L167" s="442"/>
      <c r="M167" s="442"/>
      <c r="N167" s="442"/>
      <c r="O167" s="442"/>
    </row>
    <row r="168" spans="2:15" ht="14.25" x14ac:dyDescent="0.2">
      <c r="B168" s="442" t="s">
        <v>979</v>
      </c>
      <c r="C168" s="442"/>
      <c r="D168" s="442"/>
      <c r="E168" s="442"/>
      <c r="F168" s="442"/>
      <c r="G168" s="442"/>
      <c r="H168" s="442"/>
      <c r="I168" s="442"/>
      <c r="J168" s="442"/>
      <c r="K168" s="442"/>
      <c r="L168" s="442"/>
      <c r="M168" s="442"/>
      <c r="N168" s="442"/>
      <c r="O168" s="442"/>
    </row>
    <row r="169" spans="2:15" ht="14.25" x14ac:dyDescent="0.2">
      <c r="B169" s="442" t="s">
        <v>980</v>
      </c>
      <c r="C169" s="442"/>
      <c r="D169" s="442"/>
      <c r="E169" s="442"/>
      <c r="F169" s="442"/>
      <c r="G169" s="442"/>
      <c r="H169" s="442"/>
      <c r="I169" s="442"/>
      <c r="J169" s="442"/>
      <c r="K169" s="442"/>
      <c r="L169" s="442"/>
      <c r="M169" s="442"/>
      <c r="N169" s="442"/>
      <c r="O169" s="442"/>
    </row>
    <row r="170" spans="2:15" ht="14.25" x14ac:dyDescent="0.2">
      <c r="B170" s="442" t="s">
        <v>981</v>
      </c>
      <c r="C170" s="442"/>
      <c r="D170" s="442"/>
      <c r="E170" s="442"/>
      <c r="F170" s="442"/>
      <c r="G170" s="442"/>
      <c r="H170" s="442"/>
      <c r="I170" s="442"/>
      <c r="J170" s="442"/>
      <c r="K170" s="442"/>
      <c r="L170" s="442"/>
      <c r="M170" s="442"/>
      <c r="N170" s="442"/>
      <c r="O170" s="442"/>
    </row>
    <row r="171" spans="2:15" ht="14.25" x14ac:dyDescent="0.2">
      <c r="B171" s="442" t="s">
        <v>982</v>
      </c>
      <c r="C171" s="442"/>
      <c r="D171" s="442"/>
      <c r="E171" s="442"/>
      <c r="F171" s="442"/>
      <c r="G171" s="442"/>
      <c r="H171" s="442"/>
      <c r="I171" s="442"/>
      <c r="J171" s="442"/>
      <c r="K171" s="442"/>
      <c r="L171" s="442"/>
      <c r="M171" s="442"/>
      <c r="N171" s="442"/>
      <c r="O171" s="442"/>
    </row>
    <row r="172" spans="2:15" ht="14.25" x14ac:dyDescent="0.2">
      <c r="B172" s="442" t="s">
        <v>983</v>
      </c>
      <c r="C172" s="442"/>
      <c r="D172" s="442"/>
      <c r="E172" s="442"/>
      <c r="F172" s="442"/>
      <c r="G172" s="442"/>
      <c r="H172" s="442"/>
      <c r="I172" s="442"/>
      <c r="J172" s="442"/>
      <c r="K172" s="442"/>
      <c r="L172" s="442"/>
      <c r="M172" s="442"/>
      <c r="N172" s="442"/>
      <c r="O172" s="442"/>
    </row>
    <row r="173" spans="2:15" ht="14.25" x14ac:dyDescent="0.2">
      <c r="B173" s="442" t="s">
        <v>984</v>
      </c>
      <c r="C173" s="442"/>
      <c r="D173" s="442"/>
      <c r="E173" s="442"/>
      <c r="F173" s="442"/>
      <c r="G173" s="442"/>
      <c r="H173" s="442"/>
      <c r="I173" s="442"/>
      <c r="J173" s="442"/>
      <c r="K173" s="442"/>
      <c r="L173" s="442"/>
      <c r="M173" s="442"/>
      <c r="N173" s="442"/>
      <c r="O173" s="442"/>
    </row>
    <row r="174" spans="2:15" ht="15" x14ac:dyDescent="0.25">
      <c r="B174" s="523" t="s">
        <v>988</v>
      </c>
      <c r="C174" s="442"/>
      <c r="D174" s="442"/>
    </row>
    <row r="175" spans="2:15" ht="15" x14ac:dyDescent="0.25">
      <c r="B175" s="524" t="s">
        <v>979</v>
      </c>
      <c r="C175" s="525">
        <f t="shared" ref="C175:D177" si="59">C168+C161+C154+C147+C140+C133</f>
        <v>0</v>
      </c>
      <c r="D175" s="525">
        <f t="shared" si="59"/>
        <v>8875</v>
      </c>
      <c r="E175" s="526">
        <f>D175</f>
        <v>8875</v>
      </c>
      <c r="F175" s="526">
        <f t="shared" ref="F175:O175" si="60">IF((E109-E128)&gt;E175,0,IF(E109&gt;E128,E175-(E109-E128),E175-E109+E128))</f>
        <v>8918.496000000001</v>
      </c>
      <c r="G175" s="526">
        <f t="shared" si="60"/>
        <v>8504.9420000000009</v>
      </c>
      <c r="H175" s="526">
        <f t="shared" si="60"/>
        <v>3990.5442500000008</v>
      </c>
      <c r="I175" s="526">
        <f t="shared" si="60"/>
        <v>3923.0900937499991</v>
      </c>
      <c r="J175" s="526">
        <f t="shared" si="60"/>
        <v>3873.3514835937476</v>
      </c>
      <c r="K175" s="526">
        <f t="shared" si="60"/>
        <v>3773.3756081835891</v>
      </c>
      <c r="L175" s="526">
        <f t="shared" si="60"/>
        <v>3748.7563358881762</v>
      </c>
      <c r="M175" s="526">
        <f t="shared" si="60"/>
        <v>3720.4195817853761</v>
      </c>
      <c r="N175" s="526">
        <f t="shared" si="60"/>
        <v>3656.3902488300046</v>
      </c>
      <c r="O175" s="526">
        <f t="shared" si="60"/>
        <v>3624.7947193507498</v>
      </c>
    </row>
    <row r="176" spans="2:15" ht="15" x14ac:dyDescent="0.25">
      <c r="B176" s="524" t="s">
        <v>980</v>
      </c>
      <c r="C176" s="525">
        <f t="shared" si="59"/>
        <v>0</v>
      </c>
      <c r="D176" s="525">
        <f t="shared" si="59"/>
        <v>3875</v>
      </c>
      <c r="E176" s="743">
        <f>D176*(1+'LTFP Assumptions'!B$130)</f>
        <v>3875</v>
      </c>
      <c r="F176" s="743">
        <f>E176*(1+'LTFP Assumptions'!$B$30)</f>
        <v>3952.5</v>
      </c>
      <c r="G176" s="743">
        <f>F176*(1+'LTFP Assumptions'!$B$30)</f>
        <v>4031.55</v>
      </c>
      <c r="H176" s="743">
        <f>G176*(1+'LTFP Assumptions'!$B$30)</f>
        <v>4112.1810000000005</v>
      </c>
      <c r="I176" s="743">
        <f>H176*(1+'LTFP Assumptions'!$H$13)</f>
        <v>4194.4246200000007</v>
      </c>
      <c r="J176" s="743">
        <f>I176*(1+'LTFP Assumptions'!$H$13)</f>
        <v>4278.313112400001</v>
      </c>
      <c r="K176" s="743">
        <f>J176*(1+'LTFP Assumptions'!$H$13)</f>
        <v>4363.8793746480014</v>
      </c>
      <c r="L176" s="743">
        <f>K176*(1+'LTFP Assumptions'!$H$13)</f>
        <v>4451.1569621409617</v>
      </c>
      <c r="M176" s="743">
        <f>L176*(1+'LTFP Assumptions'!$H$13)</f>
        <v>4540.1801013837812</v>
      </c>
      <c r="N176" s="743">
        <f>M176*(1+'LTFP Assumptions'!$H$13)</f>
        <v>4630.9837034114571</v>
      </c>
      <c r="O176" s="743">
        <f>N176*(1+'LTFP Assumptions'!$H$13)</f>
        <v>4723.6033774796861</v>
      </c>
    </row>
    <row r="177" spans="2:16" ht="15" x14ac:dyDescent="0.25">
      <c r="B177" s="524" t="s">
        <v>981</v>
      </c>
      <c r="C177" s="525">
        <f t="shared" si="59"/>
        <v>0</v>
      </c>
      <c r="D177" s="525">
        <f t="shared" si="59"/>
        <v>3201</v>
      </c>
      <c r="E177" s="743">
        <f>E176</f>
        <v>3875</v>
      </c>
      <c r="F177" s="743">
        <f>E177*(1+'LTFP Assumptions'!$B$30)</f>
        <v>3952.5</v>
      </c>
      <c r="G177" s="743">
        <f>F177*(1+'LTFP Assumptions'!$B$30)</f>
        <v>4031.55</v>
      </c>
      <c r="H177" s="743">
        <f>G177*(1+'LTFP Assumptions'!$B$30)</f>
        <v>4112.1810000000005</v>
      </c>
      <c r="I177" s="743">
        <f>H177*(1+'LTFP Assumptions'!$H$13)</f>
        <v>4194.4246200000007</v>
      </c>
      <c r="J177" s="743">
        <f>I177*(1+'LTFP Assumptions'!$H$13)</f>
        <v>4278.313112400001</v>
      </c>
      <c r="K177" s="743">
        <f>J177*(1+'LTFP Assumptions'!$H$13)</f>
        <v>4363.8793746480014</v>
      </c>
      <c r="L177" s="743">
        <f>K177*(1+'LTFP Assumptions'!$H$13)</f>
        <v>4451.1569621409617</v>
      </c>
      <c r="M177" s="743">
        <f>L177*(1+'LTFP Assumptions'!$H$13)</f>
        <v>4540.1801013837812</v>
      </c>
      <c r="N177" s="743">
        <f>M177*(1+'LTFP Assumptions'!$H$13)</f>
        <v>4630.9837034114571</v>
      </c>
      <c r="O177" s="743">
        <f>N177*(1+'LTFP Assumptions'!$H$13)</f>
        <v>4723.6033774796861</v>
      </c>
      <c r="P177" s="527"/>
    </row>
    <row r="178" spans="2:16" ht="15" x14ac:dyDescent="0.25">
      <c r="B178" s="524" t="s">
        <v>982</v>
      </c>
      <c r="C178" s="526"/>
      <c r="D178" s="526"/>
      <c r="E178" s="526"/>
      <c r="F178" s="526"/>
      <c r="G178" s="526"/>
      <c r="H178" s="526"/>
      <c r="I178" s="526"/>
      <c r="J178" s="526"/>
      <c r="K178" s="526"/>
      <c r="L178" s="526"/>
      <c r="M178" s="526"/>
      <c r="N178" s="526"/>
      <c r="O178" s="526"/>
      <c r="P178" s="526">
        <f t="shared" ref="P178" si="61">(O178*1.02)+O99-O92</f>
        <v>0</v>
      </c>
    </row>
    <row r="179" spans="2:16" ht="15" x14ac:dyDescent="0.25">
      <c r="B179" s="524" t="s">
        <v>983</v>
      </c>
      <c r="C179" s="525">
        <f>C172+C165+C158+C151+C144+C137</f>
        <v>0</v>
      </c>
      <c r="D179" s="525">
        <f>D172+D165+D158+D151+D144+D137</f>
        <v>424202</v>
      </c>
      <c r="E179" s="526">
        <f>D179-D128+D99-D92+D109</f>
        <v>418586</v>
      </c>
      <c r="F179" s="526">
        <f t="shared" ref="F179:O179" si="62">E179-E128+E99-E92+E109</f>
        <v>418542.50400000002</v>
      </c>
      <c r="G179" s="526">
        <f t="shared" si="62"/>
        <v>418956.05800000002</v>
      </c>
      <c r="H179" s="526">
        <f t="shared" si="62"/>
        <v>423470.45575000002</v>
      </c>
      <c r="I179" s="526">
        <f t="shared" si="62"/>
        <v>423537.90990625002</v>
      </c>
      <c r="J179" s="526">
        <f t="shared" si="62"/>
        <v>423587.64851640625</v>
      </c>
      <c r="K179" s="526">
        <f t="shared" si="62"/>
        <v>423687.62439181644</v>
      </c>
      <c r="L179" s="526">
        <f t="shared" si="62"/>
        <v>423712.24366411183</v>
      </c>
      <c r="M179" s="526">
        <f t="shared" si="62"/>
        <v>423740.58041821461</v>
      </c>
      <c r="N179" s="526">
        <f t="shared" si="62"/>
        <v>423804.60975116998</v>
      </c>
      <c r="O179" s="526">
        <f t="shared" si="62"/>
        <v>423836.20528064924</v>
      </c>
    </row>
    <row r="180" spans="2:16" ht="15.75" thickBot="1" x14ac:dyDescent="0.3">
      <c r="B180" s="528" t="s">
        <v>984</v>
      </c>
      <c r="C180" s="529">
        <f t="shared" ref="C180:D180" si="63">C173+C166+C159+C152+C145+C138</f>
        <v>0</v>
      </c>
      <c r="D180" s="529">
        <f t="shared" si="63"/>
        <v>5674</v>
      </c>
      <c r="E180" s="530">
        <f t="shared" ref="E180:N180" si="64">E128</f>
        <v>6905.496000000001</v>
      </c>
      <c r="F180" s="530">
        <f t="shared" si="64"/>
        <v>6136.0370000000003</v>
      </c>
      <c r="G180" s="530">
        <f t="shared" si="64"/>
        <v>6288.4847499999996</v>
      </c>
      <c r="H180" s="530">
        <f t="shared" si="64"/>
        <v>6442.9218437499985</v>
      </c>
      <c r="I180" s="530">
        <f t="shared" si="64"/>
        <v>6604.8493898437482</v>
      </c>
      <c r="J180" s="530">
        <f t="shared" si="64"/>
        <v>6769.9706245898415</v>
      </c>
      <c r="K180" s="530">
        <f t="shared" si="64"/>
        <v>6939.2198902045866</v>
      </c>
      <c r="L180" s="530">
        <f t="shared" si="64"/>
        <v>7112.7003874597003</v>
      </c>
      <c r="M180" s="530">
        <f t="shared" si="64"/>
        <v>7290.5178971461919</v>
      </c>
      <c r="N180" s="530">
        <f t="shared" si="64"/>
        <v>7472.7808445748469</v>
      </c>
      <c r="O180" s="530">
        <f t="shared" ref="O180" si="65">O128</f>
        <v>7659.6003656892171</v>
      </c>
    </row>
    <row r="181" spans="2:16" ht="15.75" thickBot="1" x14ac:dyDescent="0.3">
      <c r="B181" s="531"/>
      <c r="C181" s="532"/>
      <c r="D181" s="532"/>
      <c r="E181" s="532"/>
      <c r="F181" s="532"/>
      <c r="G181" s="532"/>
      <c r="H181" s="532"/>
      <c r="I181" s="532"/>
      <c r="J181" s="532"/>
      <c r="K181" s="532"/>
      <c r="L181" s="532"/>
      <c r="M181" s="532"/>
      <c r="N181" s="532"/>
      <c r="O181" s="532"/>
    </row>
    <row r="182" spans="2:16" ht="15.75" hidden="1" outlineLevel="1" thickBot="1" x14ac:dyDescent="0.3">
      <c r="B182" s="422" t="s">
        <v>404</v>
      </c>
      <c r="C182" s="474">
        <v>2015</v>
      </c>
      <c r="D182" s="474">
        <v>2015</v>
      </c>
      <c r="E182" s="474">
        <v>2015</v>
      </c>
      <c r="F182" s="474">
        <v>2017</v>
      </c>
      <c r="G182" s="474">
        <v>2016</v>
      </c>
      <c r="H182" s="474">
        <v>2019</v>
      </c>
      <c r="I182" s="474">
        <v>2017</v>
      </c>
      <c r="J182" s="474">
        <v>2021</v>
      </c>
      <c r="K182" s="474">
        <v>2018</v>
      </c>
      <c r="L182" s="474">
        <v>2023</v>
      </c>
      <c r="M182" s="474"/>
      <c r="N182" s="474"/>
      <c r="O182" s="474"/>
    </row>
    <row r="183" spans="2:16" ht="15.75" hidden="1" outlineLevel="1" thickBot="1" x14ac:dyDescent="0.3">
      <c r="B183" s="517"/>
      <c r="C183" s="475" t="s">
        <v>875</v>
      </c>
      <c r="D183" s="475" t="s">
        <v>875</v>
      </c>
      <c r="E183" s="475" t="s">
        <v>875</v>
      </c>
      <c r="F183" s="475" t="s">
        <v>875</v>
      </c>
      <c r="G183" s="475" t="s">
        <v>875</v>
      </c>
      <c r="H183" s="475" t="s">
        <v>875</v>
      </c>
      <c r="I183" s="475" t="s">
        <v>875</v>
      </c>
      <c r="J183" s="475" t="s">
        <v>875</v>
      </c>
      <c r="K183" s="475" t="s">
        <v>875</v>
      </c>
      <c r="L183" s="475" t="s">
        <v>875</v>
      </c>
      <c r="M183" s="475"/>
      <c r="N183" s="475"/>
      <c r="O183" s="475"/>
    </row>
    <row r="184" spans="2:16" ht="15" hidden="1" outlineLevel="1" thickBot="1" x14ac:dyDescent="0.25">
      <c r="B184" s="442" t="s">
        <v>989</v>
      </c>
      <c r="C184" s="442"/>
      <c r="D184" s="442"/>
      <c r="E184" s="442"/>
      <c r="F184" s="442"/>
      <c r="G184" s="442"/>
      <c r="H184" s="442"/>
      <c r="I184" s="442"/>
      <c r="J184" s="442"/>
      <c r="K184" s="442"/>
      <c r="L184" s="442"/>
      <c r="M184" s="442"/>
      <c r="N184" s="442"/>
      <c r="O184" s="442"/>
    </row>
    <row r="185" spans="2:16" ht="15" hidden="1" outlineLevel="1" thickBot="1" x14ac:dyDescent="0.25">
      <c r="B185" s="442" t="s">
        <v>990</v>
      </c>
      <c r="C185" s="442"/>
      <c r="D185" s="442"/>
      <c r="E185" s="442"/>
      <c r="F185" s="442"/>
      <c r="G185" s="442"/>
      <c r="H185" s="442"/>
      <c r="I185" s="442"/>
      <c r="J185" s="442"/>
      <c r="K185" s="442"/>
      <c r="L185" s="442"/>
      <c r="M185" s="442"/>
      <c r="N185" s="442"/>
      <c r="O185" s="442"/>
    </row>
    <row r="186" spans="2:16" ht="15" hidden="1" customHeight="1" outlineLevel="1" x14ac:dyDescent="0.2">
      <c r="B186" s="442" t="s">
        <v>991</v>
      </c>
      <c r="C186" s="442"/>
      <c r="D186" s="442"/>
      <c r="E186" s="442"/>
      <c r="F186" s="442"/>
      <c r="G186" s="442"/>
      <c r="H186" s="442"/>
      <c r="I186" s="442"/>
      <c r="J186" s="442"/>
      <c r="K186" s="442"/>
      <c r="L186" s="442"/>
      <c r="M186" s="442"/>
      <c r="N186" s="442"/>
      <c r="O186" s="442"/>
    </row>
    <row r="187" spans="2:16" ht="15" hidden="1" outlineLevel="1" thickBot="1" x14ac:dyDescent="0.25">
      <c r="B187" s="442" t="s">
        <v>992</v>
      </c>
      <c r="C187" s="442"/>
      <c r="D187" s="442"/>
      <c r="E187" s="442"/>
      <c r="F187" s="442"/>
      <c r="G187" s="442"/>
      <c r="H187" s="442"/>
      <c r="I187" s="442"/>
      <c r="J187" s="442"/>
      <c r="K187" s="442"/>
      <c r="L187" s="442"/>
      <c r="M187" s="442"/>
      <c r="N187" s="442"/>
      <c r="O187" s="442"/>
    </row>
    <row r="188" spans="2:16" ht="15" hidden="1" outlineLevel="1" thickBot="1" x14ac:dyDescent="0.25">
      <c r="B188" s="442" t="s">
        <v>993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</row>
    <row r="189" spans="2:16" ht="15" hidden="1" outlineLevel="1" thickBot="1" x14ac:dyDescent="0.25">
      <c r="B189" s="442" t="s">
        <v>994</v>
      </c>
      <c r="C189" s="442"/>
      <c r="D189" s="442"/>
      <c r="E189" s="442"/>
      <c r="F189" s="442"/>
      <c r="G189" s="442"/>
      <c r="H189" s="442"/>
      <c r="I189" s="442"/>
      <c r="J189" s="442"/>
      <c r="K189" s="442"/>
      <c r="L189" s="442"/>
      <c r="M189" s="442"/>
      <c r="N189" s="442"/>
      <c r="O189" s="442"/>
    </row>
    <row r="190" spans="2:16" ht="15" hidden="1" outlineLevel="1" thickBot="1" x14ac:dyDescent="0.25">
      <c r="B190" s="442" t="s">
        <v>995</v>
      </c>
      <c r="C190" s="442"/>
      <c r="D190" s="442"/>
      <c r="E190" s="442"/>
      <c r="F190" s="442"/>
      <c r="G190" s="442"/>
      <c r="H190" s="442"/>
      <c r="I190" s="442"/>
      <c r="J190" s="442"/>
      <c r="K190" s="442"/>
      <c r="L190" s="442"/>
      <c r="M190" s="442"/>
      <c r="N190" s="442"/>
      <c r="O190" s="442"/>
    </row>
    <row r="191" spans="2:16" ht="15" hidden="1" outlineLevel="1" thickBot="1" x14ac:dyDescent="0.25">
      <c r="B191" s="442" t="s">
        <v>996</v>
      </c>
      <c r="C191" s="442"/>
      <c r="D191" s="442"/>
      <c r="E191" s="442"/>
      <c r="F191" s="442"/>
      <c r="G191" s="442"/>
      <c r="H191" s="442"/>
      <c r="I191" s="442"/>
      <c r="J191" s="442"/>
      <c r="K191" s="442"/>
      <c r="L191" s="442"/>
      <c r="M191" s="442"/>
      <c r="N191" s="442"/>
      <c r="O191" s="442"/>
    </row>
    <row r="192" spans="2:16" ht="15" hidden="1" outlineLevel="1" thickBot="1" x14ac:dyDescent="0.25">
      <c r="B192" s="428"/>
      <c r="C192" s="442"/>
      <c r="D192" s="442"/>
      <c r="E192" s="442"/>
      <c r="F192" s="442"/>
      <c r="G192" s="442"/>
      <c r="H192" s="442"/>
      <c r="I192" s="442"/>
      <c r="J192" s="442"/>
      <c r="K192" s="442"/>
      <c r="L192" s="442"/>
      <c r="M192" s="442"/>
      <c r="N192" s="442"/>
      <c r="O192" s="442"/>
    </row>
    <row r="193" spans="2:29" ht="15" hidden="1" customHeight="1" outlineLevel="1" x14ac:dyDescent="0.2">
      <c r="B193" s="442" t="s">
        <v>472</v>
      </c>
      <c r="C193" s="442"/>
      <c r="D193" s="442"/>
      <c r="E193" s="442"/>
      <c r="F193" s="442"/>
      <c r="G193" s="442"/>
      <c r="H193" s="442"/>
      <c r="I193" s="442"/>
      <c r="J193" s="442"/>
      <c r="K193" s="442"/>
      <c r="L193" s="442"/>
      <c r="M193" s="442"/>
      <c r="N193" s="442"/>
      <c r="O193" s="442"/>
    </row>
    <row r="194" spans="2:29" ht="15" hidden="1" outlineLevel="1" thickBot="1" x14ac:dyDescent="0.25">
      <c r="B194" s="442" t="s">
        <v>990</v>
      </c>
      <c r="C194" s="442"/>
      <c r="D194" s="442"/>
      <c r="E194" s="442"/>
      <c r="F194" s="442"/>
      <c r="G194" s="442"/>
      <c r="H194" s="442"/>
      <c r="I194" s="442"/>
      <c r="J194" s="442"/>
      <c r="K194" s="442"/>
      <c r="L194" s="442"/>
      <c r="M194" s="442"/>
      <c r="N194" s="442"/>
      <c r="O194" s="442"/>
    </row>
    <row r="195" spans="2:29" ht="15" hidden="1" outlineLevel="1" thickBot="1" x14ac:dyDescent="0.25">
      <c r="B195" s="442" t="s">
        <v>991</v>
      </c>
      <c r="C195" s="442"/>
      <c r="D195" s="442"/>
      <c r="E195" s="442"/>
      <c r="F195" s="442"/>
      <c r="G195" s="442"/>
      <c r="H195" s="442"/>
      <c r="I195" s="442"/>
      <c r="J195" s="442"/>
      <c r="K195" s="442"/>
      <c r="L195" s="442"/>
      <c r="M195" s="442"/>
      <c r="N195" s="442"/>
      <c r="O195" s="442"/>
    </row>
    <row r="196" spans="2:29" ht="15" hidden="1" outlineLevel="1" thickBot="1" x14ac:dyDescent="0.25">
      <c r="B196" s="442" t="s">
        <v>992</v>
      </c>
      <c r="C196" s="442"/>
      <c r="D196" s="442"/>
      <c r="E196" s="442"/>
      <c r="F196" s="442"/>
      <c r="G196" s="442"/>
      <c r="H196" s="442"/>
      <c r="I196" s="442"/>
      <c r="J196" s="442"/>
      <c r="K196" s="442"/>
      <c r="L196" s="442"/>
      <c r="M196" s="442"/>
      <c r="N196" s="442"/>
      <c r="O196" s="442"/>
    </row>
    <row r="197" spans="2:29" ht="15" hidden="1" outlineLevel="1" thickBot="1" x14ac:dyDescent="0.25">
      <c r="B197" s="442" t="s">
        <v>993</v>
      </c>
      <c r="C197" s="442"/>
      <c r="D197" s="442"/>
      <c r="E197" s="442"/>
      <c r="F197" s="442"/>
      <c r="G197" s="442"/>
      <c r="H197" s="442"/>
      <c r="I197" s="442"/>
      <c r="J197" s="442"/>
      <c r="K197" s="442"/>
      <c r="L197" s="442"/>
      <c r="M197" s="442"/>
      <c r="N197" s="442"/>
      <c r="O197" s="442"/>
    </row>
    <row r="198" spans="2:29" ht="15" hidden="1" outlineLevel="1" thickBot="1" x14ac:dyDescent="0.25">
      <c r="B198" s="442" t="s">
        <v>994</v>
      </c>
      <c r="C198" s="442"/>
      <c r="D198" s="442"/>
      <c r="E198" s="442"/>
      <c r="F198" s="442"/>
      <c r="G198" s="442"/>
      <c r="H198" s="442"/>
      <c r="I198" s="442"/>
      <c r="J198" s="442"/>
      <c r="K198" s="442"/>
      <c r="L198" s="442"/>
      <c r="M198" s="442"/>
      <c r="N198" s="442"/>
      <c r="O198" s="442"/>
    </row>
    <row r="199" spans="2:29" ht="15" hidden="1" outlineLevel="1" thickBot="1" x14ac:dyDescent="0.25">
      <c r="B199" s="442" t="s">
        <v>995</v>
      </c>
      <c r="C199" s="442"/>
      <c r="D199" s="442"/>
      <c r="E199" s="442"/>
      <c r="F199" s="442"/>
      <c r="G199" s="442"/>
      <c r="H199" s="442"/>
      <c r="I199" s="442"/>
      <c r="J199" s="442"/>
      <c r="K199" s="442"/>
      <c r="L199" s="442"/>
      <c r="M199" s="442"/>
      <c r="N199" s="442"/>
      <c r="O199" s="442"/>
    </row>
    <row r="200" spans="2:29" ht="15" hidden="1" outlineLevel="1" thickBot="1" x14ac:dyDescent="0.25">
      <c r="B200" s="442" t="s">
        <v>996</v>
      </c>
      <c r="C200" s="442"/>
      <c r="D200" s="442"/>
      <c r="E200" s="442"/>
      <c r="F200" s="442"/>
      <c r="G200" s="442"/>
      <c r="H200" s="442"/>
      <c r="I200" s="442"/>
      <c r="J200" s="442"/>
      <c r="K200" s="442"/>
      <c r="L200" s="442"/>
      <c r="M200" s="442"/>
      <c r="N200" s="442"/>
      <c r="O200" s="442"/>
    </row>
    <row r="201" spans="2:29" ht="15" hidden="1" outlineLevel="1" thickBot="1" x14ac:dyDescent="0.25">
      <c r="B201" s="524"/>
      <c r="C201" s="442"/>
      <c r="D201" s="442"/>
      <c r="E201" s="442"/>
      <c r="F201" s="442"/>
      <c r="G201" s="442"/>
      <c r="H201" s="442"/>
      <c r="I201" s="442"/>
      <c r="J201" s="442"/>
      <c r="K201" s="442"/>
      <c r="L201" s="442"/>
      <c r="M201" s="442"/>
      <c r="N201" s="442"/>
      <c r="O201" s="442"/>
    </row>
    <row r="202" spans="2:29" ht="15" hidden="1" outlineLevel="1" thickBot="1" x14ac:dyDescent="0.25">
      <c r="B202" s="510"/>
      <c r="C202" s="510"/>
      <c r="D202" s="510"/>
      <c r="E202" s="510"/>
      <c r="F202" s="510"/>
      <c r="G202" s="510"/>
      <c r="H202" s="510"/>
      <c r="I202" s="510"/>
      <c r="J202" s="510"/>
      <c r="K202" s="510"/>
      <c r="L202" s="510"/>
      <c r="M202" s="510"/>
      <c r="N202" s="510"/>
      <c r="O202" s="510"/>
    </row>
    <row r="203" spans="2:29" ht="15.75" hidden="1" outlineLevel="1" thickBot="1" x14ac:dyDescent="0.3">
      <c r="B203" s="533" t="s">
        <v>997</v>
      </c>
      <c r="C203" s="534"/>
      <c r="D203" s="534"/>
      <c r="E203" s="534"/>
      <c r="F203" s="534"/>
      <c r="G203" s="534"/>
      <c r="H203" s="534"/>
      <c r="I203" s="534"/>
      <c r="J203" s="534"/>
      <c r="K203" s="534"/>
      <c r="L203" s="534"/>
      <c r="M203" s="534"/>
      <c r="N203" s="534"/>
      <c r="O203" s="534"/>
    </row>
    <row r="204" spans="2:29" ht="15" collapsed="1" x14ac:dyDescent="0.25">
      <c r="B204" s="422" t="s">
        <v>873</v>
      </c>
      <c r="C204" s="423">
        <f t="shared" ref="C204" si="66">C5</f>
        <v>2015</v>
      </c>
      <c r="D204" s="423">
        <f t="shared" ref="D204:N204" si="67">D5</f>
        <v>2016</v>
      </c>
      <c r="E204" s="423">
        <f t="shared" si="67"/>
        <v>2017</v>
      </c>
      <c r="F204" s="423">
        <f t="shared" si="67"/>
        <v>2018</v>
      </c>
      <c r="G204" s="423">
        <f t="shared" si="67"/>
        <v>2019</v>
      </c>
      <c r="H204" s="423">
        <f t="shared" si="67"/>
        <v>2020</v>
      </c>
      <c r="I204" s="423">
        <f t="shared" si="67"/>
        <v>2021</v>
      </c>
      <c r="J204" s="423">
        <f t="shared" si="67"/>
        <v>2022</v>
      </c>
      <c r="K204" s="423">
        <f t="shared" si="67"/>
        <v>2023</v>
      </c>
      <c r="L204" s="423">
        <f t="shared" si="67"/>
        <v>2024</v>
      </c>
      <c r="M204" s="423">
        <f t="shared" si="67"/>
        <v>2025</v>
      </c>
      <c r="N204" s="423">
        <f t="shared" si="67"/>
        <v>2026</v>
      </c>
      <c r="O204" s="423">
        <f t="shared" ref="O204" si="68">O5</f>
        <v>2027</v>
      </c>
    </row>
    <row r="205" spans="2:29" ht="15.75" thickBot="1" x14ac:dyDescent="0.3">
      <c r="B205" s="425" t="s">
        <v>874</v>
      </c>
      <c r="C205" s="427" t="s">
        <v>875</v>
      </c>
      <c r="D205" s="427" t="s">
        <v>875</v>
      </c>
      <c r="E205" s="427" t="s">
        <v>875</v>
      </c>
      <c r="F205" s="427" t="s">
        <v>875</v>
      </c>
      <c r="G205" s="427" t="s">
        <v>875</v>
      </c>
      <c r="H205" s="427" t="s">
        <v>875</v>
      </c>
      <c r="I205" s="427" t="s">
        <v>875</v>
      </c>
      <c r="J205" s="427" t="s">
        <v>875</v>
      </c>
      <c r="K205" s="427" t="s">
        <v>875</v>
      </c>
      <c r="L205" s="427" t="s">
        <v>875</v>
      </c>
      <c r="M205" s="427" t="s">
        <v>875</v>
      </c>
      <c r="N205" s="427" t="s">
        <v>875</v>
      </c>
      <c r="O205" s="427" t="s">
        <v>875</v>
      </c>
    </row>
    <row r="206" spans="2:29" ht="15" x14ac:dyDescent="0.25">
      <c r="B206" s="428"/>
      <c r="C206" s="429"/>
      <c r="D206" s="429"/>
      <c r="E206" s="430"/>
      <c r="F206" s="430"/>
      <c r="G206" s="430"/>
      <c r="H206" s="430"/>
      <c r="I206" s="430"/>
      <c r="J206" s="430"/>
      <c r="K206" s="430"/>
      <c r="L206" s="430"/>
      <c r="M206" s="430"/>
      <c r="N206" s="430"/>
      <c r="O206" s="430"/>
    </row>
    <row r="207" spans="2:29" ht="28.5" customHeight="1" x14ac:dyDescent="0.25">
      <c r="B207" s="431" t="s">
        <v>876</v>
      </c>
      <c r="C207" s="440" t="e">
        <f t="shared" ref="C207" si="69">C209/C210</f>
        <v>#DIV/0!</v>
      </c>
      <c r="D207" s="440">
        <f t="shared" ref="D207:N207" si="70">D209/D210</f>
        <v>-6.3232067249745033E-2</v>
      </c>
      <c r="E207" s="440">
        <f t="shared" si="70"/>
        <v>7.8428465057164679E-4</v>
      </c>
      <c r="F207" s="440">
        <f t="shared" si="70"/>
        <v>1.6195019811860185E-2</v>
      </c>
      <c r="G207" s="440">
        <f t="shared" si="70"/>
        <v>1.3933209785465238E-2</v>
      </c>
      <c r="H207" s="440">
        <f t="shared" si="70"/>
        <v>1.8400616334424379E-2</v>
      </c>
      <c r="I207" s="440">
        <f t="shared" si="70"/>
        <v>1.3885829321355543E-2</v>
      </c>
      <c r="J207" s="440">
        <f t="shared" si="70"/>
        <v>6.3419629263559421E-3</v>
      </c>
      <c r="K207" s="440">
        <f t="shared" si="70"/>
        <v>5.8846215124110533E-3</v>
      </c>
      <c r="L207" s="440">
        <f t="shared" si="70"/>
        <v>5.2074719065725089E-3</v>
      </c>
      <c r="M207" s="440">
        <f t="shared" si="70"/>
        <v>4.7339463031988447E-3</v>
      </c>
      <c r="N207" s="440">
        <f t="shared" si="70"/>
        <v>4.1100160243645566E-3</v>
      </c>
      <c r="O207" s="440">
        <f t="shared" ref="O207" si="71">O209/O210</f>
        <v>3.4521136690948465E-3</v>
      </c>
      <c r="P207" s="433"/>
      <c r="Q207" s="433"/>
      <c r="R207" s="433"/>
      <c r="S207" s="433"/>
      <c r="T207" s="433"/>
      <c r="U207" s="433"/>
      <c r="V207" s="433"/>
      <c r="W207" s="433"/>
      <c r="X207" s="433"/>
      <c r="Y207" s="433"/>
      <c r="Z207" s="433"/>
      <c r="AA207" s="433"/>
      <c r="AB207" s="433"/>
      <c r="AC207" s="433"/>
    </row>
    <row r="208" spans="2:29" ht="22.5" customHeight="1" x14ac:dyDescent="0.25">
      <c r="B208" s="431" t="s">
        <v>877</v>
      </c>
      <c r="C208" s="554" t="str">
        <f>IF(ISERR(AVERAGE(SUM(#REF!,#REF!,C209)/SUM(#REF!,#REF!,C210))),"",AVERAGE(SUM(#REF!,#REF!,C209)/SUM(#REF!,#REF!,C210)))</f>
        <v/>
      </c>
      <c r="D208" s="554" t="str">
        <f>IF(ISERR(AVERAGE(SUM(#REF!,#REF!,D209)/SUM(#REF!,#REF!,D210))),"",AVERAGE(SUM(#REF!,#REF!,D209)/SUM(#REF!,#REF!,D210)))</f>
        <v/>
      </c>
      <c r="E208" s="554" t="str">
        <f>IF(ISERR(AVERAGE(SUM(#REF!,D209,E209)/SUM(#REF!,D210,E210))),"",AVERAGE(SUM(#REF!,D209,E209)/SUM(#REF!,D210,E210)))</f>
        <v/>
      </c>
      <c r="F208" s="554">
        <f t="shared" ref="F208:O208" si="72">IF(ISERR(AVERAGE(SUM(D209,E209,F209)/SUM(D210,E210,F210))),"",AVERAGE(SUM(D209,E209,F209)/SUM(D210,E210,F210)))</f>
        <v>-1.2625051997187818E-2</v>
      </c>
      <c r="G208" s="554">
        <f t="shared" si="72"/>
        <v>1.0398161787175448E-2</v>
      </c>
      <c r="H208" s="554">
        <f t="shared" si="72"/>
        <v>1.619835660923372E-2</v>
      </c>
      <c r="I208" s="554">
        <f t="shared" si="72"/>
        <v>1.5410001324382134E-2</v>
      </c>
      <c r="J208" s="554">
        <f t="shared" si="72"/>
        <v>1.2804372610127093E-2</v>
      </c>
      <c r="K208" s="554">
        <f t="shared" si="72"/>
        <v>8.6574295475843523E-3</v>
      </c>
      <c r="L208" s="554">
        <f t="shared" si="72"/>
        <v>5.8029353808200148E-3</v>
      </c>
      <c r="M208" s="554">
        <f t="shared" si="72"/>
        <v>5.2667481604024239E-3</v>
      </c>
      <c r="N208" s="554">
        <f t="shared" si="72"/>
        <v>4.6755603805826934E-3</v>
      </c>
      <c r="O208" s="554">
        <f t="shared" si="72"/>
        <v>4.0890819868293496E-3</v>
      </c>
      <c r="P208" s="433"/>
      <c r="Q208" s="433"/>
      <c r="R208" s="433"/>
      <c r="S208" s="433"/>
      <c r="T208" s="433"/>
      <c r="U208" s="433"/>
      <c r="V208" s="433"/>
      <c r="W208" s="433"/>
      <c r="X208" s="433"/>
      <c r="Y208" s="433"/>
      <c r="Z208" s="433"/>
      <c r="AA208" s="433"/>
      <c r="AB208" s="433"/>
      <c r="AC208" s="433"/>
    </row>
    <row r="209" spans="2:29" s="433" customFormat="1" ht="29.25" x14ac:dyDescent="0.25">
      <c r="B209" s="436" t="s">
        <v>878</v>
      </c>
      <c r="C209" s="437">
        <f t="shared" ref="C209" si="73">(C20-C15-C17)-(C31-C27)</f>
        <v>0</v>
      </c>
      <c r="D209" s="437">
        <f t="shared" ref="D209:N209" si="74">(D20-D15-D17)-(D31-D27)</f>
        <v>-2046</v>
      </c>
      <c r="E209" s="437">
        <f t="shared" si="74"/>
        <v>30</v>
      </c>
      <c r="F209" s="437">
        <f t="shared" si="74"/>
        <v>631.93296000000555</v>
      </c>
      <c r="G209" s="437">
        <f t="shared" si="74"/>
        <v>557.91147499998624</v>
      </c>
      <c r="H209" s="437">
        <f t="shared" si="74"/>
        <v>758.92227500000445</v>
      </c>
      <c r="I209" s="437">
        <f t="shared" si="74"/>
        <v>585.00338499999634</v>
      </c>
      <c r="J209" s="437">
        <f t="shared" si="74"/>
        <v>271.22384774735838</v>
      </c>
      <c r="K209" s="437">
        <f t="shared" si="74"/>
        <v>257.31453071587021</v>
      </c>
      <c r="L209" s="437">
        <f t="shared" si="74"/>
        <v>232.83509066719125</v>
      </c>
      <c r="M209" s="437">
        <f t="shared" si="74"/>
        <v>216.5023085980647</v>
      </c>
      <c r="N209" s="437">
        <f t="shared" si="74"/>
        <v>192.24287796895806</v>
      </c>
      <c r="O209" s="437">
        <f t="shared" ref="O209" si="75">(O20-O15-O17)-(O31-O27)</f>
        <v>165.14280501924077</v>
      </c>
      <c r="P209" s="424"/>
      <c r="Q209" s="424"/>
      <c r="R209" s="424"/>
      <c r="S209" s="424"/>
      <c r="T209" s="424"/>
      <c r="U209" s="424"/>
      <c r="V209" s="424"/>
      <c r="W209" s="424"/>
      <c r="X209" s="424"/>
      <c r="Y209" s="424"/>
      <c r="Z209" s="424"/>
      <c r="AA209" s="424"/>
      <c r="AB209" s="424"/>
      <c r="AC209" s="424"/>
    </row>
    <row r="210" spans="2:29" s="433" customFormat="1" ht="30" customHeight="1" x14ac:dyDescent="0.25">
      <c r="B210" s="436" t="s">
        <v>879</v>
      </c>
      <c r="C210" s="437">
        <f t="shared" ref="C210" si="76">C20-C15-C17</f>
        <v>0</v>
      </c>
      <c r="D210" s="437">
        <f t="shared" ref="D210:N210" si="77">D20-D15-D17</f>
        <v>32357</v>
      </c>
      <c r="E210" s="437">
        <f t="shared" si="77"/>
        <v>38251.417999999998</v>
      </c>
      <c r="F210" s="437">
        <f t="shared" si="77"/>
        <v>39020.20296000001</v>
      </c>
      <c r="G210" s="437">
        <f t="shared" si="77"/>
        <v>40041.848474999992</v>
      </c>
      <c r="H210" s="437">
        <f t="shared" si="77"/>
        <v>41244.394275000006</v>
      </c>
      <c r="I210" s="437">
        <f t="shared" si="77"/>
        <v>42129.524384999997</v>
      </c>
      <c r="J210" s="437">
        <f t="shared" si="77"/>
        <v>42766.545767747361</v>
      </c>
      <c r="K210" s="437">
        <f t="shared" si="77"/>
        <v>43726.606744915873</v>
      </c>
      <c r="L210" s="437">
        <f t="shared" si="77"/>
        <v>44711.732457610189</v>
      </c>
      <c r="M210" s="437">
        <f t="shared" si="77"/>
        <v>45734.001767567315</v>
      </c>
      <c r="N210" s="437">
        <f t="shared" si="77"/>
        <v>46774.240496709601</v>
      </c>
      <c r="O210" s="437">
        <f t="shared" ref="O210" si="78">O20-O15-O17</f>
        <v>47838.171291312567</v>
      </c>
      <c r="P210" s="424"/>
      <c r="Q210" s="424"/>
      <c r="R210" s="424"/>
      <c r="S210" s="424"/>
      <c r="T210" s="424"/>
      <c r="U210" s="424"/>
      <c r="V210" s="424"/>
      <c r="W210" s="424"/>
      <c r="X210" s="424"/>
      <c r="Y210" s="424"/>
      <c r="Z210" s="424"/>
      <c r="AA210" s="424"/>
      <c r="AB210" s="424"/>
      <c r="AC210" s="424"/>
    </row>
    <row r="211" spans="2:29" ht="45" x14ac:dyDescent="0.25">
      <c r="B211" s="431" t="s">
        <v>880</v>
      </c>
      <c r="C211" s="438" t="e">
        <f t="shared" ref="C211" si="79">C213/C214</f>
        <v>#DIV/0!</v>
      </c>
      <c r="D211" s="438">
        <f t="shared" ref="D211:N211" si="80">D213/D214</f>
        <v>0.66866028708133973</v>
      </c>
      <c r="E211" s="438">
        <f t="shared" si="80"/>
        <v>0.77951694343238087</v>
      </c>
      <c r="F211" s="438">
        <f t="shared" si="80"/>
        <v>0.78418007570440884</v>
      </c>
      <c r="G211" s="438">
        <f t="shared" si="80"/>
        <v>0.78599838126384913</v>
      </c>
      <c r="H211" s="438">
        <f t="shared" si="80"/>
        <v>0.78855562858572448</v>
      </c>
      <c r="I211" s="438">
        <f t="shared" si="80"/>
        <v>0.7894626400171304</v>
      </c>
      <c r="J211" s="438">
        <f t="shared" si="80"/>
        <v>0.78759133678661619</v>
      </c>
      <c r="K211" s="438">
        <f t="shared" si="80"/>
        <v>0.78710742356918684</v>
      </c>
      <c r="L211" s="438">
        <f t="shared" si="80"/>
        <v>0.78663781516057996</v>
      </c>
      <c r="M211" s="438">
        <f t="shared" si="80"/>
        <v>0.78623106644498708</v>
      </c>
      <c r="N211" s="438">
        <f t="shared" si="80"/>
        <v>0.78580103911896004</v>
      </c>
      <c r="O211" s="438">
        <f t="shared" ref="O211" si="81">O213/O214</f>
        <v>0.78537035835049918</v>
      </c>
      <c r="P211" s="433"/>
      <c r="Q211" s="433"/>
      <c r="R211" s="433"/>
      <c r="S211" s="433"/>
      <c r="T211" s="433"/>
      <c r="U211" s="433"/>
      <c r="V211" s="433"/>
      <c r="W211" s="433"/>
      <c r="X211" s="433"/>
      <c r="Y211" s="433"/>
      <c r="Z211" s="433"/>
      <c r="AA211" s="433"/>
      <c r="AB211" s="433"/>
      <c r="AC211" s="433"/>
    </row>
    <row r="212" spans="2:29" ht="15.75" x14ac:dyDescent="0.25">
      <c r="B212" s="431"/>
      <c r="C212" s="439" t="str">
        <f>IF(ISERR(AVERAGE(SUM(#REF!,#REF!,C213)/SUM(#REF!,#REF!,C214))),"",AVERAGE(SUM(#REF!,#REF!,C213)/SUM(#REF!,#REF!,C214)))</f>
        <v/>
      </c>
      <c r="D212" s="439" t="str">
        <f>IF(ISERR(AVERAGE(SUM(#REF!,#REF!,D213)/SUM(#REF!,#REF!,D214))),"",AVERAGE(SUM(#REF!,#REF!,D213)/SUM(#REF!,#REF!,D214)))</f>
        <v/>
      </c>
      <c r="E212" s="439" t="str">
        <f>IF(ISERR(AVERAGE(SUM(#REF!,D213,E213)/SUM(#REF!,D214,E214))),"",AVERAGE(SUM(#REF!,D213,E213)/SUM(#REF!,D214,E214)))</f>
        <v/>
      </c>
      <c r="F212" s="439">
        <f t="shared" ref="F212:O212" si="82">IF(ISERR(AVERAGE(SUM(D213,E213,F213)/SUM(D214,E214,F214))),"",AVERAGE(SUM(D213,E213,F213)/SUM(D214,E214,F214)))</f>
        <v>0.74135751938037875</v>
      </c>
      <c r="G212" s="439">
        <f t="shared" si="82"/>
        <v>0.78330332890749022</v>
      </c>
      <c r="H212" s="439">
        <f t="shared" si="82"/>
        <v>0.78628367390414611</v>
      </c>
      <c r="I212" s="439">
        <f t="shared" si="82"/>
        <v>0.78803446532289201</v>
      </c>
      <c r="J212" s="439">
        <f t="shared" si="82"/>
        <v>0.78853136528569923</v>
      </c>
      <c r="K212" s="439">
        <f t="shared" si="82"/>
        <v>0.78803930046675852</v>
      </c>
      <c r="L212" s="439">
        <f t="shared" si="82"/>
        <v>0.78710505630802108</v>
      </c>
      <c r="M212" s="439">
        <f t="shared" si="82"/>
        <v>0.78665215828739066</v>
      </c>
      <c r="N212" s="439">
        <f t="shared" si="82"/>
        <v>0.78621696552033993</v>
      </c>
      <c r="O212" s="439">
        <f t="shared" si="82"/>
        <v>0.78579431389126453</v>
      </c>
      <c r="P212" s="433"/>
      <c r="Q212" s="433"/>
      <c r="R212" s="433"/>
      <c r="S212" s="433"/>
      <c r="T212" s="433"/>
      <c r="U212" s="433"/>
      <c r="V212" s="433"/>
      <c r="W212" s="433"/>
      <c r="X212" s="433"/>
      <c r="Y212" s="433"/>
      <c r="Z212" s="433"/>
      <c r="AA212" s="433"/>
      <c r="AB212" s="433"/>
      <c r="AC212" s="433"/>
    </row>
    <row r="213" spans="2:29" s="433" customFormat="1" ht="16.5" customHeight="1" x14ac:dyDescent="0.25">
      <c r="B213" s="436" t="s">
        <v>881</v>
      </c>
      <c r="C213" s="437">
        <f>C20-C16-C15-C17</f>
        <v>0</v>
      </c>
      <c r="D213" s="437">
        <f>D20-D16-D15-D17</f>
        <v>31304</v>
      </c>
      <c r="E213" s="437">
        <f t="shared" ref="E213:N213" si="83">E20-E14-E15-E17</f>
        <v>32076.673999999995</v>
      </c>
      <c r="F213" s="437">
        <f t="shared" si="83"/>
        <v>33569.313960000007</v>
      </c>
      <c r="G213" s="437">
        <f t="shared" si="83"/>
        <v>34494.497474999989</v>
      </c>
      <c r="H213" s="437">
        <f t="shared" si="83"/>
        <v>35600.805275000006</v>
      </c>
      <c r="I213" s="437">
        <f t="shared" si="83"/>
        <v>36387.758625000002</v>
      </c>
      <c r="J213" s="437">
        <f t="shared" si="83"/>
        <v>36881.235863747359</v>
      </c>
      <c r="K213" s="437">
        <f t="shared" si="83"/>
        <v>37694.164093315878</v>
      </c>
      <c r="L213" s="437">
        <f t="shared" si="83"/>
        <v>38528.478739720187</v>
      </c>
      <c r="M213" s="437">
        <f t="shared" si="83"/>
        <v>39396.166706730059</v>
      </c>
      <c r="N213" s="437">
        <f t="shared" si="83"/>
        <v>40277.959559351424</v>
      </c>
      <c r="O213" s="437">
        <f t="shared" ref="O213" si="84">O20-O14-O15-O17</f>
        <v>41179.48333052043</v>
      </c>
      <c r="P213" s="424"/>
      <c r="Q213" s="424"/>
      <c r="R213" s="424"/>
      <c r="S213" s="424"/>
      <c r="T213" s="424"/>
      <c r="U213" s="424"/>
      <c r="V213" s="424"/>
      <c r="W213" s="424"/>
      <c r="X213" s="424"/>
      <c r="Y213" s="424"/>
      <c r="Z213" s="424"/>
      <c r="AA213" s="424"/>
      <c r="AB213" s="424"/>
      <c r="AC213" s="424"/>
    </row>
    <row r="214" spans="2:29" s="433" customFormat="1" ht="32.25" customHeight="1" x14ac:dyDescent="0.25">
      <c r="B214" s="436" t="s">
        <v>882</v>
      </c>
      <c r="C214" s="437">
        <f t="shared" ref="C214" si="85">C20-C17</f>
        <v>0</v>
      </c>
      <c r="D214" s="437">
        <f t="shared" ref="D214:N214" si="86">D20-D17</f>
        <v>46816</v>
      </c>
      <c r="E214" s="437">
        <f t="shared" si="86"/>
        <v>41149.424999999996</v>
      </c>
      <c r="F214" s="437">
        <f t="shared" si="86"/>
        <v>42808.169960000007</v>
      </c>
      <c r="G214" s="437">
        <f t="shared" si="86"/>
        <v>43886.219484999994</v>
      </c>
      <c r="H214" s="437">
        <f t="shared" si="86"/>
        <v>45146.853290300009</v>
      </c>
      <c r="I214" s="437">
        <f t="shared" si="86"/>
        <v>46091.805717634001</v>
      </c>
      <c r="J214" s="437">
        <f t="shared" si="86"/>
        <v>46827.884133697211</v>
      </c>
      <c r="K214" s="437">
        <f t="shared" si="86"/>
        <v>47889.478570014471</v>
      </c>
      <c r="L214" s="437">
        <f t="shared" si="86"/>
        <v>48978.676078336248</v>
      </c>
      <c r="M214" s="437">
        <f t="shared" si="86"/>
        <v>50107.618978811523</v>
      </c>
      <c r="N214" s="437">
        <f t="shared" si="86"/>
        <v>51257.198138234919</v>
      </c>
      <c r="O214" s="437">
        <f t="shared" ref="O214" si="87">O20-O17</f>
        <v>52433.202873876013</v>
      </c>
      <c r="P214" s="424"/>
      <c r="Q214" s="424"/>
      <c r="R214" s="424"/>
      <c r="S214" s="424"/>
      <c r="T214" s="424"/>
      <c r="U214" s="424"/>
      <c r="V214" s="424"/>
      <c r="W214" s="424"/>
      <c r="X214" s="424"/>
      <c r="Y214" s="424"/>
      <c r="Z214" s="424"/>
      <c r="AA214" s="424"/>
      <c r="AB214" s="424"/>
      <c r="AC214" s="424"/>
    </row>
    <row r="215" spans="2:29" ht="30" customHeight="1" x14ac:dyDescent="0.25">
      <c r="B215" s="431" t="s">
        <v>883</v>
      </c>
      <c r="C215" s="440" t="e">
        <f t="shared" ref="C215" si="88">C217/C218</f>
        <v>#DIV/0!</v>
      </c>
      <c r="D215" s="440">
        <f t="shared" ref="D215:N215" si="89">D217/D218</f>
        <v>2.2962573786197732E-2</v>
      </c>
      <c r="E215" s="440">
        <f t="shared" si="89"/>
        <v>3.9223696230032572E-2</v>
      </c>
      <c r="F215" s="440">
        <f t="shared" si="89"/>
        <v>3.8369149477125108E-2</v>
      </c>
      <c r="G215" s="440">
        <f t="shared" si="89"/>
        <v>3.7319006412328229E-2</v>
      </c>
      <c r="H215" s="440">
        <f t="shared" si="89"/>
        <v>3.6164090325945267E-2</v>
      </c>
      <c r="I215" s="440">
        <f t="shared" si="89"/>
        <v>3.5333629366345383E-2</v>
      </c>
      <c r="J215" s="440">
        <f t="shared" si="89"/>
        <v>3.4363986466925026E-2</v>
      </c>
      <c r="K215" s="440">
        <f t="shared" si="89"/>
        <v>3.3151188896415905E-2</v>
      </c>
      <c r="L215" s="440">
        <f t="shared" si="89"/>
        <v>3.2213222812726226E-2</v>
      </c>
      <c r="M215" s="440">
        <f t="shared" si="89"/>
        <v>3.1366356420996493E-2</v>
      </c>
      <c r="N215" s="440">
        <f t="shared" si="89"/>
        <v>3.0538796244066965E-2</v>
      </c>
      <c r="O215" s="440">
        <f t="shared" ref="O215" si="90">O217/O218</f>
        <v>2.9725822739763489E-2</v>
      </c>
    </row>
    <row r="216" spans="2:29" ht="30" customHeight="1" x14ac:dyDescent="0.25">
      <c r="B216" s="431" t="s">
        <v>884</v>
      </c>
      <c r="C216" s="439" t="str">
        <f>IF(ISERR(AVERAGE(SUM(#REF!,#REF!,C217)/SUM(#REF!,#REF!,C218))),"",AVERAGE(SUM(#REF!,#REF!,C217)/SUM(#REF!,#REF!,C218)))</f>
        <v/>
      </c>
      <c r="D216" s="439" t="str">
        <f>IF(ISERR(AVERAGE(SUM(#REF!,#REF!,D217)/SUM(#REF!,#REF!,D218))),"",AVERAGE(SUM(#REF!,#REF!,D217)/SUM(#REF!,#REF!,D218)))</f>
        <v/>
      </c>
      <c r="E216" s="439" t="str">
        <f>IF(ISERR(AVERAGE(SUM(#REF!,D217,E217)/SUM(#REF!,D218,E218))),"",AVERAGE(SUM(#REF!,D217,E217)/SUM(#REF!,D218,E218)))</f>
        <v/>
      </c>
      <c r="F216" s="439">
        <f>IF(ISERR(AVERAGE(SUM(D217,E217,F217)/SUM(D218,E218,F218))),"",AVERAGE(SUM(D217,E217,F217)/SUM(D218,E218,F218)))</f>
        <v>3.4120049739244658E-2</v>
      </c>
      <c r="G216" s="439">
        <f t="shared" ref="G216:O216" si="91">IF(ISERR(AVERAGE(SUM(E217,F217,G217)/SUM(E218,F218,G218))),"",AVERAGE(SUM(E217,F217,G217)/SUM(E218,F218,G218)))</f>
        <v>3.8289345815390854E-2</v>
      </c>
      <c r="H216" s="439">
        <f t="shared" si="91"/>
        <v>3.7263672561705173E-2</v>
      </c>
      <c r="I216" s="439">
        <f t="shared" si="91"/>
        <v>3.6255310839704402E-2</v>
      </c>
      <c r="J216" s="439">
        <f t="shared" si="91"/>
        <v>3.5276419982969182E-2</v>
      </c>
      <c r="K216" s="439">
        <f t="shared" si="91"/>
        <v>3.4269283662219277E-2</v>
      </c>
      <c r="L216" s="439">
        <f t="shared" si="91"/>
        <v>3.3226864998111325E-2</v>
      </c>
      <c r="M216" s="439">
        <f t="shared" si="91"/>
        <v>3.2230241857104498E-2</v>
      </c>
      <c r="N216" s="439">
        <f t="shared" si="91"/>
        <v>3.1360208371424635E-2</v>
      </c>
      <c r="O216" s="439">
        <f t="shared" si="91"/>
        <v>3.0531360876583976E-2</v>
      </c>
      <c r="P216" s="433"/>
      <c r="Q216" s="433"/>
      <c r="R216" s="433"/>
      <c r="S216" s="433"/>
      <c r="T216" s="433"/>
      <c r="U216" s="433"/>
      <c r="V216" s="433"/>
      <c r="W216" s="433"/>
      <c r="X216" s="433"/>
      <c r="Y216" s="433"/>
      <c r="Z216" s="433"/>
      <c r="AA216" s="433"/>
      <c r="AB216" s="433"/>
      <c r="AC216" s="433"/>
    </row>
    <row r="217" spans="2:29" ht="15" x14ac:dyDescent="0.25">
      <c r="B217" s="442" t="s">
        <v>885</v>
      </c>
      <c r="C217" s="437">
        <f t="shared" ref="C217" si="92">C219+C220</f>
        <v>0</v>
      </c>
      <c r="D217" s="437">
        <f t="shared" ref="D217:N217" si="93">D219+D220</f>
        <v>743</v>
      </c>
      <c r="E217" s="437">
        <f t="shared" si="93"/>
        <v>1500.3620000000001</v>
      </c>
      <c r="F217" s="437">
        <f>F219+F220</f>
        <v>1497.172</v>
      </c>
      <c r="G217" s="437">
        <f t="shared" si="93"/>
        <v>1494.3220000000001</v>
      </c>
      <c r="H217" s="437">
        <f t="shared" si="93"/>
        <v>1491.566</v>
      </c>
      <c r="I217" s="437">
        <f t="shared" si="93"/>
        <v>1488.5889999999999</v>
      </c>
      <c r="J217" s="437">
        <f t="shared" si="93"/>
        <v>1469.6289999999999</v>
      </c>
      <c r="K217" s="437">
        <f t="shared" si="93"/>
        <v>1449.5889999999999</v>
      </c>
      <c r="L217" s="437">
        <f t="shared" si="93"/>
        <v>1440.3090000000002</v>
      </c>
      <c r="M217" s="437">
        <f t="shared" si="93"/>
        <v>1434.509</v>
      </c>
      <c r="N217" s="437">
        <f t="shared" si="93"/>
        <v>1428.4290000000001</v>
      </c>
      <c r="O217" s="437">
        <f t="shared" ref="O217" si="94">O219+O220</f>
        <v>1422.029</v>
      </c>
      <c r="P217" s="433"/>
      <c r="Q217" s="433"/>
      <c r="R217" s="433"/>
      <c r="S217" s="433"/>
      <c r="T217" s="433"/>
      <c r="U217" s="433"/>
      <c r="V217" s="433"/>
      <c r="W217" s="433"/>
      <c r="X217" s="433"/>
      <c r="Y217" s="433"/>
      <c r="Z217" s="433"/>
      <c r="AA217" s="433"/>
      <c r="AB217" s="433"/>
      <c r="AC217" s="433"/>
    </row>
    <row r="218" spans="2:29" s="433" customFormat="1" ht="29.25" customHeight="1" x14ac:dyDescent="0.25">
      <c r="B218" s="436" t="s">
        <v>879</v>
      </c>
      <c r="C218" s="437">
        <f t="shared" ref="C218" si="95">C20-C15-C17</f>
        <v>0</v>
      </c>
      <c r="D218" s="437">
        <f t="shared" ref="D218:N218" si="96">D20-D15-D17</f>
        <v>32357</v>
      </c>
      <c r="E218" s="437">
        <f t="shared" si="96"/>
        <v>38251.417999999998</v>
      </c>
      <c r="F218" s="437">
        <f t="shared" si="96"/>
        <v>39020.20296000001</v>
      </c>
      <c r="G218" s="437">
        <f t="shared" si="96"/>
        <v>40041.848474999992</v>
      </c>
      <c r="H218" s="437">
        <f t="shared" si="96"/>
        <v>41244.394275000006</v>
      </c>
      <c r="I218" s="437">
        <f t="shared" si="96"/>
        <v>42129.524384999997</v>
      </c>
      <c r="J218" s="437">
        <f t="shared" si="96"/>
        <v>42766.545767747361</v>
      </c>
      <c r="K218" s="437">
        <f t="shared" si="96"/>
        <v>43726.606744915873</v>
      </c>
      <c r="L218" s="437">
        <f t="shared" si="96"/>
        <v>44711.732457610189</v>
      </c>
      <c r="M218" s="437">
        <f t="shared" si="96"/>
        <v>45734.001767567315</v>
      </c>
      <c r="N218" s="437">
        <f t="shared" si="96"/>
        <v>46774.240496709601</v>
      </c>
      <c r="O218" s="437">
        <f t="shared" ref="O218" si="97">O20-O15-O17</f>
        <v>47838.171291312567</v>
      </c>
    </row>
    <row r="219" spans="2:29" s="433" customFormat="1" ht="15" x14ac:dyDescent="0.25">
      <c r="B219" s="436" t="s">
        <v>886</v>
      </c>
      <c r="C219" s="437">
        <f t="shared" ref="C219" si="98">C25</f>
        <v>0</v>
      </c>
      <c r="D219" s="437">
        <f t="shared" ref="D219:N219" si="99">D25</f>
        <v>743</v>
      </c>
      <c r="E219" s="437">
        <f t="shared" si="99"/>
        <v>1500.3620000000001</v>
      </c>
      <c r="F219" s="437">
        <f t="shared" si="99"/>
        <v>1497.172</v>
      </c>
      <c r="G219" s="437">
        <f t="shared" si="99"/>
        <v>1494.3220000000001</v>
      </c>
      <c r="H219" s="437">
        <f t="shared" si="99"/>
        <v>1491.566</v>
      </c>
      <c r="I219" s="437">
        <f t="shared" si="99"/>
        <v>1488.5889999999999</v>
      </c>
      <c r="J219" s="437">
        <f t="shared" si="99"/>
        <v>1469.6289999999999</v>
      </c>
      <c r="K219" s="437">
        <f t="shared" si="99"/>
        <v>1449.5889999999999</v>
      </c>
      <c r="L219" s="437">
        <f t="shared" si="99"/>
        <v>1440.3090000000002</v>
      </c>
      <c r="M219" s="437">
        <f t="shared" si="99"/>
        <v>1434.509</v>
      </c>
      <c r="N219" s="437">
        <f t="shared" si="99"/>
        <v>1428.4290000000001</v>
      </c>
      <c r="O219" s="437">
        <f t="shared" ref="O219" si="100">O25</f>
        <v>1422.029</v>
      </c>
    </row>
    <row r="220" spans="2:29" s="433" customFormat="1" ht="29.25" x14ac:dyDescent="0.25">
      <c r="B220" s="436" t="s">
        <v>887</v>
      </c>
      <c r="C220" s="437">
        <f t="shared" ref="C220" si="101">C94</f>
        <v>0</v>
      </c>
      <c r="D220" s="437">
        <f t="shared" ref="D220:N220" si="102">D94</f>
        <v>0</v>
      </c>
      <c r="E220" s="437">
        <f t="shared" si="102"/>
        <v>0</v>
      </c>
      <c r="F220" s="437">
        <f t="shared" si="102"/>
        <v>0</v>
      </c>
      <c r="G220" s="437">
        <f t="shared" si="102"/>
        <v>0</v>
      </c>
      <c r="H220" s="437">
        <f t="shared" si="102"/>
        <v>0</v>
      </c>
      <c r="I220" s="437">
        <f t="shared" si="102"/>
        <v>0</v>
      </c>
      <c r="J220" s="437">
        <f t="shared" si="102"/>
        <v>0</v>
      </c>
      <c r="K220" s="437">
        <f t="shared" si="102"/>
        <v>0</v>
      </c>
      <c r="L220" s="437">
        <f t="shared" si="102"/>
        <v>0</v>
      </c>
      <c r="M220" s="437">
        <f t="shared" si="102"/>
        <v>0</v>
      </c>
      <c r="N220" s="437">
        <f t="shared" si="102"/>
        <v>0</v>
      </c>
      <c r="O220" s="437">
        <f t="shared" ref="O220" si="103">O94</f>
        <v>0</v>
      </c>
      <c r="P220" s="424"/>
      <c r="Q220" s="424"/>
      <c r="R220" s="424"/>
      <c r="S220" s="424"/>
      <c r="T220" s="424"/>
      <c r="U220" s="424"/>
      <c r="V220" s="424"/>
      <c r="W220" s="424"/>
      <c r="X220" s="424"/>
      <c r="Y220" s="424"/>
      <c r="Z220" s="424"/>
      <c r="AA220" s="424"/>
      <c r="AB220" s="424"/>
      <c r="AC220" s="424"/>
    </row>
    <row r="221" spans="2:29" s="433" customFormat="1" ht="15.75" thickBot="1" x14ac:dyDescent="0.3">
      <c r="B221" s="436"/>
      <c r="C221" s="437"/>
      <c r="D221" s="437"/>
      <c r="E221" s="437"/>
      <c r="F221" s="437"/>
      <c r="G221" s="437"/>
      <c r="H221" s="437"/>
      <c r="I221" s="437"/>
      <c r="J221" s="437"/>
      <c r="K221" s="437"/>
      <c r="L221" s="437"/>
      <c r="M221" s="437"/>
      <c r="N221" s="437"/>
      <c r="O221" s="437"/>
      <c r="P221" s="424"/>
      <c r="Q221" s="424"/>
      <c r="R221" s="424"/>
      <c r="S221" s="424"/>
      <c r="T221" s="424"/>
      <c r="U221" s="424"/>
      <c r="V221" s="424"/>
      <c r="W221" s="424"/>
      <c r="X221" s="424"/>
      <c r="Y221" s="424"/>
      <c r="Z221" s="424"/>
      <c r="AA221" s="424"/>
      <c r="AB221" s="424"/>
      <c r="AC221" s="424"/>
    </row>
    <row r="222" spans="2:29" ht="44.25" thickBot="1" x14ac:dyDescent="0.25">
      <c r="B222" s="443" t="s">
        <v>888</v>
      </c>
      <c r="C222" s="445">
        <f t="shared" ref="C222" si="104">C233/C224*1000</f>
        <v>0</v>
      </c>
      <c r="D222" s="445">
        <f t="shared" ref="D222:N222" si="105">D233/D224*1000</f>
        <v>1948.3505592524425</v>
      </c>
      <c r="E222" s="445">
        <f t="shared" si="105"/>
        <v>2093.0326906360388</v>
      </c>
      <c r="F222" s="445">
        <f t="shared" si="105"/>
        <v>2032.6667745911852</v>
      </c>
      <c r="G222" s="445">
        <f t="shared" si="105"/>
        <v>2021.5595042229556</v>
      </c>
      <c r="H222" s="445">
        <f t="shared" si="105"/>
        <v>2004.3045718564874</v>
      </c>
      <c r="I222" s="445">
        <f t="shared" si="105"/>
        <v>1999.96379708564</v>
      </c>
      <c r="J222" s="445">
        <f t="shared" si="105"/>
        <v>1978.5851857434325</v>
      </c>
      <c r="K222" s="445">
        <f t="shared" si="105"/>
        <v>1957.4985528890484</v>
      </c>
      <c r="L222" s="445">
        <f t="shared" si="105"/>
        <v>1937.2164338665013</v>
      </c>
      <c r="M222" s="445">
        <f t="shared" si="105"/>
        <v>1917.3781726862455</v>
      </c>
      <c r="N222" s="445">
        <f t="shared" si="105"/>
        <v>1900.3046476239467</v>
      </c>
      <c r="O222" s="445">
        <f t="shared" ref="O222" si="106">O233/O224*1000</f>
        <v>1880.975396063626</v>
      </c>
    </row>
    <row r="223" spans="2:29" ht="15.75" x14ac:dyDescent="0.25">
      <c r="B223" s="443" t="s">
        <v>889</v>
      </c>
      <c r="C223" s="448" t="str">
        <f>IF(ISERR(AVERAGE(SUM(#REF!,#REF!,C222)/3)),"",AVERAGE(SUM(#REF!,#REF!,C222)/3))</f>
        <v/>
      </c>
      <c r="D223" s="448" t="str">
        <f>IF(ISERR(AVERAGE(SUM(#REF!,#REF!,D222)/3)),"",AVERAGE(SUM(#REF!,#REF!,D222)/3))</f>
        <v/>
      </c>
      <c r="E223" s="448" t="str">
        <f>IF(ISERR(AVERAGE(SUM(#REF!,D222,E222)/3)),"",AVERAGE(SUM(#REF!,D222,E222)/3))</f>
        <v/>
      </c>
      <c r="F223" s="448">
        <f t="shared" ref="F223:O223" si="107">IF(ISERR(AVERAGE(SUM(D222,E222,F222)/3)),"",AVERAGE(SUM(D222,E222,F222)/3))</f>
        <v>2024.6833414932223</v>
      </c>
      <c r="G223" s="448">
        <f t="shared" si="107"/>
        <v>2049.0863231500603</v>
      </c>
      <c r="H223" s="448">
        <f t="shared" si="107"/>
        <v>2019.5102835568759</v>
      </c>
      <c r="I223" s="448">
        <f t="shared" si="107"/>
        <v>2008.6092910550278</v>
      </c>
      <c r="J223" s="448">
        <f t="shared" si="107"/>
        <v>1994.28451822852</v>
      </c>
      <c r="K223" s="448">
        <f t="shared" si="107"/>
        <v>1978.6825119060402</v>
      </c>
      <c r="L223" s="448">
        <f t="shared" si="107"/>
        <v>1957.7667241663275</v>
      </c>
      <c r="M223" s="448">
        <f t="shared" si="107"/>
        <v>1937.3643864805983</v>
      </c>
      <c r="N223" s="448">
        <f t="shared" si="107"/>
        <v>1918.2997513922312</v>
      </c>
      <c r="O223" s="448">
        <f t="shared" si="107"/>
        <v>1899.5527387912728</v>
      </c>
    </row>
    <row r="224" spans="2:29" ht="15" x14ac:dyDescent="0.25">
      <c r="B224" s="449" t="s">
        <v>890</v>
      </c>
      <c r="C224" s="450">
        <f t="shared" ref="C224" si="108">C105</f>
        <v>17150</v>
      </c>
      <c r="D224" s="450">
        <f t="shared" ref="D224:N224" si="109">D105</f>
        <v>17304.349999999999</v>
      </c>
      <c r="E224" s="450">
        <f t="shared" si="109"/>
        <v>17460.089149999996</v>
      </c>
      <c r="F224" s="450">
        <f t="shared" si="109"/>
        <v>17617.229952349993</v>
      </c>
      <c r="G224" s="450">
        <f t="shared" si="109"/>
        <v>17775.78502192114</v>
      </c>
      <c r="H224" s="450">
        <f t="shared" si="109"/>
        <v>17935.767087118427</v>
      </c>
      <c r="I224" s="450">
        <f t="shared" si="109"/>
        <v>18000</v>
      </c>
      <c r="J224" s="450">
        <f t="shared" si="109"/>
        <v>18161.999999999996</v>
      </c>
      <c r="K224" s="450">
        <f t="shared" si="109"/>
        <v>18325.457999999995</v>
      </c>
      <c r="L224" s="450">
        <f t="shared" si="109"/>
        <v>18490.387121999993</v>
      </c>
      <c r="M224" s="450">
        <f t="shared" si="109"/>
        <v>18656.80060609799</v>
      </c>
      <c r="N224" s="450">
        <f t="shared" si="109"/>
        <v>18800</v>
      </c>
      <c r="O224" s="450">
        <f t="shared" ref="O224" si="110">O105</f>
        <v>18969.199999999997</v>
      </c>
    </row>
    <row r="225" spans="2:29" ht="15.75" thickBot="1" x14ac:dyDescent="0.3">
      <c r="B225" s="451" t="s">
        <v>891</v>
      </c>
      <c r="C225" s="450">
        <f t="shared" ref="C225" si="111">C233</f>
        <v>0</v>
      </c>
      <c r="D225" s="450">
        <f t="shared" ref="D225:N225" si="112">D233</f>
        <v>33714.94</v>
      </c>
      <c r="E225" s="450">
        <f t="shared" si="112"/>
        <v>36544.537372369596</v>
      </c>
      <c r="F225" s="450">
        <f t="shared" si="112"/>
        <v>35809.95798447448</v>
      </c>
      <c r="G225" s="450">
        <f t="shared" si="112"/>
        <v>35934.80715608874</v>
      </c>
      <c r="H225" s="450">
        <f t="shared" si="112"/>
        <v>35948.739972464573</v>
      </c>
      <c r="I225" s="450">
        <f t="shared" si="112"/>
        <v>35999.34834754152</v>
      </c>
      <c r="J225" s="450">
        <f t="shared" si="112"/>
        <v>35935.064143472213</v>
      </c>
      <c r="K225" s="450">
        <f t="shared" si="112"/>
        <v>35872.057516029025</v>
      </c>
      <c r="L225" s="450">
        <f t="shared" si="112"/>
        <v>35819.881801291907</v>
      </c>
      <c r="M225" s="450">
        <f t="shared" si="112"/>
        <v>35772.142254291801</v>
      </c>
      <c r="N225" s="450">
        <f t="shared" si="112"/>
        <v>35725.7273753302</v>
      </c>
      <c r="O225" s="450">
        <f t="shared" ref="O225" si="113">O233</f>
        <v>35680.59848301013</v>
      </c>
    </row>
    <row r="226" spans="2:29" ht="15" x14ac:dyDescent="0.25">
      <c r="B226" s="449" t="s">
        <v>892</v>
      </c>
      <c r="C226" s="454">
        <v>0</v>
      </c>
      <c r="D226" s="454">
        <v>0.02</v>
      </c>
      <c r="E226" s="454">
        <f>'CPI &amp; IPART calc'!C13</f>
        <v>2.436E-2</v>
      </c>
      <c r="F226" s="454">
        <f>E226</f>
        <v>2.436E-2</v>
      </c>
      <c r="G226" s="454">
        <f t="shared" ref="G226:H226" si="114">F226</f>
        <v>2.436E-2</v>
      </c>
      <c r="H226" s="454">
        <f t="shared" si="114"/>
        <v>2.436E-2</v>
      </c>
      <c r="I226" s="454">
        <f>'CPI &amp; IPART calc'!I13</f>
        <v>2.4120000000000003E-2</v>
      </c>
      <c r="J226" s="454">
        <f t="shared" ref="J226" si="115">I226</f>
        <v>2.4120000000000003E-2</v>
      </c>
      <c r="K226" s="454">
        <f t="shared" ref="K226" si="116">J226</f>
        <v>2.4120000000000003E-2</v>
      </c>
      <c r="L226" s="454">
        <f t="shared" ref="L226" si="117">K226</f>
        <v>2.4120000000000003E-2</v>
      </c>
      <c r="M226" s="454">
        <f t="shared" ref="M226" si="118">L226</f>
        <v>2.4120000000000003E-2</v>
      </c>
      <c r="N226" s="454">
        <f t="shared" ref="N226" si="119">M226</f>
        <v>2.4120000000000003E-2</v>
      </c>
      <c r="O226" s="454">
        <f t="shared" ref="O226" si="120">N226</f>
        <v>2.4120000000000003E-2</v>
      </c>
    </row>
    <row r="227" spans="2:29" ht="15" x14ac:dyDescent="0.25">
      <c r="B227" s="449" t="s">
        <v>893</v>
      </c>
      <c r="C227" s="454">
        <f>(1-C226)</f>
        <v>1</v>
      </c>
      <c r="D227" s="454">
        <f>C227*(1-D226)</f>
        <v>0.98</v>
      </c>
      <c r="E227" s="454">
        <f t="shared" ref="E227:O227" si="121">D227*(1-E226)</f>
        <v>0.95612719999999995</v>
      </c>
      <c r="F227" s="454">
        <f t="shared" si="121"/>
        <v>0.93283594140799986</v>
      </c>
      <c r="G227" s="454">
        <f t="shared" si="121"/>
        <v>0.91011205787530092</v>
      </c>
      <c r="H227" s="454">
        <f t="shared" si="121"/>
        <v>0.88794172814545858</v>
      </c>
      <c r="I227" s="454">
        <f t="shared" si="121"/>
        <v>0.86652457366259006</v>
      </c>
      <c r="J227" s="454">
        <f t="shared" si="121"/>
        <v>0.84562400094584833</v>
      </c>
      <c r="K227" s="454">
        <f t="shared" si="121"/>
        <v>0.8252275500430345</v>
      </c>
      <c r="L227" s="454">
        <f t="shared" si="121"/>
        <v>0.80532306153599653</v>
      </c>
      <c r="M227" s="454">
        <f t="shared" si="121"/>
        <v>0.78589866929174823</v>
      </c>
      <c r="N227" s="454">
        <f t="shared" si="121"/>
        <v>0.76694279338843119</v>
      </c>
      <c r="O227" s="454">
        <f t="shared" si="121"/>
        <v>0.74844413321190217</v>
      </c>
    </row>
    <row r="228" spans="2:29" ht="15" x14ac:dyDescent="0.25">
      <c r="B228" s="449" t="s">
        <v>894</v>
      </c>
      <c r="C228" s="450">
        <f t="shared" ref="C228" si="122">C31</f>
        <v>0</v>
      </c>
      <c r="D228" s="450">
        <f t="shared" ref="D228:N228" si="123">D31</f>
        <v>35003</v>
      </c>
      <c r="E228" s="450">
        <f t="shared" si="123"/>
        <v>38221.417999999998</v>
      </c>
      <c r="F228" s="450">
        <f t="shared" si="123"/>
        <v>38388.270000000004</v>
      </c>
      <c r="G228" s="450">
        <f t="shared" si="123"/>
        <v>39483.937000000005</v>
      </c>
      <c r="H228" s="450">
        <f t="shared" si="123"/>
        <v>40485.472000000002</v>
      </c>
      <c r="I228" s="450">
        <f t="shared" si="123"/>
        <v>41544.521000000001</v>
      </c>
      <c r="J228" s="450">
        <f t="shared" si="123"/>
        <v>42495.321920000002</v>
      </c>
      <c r="K228" s="450">
        <f t="shared" si="123"/>
        <v>43469.292214200002</v>
      </c>
      <c r="L228" s="450">
        <f t="shared" si="123"/>
        <v>44478.897366942998</v>
      </c>
      <c r="M228" s="450">
        <f t="shared" si="123"/>
        <v>45517.499458969251</v>
      </c>
      <c r="N228" s="450">
        <f t="shared" si="123"/>
        <v>46581.997618740643</v>
      </c>
      <c r="O228" s="450">
        <f t="shared" ref="O228" si="124">O31</f>
        <v>47673.028486293326</v>
      </c>
    </row>
    <row r="229" spans="2:29" ht="15" x14ac:dyDescent="0.25">
      <c r="B229" s="449" t="s">
        <v>895</v>
      </c>
      <c r="C229" s="450">
        <f t="shared" ref="C229" si="125">C27</f>
        <v>0</v>
      </c>
      <c r="D229" s="450">
        <f t="shared" ref="D229:N229" si="126">D27</f>
        <v>600</v>
      </c>
      <c r="E229" s="450">
        <f t="shared" si="126"/>
        <v>0</v>
      </c>
      <c r="F229" s="450">
        <f t="shared" si="126"/>
        <v>0</v>
      </c>
      <c r="G229" s="450">
        <f t="shared" si="126"/>
        <v>0</v>
      </c>
      <c r="H229" s="450">
        <f t="shared" si="126"/>
        <v>0</v>
      </c>
      <c r="I229" s="450">
        <f t="shared" si="126"/>
        <v>0</v>
      </c>
      <c r="J229" s="450">
        <f t="shared" si="126"/>
        <v>0</v>
      </c>
      <c r="K229" s="450">
        <f t="shared" si="126"/>
        <v>0</v>
      </c>
      <c r="L229" s="450">
        <f t="shared" si="126"/>
        <v>0</v>
      </c>
      <c r="M229" s="450">
        <f t="shared" si="126"/>
        <v>0</v>
      </c>
      <c r="N229" s="450">
        <f t="shared" si="126"/>
        <v>0</v>
      </c>
      <c r="O229" s="450">
        <f t="shared" ref="O229" si="127">O27</f>
        <v>0</v>
      </c>
    </row>
    <row r="230" spans="2:29" ht="15" x14ac:dyDescent="0.25">
      <c r="B230" s="449" t="s">
        <v>896</v>
      </c>
      <c r="C230" s="450">
        <f>0</f>
        <v>0</v>
      </c>
      <c r="D230" s="450">
        <f>0</f>
        <v>0</v>
      </c>
      <c r="E230" s="450">
        <f>0</f>
        <v>0</v>
      </c>
      <c r="F230" s="450">
        <f>0</f>
        <v>0</v>
      </c>
      <c r="G230" s="450">
        <f>0</f>
        <v>0</v>
      </c>
      <c r="H230" s="450">
        <f>0</f>
        <v>0</v>
      </c>
      <c r="I230" s="450">
        <f>0</f>
        <v>0</v>
      </c>
      <c r="J230" s="450">
        <f>0</f>
        <v>0</v>
      </c>
      <c r="K230" s="450">
        <f>0</f>
        <v>0</v>
      </c>
      <c r="L230" s="450">
        <f>0</f>
        <v>0</v>
      </c>
      <c r="M230" s="450">
        <f>0</f>
        <v>0</v>
      </c>
      <c r="N230" s="450">
        <f>0</f>
        <v>0</v>
      </c>
      <c r="O230" s="450">
        <f>0</f>
        <v>0</v>
      </c>
    </row>
    <row r="231" spans="2:29" ht="15" x14ac:dyDescent="0.25">
      <c r="B231" s="449" t="s">
        <v>897</v>
      </c>
      <c r="C231" s="450">
        <f>0</f>
        <v>0</v>
      </c>
      <c r="D231" s="450">
        <f>0</f>
        <v>0</v>
      </c>
      <c r="E231" s="450">
        <f>0</f>
        <v>0</v>
      </c>
      <c r="F231" s="450">
        <f>0</f>
        <v>0</v>
      </c>
      <c r="G231" s="450">
        <f>0</f>
        <v>0</v>
      </c>
      <c r="H231" s="450">
        <f>0</f>
        <v>0</v>
      </c>
      <c r="I231" s="450">
        <f>0</f>
        <v>0</v>
      </c>
      <c r="J231" s="450">
        <f>0</f>
        <v>0</v>
      </c>
      <c r="K231" s="450">
        <f>0</f>
        <v>0</v>
      </c>
      <c r="L231" s="450">
        <f>0</f>
        <v>0</v>
      </c>
      <c r="M231" s="450">
        <f>0</f>
        <v>0</v>
      </c>
      <c r="N231" s="450">
        <f>0</f>
        <v>0</v>
      </c>
      <c r="O231" s="450">
        <f>0</f>
        <v>0</v>
      </c>
    </row>
    <row r="232" spans="2:29" ht="15.75" thickBot="1" x14ac:dyDescent="0.3">
      <c r="B232" s="455" t="s">
        <v>898</v>
      </c>
      <c r="C232" s="456">
        <f t="shared" ref="C232" si="128">C228-C229-C230-C231</f>
        <v>0</v>
      </c>
      <c r="D232" s="456">
        <f t="shared" ref="D232:N232" si="129">D228-D229-D230-D231</f>
        <v>34403</v>
      </c>
      <c r="E232" s="456">
        <f t="shared" si="129"/>
        <v>38221.417999999998</v>
      </c>
      <c r="F232" s="456">
        <f t="shared" si="129"/>
        <v>38388.270000000004</v>
      </c>
      <c r="G232" s="456">
        <f t="shared" si="129"/>
        <v>39483.937000000005</v>
      </c>
      <c r="H232" s="456">
        <f t="shared" si="129"/>
        <v>40485.472000000002</v>
      </c>
      <c r="I232" s="456">
        <f t="shared" si="129"/>
        <v>41544.521000000001</v>
      </c>
      <c r="J232" s="456">
        <f t="shared" si="129"/>
        <v>42495.321920000002</v>
      </c>
      <c r="K232" s="456">
        <f t="shared" si="129"/>
        <v>43469.292214200002</v>
      </c>
      <c r="L232" s="456">
        <f t="shared" si="129"/>
        <v>44478.897366942998</v>
      </c>
      <c r="M232" s="456">
        <f t="shared" si="129"/>
        <v>45517.499458969251</v>
      </c>
      <c r="N232" s="456">
        <f t="shared" si="129"/>
        <v>46581.997618740643</v>
      </c>
      <c r="O232" s="456">
        <f t="shared" ref="O232" si="130">O228-O229-O230-O231</f>
        <v>47673.028486293326</v>
      </c>
    </row>
    <row r="233" spans="2:29" ht="15.75" thickBot="1" x14ac:dyDescent="0.3">
      <c r="B233" s="457" t="s">
        <v>891</v>
      </c>
      <c r="C233" s="458">
        <f t="shared" ref="C233" si="131">C232*C227</f>
        <v>0</v>
      </c>
      <c r="D233" s="458">
        <f t="shared" ref="D233:N233" si="132">D232*D227</f>
        <v>33714.94</v>
      </c>
      <c r="E233" s="458">
        <f t="shared" si="132"/>
        <v>36544.537372369596</v>
      </c>
      <c r="F233" s="458">
        <f>F232*F227</f>
        <v>35809.95798447448</v>
      </c>
      <c r="G233" s="458">
        <f t="shared" si="132"/>
        <v>35934.80715608874</v>
      </c>
      <c r="H233" s="458">
        <f t="shared" si="132"/>
        <v>35948.739972464573</v>
      </c>
      <c r="I233" s="458">
        <f t="shared" si="132"/>
        <v>35999.34834754152</v>
      </c>
      <c r="J233" s="458">
        <f t="shared" si="132"/>
        <v>35935.064143472213</v>
      </c>
      <c r="K233" s="458">
        <f t="shared" si="132"/>
        <v>35872.057516029025</v>
      </c>
      <c r="L233" s="458">
        <f t="shared" si="132"/>
        <v>35819.881801291907</v>
      </c>
      <c r="M233" s="458">
        <f t="shared" si="132"/>
        <v>35772.142254291801</v>
      </c>
      <c r="N233" s="458">
        <f t="shared" si="132"/>
        <v>35725.7273753302</v>
      </c>
      <c r="O233" s="458">
        <f t="shared" ref="O233" si="133">O232*O227</f>
        <v>35680.59848301013</v>
      </c>
    </row>
    <row r="234" spans="2:29" ht="42.75" x14ac:dyDescent="0.2">
      <c r="B234" s="444" t="s">
        <v>899</v>
      </c>
      <c r="C234" s="459" t="e">
        <f>C236/C237</f>
        <v>#DIV/0!</v>
      </c>
      <c r="D234" s="459">
        <f>D236/D237</f>
        <v>0</v>
      </c>
      <c r="E234" s="459">
        <f t="shared" ref="E234:N234" si="134">E236/E237</f>
        <v>0.99370124897617762</v>
      </c>
      <c r="F234" s="459">
        <f t="shared" si="134"/>
        <v>1.0673975727330196</v>
      </c>
      <c r="G234" s="459">
        <f t="shared" si="134"/>
        <v>1.7178832309325391</v>
      </c>
      <c r="H234" s="459">
        <f t="shared" si="134"/>
        <v>1.0104694978281377</v>
      </c>
      <c r="I234" s="459">
        <f t="shared" si="134"/>
        <v>1.0075306198855547</v>
      </c>
      <c r="J234" s="459">
        <f t="shared" si="134"/>
        <v>1.0147675493667618</v>
      </c>
      <c r="K234" s="459">
        <f t="shared" si="134"/>
        <v>1.0035478443809174</v>
      </c>
      <c r="L234" s="459">
        <f t="shared" si="134"/>
        <v>1.0039839656613063</v>
      </c>
      <c r="M234" s="459">
        <f t="shared" si="134"/>
        <v>1.0087825493138745</v>
      </c>
      <c r="N234" s="459">
        <f t="shared" si="134"/>
        <v>1.0042280819063754</v>
      </c>
      <c r="O234" s="459">
        <f t="shared" ref="O234" si="135">O236/O237</f>
        <v>1.005213236758292</v>
      </c>
      <c r="P234" s="433"/>
      <c r="Q234" s="433"/>
      <c r="R234" s="433"/>
      <c r="S234" s="433"/>
      <c r="T234" s="433"/>
      <c r="U234" s="433"/>
      <c r="V234" s="433"/>
      <c r="W234" s="433"/>
      <c r="X234" s="433"/>
      <c r="Y234" s="433"/>
      <c r="Z234" s="433"/>
      <c r="AA234" s="433"/>
      <c r="AB234" s="433"/>
      <c r="AC234" s="433"/>
    </row>
    <row r="235" spans="2:29" ht="15.75" x14ac:dyDescent="0.25">
      <c r="B235" s="446"/>
      <c r="C235" s="461" t="str">
        <f>IF(ISERR(AVERAGE(SUM(#REF!,#REF!,C236)/SUM(#REF!,#REF!,C237))),"",AVERAGE(SUM(#REF!,#REF!,C236)/SUM(#REF!,#REF!,C237)))</f>
        <v/>
      </c>
      <c r="D235" s="461" t="str">
        <f>IF(ISERR(AVERAGE(SUM(#REF!,#REF!,D236)/SUM(#REF!,#REF!,D237))),"",AVERAGE(SUM(#REF!,#REF!,D236)/SUM(#REF!,#REF!,D237)))</f>
        <v/>
      </c>
      <c r="E235" s="461" t="str">
        <f>IF(ISERR(AVERAGE(SUM(#REF!,D236,E236)/SUM(#REF!,D237,E237))),"",AVERAGE(SUM(#REF!,D236,E236)/SUM(#REF!,D237,E237)))</f>
        <v/>
      </c>
      <c r="F235" s="461">
        <f t="shared" ref="F235:O235" si="136">IF(ISERR(AVERAGE(SUM(D236,E236,F236)/SUM(D237,E237,F237))),"",AVERAGE(SUM(D236,E236,F236)/SUM(D237,E237,F237)))</f>
        <v>0.71882981528158085</v>
      </c>
      <c r="G235" s="461">
        <f t="shared" si="136"/>
        <v>1.2526875977648806</v>
      </c>
      <c r="H235" s="461">
        <f t="shared" si="136"/>
        <v>1.2647632617226836</v>
      </c>
      <c r="I235" s="461">
        <f t="shared" si="136"/>
        <v>1.2395288167645289</v>
      </c>
      <c r="J235" s="461">
        <f t="shared" si="136"/>
        <v>1.0109582940059707</v>
      </c>
      <c r="K235" s="461">
        <f t="shared" si="136"/>
        <v>1.0085819344000608</v>
      </c>
      <c r="L235" s="461">
        <f t="shared" si="136"/>
        <v>1.007344765301398</v>
      </c>
      <c r="M235" s="461">
        <f t="shared" si="136"/>
        <v>1.0054813493376618</v>
      </c>
      <c r="N235" s="461">
        <f t="shared" si="136"/>
        <v>1.0056665579389272</v>
      </c>
      <c r="O235" s="461">
        <f t="shared" si="136"/>
        <v>1.0060454347123233</v>
      </c>
      <c r="P235" s="433"/>
      <c r="Q235" s="433"/>
      <c r="R235" s="433"/>
      <c r="S235" s="433"/>
      <c r="T235" s="433"/>
      <c r="U235" s="433"/>
      <c r="V235" s="433"/>
      <c r="W235" s="433"/>
      <c r="X235" s="433"/>
      <c r="Y235" s="433"/>
      <c r="Z235" s="433"/>
      <c r="AA235" s="433"/>
      <c r="AB235" s="433"/>
      <c r="AC235" s="433"/>
    </row>
    <row r="236" spans="2:29" s="433" customFormat="1" ht="15" x14ac:dyDescent="0.25">
      <c r="B236" s="449" t="s">
        <v>900</v>
      </c>
      <c r="C236" s="437">
        <f>C109</f>
        <v>0</v>
      </c>
      <c r="D236" s="437">
        <f>D109</f>
        <v>0</v>
      </c>
      <c r="E236" s="437">
        <f t="shared" ref="E236:N236" si="137">E109</f>
        <v>6862</v>
      </c>
      <c r="F236" s="437">
        <f t="shared" si="137"/>
        <v>6549.5910000000003</v>
      </c>
      <c r="G236" s="437">
        <f>G109</f>
        <v>10802.8825</v>
      </c>
      <c r="H236" s="437">
        <f t="shared" si="137"/>
        <v>6510.3760000000002</v>
      </c>
      <c r="I236" s="437">
        <f t="shared" si="137"/>
        <v>6654.5879999999997</v>
      </c>
      <c r="J236" s="437">
        <f t="shared" si="137"/>
        <v>6869.9465</v>
      </c>
      <c r="K236" s="437">
        <f t="shared" si="137"/>
        <v>6963.8391624999995</v>
      </c>
      <c r="L236" s="437">
        <f t="shared" si="137"/>
        <v>7141.0371415625004</v>
      </c>
      <c r="M236" s="437">
        <f t="shared" si="137"/>
        <v>7354.5472301015634</v>
      </c>
      <c r="N236" s="437">
        <f t="shared" si="137"/>
        <v>7504.3763740541017</v>
      </c>
      <c r="O236" s="437">
        <f t="shared" ref="O236" si="138">O109</f>
        <v>7699.5316758694544</v>
      </c>
    </row>
    <row r="237" spans="2:29" s="433" customFormat="1" ht="15.75" thickBot="1" x14ac:dyDescent="0.3">
      <c r="B237" s="451" t="s">
        <v>901</v>
      </c>
      <c r="C237" s="437">
        <f t="shared" ref="C237" si="139">C128</f>
        <v>0</v>
      </c>
      <c r="D237" s="437">
        <f t="shared" ref="D237:N237" si="140">D128</f>
        <v>5616</v>
      </c>
      <c r="E237" s="437">
        <f t="shared" si="140"/>
        <v>6905.496000000001</v>
      </c>
      <c r="F237" s="437">
        <f t="shared" si="140"/>
        <v>6136.0370000000003</v>
      </c>
      <c r="G237" s="437">
        <f t="shared" si="140"/>
        <v>6288.4847499999996</v>
      </c>
      <c r="H237" s="437">
        <f t="shared" si="140"/>
        <v>6442.9218437499985</v>
      </c>
      <c r="I237" s="437">
        <f t="shared" si="140"/>
        <v>6604.8493898437482</v>
      </c>
      <c r="J237" s="437">
        <f t="shared" si="140"/>
        <v>6769.9706245898415</v>
      </c>
      <c r="K237" s="437">
        <f t="shared" si="140"/>
        <v>6939.2198902045866</v>
      </c>
      <c r="L237" s="437">
        <f t="shared" si="140"/>
        <v>7112.7003874597003</v>
      </c>
      <c r="M237" s="437">
        <f t="shared" si="140"/>
        <v>7290.5178971461919</v>
      </c>
      <c r="N237" s="437">
        <f t="shared" si="140"/>
        <v>7472.7808445748469</v>
      </c>
      <c r="O237" s="437">
        <f t="shared" ref="O237" si="141">O128</f>
        <v>7659.6003656892171</v>
      </c>
    </row>
    <row r="238" spans="2:29" s="433" customFormat="1" ht="15" x14ac:dyDescent="0.25">
      <c r="B238" s="446" t="s">
        <v>902</v>
      </c>
      <c r="C238" s="462" t="e">
        <f>C177/C176</f>
        <v>#DIV/0!</v>
      </c>
      <c r="D238" s="462">
        <f>D177/D176</f>
        <v>0.82606451612903231</v>
      </c>
      <c r="E238" s="462">
        <f t="shared" ref="E238:N238" si="142">E177/E176</f>
        <v>1</v>
      </c>
      <c r="F238" s="462">
        <f t="shared" si="142"/>
        <v>1</v>
      </c>
      <c r="G238" s="462">
        <f t="shared" si="142"/>
        <v>1</v>
      </c>
      <c r="H238" s="462">
        <f t="shared" si="142"/>
        <v>1</v>
      </c>
      <c r="I238" s="462">
        <f t="shared" si="142"/>
        <v>1</v>
      </c>
      <c r="J238" s="462">
        <f t="shared" si="142"/>
        <v>1</v>
      </c>
      <c r="K238" s="462">
        <f t="shared" si="142"/>
        <v>1</v>
      </c>
      <c r="L238" s="462">
        <f t="shared" si="142"/>
        <v>1</v>
      </c>
      <c r="M238" s="462">
        <f t="shared" si="142"/>
        <v>1</v>
      </c>
      <c r="N238" s="462">
        <f t="shared" si="142"/>
        <v>1</v>
      </c>
      <c r="O238" s="462">
        <f t="shared" ref="O238" si="143">O177/O176</f>
        <v>1</v>
      </c>
      <c r="P238" s="424"/>
      <c r="Q238" s="424"/>
      <c r="R238" s="424"/>
      <c r="S238" s="424"/>
      <c r="T238" s="424"/>
      <c r="U238" s="424"/>
      <c r="V238" s="424"/>
      <c r="W238" s="424"/>
      <c r="X238" s="424"/>
      <c r="Y238" s="424"/>
      <c r="Z238" s="424"/>
      <c r="AA238" s="424"/>
      <c r="AB238" s="424"/>
      <c r="AC238" s="424"/>
    </row>
    <row r="239" spans="2:29" s="433" customFormat="1" ht="15.75" thickBot="1" x14ac:dyDescent="0.3">
      <c r="B239" s="463" t="s">
        <v>903</v>
      </c>
      <c r="C239" s="464" t="e">
        <f>C175/C179</f>
        <v>#DIV/0!</v>
      </c>
      <c r="D239" s="464">
        <f>D175/D179</f>
        <v>2.0921636390210323E-2</v>
      </c>
      <c r="E239" s="464">
        <f t="shared" ref="E239:N239" si="144">E175/E179</f>
        <v>2.1202333570640202E-2</v>
      </c>
      <c r="F239" s="464">
        <f t="shared" si="144"/>
        <v>2.1308459510721522E-2</v>
      </c>
      <c r="G239" s="464">
        <f t="shared" si="144"/>
        <v>2.0300319896555834E-2</v>
      </c>
      <c r="H239" s="464">
        <f t="shared" si="144"/>
        <v>9.4234301255619549E-3</v>
      </c>
      <c r="I239" s="464">
        <f t="shared" si="144"/>
        <v>9.2626657543320601E-3</v>
      </c>
      <c r="J239" s="464">
        <f t="shared" si="144"/>
        <v>9.1441558722497231E-3</v>
      </c>
      <c r="K239" s="464">
        <f t="shared" si="144"/>
        <v>8.9060321589522259E-3</v>
      </c>
      <c r="L239" s="464">
        <f t="shared" si="144"/>
        <v>8.8474109302820077E-3</v>
      </c>
      <c r="M239" s="464">
        <f t="shared" si="144"/>
        <v>8.7799463957723249E-3</v>
      </c>
      <c r="N239" s="464">
        <f t="shared" si="144"/>
        <v>8.6275377018121512E-3</v>
      </c>
      <c r="O239" s="464">
        <f t="shared" ref="O239" si="145">O175/O179</f>
        <v>8.5523479924291511E-3</v>
      </c>
      <c r="P239" s="424"/>
      <c r="Q239" s="424"/>
      <c r="R239" s="424"/>
      <c r="S239" s="424"/>
      <c r="T239" s="424"/>
      <c r="U239" s="424"/>
      <c r="V239" s="424"/>
      <c r="W239" s="424"/>
      <c r="X239" s="424"/>
      <c r="Y239" s="424"/>
      <c r="Z239" s="424"/>
      <c r="AA239" s="424"/>
      <c r="AB239" s="424"/>
      <c r="AC239" s="424"/>
    </row>
    <row r="240" spans="2:29" ht="17.25" customHeight="1" x14ac:dyDescent="0.4">
      <c r="B240" s="535"/>
      <c r="C240" s="535"/>
      <c r="D240" s="535"/>
      <c r="E240" s="535"/>
      <c r="F240" s="535"/>
      <c r="G240" s="535"/>
      <c r="H240" s="535"/>
      <c r="I240" s="535"/>
      <c r="J240" s="535"/>
      <c r="K240" s="535"/>
      <c r="L240" s="535"/>
      <c r="M240" s="535"/>
      <c r="N240" s="535"/>
      <c r="O240" s="535"/>
    </row>
    <row r="241" spans="2:15" ht="15" thickBot="1" x14ac:dyDescent="0.25"/>
    <row r="242" spans="2:15" ht="15.75" thickBot="1" x14ac:dyDescent="0.3">
      <c r="B242" s="536"/>
      <c r="C242" s="537">
        <f>C5</f>
        <v>2015</v>
      </c>
      <c r="D242" s="537">
        <f t="shared" ref="D242:O242" si="146">C242+1</f>
        <v>2016</v>
      </c>
      <c r="E242" s="537">
        <f t="shared" si="146"/>
        <v>2017</v>
      </c>
      <c r="F242" s="537">
        <f t="shared" si="146"/>
        <v>2018</v>
      </c>
      <c r="G242" s="537">
        <f t="shared" si="146"/>
        <v>2019</v>
      </c>
      <c r="H242" s="537">
        <f t="shared" si="146"/>
        <v>2020</v>
      </c>
      <c r="I242" s="537">
        <f t="shared" si="146"/>
        <v>2021</v>
      </c>
      <c r="J242" s="537">
        <f t="shared" si="146"/>
        <v>2022</v>
      </c>
      <c r="K242" s="537">
        <f t="shared" si="146"/>
        <v>2023</v>
      </c>
      <c r="L242" s="537">
        <f t="shared" si="146"/>
        <v>2024</v>
      </c>
      <c r="M242" s="537">
        <f t="shared" si="146"/>
        <v>2025</v>
      </c>
      <c r="N242" s="537">
        <f t="shared" si="146"/>
        <v>2026</v>
      </c>
      <c r="O242" s="537">
        <f t="shared" si="146"/>
        <v>2027</v>
      </c>
    </row>
    <row r="243" spans="2:15" ht="15" x14ac:dyDescent="0.25">
      <c r="B243" s="455"/>
      <c r="C243" s="476"/>
      <c r="D243" s="476"/>
      <c r="E243" s="476"/>
      <c r="F243" s="476"/>
      <c r="G243" s="476"/>
      <c r="H243" s="476"/>
      <c r="I243" s="476"/>
      <c r="J243" s="476"/>
      <c r="K243" s="476"/>
      <c r="L243" s="476"/>
      <c r="M243" s="476"/>
      <c r="N243" s="476"/>
      <c r="O243" s="476"/>
    </row>
    <row r="244" spans="2:15" ht="15" x14ac:dyDescent="0.25">
      <c r="B244" s="455"/>
      <c r="C244" s="476"/>
      <c r="D244" s="476"/>
      <c r="E244" s="476"/>
      <c r="F244" s="476"/>
      <c r="G244" s="476"/>
      <c r="H244" s="476"/>
      <c r="I244" s="476"/>
      <c r="J244" s="476"/>
      <c r="K244" s="476"/>
      <c r="L244" s="476"/>
      <c r="M244" s="476"/>
      <c r="N244" s="476"/>
      <c r="O244" s="476"/>
    </row>
    <row r="245" spans="2:15" ht="15" x14ac:dyDescent="0.25">
      <c r="B245" s="455"/>
      <c r="C245" s="476"/>
      <c r="D245" s="476"/>
      <c r="E245" s="476"/>
      <c r="F245" s="476"/>
      <c r="G245" s="476"/>
      <c r="H245" s="476"/>
      <c r="I245" s="476"/>
      <c r="J245" s="476"/>
      <c r="K245" s="476"/>
      <c r="L245" s="476"/>
      <c r="M245" s="476"/>
      <c r="N245" s="476"/>
      <c r="O245" s="476"/>
    </row>
    <row r="246" spans="2:15" ht="15" x14ac:dyDescent="0.25">
      <c r="B246" s="455"/>
      <c r="C246" s="476"/>
      <c r="D246" s="476"/>
      <c r="E246" s="476"/>
      <c r="F246" s="476"/>
      <c r="G246" s="476"/>
      <c r="H246" s="476"/>
      <c r="I246" s="476"/>
      <c r="J246" s="476"/>
      <c r="K246" s="476"/>
      <c r="L246" s="476"/>
      <c r="M246" s="476"/>
      <c r="N246" s="476"/>
      <c r="O246" s="476"/>
    </row>
    <row r="247" spans="2:15" ht="20.25" x14ac:dyDescent="0.3">
      <c r="B247" s="538" t="s">
        <v>998</v>
      </c>
      <c r="C247" s="476"/>
      <c r="D247" s="476"/>
      <c r="E247" s="476"/>
      <c r="F247" s="476"/>
      <c r="G247" s="476"/>
      <c r="H247" s="476"/>
      <c r="I247" s="476"/>
      <c r="J247" s="476"/>
      <c r="K247" s="476"/>
      <c r="L247" s="476"/>
      <c r="M247" s="476"/>
      <c r="N247" s="476"/>
      <c r="O247" s="476"/>
    </row>
    <row r="248" spans="2:15" ht="26.25" x14ac:dyDescent="0.25">
      <c r="B248" s="539" t="s">
        <v>999</v>
      </c>
      <c r="C248" s="540" t="str">
        <f t="shared" ref="C248" si="147">C208</f>
        <v/>
      </c>
      <c r="D248" s="540" t="str">
        <f t="shared" ref="D248:N248" si="148">D208</f>
        <v/>
      </c>
      <c r="E248" s="540" t="str">
        <f t="shared" si="148"/>
        <v/>
      </c>
      <c r="F248" s="540">
        <f t="shared" si="148"/>
        <v>-1.2625051997187818E-2</v>
      </c>
      <c r="G248" s="540">
        <f t="shared" si="148"/>
        <v>1.0398161787175448E-2</v>
      </c>
      <c r="H248" s="540">
        <f t="shared" si="148"/>
        <v>1.619835660923372E-2</v>
      </c>
      <c r="I248" s="540">
        <f t="shared" si="148"/>
        <v>1.5410001324382134E-2</v>
      </c>
      <c r="J248" s="540">
        <f t="shared" si="148"/>
        <v>1.2804372610127093E-2</v>
      </c>
      <c r="K248" s="540">
        <f t="shared" si="148"/>
        <v>8.6574295475843523E-3</v>
      </c>
      <c r="L248" s="540">
        <f t="shared" si="148"/>
        <v>5.8029353808200148E-3</v>
      </c>
      <c r="M248" s="540">
        <f t="shared" si="148"/>
        <v>5.2667481604024239E-3</v>
      </c>
      <c r="N248" s="540">
        <f t="shared" si="148"/>
        <v>4.6755603805826934E-3</v>
      </c>
      <c r="O248" s="540">
        <f t="shared" ref="O248" si="149">O208</f>
        <v>4.0890819868293496E-3</v>
      </c>
    </row>
    <row r="249" spans="2:15" ht="26.25" x14ac:dyDescent="0.25">
      <c r="B249" s="539" t="s">
        <v>1000</v>
      </c>
      <c r="C249" s="541" t="str">
        <f t="shared" ref="C249" si="150">C212</f>
        <v/>
      </c>
      <c r="D249" s="541" t="str">
        <f t="shared" ref="D249:N249" si="151">D212</f>
        <v/>
      </c>
      <c r="E249" s="541" t="str">
        <f t="shared" si="151"/>
        <v/>
      </c>
      <c r="F249" s="541">
        <f t="shared" si="151"/>
        <v>0.74135751938037875</v>
      </c>
      <c r="G249" s="541">
        <f t="shared" si="151"/>
        <v>0.78330332890749022</v>
      </c>
      <c r="H249" s="541">
        <f t="shared" si="151"/>
        <v>0.78628367390414611</v>
      </c>
      <c r="I249" s="541">
        <f t="shared" si="151"/>
        <v>0.78803446532289201</v>
      </c>
      <c r="J249" s="541">
        <f t="shared" si="151"/>
        <v>0.78853136528569923</v>
      </c>
      <c r="K249" s="541">
        <f t="shared" si="151"/>
        <v>0.78803930046675852</v>
      </c>
      <c r="L249" s="541">
        <f t="shared" si="151"/>
        <v>0.78710505630802108</v>
      </c>
      <c r="M249" s="541">
        <f t="shared" si="151"/>
        <v>0.78665215828739066</v>
      </c>
      <c r="N249" s="541">
        <f t="shared" si="151"/>
        <v>0.78621696552033993</v>
      </c>
      <c r="O249" s="541">
        <f t="shared" ref="O249" si="152">O212</f>
        <v>0.78579431389126453</v>
      </c>
    </row>
    <row r="250" spans="2:15" ht="26.25" x14ac:dyDescent="0.25">
      <c r="B250" s="539" t="s">
        <v>1001</v>
      </c>
      <c r="C250" s="541" t="str">
        <f>C235</f>
        <v/>
      </c>
      <c r="D250" s="541" t="str">
        <f>D235</f>
        <v/>
      </c>
      <c r="E250" s="541" t="str">
        <f>E235</f>
        <v/>
      </c>
      <c r="F250" s="541">
        <f t="shared" ref="F250:N250" si="153">F235</f>
        <v>0.71882981528158085</v>
      </c>
      <c r="G250" s="541">
        <f t="shared" si="153"/>
        <v>1.2526875977648806</v>
      </c>
      <c r="H250" s="541">
        <f>H235</f>
        <v>1.2647632617226836</v>
      </c>
      <c r="I250" s="541">
        <f t="shared" si="153"/>
        <v>1.2395288167645289</v>
      </c>
      <c r="J250" s="541">
        <f t="shared" si="153"/>
        <v>1.0109582940059707</v>
      </c>
      <c r="K250" s="541">
        <f t="shared" si="153"/>
        <v>1.0085819344000608</v>
      </c>
      <c r="L250" s="541">
        <f t="shared" si="153"/>
        <v>1.007344765301398</v>
      </c>
      <c r="M250" s="541">
        <f t="shared" si="153"/>
        <v>1.0054813493376618</v>
      </c>
      <c r="N250" s="541">
        <f t="shared" si="153"/>
        <v>1.0056665579389272</v>
      </c>
      <c r="O250" s="541">
        <f t="shared" ref="O250" si="154">O235</f>
        <v>1.0060454347123233</v>
      </c>
    </row>
    <row r="251" spans="2:15" ht="15" x14ac:dyDescent="0.25">
      <c r="B251" s="539" t="s">
        <v>1002</v>
      </c>
      <c r="C251" s="540" t="e">
        <f t="shared" ref="C251" si="155">C239</f>
        <v>#DIV/0!</v>
      </c>
      <c r="D251" s="540">
        <f t="shared" ref="D251:N251" si="156">D239</f>
        <v>2.0921636390210323E-2</v>
      </c>
      <c r="E251" s="540">
        <f t="shared" si="156"/>
        <v>2.1202333570640202E-2</v>
      </c>
      <c r="F251" s="540">
        <f t="shared" si="156"/>
        <v>2.1308459510721522E-2</v>
      </c>
      <c r="G251" s="540">
        <f t="shared" si="156"/>
        <v>2.0300319896555834E-2</v>
      </c>
      <c r="H251" s="540">
        <f t="shared" si="156"/>
        <v>9.4234301255619549E-3</v>
      </c>
      <c r="I251" s="540">
        <f t="shared" si="156"/>
        <v>9.2626657543320601E-3</v>
      </c>
      <c r="J251" s="540">
        <f t="shared" si="156"/>
        <v>9.1441558722497231E-3</v>
      </c>
      <c r="K251" s="540">
        <f t="shared" si="156"/>
        <v>8.9060321589522259E-3</v>
      </c>
      <c r="L251" s="540">
        <f t="shared" si="156"/>
        <v>8.8474109302820077E-3</v>
      </c>
      <c r="M251" s="540">
        <f t="shared" si="156"/>
        <v>8.7799463957723249E-3</v>
      </c>
      <c r="N251" s="540">
        <f t="shared" si="156"/>
        <v>8.6275377018121512E-3</v>
      </c>
      <c r="O251" s="540">
        <f t="shared" ref="O251" si="157">O239</f>
        <v>8.5523479924291511E-3</v>
      </c>
    </row>
    <row r="252" spans="2:15" ht="26.25" x14ac:dyDescent="0.25">
      <c r="B252" s="539" t="s">
        <v>1003</v>
      </c>
      <c r="C252" s="542" t="e">
        <f>AVERAGE(C238:C238)</f>
        <v>#DIV/0!</v>
      </c>
      <c r="D252" s="542">
        <f>AVERAGE(D238:D238)</f>
        <v>0.82606451612903231</v>
      </c>
      <c r="E252" s="542">
        <f>AVERAGE(D238:E238)</f>
        <v>0.91303225806451616</v>
      </c>
      <c r="F252" s="542">
        <f t="shared" ref="F252:K252" si="158">AVERAGE(D238:F238)</f>
        <v>0.94202150537634421</v>
      </c>
      <c r="G252" s="542">
        <f t="shared" si="158"/>
        <v>1</v>
      </c>
      <c r="H252" s="542">
        <f t="shared" si="158"/>
        <v>1</v>
      </c>
      <c r="I252" s="542">
        <f t="shared" si="158"/>
        <v>1</v>
      </c>
      <c r="J252" s="542">
        <f t="shared" si="158"/>
        <v>1</v>
      </c>
      <c r="K252" s="542">
        <f t="shared" si="158"/>
        <v>1</v>
      </c>
      <c r="L252" s="542">
        <f>AVERAGE(J238:L238)</f>
        <v>1</v>
      </c>
      <c r="M252" s="542">
        <f t="shared" ref="M252:O252" si="159">AVERAGE(K238:M238)</f>
        <v>1</v>
      </c>
      <c r="N252" s="542">
        <f t="shared" si="159"/>
        <v>1</v>
      </c>
      <c r="O252" s="542">
        <f t="shared" si="159"/>
        <v>1</v>
      </c>
    </row>
    <row r="253" spans="2:15" ht="26.25" collapsed="1" x14ac:dyDescent="0.25">
      <c r="B253" s="539" t="s">
        <v>1004</v>
      </c>
      <c r="C253" s="541" t="str">
        <f t="shared" ref="C253" si="160">C216</f>
        <v/>
      </c>
      <c r="D253" s="541" t="str">
        <f t="shared" ref="D253:N253" si="161">D216</f>
        <v/>
      </c>
      <c r="E253" s="541" t="str">
        <f t="shared" si="161"/>
        <v/>
      </c>
      <c r="F253" s="541">
        <f t="shared" si="161"/>
        <v>3.4120049739244658E-2</v>
      </c>
      <c r="G253" s="541">
        <f t="shared" si="161"/>
        <v>3.8289345815390854E-2</v>
      </c>
      <c r="H253" s="541">
        <f t="shared" si="161"/>
        <v>3.7263672561705173E-2</v>
      </c>
      <c r="I253" s="541">
        <f t="shared" si="161"/>
        <v>3.6255310839704402E-2</v>
      </c>
      <c r="J253" s="541">
        <f t="shared" si="161"/>
        <v>3.5276419982969182E-2</v>
      </c>
      <c r="K253" s="541">
        <f t="shared" si="161"/>
        <v>3.4269283662219277E-2</v>
      </c>
      <c r="L253" s="541">
        <f t="shared" si="161"/>
        <v>3.3226864998111325E-2</v>
      </c>
      <c r="M253" s="541">
        <f t="shared" si="161"/>
        <v>3.2230241857104498E-2</v>
      </c>
      <c r="N253" s="541">
        <f t="shared" si="161"/>
        <v>3.1360208371424635E-2</v>
      </c>
      <c r="O253" s="541">
        <f t="shared" ref="O253" si="162">O216</f>
        <v>3.0531360876583976E-2</v>
      </c>
    </row>
    <row r="254" spans="2:15" ht="14.25" x14ac:dyDescent="0.2">
      <c r="B254" s="539"/>
      <c r="C254" s="476"/>
      <c r="D254" s="476"/>
      <c r="E254" s="476"/>
      <c r="F254" s="476"/>
      <c r="G254" s="476"/>
      <c r="H254" s="476"/>
      <c r="I254" s="476"/>
      <c r="J254" s="476"/>
      <c r="K254" s="476"/>
      <c r="L254" s="476"/>
      <c r="M254" s="476"/>
      <c r="N254" s="476"/>
      <c r="O254" s="476"/>
    </row>
    <row r="255" spans="2:15" ht="26.25" x14ac:dyDescent="0.25">
      <c r="B255" s="539" t="s">
        <v>1005</v>
      </c>
      <c r="C255" s="543">
        <f t="shared" ref="C255" si="163">C233/C105*1000</f>
        <v>0</v>
      </c>
      <c r="D255" s="543">
        <f t="shared" ref="D255:N255" si="164">D233/D105*1000</f>
        <v>1948.3505592524425</v>
      </c>
      <c r="E255" s="543">
        <f t="shared" si="164"/>
        <v>2093.0326906360388</v>
      </c>
      <c r="F255" s="543">
        <f t="shared" si="164"/>
        <v>2032.6667745911852</v>
      </c>
      <c r="G255" s="543">
        <f t="shared" si="164"/>
        <v>2021.5595042229556</v>
      </c>
      <c r="H255" s="543">
        <f t="shared" si="164"/>
        <v>2004.3045718564874</v>
      </c>
      <c r="I255" s="543">
        <f t="shared" si="164"/>
        <v>1999.96379708564</v>
      </c>
      <c r="J255" s="543">
        <f t="shared" si="164"/>
        <v>1978.5851857434325</v>
      </c>
      <c r="K255" s="543">
        <f t="shared" si="164"/>
        <v>1957.4985528890484</v>
      </c>
      <c r="L255" s="543">
        <f t="shared" si="164"/>
        <v>1937.2164338665013</v>
      </c>
      <c r="M255" s="543">
        <f t="shared" si="164"/>
        <v>1917.3781726862455</v>
      </c>
      <c r="N255" s="543">
        <f t="shared" si="164"/>
        <v>1900.3046476239467</v>
      </c>
      <c r="O255" s="543">
        <f t="shared" ref="O255" si="165">O233/O105*1000</f>
        <v>1880.975396063626</v>
      </c>
    </row>
    <row r="256" spans="2:15" ht="15.75" thickBot="1" x14ac:dyDescent="0.3">
      <c r="B256" s="457"/>
      <c r="C256" s="544"/>
      <c r="D256" s="544"/>
      <c r="E256" s="544"/>
      <c r="F256" s="544"/>
      <c r="G256" s="544"/>
      <c r="H256" s="544"/>
      <c r="I256" s="544"/>
      <c r="J256" s="544"/>
      <c r="K256" s="544"/>
      <c r="L256" s="544"/>
      <c r="M256" s="544"/>
      <c r="N256" s="544"/>
      <c r="O256" s="544"/>
    </row>
    <row r="258" spans="3:15" ht="14.25" x14ac:dyDescent="0.2">
      <c r="C258" s="545">
        <v>1</v>
      </c>
      <c r="D258" s="545">
        <v>1</v>
      </c>
      <c r="E258" s="545">
        <v>1</v>
      </c>
      <c r="F258" s="545">
        <v>1</v>
      </c>
      <c r="G258" s="545">
        <v>1</v>
      </c>
      <c r="H258" s="545">
        <v>1</v>
      </c>
      <c r="I258" s="545">
        <v>1</v>
      </c>
      <c r="J258" s="545">
        <v>1</v>
      </c>
      <c r="K258" s="545">
        <v>1</v>
      </c>
      <c r="L258" s="545">
        <v>1</v>
      </c>
      <c r="M258" s="545">
        <v>1</v>
      </c>
      <c r="N258" s="545">
        <v>1</v>
      </c>
      <c r="O258" s="545">
        <v>1</v>
      </c>
    </row>
    <row r="259" spans="3:15" ht="14.25" x14ac:dyDescent="0.2">
      <c r="C259" s="545">
        <v>0.6</v>
      </c>
      <c r="D259" s="545">
        <v>0.6</v>
      </c>
      <c r="E259" s="545">
        <v>0.6</v>
      </c>
      <c r="F259" s="545">
        <v>0.6</v>
      </c>
      <c r="G259" s="545">
        <v>0.6</v>
      </c>
      <c r="H259" s="545">
        <v>0.6</v>
      </c>
      <c r="I259" s="545">
        <v>0.6</v>
      </c>
      <c r="J259" s="545">
        <v>0.6</v>
      </c>
      <c r="K259" s="545">
        <v>0.6</v>
      </c>
      <c r="L259" s="545">
        <v>0.6</v>
      </c>
      <c r="M259" s="545">
        <v>0.6</v>
      </c>
      <c r="N259" s="545">
        <v>0.6</v>
      </c>
      <c r="O259" s="545">
        <v>0.6</v>
      </c>
    </row>
    <row r="260" spans="3:15" ht="14.25" x14ac:dyDescent="0.2">
      <c r="C260" s="545">
        <v>0</v>
      </c>
      <c r="D260" s="545">
        <v>0</v>
      </c>
      <c r="E260" s="545">
        <v>0</v>
      </c>
      <c r="F260" s="545">
        <v>0</v>
      </c>
      <c r="G260" s="545">
        <v>0</v>
      </c>
      <c r="H260" s="545">
        <v>0</v>
      </c>
      <c r="I260" s="545">
        <v>0</v>
      </c>
      <c r="J260" s="545">
        <v>0</v>
      </c>
      <c r="K260" s="545">
        <v>0</v>
      </c>
      <c r="L260" s="545">
        <v>0</v>
      </c>
      <c r="M260" s="545">
        <v>0</v>
      </c>
      <c r="N260" s="545">
        <v>0</v>
      </c>
      <c r="O260" s="545">
        <v>0</v>
      </c>
    </row>
    <row r="261" spans="3:15" ht="14.25" x14ac:dyDescent="0.2">
      <c r="C261" s="546">
        <v>0.2</v>
      </c>
      <c r="D261" s="546">
        <v>0.2</v>
      </c>
      <c r="E261" s="546">
        <v>0.2</v>
      </c>
      <c r="F261" s="546">
        <v>0.2</v>
      </c>
      <c r="G261" s="546">
        <v>0.2</v>
      </c>
      <c r="H261" s="546">
        <v>0.2</v>
      </c>
      <c r="I261" s="546">
        <v>0.2</v>
      </c>
      <c r="J261" s="546">
        <v>0.2</v>
      </c>
      <c r="K261" s="546">
        <v>0.2</v>
      </c>
      <c r="L261" s="546">
        <v>0.2</v>
      </c>
      <c r="M261" s="546">
        <v>0.2</v>
      </c>
      <c r="N261" s="546">
        <v>0.2</v>
      </c>
      <c r="O261" s="546">
        <v>0.2</v>
      </c>
    </row>
    <row r="262" spans="3:15" ht="14.25" x14ac:dyDescent="0.2">
      <c r="C262" s="545">
        <v>0.02</v>
      </c>
      <c r="D262" s="545">
        <v>0.02</v>
      </c>
      <c r="E262" s="545">
        <v>0.02</v>
      </c>
      <c r="F262" s="545">
        <v>0.02</v>
      </c>
      <c r="G262" s="545">
        <v>0.02</v>
      </c>
      <c r="H262" s="545">
        <v>0.02</v>
      </c>
      <c r="I262" s="545">
        <v>0.02</v>
      </c>
      <c r="J262" s="545">
        <v>0.02</v>
      </c>
      <c r="K262" s="545">
        <v>0.02</v>
      </c>
      <c r="L262" s="545">
        <v>0.02</v>
      </c>
      <c r="M262" s="545">
        <v>0.02</v>
      </c>
      <c r="N262" s="545">
        <v>0.02</v>
      </c>
      <c r="O262" s="545">
        <v>0.02</v>
      </c>
    </row>
    <row r="319" spans="2:15" ht="15" thickBot="1" x14ac:dyDescent="0.25"/>
    <row r="320" spans="2:15" ht="15" x14ac:dyDescent="0.25">
      <c r="B320" s="467" t="s">
        <v>1044</v>
      </c>
      <c r="C320" s="468"/>
      <c r="D320" s="468"/>
      <c r="E320" s="468"/>
      <c r="F320" s="468"/>
      <c r="G320" s="468"/>
      <c r="H320" s="468"/>
      <c r="I320" s="468"/>
      <c r="J320" s="468"/>
      <c r="K320" s="468"/>
      <c r="L320" s="468"/>
      <c r="M320" s="468"/>
      <c r="N320" s="468"/>
      <c r="O320" s="468"/>
    </row>
    <row r="321" spans="2:48" ht="18" x14ac:dyDescent="0.25">
      <c r="B321" s="469" t="s">
        <v>913</v>
      </c>
      <c r="C321" s="471"/>
      <c r="D321" s="471"/>
      <c r="E321" s="471"/>
      <c r="F321" s="471"/>
      <c r="G321" s="471"/>
      <c r="H321" s="471"/>
      <c r="I321" s="471"/>
      <c r="J321" s="471"/>
      <c r="K321" s="471"/>
      <c r="L321" s="471">
        <v>1676270.4676194983</v>
      </c>
      <c r="M321" s="471"/>
      <c r="N321" s="471"/>
      <c r="O321" s="471"/>
    </row>
    <row r="322" spans="2:48" ht="15.75" x14ac:dyDescent="0.25">
      <c r="B322" s="903" t="s">
        <v>1079</v>
      </c>
      <c r="C322" s="897"/>
      <c r="D322" s="897"/>
      <c r="E322" s="897"/>
      <c r="F322" s="897"/>
      <c r="G322" s="897"/>
      <c r="H322" s="898"/>
      <c r="I322" s="442"/>
      <c r="J322" s="442"/>
      <c r="K322" s="442"/>
      <c r="L322" s="442"/>
      <c r="M322" s="442"/>
      <c r="N322" s="442"/>
      <c r="O322" s="442"/>
    </row>
    <row r="323" spans="2:48" ht="24" thickBot="1" x14ac:dyDescent="0.4">
      <c r="B323" s="929" t="s">
        <v>1290</v>
      </c>
      <c r="C323" s="442"/>
      <c r="D323" s="442"/>
      <c r="E323" s="442"/>
      <c r="F323" s="442"/>
      <c r="G323" s="442"/>
      <c r="H323" s="442"/>
      <c r="I323" s="442"/>
      <c r="J323" s="442"/>
      <c r="K323" s="442"/>
      <c r="L323" s="442"/>
      <c r="M323" s="442"/>
      <c r="N323" s="442"/>
      <c r="O323" s="442"/>
    </row>
    <row r="324" spans="2:48" ht="15" x14ac:dyDescent="0.25">
      <c r="B324" s="473" t="s">
        <v>1115</v>
      </c>
      <c r="C324" s="474">
        <v>2015</v>
      </c>
      <c r="D324" s="474">
        <v>2016</v>
      </c>
      <c r="E324" s="474">
        <f t="shared" ref="E324" si="166">D324+1</f>
        <v>2017</v>
      </c>
      <c r="F324" s="474">
        <f t="shared" ref="F324" si="167">E324+1</f>
        <v>2018</v>
      </c>
      <c r="G324" s="474">
        <f t="shared" ref="G324" si="168">F324+1</f>
        <v>2019</v>
      </c>
      <c r="H324" s="474">
        <f t="shared" ref="H324" si="169">G324+1</f>
        <v>2020</v>
      </c>
      <c r="I324" s="474">
        <f t="shared" ref="I324" si="170">H324+1</f>
        <v>2021</v>
      </c>
      <c r="J324" s="474">
        <f t="shared" ref="J324" si="171">I324+1</f>
        <v>2022</v>
      </c>
      <c r="K324" s="474">
        <f t="shared" ref="K324" si="172">J324+1</f>
        <v>2023</v>
      </c>
      <c r="L324" s="474">
        <f t="shared" ref="L324" si="173">K324+1</f>
        <v>2024</v>
      </c>
      <c r="M324" s="474">
        <f>L324+1</f>
        <v>2025</v>
      </c>
      <c r="N324" s="474">
        <f>M324+1</f>
        <v>2026</v>
      </c>
      <c r="O324" s="474">
        <f>N324+1</f>
        <v>2027</v>
      </c>
    </row>
    <row r="325" spans="2:48" ht="15.75" thickBot="1" x14ac:dyDescent="0.3">
      <c r="B325" s="457"/>
      <c r="C325" s="475" t="s">
        <v>875</v>
      </c>
      <c r="D325" s="475" t="s">
        <v>875</v>
      </c>
      <c r="E325" s="475" t="s">
        <v>875</v>
      </c>
      <c r="F325" s="475" t="s">
        <v>875</v>
      </c>
      <c r="G325" s="475" t="s">
        <v>875</v>
      </c>
      <c r="H325" s="475" t="s">
        <v>875</v>
      </c>
      <c r="I325" s="475" t="s">
        <v>875</v>
      </c>
      <c r="J325" s="475" t="s">
        <v>875</v>
      </c>
      <c r="K325" s="475" t="s">
        <v>875</v>
      </c>
      <c r="L325" s="475" t="s">
        <v>875</v>
      </c>
      <c r="M325" s="475" t="s">
        <v>875</v>
      </c>
      <c r="N325" s="475" t="s">
        <v>875</v>
      </c>
      <c r="O325" s="475" t="s">
        <v>875</v>
      </c>
    </row>
    <row r="326" spans="2:48" s="433" customFormat="1" ht="15" x14ac:dyDescent="0.25">
      <c r="B326" s="455"/>
      <c r="C326" s="476"/>
      <c r="D326" s="476"/>
      <c r="E326" s="476"/>
      <c r="F326" s="476"/>
      <c r="G326" s="476"/>
      <c r="H326" s="476"/>
      <c r="I326" s="476"/>
      <c r="J326" s="476"/>
      <c r="K326" s="476"/>
      <c r="L326" s="476"/>
      <c r="M326" s="476"/>
      <c r="N326" s="476"/>
      <c r="O326" s="476"/>
      <c r="P326" s="424"/>
      <c r="Q326" s="424"/>
      <c r="R326" s="424"/>
      <c r="S326" s="424"/>
      <c r="T326" s="424"/>
      <c r="U326" s="424"/>
      <c r="V326" s="424"/>
      <c r="W326" s="424"/>
      <c r="X326" s="424"/>
      <c r="Y326" s="424"/>
      <c r="Z326" s="424"/>
      <c r="AA326" s="424"/>
      <c r="AB326" s="424"/>
      <c r="AC326" s="424"/>
      <c r="AD326" s="424"/>
      <c r="AE326" s="424"/>
      <c r="AF326" s="424"/>
      <c r="AG326" s="424"/>
      <c r="AH326" s="424"/>
      <c r="AI326" s="424"/>
      <c r="AJ326" s="424"/>
      <c r="AK326" s="424"/>
      <c r="AL326" s="424"/>
      <c r="AM326" s="424"/>
      <c r="AN326" s="424"/>
      <c r="AO326" s="424"/>
      <c r="AP326" s="424"/>
      <c r="AQ326" s="424"/>
      <c r="AR326" s="424"/>
      <c r="AS326" s="424"/>
      <c r="AT326" s="424"/>
      <c r="AU326" s="424"/>
      <c r="AV326" s="424"/>
    </row>
    <row r="327" spans="2:48" ht="15" x14ac:dyDescent="0.25">
      <c r="B327" s="472" t="s">
        <v>914</v>
      </c>
      <c r="C327" s="477"/>
      <c r="D327" s="477"/>
      <c r="E327" s="477">
        <f t="shared" ref="E327" si="174">(E331/D331)-1</f>
        <v>5.5537983929875967E-2</v>
      </c>
      <c r="F327" s="477">
        <f t="shared" ref="F327" si="175">(F331/E331)-1</f>
        <v>7.706835456528105E-2</v>
      </c>
      <c r="G327" s="477">
        <f t="shared" ref="G327" si="176">(G331/F331)-1</f>
        <v>5.0898623147541233E-2</v>
      </c>
      <c r="H327" s="477">
        <f t="shared" ref="H327" si="177">(H331/G331)-1</f>
        <v>6.7833211727787779E-2</v>
      </c>
      <c r="I327" s="477">
        <f t="shared" ref="I327" si="178">(I331/H331)-1</f>
        <v>4.8121075118118917E-2</v>
      </c>
      <c r="J327" s="477">
        <f t="shared" ref="J327" si="179">(J331/I331)-1</f>
        <v>2.4999999999999911E-2</v>
      </c>
      <c r="K327" s="477">
        <f t="shared" ref="K327" si="180">(K331/J331)-1</f>
        <v>2.4999999999999911E-2</v>
      </c>
      <c r="L327" s="477">
        <f t="shared" ref="L327" si="181">(L331/K331)-1</f>
        <v>2.4999999999999911E-2</v>
      </c>
      <c r="M327" s="477"/>
      <c r="N327" s="477"/>
      <c r="O327" s="477"/>
    </row>
    <row r="328" spans="2:48" ht="15.75" thickBot="1" x14ac:dyDescent="0.3">
      <c r="B328" s="478"/>
      <c r="C328" s="476"/>
      <c r="D328" s="476"/>
      <c r="E328" s="476"/>
      <c r="F328" s="476"/>
      <c r="G328" s="476"/>
      <c r="H328" s="476"/>
      <c r="I328" s="476"/>
      <c r="J328" s="476"/>
      <c r="K328" s="476"/>
      <c r="L328" s="476"/>
      <c r="M328" s="476"/>
      <c r="N328" s="476"/>
      <c r="O328" s="476"/>
    </row>
    <row r="329" spans="2:48" ht="15" x14ac:dyDescent="0.25">
      <c r="B329" s="422" t="s">
        <v>80</v>
      </c>
      <c r="C329" s="423">
        <f t="shared" ref="C329:L329" si="182">C324</f>
        <v>2015</v>
      </c>
      <c r="D329" s="423">
        <f t="shared" si="182"/>
        <v>2016</v>
      </c>
      <c r="E329" s="423">
        <f t="shared" si="182"/>
        <v>2017</v>
      </c>
      <c r="F329" s="423">
        <f t="shared" si="182"/>
        <v>2018</v>
      </c>
      <c r="G329" s="423">
        <f t="shared" si="182"/>
        <v>2019</v>
      </c>
      <c r="H329" s="423">
        <f t="shared" si="182"/>
        <v>2020</v>
      </c>
      <c r="I329" s="423">
        <f t="shared" si="182"/>
        <v>2021</v>
      </c>
      <c r="J329" s="423">
        <f t="shared" si="182"/>
        <v>2022</v>
      </c>
      <c r="K329" s="423">
        <f t="shared" si="182"/>
        <v>2023</v>
      </c>
      <c r="L329" s="423">
        <f t="shared" si="182"/>
        <v>2024</v>
      </c>
      <c r="M329" s="423">
        <f>M324</f>
        <v>2025</v>
      </c>
      <c r="N329" s="423">
        <f>N324</f>
        <v>2026</v>
      </c>
      <c r="O329" s="423">
        <f>O324</f>
        <v>2027</v>
      </c>
    </row>
    <row r="330" spans="2:48" ht="30" thickBot="1" x14ac:dyDescent="0.3">
      <c r="B330" s="479" t="s">
        <v>915</v>
      </c>
      <c r="C330" s="475" t="s">
        <v>875</v>
      </c>
      <c r="D330" s="475" t="s">
        <v>875</v>
      </c>
      <c r="E330" s="475" t="s">
        <v>875</v>
      </c>
      <c r="F330" s="475" t="s">
        <v>875</v>
      </c>
      <c r="G330" s="475" t="s">
        <v>875</v>
      </c>
      <c r="H330" s="475" t="s">
        <v>875</v>
      </c>
      <c r="I330" s="475" t="s">
        <v>875</v>
      </c>
      <c r="J330" s="475" t="s">
        <v>875</v>
      </c>
      <c r="K330" s="475" t="s">
        <v>875</v>
      </c>
      <c r="L330" s="475" t="s">
        <v>875</v>
      </c>
      <c r="M330" s="475" t="s">
        <v>875</v>
      </c>
      <c r="N330" s="475" t="s">
        <v>875</v>
      </c>
      <c r="O330" s="475" t="s">
        <v>875</v>
      </c>
    </row>
    <row r="331" spans="2:48" ht="15" x14ac:dyDescent="0.25">
      <c r="B331" s="480" t="s">
        <v>916</v>
      </c>
      <c r="C331" s="481">
        <f>'GF &amp; FF  Inc Exp Statement'!D84</f>
        <v>0</v>
      </c>
      <c r="D331" s="481">
        <f>'GF &amp; FF  Inc Exp Statement'!E84</f>
        <v>13690</v>
      </c>
      <c r="E331" s="481">
        <f>'GF &amp; FF  Inc Exp Statement'!F84</f>
        <v>14450.315000000001</v>
      </c>
      <c r="F331" s="481">
        <f>'GF &amp; FF  Inc Exp Statement'!G84</f>
        <v>15563.977000000001</v>
      </c>
      <c r="G331" s="481">
        <f>'GF &amp; FF  Inc Exp Statement'!H84</f>
        <v>16356.162</v>
      </c>
      <c r="H331" s="481">
        <f>'GF &amp; FF  Inc Exp Statement'!I84</f>
        <v>17465.652999999998</v>
      </c>
      <c r="I331" s="481">
        <f>'GF &amp; FF  Inc Exp Statement'!J84</f>
        <v>18306.118999999999</v>
      </c>
      <c r="J331" s="481">
        <f>'GF &amp; FF  Inc Exp Statement'!K84</f>
        <v>18763.771974999996</v>
      </c>
      <c r="K331" s="481">
        <f>'GF &amp; FF  Inc Exp Statement'!L84</f>
        <v>19232.866274374996</v>
      </c>
      <c r="L331" s="481">
        <f>'GF &amp; FF  Inc Exp Statement'!M84</f>
        <v>19713.68793123437</v>
      </c>
      <c r="M331" s="481">
        <f>'GF &amp; FF  Inc Exp Statement'!N84</f>
        <v>20206.530129515228</v>
      </c>
      <c r="N331" s="481">
        <f>'GF &amp; FF  Inc Exp Statement'!O84</f>
        <v>20711.693382753107</v>
      </c>
      <c r="O331" s="481">
        <f>'GF &amp; FF  Inc Exp Statement'!P84</f>
        <v>21229.485717321932</v>
      </c>
    </row>
    <row r="332" spans="2:48" ht="15" x14ac:dyDescent="0.25">
      <c r="B332" s="428" t="s">
        <v>580</v>
      </c>
      <c r="C332" s="481">
        <f>'GF &amp; FF  Inc Exp Statement'!D85</f>
        <v>0</v>
      </c>
      <c r="D332" s="481">
        <f>'GF &amp; FF  Inc Exp Statement'!E85</f>
        <v>7643</v>
      </c>
      <c r="E332" s="481">
        <f>'GF &amp; FF  Inc Exp Statement'!F85</f>
        <v>9486.969000000001</v>
      </c>
      <c r="F332" s="481">
        <f>'GF &amp; FF  Inc Exp Statement'!G85</f>
        <v>9897.5250000000015</v>
      </c>
      <c r="G332" s="481">
        <f>'GF &amp; FF  Inc Exp Statement'!H85</f>
        <v>9797.2430000000004</v>
      </c>
      <c r="H332" s="481">
        <f>'GF &amp; FF  Inc Exp Statement'!I85</f>
        <v>10156.66</v>
      </c>
      <c r="I332" s="481">
        <f>'GF &amp; FF  Inc Exp Statement'!J85</f>
        <v>10598.714</v>
      </c>
      <c r="J332" s="481">
        <f>'GF &amp; FF  Inc Exp Statement'!K85</f>
        <v>10810.68828</v>
      </c>
      <c r="K332" s="481">
        <f>'GF &amp; FF  Inc Exp Statement'!L85</f>
        <v>11026.9020456</v>
      </c>
      <c r="L332" s="481">
        <f>'GF &amp; FF  Inc Exp Statement'!M85</f>
        <v>11247.440086512001</v>
      </c>
      <c r="M332" s="481">
        <f>'GF &amp; FF  Inc Exp Statement'!N85</f>
        <v>11472.38888824224</v>
      </c>
      <c r="N332" s="481">
        <f>'GF &amp; FF  Inc Exp Statement'!O85</f>
        <v>11701.836666007086</v>
      </c>
      <c r="O332" s="481">
        <f>'GF &amp; FF  Inc Exp Statement'!P85</f>
        <v>11935.873399327229</v>
      </c>
    </row>
    <row r="333" spans="2:48" ht="15" x14ac:dyDescent="0.25">
      <c r="B333" s="428" t="s">
        <v>917</v>
      </c>
      <c r="C333" s="481">
        <f>'GF &amp; FF  Inc Exp Statement'!D88</f>
        <v>0</v>
      </c>
      <c r="D333" s="481">
        <f>'GF &amp; FF  Inc Exp Statement'!E88</f>
        <v>8953</v>
      </c>
      <c r="E333" s="481">
        <f>'GF &amp; FF  Inc Exp Statement'!F88</f>
        <v>6174.7439999999997</v>
      </c>
      <c r="F333" s="481">
        <f>'GF &amp; FF  Inc Exp Statement'!G88</f>
        <v>5450.8890000000001</v>
      </c>
      <c r="G333" s="481">
        <f>'GF &amp; FF  Inc Exp Statement'!H88</f>
        <v>5547.3509999999997</v>
      </c>
      <c r="H333" s="481">
        <f>'GF &amp; FF  Inc Exp Statement'!I88</f>
        <v>5643.5889999999999</v>
      </c>
      <c r="I333" s="481">
        <f>'GF &amp; FF  Inc Exp Statement'!J88</f>
        <v>5741.7657600000002</v>
      </c>
      <c r="J333" s="481">
        <f>'GF &amp; FF  Inc Exp Statement'!K88</f>
        <v>5885.3099039999997</v>
      </c>
      <c r="K333" s="481">
        <f>'GF &amp; FF  Inc Exp Statement'!L88</f>
        <v>6032.4426515999994</v>
      </c>
      <c r="L333" s="481">
        <f>'GF &amp; FF  Inc Exp Statement'!M88</f>
        <v>6183.2537178899993</v>
      </c>
      <c r="M333" s="481">
        <f>'GF &amp; FF  Inc Exp Statement'!N88</f>
        <v>6337.8350608372484</v>
      </c>
      <c r="N333" s="481">
        <f>'GF &amp; FF  Inc Exp Statement'!O88</f>
        <v>6496.2809373581795</v>
      </c>
      <c r="O333" s="481">
        <f>'GF &amp; FF  Inc Exp Statement'!P88</f>
        <v>6658.6879607921337</v>
      </c>
    </row>
    <row r="334" spans="2:48" ht="15" x14ac:dyDescent="0.25">
      <c r="B334" s="428" t="s">
        <v>918</v>
      </c>
      <c r="C334" s="481">
        <f>'GF &amp; FF  Inc Exp Statement'!D89</f>
        <v>0</v>
      </c>
      <c r="D334" s="481">
        <f>'GF &amp; FF  Inc Exp Statement'!E89</f>
        <v>14459</v>
      </c>
      <c r="E334" s="481">
        <f>'GF &amp; FF  Inc Exp Statement'!F89</f>
        <v>2898.0070000000001</v>
      </c>
      <c r="F334" s="481">
        <f>'GF &amp; FF  Inc Exp Statement'!G89</f>
        <v>3787.9670000000001</v>
      </c>
      <c r="G334" s="481">
        <f>'GF &amp; FF  Inc Exp Statement'!H89</f>
        <v>3844.3710099999998</v>
      </c>
      <c r="H334" s="481">
        <f>'GF &amp; FF  Inc Exp Statement'!I89</f>
        <v>7402.4590152999999</v>
      </c>
      <c r="I334" s="481">
        <f>'GF &amp; FF  Inc Exp Statement'!J89</f>
        <v>3962.2813326340001</v>
      </c>
      <c r="J334" s="481">
        <f>'GF &amp; FF  Inc Exp Statement'!K89</f>
        <v>4050.2319592866806</v>
      </c>
      <c r="K334" s="481">
        <f>'GF &amp; FF  Inc Exp Statement'!L89</f>
        <v>4140.1592234724139</v>
      </c>
      <c r="L334" s="481">
        <f>'GF &amp; FF  Inc Exp Statement'!M89</f>
        <v>4232.1080985668623</v>
      </c>
      <c r="M334" s="481">
        <f>'GF &amp; FF  Inc Exp Statement'!N89</f>
        <v>4326.1245934288236</v>
      </c>
      <c r="N334" s="481">
        <f>'GF &amp; FF  Inc Exp Statement'!O89</f>
        <v>4422.2557765102902</v>
      </c>
      <c r="O334" s="481">
        <f>'GF &amp; FF  Inc Exp Statement'!P89</f>
        <v>4520.5498005337095</v>
      </c>
    </row>
    <row r="335" spans="2:48" ht="15" x14ac:dyDescent="0.25">
      <c r="B335" s="428" t="s">
        <v>919</v>
      </c>
      <c r="C335" s="481">
        <f>'GF &amp; FF  Inc Exp Statement'!D86</f>
        <v>0</v>
      </c>
      <c r="D335" s="481">
        <f>'GF &amp; FF  Inc Exp Statement'!E86</f>
        <v>1053</v>
      </c>
      <c r="E335" s="481">
        <f>'GF &amp; FF  Inc Exp Statement'!F86</f>
        <v>931.5</v>
      </c>
      <c r="F335" s="481">
        <f>'GF &amp; FF  Inc Exp Statement'!G86</f>
        <v>938.20899999999995</v>
      </c>
      <c r="G335" s="481">
        <f>'GF &amp; FF  Inc Exp Statement'!H86</f>
        <v>947.19299999999998</v>
      </c>
      <c r="H335" s="481">
        <f>'GF &amp; FF  Inc Exp Statement'!I86</f>
        <v>956.88900000000001</v>
      </c>
      <c r="I335" s="481">
        <f>'GF &amp; FF  Inc Exp Statement'!J86</f>
        <v>965.43299999999999</v>
      </c>
      <c r="J335" s="481">
        <f>'GF &amp; FF  Inc Exp Statement'!K86</f>
        <v>823.88358072235985</v>
      </c>
      <c r="K335" s="481">
        <f>'GF &amp; FF  Inc Exp Statement'!L86</f>
        <v>889.10882305084647</v>
      </c>
      <c r="L335" s="481">
        <f>'GF &amp; FF  Inc Exp Statement'!M86</f>
        <v>923.62613593826484</v>
      </c>
      <c r="M335" s="481">
        <f>'GF &amp; FF  Inc Exp Statement'!N86</f>
        <v>925.5196853801832</v>
      </c>
      <c r="N335" s="481">
        <f>'GF &amp; FF  Inc Exp Statement'!O86</f>
        <v>949.96085188058635</v>
      </c>
      <c r="O335" s="481">
        <f>'GF &amp; FF  Inc Exp Statement'!P86</f>
        <v>978.6517640903254</v>
      </c>
    </row>
    <row r="336" spans="2:48" ht="15" x14ac:dyDescent="0.25">
      <c r="B336" s="428" t="s">
        <v>920</v>
      </c>
      <c r="C336" s="481">
        <f>'GF &amp; FF  Inc Exp Statement'!D92+'GF &amp; FF  Inc Exp Statement'!D93</f>
        <v>0</v>
      </c>
      <c r="D336" s="481">
        <f>'GF &amp; FF  Inc Exp Statement'!E92+'GF &amp; FF  Inc Exp Statement'!E93</f>
        <v>-3</v>
      </c>
      <c r="E336" s="481">
        <f>'GF &amp; FF  Inc Exp Statement'!F92+'GF &amp; FF  Inc Exp Statement'!F93</f>
        <v>0</v>
      </c>
      <c r="F336" s="481">
        <f>'GF &amp; FF  Inc Exp Statement'!G92+'GF &amp; FF  Inc Exp Statement'!G93</f>
        <v>0</v>
      </c>
      <c r="G336" s="481">
        <f>'GF &amp; FF  Inc Exp Statement'!H92+'GF &amp; FF  Inc Exp Statement'!H93</f>
        <v>0</v>
      </c>
      <c r="H336" s="481">
        <f>'GF &amp; FF  Inc Exp Statement'!I92+'GF &amp; FF  Inc Exp Statement'!I93</f>
        <v>0</v>
      </c>
      <c r="I336" s="481">
        <f>'GF &amp; FF  Inc Exp Statement'!J92+'GF &amp; FF  Inc Exp Statement'!J93</f>
        <v>0</v>
      </c>
      <c r="J336" s="481">
        <f>'GF &amp; FF  Inc Exp Statement'!K92+'GF &amp; FF  Inc Exp Statement'!K93</f>
        <v>0</v>
      </c>
      <c r="K336" s="481">
        <f>'GF &amp; FF  Inc Exp Statement'!L92+'GF &amp; FF  Inc Exp Statement'!L93</f>
        <v>0</v>
      </c>
      <c r="L336" s="481">
        <f>'GF &amp; FF  Inc Exp Statement'!M92+'GF &amp; FF  Inc Exp Statement'!M93</f>
        <v>0</v>
      </c>
      <c r="M336" s="481">
        <f>'GF &amp; FF  Inc Exp Statement'!N92+'GF &amp; FF  Inc Exp Statement'!N93</f>
        <v>0</v>
      </c>
      <c r="N336" s="481">
        <f>'GF &amp; FF  Inc Exp Statement'!O92+'GF &amp; FF  Inc Exp Statement'!O93</f>
        <v>0</v>
      </c>
      <c r="O336" s="481">
        <f>'GF &amp; FF  Inc Exp Statement'!P92+'GF &amp; FF  Inc Exp Statement'!P93</f>
        <v>0</v>
      </c>
    </row>
    <row r="337" spans="2:29" ht="15" x14ac:dyDescent="0.25">
      <c r="B337" s="1322" t="s">
        <v>1180</v>
      </c>
      <c r="C337" s="481"/>
      <c r="D337" s="481">
        <f>'GF &amp; FF  Inc Exp Statement'!E90</f>
        <v>0</v>
      </c>
      <c r="E337" s="481">
        <f>'GF &amp; FF  Inc Exp Statement'!F90</f>
        <v>4783.3530000000001</v>
      </c>
      <c r="F337" s="481">
        <f>'GF &amp; FF  Inc Exp Statement'!G90</f>
        <v>5059.8519999999999</v>
      </c>
      <c r="G337" s="481">
        <f>'GF &amp; FF  Inc Exp Statement'!H90</f>
        <v>5239.6229999999996</v>
      </c>
      <c r="H337" s="481">
        <f>'GF &amp; FF  Inc Exp Statement'!I90</f>
        <v>5419.1779999999999</v>
      </c>
      <c r="I337" s="481">
        <f>'GF &amp; FF  Inc Exp Statement'!J90</f>
        <v>5456.5190000000002</v>
      </c>
      <c r="J337" s="481">
        <f>'GF &amp; FF  Inc Exp Statement'!K90</f>
        <v>5565.6493800000007</v>
      </c>
      <c r="K337" s="481">
        <f>'GF &amp; FF  Inc Exp Statement'!L90</f>
        <v>5676.962367600001</v>
      </c>
      <c r="L337" s="481">
        <f>'GF &amp; FF  Inc Exp Statement'!M90</f>
        <v>5790.5016149520015</v>
      </c>
      <c r="M337" s="481">
        <f>'GF &amp; FF  Inc Exp Statement'!N90</f>
        <v>5906.3116472510419</v>
      </c>
      <c r="N337" s="481">
        <f>'GF &amp; FF  Inc Exp Statement'!O90</f>
        <v>6024.4378801960629</v>
      </c>
      <c r="O337" s="481">
        <f>'GF &amp; FF  Inc Exp Statement'!P90</f>
        <v>6144.9266377999838</v>
      </c>
    </row>
    <row r="338" spans="2:29" ht="15" x14ac:dyDescent="0.25">
      <c r="B338" s="428" t="s">
        <v>921</v>
      </c>
      <c r="C338" s="481">
        <f>'GF &amp; FF  Inc Exp Statement'!D87</f>
        <v>0</v>
      </c>
      <c r="D338" s="481">
        <f>'GF &amp; FF  Inc Exp Statement'!E87</f>
        <v>1018</v>
      </c>
      <c r="E338" s="481">
        <f>'GF &amp; FF  Inc Exp Statement'!F87</f>
        <v>2424.5369999999998</v>
      </c>
      <c r="F338" s="481">
        <f>'GF &amp; FF  Inc Exp Statement'!G87</f>
        <v>2409.788</v>
      </c>
      <c r="G338" s="481">
        <f>'GF &amp; FF  Inc Exp Statement'!H87</f>
        <v>2463.8040000000001</v>
      </c>
      <c r="H338" s="481">
        <f>'GF &amp; FF  Inc Exp Statement'!I87</f>
        <v>2520.3789999999999</v>
      </c>
      <c r="I338" s="481">
        <f>'GF &amp; FF  Inc Exp Statement'!J87</f>
        <v>2578.0160000000001</v>
      </c>
      <c r="J338" s="481">
        <f>'GF &amp; FF  Inc Exp Statement'!K87</f>
        <v>2629.5763200000001</v>
      </c>
      <c r="K338" s="481">
        <f>'GF &amp; FF  Inc Exp Statement'!L87</f>
        <v>2682.1678464000001</v>
      </c>
      <c r="L338" s="481">
        <f>'GF &amp; FF  Inc Exp Statement'!M87</f>
        <v>2735.8112033280004</v>
      </c>
      <c r="M338" s="481">
        <f>'GF &amp; FF  Inc Exp Statement'!N87</f>
        <v>2790.5274273945606</v>
      </c>
      <c r="N338" s="481">
        <f>'GF &amp; FF  Inc Exp Statement'!O87</f>
        <v>2846.337975942452</v>
      </c>
      <c r="O338" s="481">
        <f>'GF &amp; FF  Inc Exp Statement'!P87</f>
        <v>2903.2647354613009</v>
      </c>
    </row>
    <row r="339" spans="2:29" ht="15.75" thickBot="1" x14ac:dyDescent="0.3">
      <c r="B339" s="482" t="s">
        <v>922</v>
      </c>
      <c r="C339" s="484">
        <f t="shared" ref="C339" si="183">SUM(C331:C338)</f>
        <v>0</v>
      </c>
      <c r="D339" s="484">
        <f t="shared" ref="D339:F339" si="184">SUM(D331:D338)</f>
        <v>46813</v>
      </c>
      <c r="E339" s="484">
        <f t="shared" si="184"/>
        <v>41149.424999999996</v>
      </c>
      <c r="F339" s="484">
        <f t="shared" si="184"/>
        <v>43108.207000000002</v>
      </c>
      <c r="G339" s="484">
        <f t="shared" ref="G339:O339" si="185">SUM(G331:G338)</f>
        <v>44195.747009999992</v>
      </c>
      <c r="H339" s="484">
        <f t="shared" si="185"/>
        <v>49564.807015300008</v>
      </c>
      <c r="I339" s="484">
        <f t="shared" si="185"/>
        <v>47608.848092634005</v>
      </c>
      <c r="J339" s="484">
        <f t="shared" si="185"/>
        <v>48529.111399009038</v>
      </c>
      <c r="K339" s="484">
        <f t="shared" si="185"/>
        <v>49680.609232098257</v>
      </c>
      <c r="L339" s="484">
        <f t="shared" si="185"/>
        <v>50826.428788421494</v>
      </c>
      <c r="M339" s="484">
        <f t="shared" si="185"/>
        <v>51965.237432049325</v>
      </c>
      <c r="N339" s="484">
        <f t="shared" si="185"/>
        <v>53152.803470647756</v>
      </c>
      <c r="O339" s="484">
        <f t="shared" si="185"/>
        <v>54371.440015326611</v>
      </c>
      <c r="AA339" s="485"/>
      <c r="AB339" s="485"/>
      <c r="AC339" s="485"/>
    </row>
    <row r="340" spans="2:29" ht="15" x14ac:dyDescent="0.25">
      <c r="B340" s="428" t="s">
        <v>923</v>
      </c>
      <c r="C340" s="487">
        <f t="shared" ref="C340:F340" si="186">C339-C336</f>
        <v>0</v>
      </c>
      <c r="D340" s="487">
        <f t="shared" si="186"/>
        <v>46816</v>
      </c>
      <c r="E340" s="487">
        <f t="shared" si="186"/>
        <v>41149.424999999996</v>
      </c>
      <c r="F340" s="487">
        <f t="shared" si="186"/>
        <v>43108.207000000002</v>
      </c>
      <c r="G340" s="487">
        <f t="shared" ref="G340:O340" si="187">G339-G336</f>
        <v>44195.747009999992</v>
      </c>
      <c r="H340" s="487">
        <f t="shared" si="187"/>
        <v>49564.807015300008</v>
      </c>
      <c r="I340" s="487">
        <f t="shared" si="187"/>
        <v>47608.848092634005</v>
      </c>
      <c r="J340" s="487">
        <f t="shared" si="187"/>
        <v>48529.111399009038</v>
      </c>
      <c r="K340" s="487">
        <f t="shared" si="187"/>
        <v>49680.609232098257</v>
      </c>
      <c r="L340" s="487">
        <f t="shared" si="187"/>
        <v>50826.428788421494</v>
      </c>
      <c r="M340" s="487">
        <f t="shared" si="187"/>
        <v>51965.237432049325</v>
      </c>
      <c r="N340" s="487">
        <f t="shared" si="187"/>
        <v>53152.803470647756</v>
      </c>
      <c r="O340" s="487">
        <f t="shared" si="187"/>
        <v>54371.440015326611</v>
      </c>
      <c r="AA340" s="485"/>
      <c r="AB340" s="485"/>
      <c r="AC340" s="485"/>
    </row>
    <row r="341" spans="2:29" ht="15" x14ac:dyDescent="0.25">
      <c r="B341" s="428" t="s">
        <v>924</v>
      </c>
      <c r="C341" s="487">
        <f>C339-C336-C334</f>
        <v>0</v>
      </c>
      <c r="D341" s="487">
        <f>D339-D336-D334</f>
        <v>32357</v>
      </c>
      <c r="E341" s="487">
        <f t="shared" ref="E341:F341" si="188">E339-E336-E334</f>
        <v>38251.417999999998</v>
      </c>
      <c r="F341" s="487">
        <f t="shared" si="188"/>
        <v>39320.240000000005</v>
      </c>
      <c r="G341" s="487">
        <f t="shared" ref="G341:O341" si="189">G339-G336-G334</f>
        <v>40351.375999999989</v>
      </c>
      <c r="H341" s="487">
        <f t="shared" si="189"/>
        <v>42162.348000000005</v>
      </c>
      <c r="I341" s="487">
        <f t="shared" si="189"/>
        <v>43646.566760000002</v>
      </c>
      <c r="J341" s="487">
        <f t="shared" si="189"/>
        <v>44478.879439722354</v>
      </c>
      <c r="K341" s="487">
        <f t="shared" si="189"/>
        <v>45540.450008625841</v>
      </c>
      <c r="L341" s="487">
        <f t="shared" si="189"/>
        <v>46594.320689854634</v>
      </c>
      <c r="M341" s="487">
        <f t="shared" si="189"/>
        <v>47639.112838620502</v>
      </c>
      <c r="N341" s="487">
        <f t="shared" si="189"/>
        <v>48730.547694137465</v>
      </c>
      <c r="O341" s="487">
        <f t="shared" si="189"/>
        <v>49850.890214792904</v>
      </c>
      <c r="AA341" s="485"/>
      <c r="AB341" s="485"/>
      <c r="AC341" s="485"/>
    </row>
    <row r="342" spans="2:29" ht="14.25" x14ac:dyDescent="0.2">
      <c r="B342" s="428"/>
      <c r="C342" s="489"/>
      <c r="D342" s="489"/>
      <c r="E342" s="489"/>
      <c r="F342" s="489"/>
      <c r="G342" s="489"/>
      <c r="H342" s="489"/>
      <c r="I342" s="489"/>
      <c r="J342" s="489"/>
      <c r="K342" s="489"/>
      <c r="L342" s="489"/>
      <c r="M342" s="489"/>
      <c r="N342" s="489"/>
      <c r="O342" s="489"/>
      <c r="AA342" s="485"/>
      <c r="AB342" s="485"/>
      <c r="AC342" s="485"/>
    </row>
    <row r="343" spans="2:29" ht="15" x14ac:dyDescent="0.25">
      <c r="B343" s="490" t="s">
        <v>925</v>
      </c>
      <c r="C343" s="489"/>
      <c r="D343" s="489"/>
      <c r="E343" s="489"/>
      <c r="F343" s="489"/>
      <c r="G343" s="489"/>
      <c r="H343" s="489"/>
      <c r="I343" s="489"/>
      <c r="J343" s="489"/>
      <c r="K343" s="489"/>
      <c r="L343" s="489"/>
      <c r="M343" s="489"/>
      <c r="N343" s="489"/>
      <c r="O343" s="489"/>
      <c r="AA343" s="485"/>
      <c r="AB343" s="485"/>
      <c r="AC343" s="485"/>
    </row>
    <row r="344" spans="2:29" ht="15" x14ac:dyDescent="0.25">
      <c r="B344" s="428" t="s">
        <v>926</v>
      </c>
      <c r="C344" s="481">
        <f>'GF &amp; FF  Inc Exp Statement'!D99</f>
        <v>0</v>
      </c>
      <c r="D344" s="481">
        <f>'GF &amp; FF  Inc Exp Statement'!E99</f>
        <v>743</v>
      </c>
      <c r="E344" s="481">
        <f>'GF &amp; FF  Inc Exp Statement'!F99</f>
        <v>1500.3620000000001</v>
      </c>
      <c r="F344" s="481">
        <f>'GF &amp; FF  Inc Exp Statement'!G99</f>
        <v>1497.172</v>
      </c>
      <c r="G344" s="481">
        <f>'GF &amp; FF  Inc Exp Statement'!H99</f>
        <v>1494.3220000000001</v>
      </c>
      <c r="H344" s="481">
        <f>'GF &amp; FF  Inc Exp Statement'!I99</f>
        <v>1911.231</v>
      </c>
      <c r="I344" s="481">
        <f>'GF &amp; FF  Inc Exp Statement'!J99</f>
        <v>2341.6210000000001</v>
      </c>
      <c r="J344" s="481">
        <f>'GF &amp; FF  Inc Exp Statement'!K99</f>
        <v>2301.9348808</v>
      </c>
      <c r="K344" s="481">
        <f>'GF &amp; FF  Inc Exp Statement'!L99</f>
        <v>2261.4550392159999</v>
      </c>
      <c r="L344" s="481">
        <f>'GF &amp; FF  Inc Exp Statement'!M99</f>
        <v>2220.1656008003201</v>
      </c>
      <c r="M344" s="481">
        <f>'GF &amp; FF  Inc Exp Statement'!N99</f>
        <v>2178.0503736163264</v>
      </c>
      <c r="N344" s="481">
        <f>'GF &amp; FF  Inc Exp Statement'!O99</f>
        <v>2135.0928418886529</v>
      </c>
      <c r="O344" s="481">
        <f>'GF &amp; FF  Inc Exp Statement'!P99</f>
        <v>2091.276159526426</v>
      </c>
      <c r="AA344" s="485"/>
      <c r="AB344" s="485"/>
      <c r="AC344" s="485"/>
    </row>
    <row r="345" spans="2:29" ht="15" x14ac:dyDescent="0.25">
      <c r="B345" s="428" t="s">
        <v>26</v>
      </c>
      <c r="C345" s="481">
        <f>'GF &amp; FF  Inc Exp Statement'!D98</f>
        <v>0</v>
      </c>
      <c r="D345" s="481">
        <f>'GF &amp; FF  Inc Exp Statement'!E98</f>
        <v>10980</v>
      </c>
      <c r="E345" s="481">
        <f>'GF &amp; FF  Inc Exp Statement'!F98</f>
        <v>11311.316000000001</v>
      </c>
      <c r="F345" s="481">
        <f>'GF &amp; FF  Inc Exp Statement'!G98</f>
        <v>11644.458000000001</v>
      </c>
      <c r="G345" s="481">
        <f>'GF &amp; FF  Inc Exp Statement'!H98</f>
        <v>11891.706</v>
      </c>
      <c r="H345" s="481">
        <f>'GF &amp; FF  Inc Exp Statement'!I98</f>
        <v>12397.860999999999</v>
      </c>
      <c r="I345" s="481">
        <f>'GF &amp; FF  Inc Exp Statement'!J98</f>
        <v>12951.976000000001</v>
      </c>
      <c r="J345" s="481">
        <f>'GF &amp; FF  Inc Exp Statement'!K98</f>
        <v>13340.53528</v>
      </c>
      <c r="K345" s="481">
        <f>'GF &amp; FF  Inc Exp Statement'!L98</f>
        <v>13740.751338400001</v>
      </c>
      <c r="L345" s="481">
        <f>'GF &amp; FF  Inc Exp Statement'!M98</f>
        <v>14152.973878552002</v>
      </c>
      <c r="M345" s="481">
        <f>'GF &amp; FF  Inc Exp Statement'!N98</f>
        <v>14577.563094908561</v>
      </c>
      <c r="N345" s="481">
        <f>'GF &amp; FF  Inc Exp Statement'!O98</f>
        <v>15014.88998775582</v>
      </c>
      <c r="O345" s="481">
        <f>'GF &amp; FF  Inc Exp Statement'!P98</f>
        <v>15465.336687388493</v>
      </c>
      <c r="AA345" s="485"/>
      <c r="AB345" s="485"/>
      <c r="AC345" s="485"/>
    </row>
    <row r="346" spans="2:29" ht="15" x14ac:dyDescent="0.25">
      <c r="B346" s="428" t="s">
        <v>927</v>
      </c>
      <c r="C346" s="481">
        <f>'GF &amp; FF  Inc Exp Statement'!D103+'GF &amp; FF  Inc Exp Statement'!D104</f>
        <v>0</v>
      </c>
      <c r="D346" s="481">
        <f>'GF &amp; FF  Inc Exp Statement'!E103+'GF &amp; FF  Inc Exp Statement'!E104</f>
        <v>600</v>
      </c>
      <c r="E346" s="481">
        <f>'GF &amp; FF  Inc Exp Statement'!F103+'GF &amp; FF  Inc Exp Statement'!F104</f>
        <v>0</v>
      </c>
      <c r="F346" s="481">
        <f>'GF &amp; FF  Inc Exp Statement'!G103+'GF &amp; FF  Inc Exp Statement'!G104</f>
        <v>0</v>
      </c>
      <c r="G346" s="481">
        <f>'GF &amp; FF  Inc Exp Statement'!H103+'GF &amp; FF  Inc Exp Statement'!H104</f>
        <v>0</v>
      </c>
      <c r="H346" s="481">
        <f>'GF &amp; FF  Inc Exp Statement'!I103+'GF &amp; FF  Inc Exp Statement'!I104</f>
        <v>0</v>
      </c>
      <c r="I346" s="481">
        <f>'GF &amp; FF  Inc Exp Statement'!J103+'GF &amp; FF  Inc Exp Statement'!J104</f>
        <v>0</v>
      </c>
      <c r="J346" s="481">
        <f>'GF &amp; FF  Inc Exp Statement'!K103+'GF &amp; FF  Inc Exp Statement'!K104</f>
        <v>0</v>
      </c>
      <c r="K346" s="481">
        <f>'GF &amp; FF  Inc Exp Statement'!L103+'GF &amp; FF  Inc Exp Statement'!L104</f>
        <v>0</v>
      </c>
      <c r="L346" s="481">
        <f>'GF &amp; FF  Inc Exp Statement'!M103+'GF &amp; FF  Inc Exp Statement'!M104</f>
        <v>0</v>
      </c>
      <c r="M346" s="481">
        <f>'GF &amp; FF  Inc Exp Statement'!N103+'GF &amp; FF  Inc Exp Statement'!N104</f>
        <v>0</v>
      </c>
      <c r="N346" s="481">
        <f>'GF &amp; FF  Inc Exp Statement'!O103+'GF &amp; FF  Inc Exp Statement'!O104</f>
        <v>0</v>
      </c>
      <c r="O346" s="481">
        <f>'GF &amp; FF  Inc Exp Statement'!P103+'GF &amp; FF  Inc Exp Statement'!P104</f>
        <v>0</v>
      </c>
      <c r="AA346" s="485"/>
      <c r="AB346" s="485"/>
      <c r="AC346" s="485"/>
    </row>
    <row r="347" spans="2:29" ht="15" x14ac:dyDescent="0.25">
      <c r="B347" s="428" t="s">
        <v>928</v>
      </c>
      <c r="C347" s="481">
        <f>'GF &amp; FF  Inc Exp Statement'!D102</f>
        <v>0</v>
      </c>
      <c r="D347" s="481">
        <f>'GF &amp; FF  Inc Exp Statement'!E102</f>
        <v>7182</v>
      </c>
      <c r="E347" s="481">
        <f>'GF &amp; FF  Inc Exp Statement'!F102</f>
        <v>8510.6460000000006</v>
      </c>
      <c r="F347" s="481">
        <f>'GF &amp; FF  Inc Exp Statement'!G102</f>
        <v>7625.4650000000001</v>
      </c>
      <c r="G347" s="481">
        <f>'GF &amp; FF  Inc Exp Statement'!H102</f>
        <v>7756.7839999999997</v>
      </c>
      <c r="H347" s="481">
        <f>'GF &amp; FF  Inc Exp Statement'!I102</f>
        <v>8074.7730000000001</v>
      </c>
      <c r="I347" s="481">
        <f>'GF &amp; FF  Inc Exp Statement'!J102</f>
        <v>8631.0789999999997</v>
      </c>
      <c r="J347" s="481">
        <f>'GF &amp; FF  Inc Exp Statement'!K102</f>
        <v>8846.8559749999986</v>
      </c>
      <c r="K347" s="481">
        <f>'GF &amp; FF  Inc Exp Statement'!L102</f>
        <v>9068.0273743749985</v>
      </c>
      <c r="L347" s="481">
        <f>'GF &amp; FF  Inc Exp Statement'!M102</f>
        <v>9294.7280587343721</v>
      </c>
      <c r="M347" s="481">
        <f>'GF &amp; FF  Inc Exp Statement'!N102</f>
        <v>9527.0962602027321</v>
      </c>
      <c r="N347" s="481">
        <f>'GF &amp; FF  Inc Exp Statement'!O102</f>
        <v>9765.2736667077988</v>
      </c>
      <c r="O347" s="481">
        <f>'GF &amp; FF  Inc Exp Statement'!P102</f>
        <v>10009.405508375494</v>
      </c>
      <c r="AA347" s="485"/>
      <c r="AB347" s="485"/>
      <c r="AC347" s="485"/>
    </row>
    <row r="348" spans="2:29" ht="15" x14ac:dyDescent="0.25">
      <c r="B348" s="1322" t="s">
        <v>1077</v>
      </c>
      <c r="C348" s="481"/>
      <c r="D348" s="481">
        <f>'GF &amp; FF  Inc Exp Statement'!E101</f>
        <v>0</v>
      </c>
      <c r="E348" s="481">
        <f>'GF &amp; FF  Inc Exp Statement'!F101</f>
        <v>2763.3530000000001</v>
      </c>
      <c r="F348" s="481">
        <f>'GF &amp; FF  Inc Exp Statement'!G101</f>
        <v>2935.1769999999997</v>
      </c>
      <c r="G348" s="481">
        <f>'GF &amp; FF  Inc Exp Statement'!H101</f>
        <v>3069.2200000000003</v>
      </c>
      <c r="H348" s="481">
        <f>'GF &amp; FF  Inc Exp Statement'!I101</f>
        <v>3204.4650000000001</v>
      </c>
      <c r="I348" s="481">
        <f>'GF &amp; FF  Inc Exp Statement'!J101</f>
        <v>3340.5709999999999</v>
      </c>
      <c r="J348" s="481">
        <f>'GF &amp; FF  Inc Exp Statement'!K101</f>
        <v>3407.3824199999999</v>
      </c>
      <c r="K348" s="481">
        <f>'GF &amp; FF  Inc Exp Statement'!L101</f>
        <v>3475.5300683999999</v>
      </c>
      <c r="L348" s="481">
        <f>'GF &amp; FF  Inc Exp Statement'!M101</f>
        <v>3545.040669768</v>
      </c>
      <c r="M348" s="481">
        <f>'GF &amp; FF  Inc Exp Statement'!N101</f>
        <v>3615.9414831633594</v>
      </c>
      <c r="N348" s="481">
        <f>'GF &amp; FF  Inc Exp Statement'!O101</f>
        <v>3688.2603128266273</v>
      </c>
      <c r="O348" s="481">
        <f>'GF &amp; FF  Inc Exp Statement'!P101</f>
        <v>3762.0255190831599</v>
      </c>
      <c r="AA348" s="485"/>
      <c r="AB348" s="485"/>
      <c r="AC348" s="485"/>
    </row>
    <row r="349" spans="2:29" ht="15" x14ac:dyDescent="0.25">
      <c r="B349" s="428" t="s">
        <v>929</v>
      </c>
      <c r="C349" s="481">
        <f>'GF &amp; FF  Inc Exp Statement'!D100+'GF &amp; FF  Inc Exp Statement'!D105</f>
        <v>0</v>
      </c>
      <c r="D349" s="481">
        <f>'GF &amp; FF  Inc Exp Statement'!E100+'GF &amp; FF  Inc Exp Statement'!E105</f>
        <v>15498</v>
      </c>
      <c r="E349" s="481">
        <f>'GF &amp; FF  Inc Exp Statement'!F100+'GF &amp; FF  Inc Exp Statement'!F105</f>
        <v>14135.741</v>
      </c>
      <c r="F349" s="481">
        <f>'GF &amp; FF  Inc Exp Statement'!G100+'GF &amp; FF  Inc Exp Statement'!G105</f>
        <v>14685.998</v>
      </c>
      <c r="G349" s="481">
        <f>'GF &amp; FF  Inc Exp Statement'!H100+'GF &amp; FF  Inc Exp Statement'!H105</f>
        <v>14986.133000000002</v>
      </c>
      <c r="H349" s="481">
        <f>'GF &amp; FF  Inc Exp Statement'!I100+'GF &amp; FF  Inc Exp Statement'!I105</f>
        <v>15395.137000000001</v>
      </c>
      <c r="I349" s="481">
        <f>'GF &amp; FF  Inc Exp Statement'!J100+'GF &amp; FF  Inc Exp Statement'!J105</f>
        <v>16211.647999999997</v>
      </c>
      <c r="J349" s="481">
        <f>'GF &amp; FF  Inc Exp Statement'!K100+'GF &amp; FF  Inc Exp Statement'!K105</f>
        <v>16535.880959999999</v>
      </c>
      <c r="K349" s="481">
        <f>'GF &amp; FF  Inc Exp Statement'!L100+'GF &amp; FF  Inc Exp Statement'!L105</f>
        <v>16866.598579199999</v>
      </c>
      <c r="L349" s="481">
        <f>'GF &amp; FF  Inc Exp Statement'!M100+'GF &amp; FF  Inc Exp Statement'!M105</f>
        <v>17203.930550784</v>
      </c>
      <c r="M349" s="481">
        <f>'GF &amp; FF  Inc Exp Statement'!N100+'GF &amp; FF  Inc Exp Statement'!N105</f>
        <v>17548.00916179968</v>
      </c>
      <c r="N349" s="481">
        <f>'GF &amp; FF  Inc Exp Statement'!O100+'GF &amp; FF  Inc Exp Statement'!O105</f>
        <v>17898.969345035675</v>
      </c>
      <c r="O349" s="481">
        <f>'GF &amp; FF  Inc Exp Statement'!P100+'GF &amp; FF  Inc Exp Statement'!P105</f>
        <v>18256.948731936391</v>
      </c>
      <c r="AA349" s="485"/>
      <c r="AB349" s="485"/>
      <c r="AC349" s="485"/>
    </row>
    <row r="350" spans="2:29" ht="15.75" thickBot="1" x14ac:dyDescent="0.3">
      <c r="B350" s="482" t="s">
        <v>930</v>
      </c>
      <c r="C350" s="492">
        <f t="shared" ref="C350:F350" si="190">SUM(C344:C349)</f>
        <v>0</v>
      </c>
      <c r="D350" s="492">
        <f t="shared" si="190"/>
        <v>35003</v>
      </c>
      <c r="E350" s="492">
        <f t="shared" si="190"/>
        <v>38221.417999999998</v>
      </c>
      <c r="F350" s="492">
        <f t="shared" si="190"/>
        <v>38388.270000000004</v>
      </c>
      <c r="G350" s="492">
        <f t="shared" ref="G350:O350" si="191">SUM(G344:G349)</f>
        <v>39198.165000000001</v>
      </c>
      <c r="H350" s="492">
        <f t="shared" si="191"/>
        <v>40983.466999999997</v>
      </c>
      <c r="I350" s="492">
        <f t="shared" si="191"/>
        <v>43476.894999999997</v>
      </c>
      <c r="J350" s="492">
        <f t="shared" si="191"/>
        <v>44432.589515799991</v>
      </c>
      <c r="K350" s="492">
        <f t="shared" si="191"/>
        <v>45412.362399591002</v>
      </c>
      <c r="L350" s="492">
        <f t="shared" si="191"/>
        <v>46416.838758638696</v>
      </c>
      <c r="M350" s="492">
        <f t="shared" si="191"/>
        <v>47446.660373690655</v>
      </c>
      <c r="N350" s="492">
        <f t="shared" si="191"/>
        <v>48502.486154214574</v>
      </c>
      <c r="O350" s="492">
        <f t="shared" si="191"/>
        <v>49584.992606309963</v>
      </c>
      <c r="AA350" s="485"/>
      <c r="AB350" s="485"/>
      <c r="AC350" s="485"/>
    </row>
    <row r="351" spans="2:29" ht="14.25" x14ac:dyDescent="0.2">
      <c r="B351" s="428"/>
      <c r="C351" s="447"/>
      <c r="D351" s="447"/>
      <c r="E351" s="447"/>
      <c r="F351" s="447"/>
      <c r="G351" s="447"/>
      <c r="H351" s="447"/>
      <c r="I351" s="447"/>
      <c r="J351" s="447"/>
      <c r="K351" s="447"/>
      <c r="L351" s="447"/>
      <c r="M351" s="447"/>
      <c r="N351" s="447"/>
      <c r="O351" s="447"/>
      <c r="AA351" s="485"/>
      <c r="AB351" s="485"/>
      <c r="AC351" s="485"/>
    </row>
    <row r="352" spans="2:29" ht="15" x14ac:dyDescent="0.25">
      <c r="B352" s="478" t="s">
        <v>931</v>
      </c>
      <c r="C352" s="450">
        <f t="shared" ref="C352:L352" si="192">C339-C350</f>
        <v>0</v>
      </c>
      <c r="D352" s="450">
        <f t="shared" si="192"/>
        <v>11810</v>
      </c>
      <c r="E352" s="450">
        <f t="shared" si="192"/>
        <v>2928.0069999999978</v>
      </c>
      <c r="F352" s="450">
        <f t="shared" si="192"/>
        <v>4719.9369999999981</v>
      </c>
      <c r="G352" s="450">
        <f t="shared" si="192"/>
        <v>4997.582009999991</v>
      </c>
      <c r="H352" s="450">
        <f t="shared" si="192"/>
        <v>8581.3400153000111</v>
      </c>
      <c r="I352" s="450">
        <f t="shared" si="192"/>
        <v>4131.9530926340085</v>
      </c>
      <c r="J352" s="450">
        <f t="shared" si="192"/>
        <v>4096.5218832090468</v>
      </c>
      <c r="K352" s="450">
        <f t="shared" si="192"/>
        <v>4268.246832507255</v>
      </c>
      <c r="L352" s="450">
        <f t="shared" si="192"/>
        <v>4409.5900297827975</v>
      </c>
      <c r="M352" s="450">
        <f>M339-M350</f>
        <v>4518.5770583586709</v>
      </c>
      <c r="N352" s="450">
        <f>N339-N350</f>
        <v>4650.317316433182</v>
      </c>
      <c r="O352" s="450">
        <f>O339-O350</f>
        <v>4786.4474090166477</v>
      </c>
      <c r="AA352" s="485"/>
      <c r="AB352" s="485"/>
      <c r="AC352" s="485"/>
    </row>
    <row r="353" spans="2:31" ht="30" x14ac:dyDescent="0.25">
      <c r="B353" s="478" t="s">
        <v>932</v>
      </c>
      <c r="C353" s="450">
        <f t="shared" ref="C353:L353" si="193">C352-C334</f>
        <v>0</v>
      </c>
      <c r="D353" s="450">
        <f t="shared" si="193"/>
        <v>-2649</v>
      </c>
      <c r="E353" s="450">
        <f t="shared" si="193"/>
        <v>29.999999999997726</v>
      </c>
      <c r="F353" s="450">
        <f t="shared" si="193"/>
        <v>931.96999999999798</v>
      </c>
      <c r="G353" s="450">
        <f t="shared" si="193"/>
        <v>1153.2109999999911</v>
      </c>
      <c r="H353" s="450">
        <f t="shared" si="193"/>
        <v>1178.8810000000112</v>
      </c>
      <c r="I353" s="450">
        <f t="shared" si="193"/>
        <v>169.67176000000836</v>
      </c>
      <c r="J353" s="450">
        <f t="shared" si="193"/>
        <v>46.289923922366143</v>
      </c>
      <c r="K353" s="450">
        <f t="shared" si="193"/>
        <v>128.08760903484108</v>
      </c>
      <c r="L353" s="450">
        <f t="shared" si="193"/>
        <v>177.48193121593522</v>
      </c>
      <c r="M353" s="450">
        <f>M352-M334</f>
        <v>192.45246492984734</v>
      </c>
      <c r="N353" s="450">
        <f>N352-N334</f>
        <v>228.06153992289182</v>
      </c>
      <c r="O353" s="450">
        <f>O352-O334</f>
        <v>265.89760848293827</v>
      </c>
      <c r="AA353" s="485"/>
      <c r="AB353" s="485"/>
      <c r="AC353" s="485"/>
    </row>
    <row r="354" spans="2:31" ht="30" x14ac:dyDescent="0.25">
      <c r="B354" s="478" t="s">
        <v>933</v>
      </c>
      <c r="C354" s="450">
        <f t="shared" ref="C354:L354" si="194">C352-C334-C336+C346</f>
        <v>0</v>
      </c>
      <c r="D354" s="450">
        <f t="shared" si="194"/>
        <v>-2046</v>
      </c>
      <c r="E354" s="450">
        <f t="shared" si="194"/>
        <v>29.999999999997726</v>
      </c>
      <c r="F354" s="450">
        <f t="shared" si="194"/>
        <v>931.96999999999798</v>
      </c>
      <c r="G354" s="450">
        <f t="shared" si="194"/>
        <v>1153.2109999999911</v>
      </c>
      <c r="H354" s="450">
        <f t="shared" si="194"/>
        <v>1178.8810000000112</v>
      </c>
      <c r="I354" s="450">
        <f t="shared" si="194"/>
        <v>169.67176000000836</v>
      </c>
      <c r="J354" s="450">
        <f t="shared" si="194"/>
        <v>46.289923922366143</v>
      </c>
      <c r="K354" s="450">
        <f t="shared" si="194"/>
        <v>128.08760903484108</v>
      </c>
      <c r="L354" s="450">
        <f t="shared" si="194"/>
        <v>177.48193121593522</v>
      </c>
      <c r="M354" s="450">
        <f>M352-M334-M336+M346</f>
        <v>192.45246492984734</v>
      </c>
      <c r="N354" s="450">
        <f>N352-N334-N336+N346</f>
        <v>228.06153992289182</v>
      </c>
      <c r="O354" s="450">
        <f>O352-O334-O336+O346</f>
        <v>265.89760848293827</v>
      </c>
      <c r="AA354" s="485"/>
      <c r="AB354" s="485"/>
      <c r="AC354" s="485"/>
    </row>
    <row r="355" spans="2:31" ht="15" x14ac:dyDescent="0.25">
      <c r="B355" s="478" t="s">
        <v>934</v>
      </c>
      <c r="C355" s="450">
        <f t="shared" ref="C355:O355" si="195">C354+C347+C344</f>
        <v>0</v>
      </c>
      <c r="D355" s="450">
        <f t="shared" si="195"/>
        <v>5879</v>
      </c>
      <c r="E355" s="450">
        <f t="shared" si="195"/>
        <v>10041.007999999998</v>
      </c>
      <c r="F355" s="450">
        <f t="shared" si="195"/>
        <v>10054.606999999998</v>
      </c>
      <c r="G355" s="450">
        <f t="shared" si="195"/>
        <v>10404.316999999992</v>
      </c>
      <c r="H355" s="450">
        <f t="shared" si="195"/>
        <v>11164.885000000011</v>
      </c>
      <c r="I355" s="450">
        <f t="shared" si="195"/>
        <v>11142.371760000009</v>
      </c>
      <c r="J355" s="450">
        <f t="shared" si="195"/>
        <v>11195.080779722364</v>
      </c>
      <c r="K355" s="450">
        <f t="shared" si="195"/>
        <v>11457.57002262584</v>
      </c>
      <c r="L355" s="450">
        <f t="shared" si="195"/>
        <v>11692.375590750627</v>
      </c>
      <c r="M355" s="450">
        <f t="shared" si="195"/>
        <v>11897.599098748906</v>
      </c>
      <c r="N355" s="450">
        <f t="shared" si="195"/>
        <v>12128.428048519343</v>
      </c>
      <c r="O355" s="450">
        <f t="shared" si="195"/>
        <v>12366.579276384857</v>
      </c>
      <c r="AA355" s="485"/>
      <c r="AB355" s="485"/>
      <c r="AC355" s="485"/>
    </row>
    <row r="356" spans="2:31" ht="15" thickBot="1" x14ac:dyDescent="0.25">
      <c r="B356" s="493"/>
      <c r="C356" s="494"/>
      <c r="D356" s="494"/>
      <c r="E356" s="494"/>
      <c r="F356" s="494"/>
      <c r="G356" s="494"/>
      <c r="H356" s="494"/>
      <c r="I356" s="494"/>
      <c r="J356" s="494"/>
      <c r="K356" s="494"/>
      <c r="L356" s="494"/>
      <c r="M356" s="494"/>
      <c r="N356" s="494"/>
      <c r="O356" s="494"/>
      <c r="AA356" s="485"/>
      <c r="AB356" s="485"/>
      <c r="AC356" s="485"/>
    </row>
    <row r="357" spans="2:31" ht="14.25" x14ac:dyDescent="0.2">
      <c r="AA357" s="485"/>
      <c r="AB357" s="485"/>
      <c r="AC357" s="485"/>
    </row>
    <row r="358" spans="2:31" ht="15" hidden="1" outlineLevel="1" x14ac:dyDescent="0.25">
      <c r="B358" s="422" t="s">
        <v>81</v>
      </c>
      <c r="C358" s="423">
        <f t="shared" ref="C358:L358" si="196">C324</f>
        <v>2015</v>
      </c>
      <c r="D358" s="423">
        <f t="shared" si="196"/>
        <v>2016</v>
      </c>
      <c r="E358" s="423">
        <f t="shared" si="196"/>
        <v>2017</v>
      </c>
      <c r="F358" s="423">
        <f t="shared" si="196"/>
        <v>2018</v>
      </c>
      <c r="G358" s="423">
        <f t="shared" si="196"/>
        <v>2019</v>
      </c>
      <c r="H358" s="423">
        <f t="shared" si="196"/>
        <v>2020</v>
      </c>
      <c r="I358" s="423">
        <f t="shared" si="196"/>
        <v>2021</v>
      </c>
      <c r="J358" s="423">
        <f t="shared" si="196"/>
        <v>2022</v>
      </c>
      <c r="K358" s="423">
        <f t="shared" si="196"/>
        <v>2023</v>
      </c>
      <c r="L358" s="423">
        <f t="shared" si="196"/>
        <v>2024</v>
      </c>
      <c r="M358" s="423">
        <f>M324</f>
        <v>2025</v>
      </c>
      <c r="N358" s="423">
        <f>N324</f>
        <v>2026</v>
      </c>
      <c r="O358" s="423">
        <f>O324</f>
        <v>2027</v>
      </c>
      <c r="AA358" s="485"/>
      <c r="AB358" s="485"/>
      <c r="AC358" s="485"/>
    </row>
    <row r="359" spans="2:31" ht="15.75" hidden="1" outlineLevel="1" thickBot="1" x14ac:dyDescent="0.3">
      <c r="B359" s="425"/>
      <c r="C359" s="475" t="s">
        <v>875</v>
      </c>
      <c r="D359" s="475" t="s">
        <v>875</v>
      </c>
      <c r="E359" s="475" t="s">
        <v>875</v>
      </c>
      <c r="F359" s="475" t="s">
        <v>875</v>
      </c>
      <c r="G359" s="475" t="s">
        <v>875</v>
      </c>
      <c r="H359" s="475" t="s">
        <v>875</v>
      </c>
      <c r="I359" s="475" t="s">
        <v>875</v>
      </c>
      <c r="J359" s="475" t="s">
        <v>875</v>
      </c>
      <c r="K359" s="475" t="s">
        <v>875</v>
      </c>
      <c r="L359" s="475" t="s">
        <v>875</v>
      </c>
      <c r="M359" s="475" t="s">
        <v>875</v>
      </c>
      <c r="N359" s="475" t="s">
        <v>875</v>
      </c>
      <c r="O359" s="475" t="s">
        <v>875</v>
      </c>
      <c r="AA359" s="485"/>
      <c r="AB359" s="485"/>
      <c r="AC359" s="485"/>
    </row>
    <row r="360" spans="2:31" ht="14.25" hidden="1" outlineLevel="1" x14ac:dyDescent="0.2">
      <c r="B360" s="480"/>
      <c r="C360" s="468"/>
      <c r="D360" s="468"/>
      <c r="E360" s="468"/>
      <c r="F360" s="468"/>
      <c r="G360" s="468"/>
      <c r="H360" s="468"/>
      <c r="I360" s="468"/>
      <c r="J360" s="468"/>
      <c r="K360" s="468"/>
      <c r="L360" s="468"/>
      <c r="M360" s="468"/>
      <c r="N360" s="468"/>
      <c r="O360" s="468"/>
      <c r="AA360" s="485"/>
      <c r="AB360" s="485"/>
      <c r="AC360" s="485"/>
    </row>
    <row r="361" spans="2:31" ht="15" hidden="1" outlineLevel="1" x14ac:dyDescent="0.25">
      <c r="B361" s="478" t="s">
        <v>35</v>
      </c>
      <c r="C361" s="470"/>
      <c r="D361" s="470"/>
      <c r="E361" s="470"/>
      <c r="F361" s="470"/>
      <c r="G361" s="470"/>
      <c r="H361" s="470"/>
      <c r="I361" s="470"/>
      <c r="J361" s="470"/>
      <c r="K361" s="470"/>
      <c r="L361" s="470"/>
      <c r="M361" s="470"/>
      <c r="N361" s="470"/>
      <c r="O361" s="470"/>
      <c r="AA361" s="485"/>
      <c r="AB361" s="485"/>
      <c r="AC361" s="485"/>
    </row>
    <row r="362" spans="2:31" ht="14.25" hidden="1" outlineLevel="1" x14ac:dyDescent="0.2">
      <c r="B362" s="428"/>
      <c r="C362" s="470"/>
      <c r="D362" s="470"/>
      <c r="E362" s="470"/>
      <c r="F362" s="470"/>
      <c r="G362" s="470"/>
      <c r="H362" s="470"/>
      <c r="I362" s="470"/>
      <c r="J362" s="470"/>
      <c r="K362" s="470"/>
      <c r="L362" s="470"/>
      <c r="M362" s="470"/>
      <c r="N362" s="470"/>
      <c r="O362" s="470"/>
      <c r="AA362" s="485"/>
      <c r="AB362" s="485"/>
      <c r="AC362" s="485"/>
    </row>
    <row r="363" spans="2:31" ht="15" hidden="1" outlineLevel="1" x14ac:dyDescent="0.25">
      <c r="B363" s="428" t="s">
        <v>935</v>
      </c>
      <c r="C363" s="496"/>
      <c r="D363" s="496"/>
      <c r="E363" s="496"/>
      <c r="F363" s="496"/>
      <c r="G363" s="496"/>
      <c r="H363" s="496"/>
      <c r="I363" s="496"/>
      <c r="J363" s="496"/>
      <c r="K363" s="496"/>
      <c r="L363" s="496"/>
      <c r="M363" s="495"/>
      <c r="N363" s="495"/>
      <c r="O363" s="495"/>
      <c r="AA363" s="485"/>
      <c r="AB363" s="485"/>
      <c r="AC363" s="485"/>
      <c r="AE363" s="424">
        <v>6</v>
      </c>
    </row>
    <row r="364" spans="2:31" ht="15" hidden="1" outlineLevel="1" x14ac:dyDescent="0.25">
      <c r="B364" s="428" t="s">
        <v>38</v>
      </c>
      <c r="C364" s="496"/>
      <c r="D364" s="496"/>
      <c r="E364" s="496"/>
      <c r="F364" s="496"/>
      <c r="G364" s="496"/>
      <c r="H364" s="496"/>
      <c r="I364" s="496"/>
      <c r="J364" s="496"/>
      <c r="K364" s="496"/>
      <c r="L364" s="496"/>
      <c r="M364" s="495"/>
      <c r="N364" s="495"/>
      <c r="O364" s="495"/>
    </row>
    <row r="365" spans="2:31" ht="15" hidden="1" outlineLevel="1" x14ac:dyDescent="0.25">
      <c r="B365" s="428" t="s">
        <v>39</v>
      </c>
      <c r="C365" s="496"/>
      <c r="D365" s="496"/>
      <c r="E365" s="496"/>
      <c r="F365" s="496"/>
      <c r="G365" s="496"/>
      <c r="H365" s="496"/>
      <c r="I365" s="496"/>
      <c r="J365" s="496"/>
      <c r="K365" s="496"/>
      <c r="L365" s="496"/>
      <c r="M365" s="495"/>
      <c r="N365" s="495"/>
      <c r="O365" s="495"/>
    </row>
    <row r="366" spans="2:31" ht="15" hidden="1" outlineLevel="1" x14ac:dyDescent="0.25">
      <c r="B366" s="428" t="s">
        <v>40</v>
      </c>
      <c r="C366" s="496"/>
      <c r="D366" s="496"/>
      <c r="E366" s="496"/>
      <c r="F366" s="496"/>
      <c r="G366" s="496"/>
      <c r="H366" s="496"/>
      <c r="I366" s="496"/>
      <c r="J366" s="496"/>
      <c r="K366" s="496"/>
      <c r="L366" s="496"/>
      <c r="M366" s="495"/>
      <c r="N366" s="495"/>
      <c r="O366" s="495"/>
    </row>
    <row r="367" spans="2:31" ht="15" hidden="1" outlineLevel="1" x14ac:dyDescent="0.25">
      <c r="B367" s="428" t="s">
        <v>41</v>
      </c>
      <c r="C367" s="496"/>
      <c r="D367" s="496"/>
      <c r="E367" s="496"/>
      <c r="F367" s="496"/>
      <c r="G367" s="496"/>
      <c r="H367" s="496"/>
      <c r="I367" s="496"/>
      <c r="J367" s="496"/>
      <c r="K367" s="496"/>
      <c r="L367" s="496"/>
      <c r="M367" s="495"/>
      <c r="N367" s="495"/>
      <c r="O367" s="495"/>
    </row>
    <row r="368" spans="2:31" ht="15" hidden="1" outlineLevel="1" x14ac:dyDescent="0.25">
      <c r="B368" s="428" t="s">
        <v>936</v>
      </c>
      <c r="C368" s="496"/>
      <c r="D368" s="496"/>
      <c r="E368" s="496"/>
      <c r="F368" s="496"/>
      <c r="G368" s="496"/>
      <c r="H368" s="496"/>
      <c r="I368" s="496"/>
      <c r="J368" s="496"/>
      <c r="K368" s="496"/>
      <c r="L368" s="496"/>
      <c r="M368" s="495"/>
      <c r="N368" s="495"/>
      <c r="O368" s="495"/>
      <c r="P368" s="485"/>
      <c r="R368" s="485"/>
      <c r="T368" s="485"/>
      <c r="U368" s="485"/>
      <c r="V368" s="485"/>
      <c r="W368" s="485"/>
      <c r="X368" s="485"/>
      <c r="Y368" s="485"/>
      <c r="Z368" s="485"/>
      <c r="AA368" s="485"/>
      <c r="AB368" s="485"/>
      <c r="AC368" s="485"/>
    </row>
    <row r="369" spans="2:29" ht="15" hidden="1" outlineLevel="1" x14ac:dyDescent="0.25">
      <c r="B369" s="478" t="s">
        <v>42</v>
      </c>
      <c r="C369" s="486">
        <f t="shared" ref="C369" si="197">SUM(C363:C368)</f>
        <v>0</v>
      </c>
      <c r="D369" s="486">
        <f t="shared" ref="D369:L369" si="198">SUM(D363:D368)</f>
        <v>0</v>
      </c>
      <c r="E369" s="486">
        <f t="shared" si="198"/>
        <v>0</v>
      </c>
      <c r="F369" s="486">
        <f t="shared" si="198"/>
        <v>0</v>
      </c>
      <c r="G369" s="486">
        <f t="shared" si="198"/>
        <v>0</v>
      </c>
      <c r="H369" s="486">
        <f t="shared" si="198"/>
        <v>0</v>
      </c>
      <c r="I369" s="486">
        <f t="shared" si="198"/>
        <v>0</v>
      </c>
      <c r="J369" s="486">
        <f t="shared" si="198"/>
        <v>0</v>
      </c>
      <c r="K369" s="486">
        <f t="shared" si="198"/>
        <v>0</v>
      </c>
      <c r="L369" s="486">
        <f t="shared" si="198"/>
        <v>0</v>
      </c>
      <c r="M369" s="486">
        <f>SUM(M363:M368)</f>
        <v>0</v>
      </c>
      <c r="N369" s="486">
        <f>SUM(N363:N368)</f>
        <v>0</v>
      </c>
      <c r="O369" s="486">
        <f>SUM(O363:O368)</f>
        <v>0</v>
      </c>
    </row>
    <row r="370" spans="2:29" ht="14.25" hidden="1" outlineLevel="1" x14ac:dyDescent="0.2">
      <c r="B370" s="428"/>
      <c r="C370" s="488"/>
      <c r="D370" s="488"/>
      <c r="E370" s="488"/>
      <c r="F370" s="488"/>
      <c r="G370" s="488"/>
      <c r="H370" s="488"/>
      <c r="I370" s="488"/>
      <c r="J370" s="488"/>
      <c r="K370" s="488"/>
      <c r="L370" s="488"/>
      <c r="M370" s="488"/>
      <c r="N370" s="488"/>
      <c r="O370" s="488"/>
    </row>
    <row r="371" spans="2:29" ht="15" hidden="1" outlineLevel="1" x14ac:dyDescent="0.25">
      <c r="B371" s="428" t="s">
        <v>937</v>
      </c>
      <c r="C371" s="496"/>
      <c r="D371" s="496"/>
      <c r="E371" s="496"/>
      <c r="F371" s="496"/>
      <c r="G371" s="496"/>
      <c r="H371" s="496"/>
      <c r="I371" s="496"/>
      <c r="J371" s="496"/>
      <c r="K371" s="496"/>
      <c r="L371" s="496"/>
      <c r="M371" s="495"/>
      <c r="N371" s="495"/>
      <c r="O371" s="495"/>
      <c r="P371" s="485"/>
      <c r="R371" s="485"/>
      <c r="T371" s="485"/>
      <c r="U371" s="485"/>
      <c r="V371" s="485"/>
      <c r="W371" s="485"/>
      <c r="X371" s="485"/>
      <c r="Y371" s="485"/>
      <c r="Z371" s="485"/>
      <c r="AA371" s="485"/>
      <c r="AB371" s="485"/>
      <c r="AC371" s="485"/>
    </row>
    <row r="372" spans="2:29" ht="15" hidden="1" outlineLevel="1" x14ac:dyDescent="0.25">
      <c r="B372" s="428" t="s">
        <v>38</v>
      </c>
      <c r="C372" s="496"/>
      <c r="D372" s="496"/>
      <c r="E372" s="496"/>
      <c r="F372" s="496"/>
      <c r="G372" s="496"/>
      <c r="H372" s="496"/>
      <c r="I372" s="496"/>
      <c r="J372" s="496"/>
      <c r="K372" s="496"/>
      <c r="L372" s="496"/>
      <c r="M372" s="495"/>
      <c r="N372" s="495"/>
      <c r="O372" s="495"/>
    </row>
    <row r="373" spans="2:29" ht="15" hidden="1" outlineLevel="1" x14ac:dyDescent="0.25">
      <c r="B373" s="428" t="s">
        <v>39</v>
      </c>
      <c r="C373" s="496"/>
      <c r="D373" s="496"/>
      <c r="E373" s="496"/>
      <c r="F373" s="496"/>
      <c r="G373" s="496"/>
      <c r="H373" s="496"/>
      <c r="I373" s="496"/>
      <c r="J373" s="496"/>
      <c r="K373" s="496"/>
      <c r="L373" s="496"/>
      <c r="M373" s="495"/>
      <c r="N373" s="495"/>
      <c r="O373" s="495"/>
    </row>
    <row r="374" spans="2:29" ht="15" hidden="1" outlineLevel="1" x14ac:dyDescent="0.25">
      <c r="B374" s="428" t="s">
        <v>40</v>
      </c>
      <c r="C374" s="496"/>
      <c r="D374" s="496"/>
      <c r="E374" s="496"/>
      <c r="F374" s="496"/>
      <c r="G374" s="496"/>
      <c r="H374" s="496"/>
      <c r="I374" s="496"/>
      <c r="J374" s="496"/>
      <c r="K374" s="496"/>
      <c r="L374" s="496"/>
      <c r="M374" s="495"/>
      <c r="N374" s="495"/>
      <c r="O374" s="495"/>
    </row>
    <row r="375" spans="2:29" ht="15" hidden="1" outlineLevel="1" x14ac:dyDescent="0.25">
      <c r="B375" s="428" t="s">
        <v>938</v>
      </c>
      <c r="C375" s="496"/>
      <c r="D375" s="496"/>
      <c r="E375" s="496"/>
      <c r="F375" s="496"/>
      <c r="G375" s="496"/>
      <c r="H375" s="496"/>
      <c r="I375" s="496"/>
      <c r="J375" s="496"/>
      <c r="K375" s="496"/>
      <c r="L375" s="496"/>
      <c r="M375" s="495"/>
      <c r="N375" s="495"/>
      <c r="O375" s="495"/>
    </row>
    <row r="376" spans="2:29" ht="15" hidden="1" outlineLevel="1" x14ac:dyDescent="0.25">
      <c r="B376" s="428" t="s">
        <v>939</v>
      </c>
      <c r="C376" s="496"/>
      <c r="D376" s="496"/>
      <c r="E376" s="496"/>
      <c r="F376" s="496"/>
      <c r="G376" s="496"/>
      <c r="H376" s="496"/>
      <c r="I376" s="496"/>
      <c r="J376" s="496"/>
      <c r="K376" s="496"/>
      <c r="L376" s="496"/>
      <c r="M376" s="495"/>
      <c r="N376" s="495"/>
      <c r="O376" s="495"/>
    </row>
    <row r="377" spans="2:29" ht="15" hidden="1" outlineLevel="1" x14ac:dyDescent="0.25">
      <c r="B377" s="428" t="s">
        <v>940</v>
      </c>
      <c r="C377" s="496"/>
      <c r="D377" s="496"/>
      <c r="E377" s="496"/>
      <c r="F377" s="496"/>
      <c r="G377" s="496"/>
      <c r="H377" s="496"/>
      <c r="I377" s="496"/>
      <c r="J377" s="496"/>
      <c r="K377" s="496"/>
      <c r="L377" s="496"/>
      <c r="M377" s="495"/>
      <c r="N377" s="495"/>
      <c r="O377" s="495"/>
    </row>
    <row r="378" spans="2:29" ht="15" hidden="1" outlineLevel="1" x14ac:dyDescent="0.25">
      <c r="B378" s="478" t="s">
        <v>941</v>
      </c>
      <c r="C378" s="486">
        <f>SUM(C371:C377)</f>
        <v>0</v>
      </c>
      <c r="D378" s="486">
        <f>SUM(D371:D377)</f>
        <v>0</v>
      </c>
      <c r="E378" s="486">
        <f t="shared" ref="E378:L378" si="199">SUM(E371:E377)</f>
        <v>0</v>
      </c>
      <c r="F378" s="486">
        <f t="shared" si="199"/>
        <v>0</v>
      </c>
      <c r="G378" s="486">
        <f t="shared" si="199"/>
        <v>0</v>
      </c>
      <c r="H378" s="486">
        <f t="shared" si="199"/>
        <v>0</v>
      </c>
      <c r="I378" s="486">
        <f t="shared" si="199"/>
        <v>0</v>
      </c>
      <c r="J378" s="486">
        <f t="shared" si="199"/>
        <v>0</v>
      </c>
      <c r="K378" s="486">
        <f t="shared" si="199"/>
        <v>0</v>
      </c>
      <c r="L378" s="486">
        <f t="shared" si="199"/>
        <v>0</v>
      </c>
      <c r="M378" s="486">
        <f>SUM(M371:M377)</f>
        <v>0</v>
      </c>
      <c r="N378" s="486">
        <f>SUM(N371:N377)</f>
        <v>0</v>
      </c>
      <c r="O378" s="486">
        <f>SUM(O371:O377)</f>
        <v>0</v>
      </c>
    </row>
    <row r="379" spans="2:29" ht="14.25" hidden="1" outlineLevel="1" x14ac:dyDescent="0.2">
      <c r="B379" s="428"/>
      <c r="C379" s="488"/>
      <c r="D379" s="488"/>
      <c r="E379" s="488"/>
      <c r="F379" s="488"/>
      <c r="G379" s="488"/>
      <c r="H379" s="488"/>
      <c r="I379" s="488"/>
      <c r="J379" s="488"/>
      <c r="K379" s="488"/>
      <c r="L379" s="488"/>
      <c r="M379" s="488"/>
      <c r="N379" s="488"/>
      <c r="O379" s="488"/>
    </row>
    <row r="380" spans="2:29" ht="15.75" hidden="1" outlineLevel="1" thickBot="1" x14ac:dyDescent="0.3">
      <c r="B380" s="478" t="s">
        <v>46</v>
      </c>
      <c r="C380" s="483">
        <f t="shared" ref="C380:L380" si="200">C369+C378</f>
        <v>0</v>
      </c>
      <c r="D380" s="483">
        <f t="shared" si="200"/>
        <v>0</v>
      </c>
      <c r="E380" s="483">
        <f t="shared" si="200"/>
        <v>0</v>
      </c>
      <c r="F380" s="483">
        <f t="shared" si="200"/>
        <v>0</v>
      </c>
      <c r="G380" s="483">
        <f t="shared" si="200"/>
        <v>0</v>
      </c>
      <c r="H380" s="483">
        <f t="shared" si="200"/>
        <v>0</v>
      </c>
      <c r="I380" s="483">
        <f t="shared" si="200"/>
        <v>0</v>
      </c>
      <c r="J380" s="483">
        <f t="shared" si="200"/>
        <v>0</v>
      </c>
      <c r="K380" s="483">
        <f t="shared" si="200"/>
        <v>0</v>
      </c>
      <c r="L380" s="483">
        <f t="shared" si="200"/>
        <v>0</v>
      </c>
      <c r="M380" s="483">
        <f>M369+M378</f>
        <v>0</v>
      </c>
      <c r="N380" s="483">
        <f>N369+N378</f>
        <v>0</v>
      </c>
      <c r="O380" s="483">
        <f>O369+O378</f>
        <v>0</v>
      </c>
    </row>
    <row r="381" spans="2:29" ht="15" hidden="1" outlineLevel="1" x14ac:dyDescent="0.25">
      <c r="B381" s="478"/>
      <c r="C381" s="497"/>
      <c r="D381" s="497"/>
      <c r="E381" s="497"/>
      <c r="F381" s="497"/>
      <c r="G381" s="497"/>
      <c r="H381" s="497"/>
      <c r="I381" s="497"/>
      <c r="J381" s="497"/>
      <c r="K381" s="497"/>
      <c r="L381" s="497"/>
      <c r="M381" s="497"/>
      <c r="N381" s="497"/>
      <c r="O381" s="497"/>
    </row>
    <row r="382" spans="2:29" ht="15" hidden="1" outlineLevel="1" x14ac:dyDescent="0.25">
      <c r="B382" s="478" t="s">
        <v>47</v>
      </c>
      <c r="C382" s="497"/>
      <c r="D382" s="497"/>
      <c r="E382" s="497"/>
      <c r="F382" s="497"/>
      <c r="G382" s="497"/>
      <c r="H382" s="497"/>
      <c r="I382" s="497"/>
      <c r="J382" s="497"/>
      <c r="K382" s="497"/>
      <c r="L382" s="497"/>
      <c r="M382" s="497"/>
      <c r="N382" s="497"/>
      <c r="O382" s="497"/>
    </row>
    <row r="383" spans="2:29" ht="14.25" hidden="1" outlineLevel="1" x14ac:dyDescent="0.2">
      <c r="B383" s="428"/>
      <c r="C383" s="488"/>
      <c r="D383" s="488"/>
      <c r="E383" s="488"/>
      <c r="F383" s="488"/>
      <c r="G383" s="488"/>
      <c r="H383" s="488"/>
      <c r="I383" s="488"/>
      <c r="J383" s="488"/>
      <c r="K383" s="488"/>
      <c r="L383" s="488"/>
      <c r="M383" s="488"/>
      <c r="N383" s="488"/>
      <c r="O383" s="488"/>
    </row>
    <row r="384" spans="2:29" ht="15" hidden="1" outlineLevel="1" x14ac:dyDescent="0.25">
      <c r="B384" s="428" t="s">
        <v>942</v>
      </c>
      <c r="C384" s="496"/>
      <c r="D384" s="496"/>
      <c r="E384" s="496"/>
      <c r="F384" s="496"/>
      <c r="G384" s="496"/>
      <c r="H384" s="496"/>
      <c r="I384" s="496"/>
      <c r="J384" s="496"/>
      <c r="K384" s="496"/>
      <c r="L384" s="496"/>
      <c r="M384" s="495"/>
      <c r="N384" s="495"/>
      <c r="O384" s="495"/>
    </row>
    <row r="385" spans="2:15" ht="15" hidden="1" outlineLevel="1" x14ac:dyDescent="0.25">
      <c r="B385" s="428" t="s">
        <v>49</v>
      </c>
      <c r="C385" s="496"/>
      <c r="D385" s="496"/>
      <c r="E385" s="496"/>
      <c r="F385" s="496"/>
      <c r="G385" s="496"/>
      <c r="H385" s="496"/>
      <c r="I385" s="496"/>
      <c r="J385" s="496"/>
      <c r="K385" s="496"/>
      <c r="L385" s="496"/>
      <c r="M385" s="495"/>
      <c r="N385" s="495"/>
      <c r="O385" s="495"/>
    </row>
    <row r="386" spans="2:15" ht="15" hidden="1" outlineLevel="1" x14ac:dyDescent="0.25">
      <c r="B386" s="428" t="s">
        <v>50</v>
      </c>
      <c r="C386" s="496"/>
      <c r="D386" s="496"/>
      <c r="E386" s="496"/>
      <c r="F386" s="496"/>
      <c r="G386" s="496"/>
      <c r="H386" s="496"/>
      <c r="I386" s="496"/>
      <c r="J386" s="496"/>
      <c r="K386" s="496"/>
      <c r="L386" s="496"/>
      <c r="M386" s="495"/>
      <c r="N386" s="495"/>
      <c r="O386" s="495"/>
    </row>
    <row r="387" spans="2:15" ht="15" hidden="1" outlineLevel="1" x14ac:dyDescent="0.25">
      <c r="B387" s="478" t="s">
        <v>51</v>
      </c>
      <c r="C387" s="486">
        <f t="shared" ref="C387:L387" si="201">SUM(C384:C386)</f>
        <v>0</v>
      </c>
      <c r="D387" s="486">
        <f t="shared" si="201"/>
        <v>0</v>
      </c>
      <c r="E387" s="486">
        <f t="shared" si="201"/>
        <v>0</v>
      </c>
      <c r="F387" s="486">
        <f t="shared" si="201"/>
        <v>0</v>
      </c>
      <c r="G387" s="486">
        <f t="shared" si="201"/>
        <v>0</v>
      </c>
      <c r="H387" s="486">
        <f t="shared" si="201"/>
        <v>0</v>
      </c>
      <c r="I387" s="486">
        <f t="shared" si="201"/>
        <v>0</v>
      </c>
      <c r="J387" s="486">
        <f t="shared" si="201"/>
        <v>0</v>
      </c>
      <c r="K387" s="486">
        <f t="shared" si="201"/>
        <v>0</v>
      </c>
      <c r="L387" s="486">
        <f t="shared" si="201"/>
        <v>0</v>
      </c>
      <c r="M387" s="486">
        <f>SUM(M384:M386)</f>
        <v>0</v>
      </c>
      <c r="N387" s="486">
        <f>SUM(N384:N386)</f>
        <v>0</v>
      </c>
      <c r="O387" s="486">
        <f>SUM(O384:O386)</f>
        <v>0</v>
      </c>
    </row>
    <row r="388" spans="2:15" ht="14.25" hidden="1" outlineLevel="1" x14ac:dyDescent="0.2">
      <c r="B388" s="428"/>
      <c r="C388" s="488"/>
      <c r="D388" s="488"/>
      <c r="E388" s="488"/>
      <c r="F388" s="488"/>
      <c r="G388" s="488"/>
      <c r="H388" s="488"/>
      <c r="I388" s="488"/>
      <c r="J388" s="488"/>
      <c r="K388" s="488"/>
      <c r="L388" s="488"/>
      <c r="M388" s="488"/>
      <c r="N388" s="488"/>
      <c r="O388" s="488"/>
    </row>
    <row r="389" spans="2:15" ht="14.25" hidden="1" outlineLevel="1" x14ac:dyDescent="0.2">
      <c r="B389" s="428"/>
      <c r="C389" s="488"/>
      <c r="D389" s="488"/>
      <c r="E389" s="488"/>
      <c r="F389" s="488"/>
      <c r="G389" s="488"/>
      <c r="H389" s="488"/>
      <c r="I389" s="488"/>
      <c r="J389" s="488"/>
      <c r="K389" s="488"/>
      <c r="L389" s="488"/>
      <c r="M389" s="488"/>
      <c r="N389" s="488"/>
      <c r="O389" s="488"/>
    </row>
    <row r="390" spans="2:15" ht="15" hidden="1" outlineLevel="1" x14ac:dyDescent="0.25">
      <c r="B390" s="428" t="s">
        <v>943</v>
      </c>
      <c r="C390" s="496"/>
      <c r="D390" s="496"/>
      <c r="E390" s="496"/>
      <c r="F390" s="496"/>
      <c r="G390" s="496"/>
      <c r="H390" s="496"/>
      <c r="I390" s="496"/>
      <c r="J390" s="496"/>
      <c r="K390" s="496"/>
      <c r="L390" s="496"/>
      <c r="M390" s="495"/>
      <c r="N390" s="495"/>
      <c r="O390" s="495"/>
    </row>
    <row r="391" spans="2:15" ht="15" hidden="1" outlineLevel="1" x14ac:dyDescent="0.25">
      <c r="B391" s="428" t="s">
        <v>49</v>
      </c>
      <c r="C391" s="496"/>
      <c r="D391" s="496"/>
      <c r="E391" s="496"/>
      <c r="F391" s="496"/>
      <c r="G391" s="496"/>
      <c r="H391" s="496"/>
      <c r="I391" s="496"/>
      <c r="J391" s="496"/>
      <c r="K391" s="496"/>
      <c r="L391" s="496"/>
      <c r="M391" s="495"/>
      <c r="N391" s="495"/>
      <c r="O391" s="495"/>
    </row>
    <row r="392" spans="2:15" ht="15" hidden="1" outlineLevel="1" x14ac:dyDescent="0.25">
      <c r="B392" s="428" t="s">
        <v>50</v>
      </c>
      <c r="C392" s="496"/>
      <c r="D392" s="496"/>
      <c r="E392" s="496"/>
      <c r="F392" s="496"/>
      <c r="G392" s="496"/>
      <c r="H392" s="496"/>
      <c r="I392" s="496"/>
      <c r="J392" s="496"/>
      <c r="K392" s="496"/>
      <c r="L392" s="496"/>
      <c r="M392" s="495"/>
      <c r="N392" s="495"/>
      <c r="O392" s="495"/>
    </row>
    <row r="393" spans="2:15" ht="15" hidden="1" outlineLevel="1" x14ac:dyDescent="0.25">
      <c r="B393" s="478" t="s">
        <v>944</v>
      </c>
      <c r="C393" s="486">
        <f t="shared" ref="C393:E393" si="202">SUM(C389:C392)</f>
        <v>0</v>
      </c>
      <c r="D393" s="486">
        <f t="shared" si="202"/>
        <v>0</v>
      </c>
      <c r="E393" s="486">
        <f t="shared" si="202"/>
        <v>0</v>
      </c>
      <c r="F393" s="486">
        <f>SUM(F389:F392)</f>
        <v>0</v>
      </c>
      <c r="G393" s="486">
        <f t="shared" ref="G393:L393" si="203">SUM(G389:G392)</f>
        <v>0</v>
      </c>
      <c r="H393" s="486">
        <f t="shared" si="203"/>
        <v>0</v>
      </c>
      <c r="I393" s="486">
        <f t="shared" si="203"/>
        <v>0</v>
      </c>
      <c r="J393" s="486">
        <f t="shared" si="203"/>
        <v>0</v>
      </c>
      <c r="K393" s="486">
        <f t="shared" si="203"/>
        <v>0</v>
      </c>
      <c r="L393" s="486">
        <f t="shared" si="203"/>
        <v>0</v>
      </c>
      <c r="M393" s="486">
        <f>SUM(M389:M392)</f>
        <v>0</v>
      </c>
      <c r="N393" s="486">
        <f>SUM(N389:N392)</f>
        <v>0</v>
      </c>
      <c r="O393" s="486">
        <f>SUM(O389:O392)</f>
        <v>0</v>
      </c>
    </row>
    <row r="394" spans="2:15" ht="14.25" hidden="1" outlineLevel="1" x14ac:dyDescent="0.2">
      <c r="B394" s="428"/>
      <c r="C394" s="488"/>
      <c r="D394" s="488"/>
      <c r="E394" s="488"/>
      <c r="F394" s="488"/>
      <c r="G394" s="488"/>
      <c r="H394" s="488"/>
      <c r="I394" s="488"/>
      <c r="J394" s="488"/>
      <c r="K394" s="488"/>
      <c r="L394" s="488"/>
      <c r="M394" s="488"/>
      <c r="N394" s="488"/>
      <c r="O394" s="488"/>
    </row>
    <row r="395" spans="2:15" ht="15.75" hidden="1" outlineLevel="1" thickBot="1" x14ac:dyDescent="0.3">
      <c r="B395" s="498" t="s">
        <v>945</v>
      </c>
      <c r="C395" s="483">
        <f t="shared" ref="C395:E395" si="204">C380-C387-C393</f>
        <v>0</v>
      </c>
      <c r="D395" s="483">
        <f t="shared" si="204"/>
        <v>0</v>
      </c>
      <c r="E395" s="483">
        <f t="shared" si="204"/>
        <v>0</v>
      </c>
      <c r="F395" s="483">
        <f>F380-F387-F393</f>
        <v>0</v>
      </c>
      <c r="G395" s="483">
        <f t="shared" ref="G395:L395" si="205">G380-G387-G393</f>
        <v>0</v>
      </c>
      <c r="H395" s="483">
        <f t="shared" si="205"/>
        <v>0</v>
      </c>
      <c r="I395" s="483">
        <f t="shared" si="205"/>
        <v>0</v>
      </c>
      <c r="J395" s="483">
        <f t="shared" si="205"/>
        <v>0</v>
      </c>
      <c r="K395" s="483">
        <f t="shared" si="205"/>
        <v>0</v>
      </c>
      <c r="L395" s="483">
        <f t="shared" si="205"/>
        <v>0</v>
      </c>
      <c r="M395" s="483">
        <f>M380-M387-M393</f>
        <v>0</v>
      </c>
      <c r="N395" s="483">
        <f>N380-N387-N393</f>
        <v>0</v>
      </c>
      <c r="O395" s="483">
        <f>O380-O387-O393</f>
        <v>0</v>
      </c>
    </row>
    <row r="396" spans="2:15" ht="15" hidden="1" outlineLevel="1" x14ac:dyDescent="0.25">
      <c r="B396" s="478"/>
      <c r="C396" s="497"/>
      <c r="D396" s="497"/>
      <c r="E396" s="497"/>
      <c r="F396" s="497"/>
      <c r="G396" s="497"/>
      <c r="H396" s="497"/>
      <c r="I396" s="497"/>
      <c r="J396" s="497"/>
      <c r="K396" s="497"/>
      <c r="L396" s="497"/>
      <c r="M396" s="497"/>
      <c r="N396" s="497"/>
      <c r="O396" s="497"/>
    </row>
    <row r="397" spans="2:15" ht="15" hidden="1" outlineLevel="1" x14ac:dyDescent="0.25">
      <c r="B397" s="478" t="s">
        <v>56</v>
      </c>
      <c r="C397" s="497"/>
      <c r="D397" s="497"/>
      <c r="E397" s="497"/>
      <c r="F397" s="497"/>
      <c r="G397" s="497"/>
      <c r="H397" s="497"/>
      <c r="I397" s="497"/>
      <c r="J397" s="497"/>
      <c r="K397" s="497"/>
      <c r="L397" s="497"/>
      <c r="M397" s="497"/>
      <c r="N397" s="497"/>
      <c r="O397" s="497"/>
    </row>
    <row r="398" spans="2:15" ht="15" hidden="1" outlineLevel="1" x14ac:dyDescent="0.25">
      <c r="B398" s="478"/>
      <c r="C398" s="497"/>
      <c r="D398" s="497"/>
      <c r="E398" s="497"/>
      <c r="F398" s="497"/>
      <c r="G398" s="497"/>
      <c r="H398" s="497"/>
      <c r="I398" s="497"/>
      <c r="J398" s="497"/>
      <c r="K398" s="497"/>
      <c r="L398" s="497"/>
      <c r="M398" s="497"/>
      <c r="N398" s="497"/>
      <c r="O398" s="497"/>
    </row>
    <row r="399" spans="2:15" ht="15" hidden="1" outlineLevel="1" x14ac:dyDescent="0.25">
      <c r="B399" s="428" t="s">
        <v>57</v>
      </c>
      <c r="C399" s="496"/>
      <c r="D399" s="496"/>
      <c r="E399" s="496"/>
      <c r="F399" s="496"/>
      <c r="G399" s="496"/>
      <c r="H399" s="496"/>
      <c r="I399" s="496"/>
      <c r="J399" s="496"/>
      <c r="K399" s="496"/>
      <c r="L399" s="496"/>
      <c r="M399" s="495"/>
      <c r="N399" s="495"/>
      <c r="O399" s="495"/>
    </row>
    <row r="400" spans="2:15" ht="15" hidden="1" outlineLevel="1" x14ac:dyDescent="0.25">
      <c r="B400" s="428" t="s">
        <v>58</v>
      </c>
      <c r="C400" s="496"/>
      <c r="D400" s="496"/>
      <c r="E400" s="496"/>
      <c r="F400" s="496"/>
      <c r="G400" s="496"/>
      <c r="H400" s="496"/>
      <c r="I400" s="496"/>
      <c r="J400" s="496"/>
      <c r="K400" s="496"/>
      <c r="L400" s="496"/>
      <c r="M400" s="495"/>
      <c r="N400" s="495"/>
      <c r="O400" s="495"/>
    </row>
    <row r="401" spans="2:15" ht="15.75" hidden="1" outlineLevel="1" thickBot="1" x14ac:dyDescent="0.3">
      <c r="B401" s="478" t="s">
        <v>946</v>
      </c>
      <c r="C401" s="491">
        <f t="shared" ref="C401" si="206">SUM(C399:C400)</f>
        <v>0</v>
      </c>
      <c r="D401" s="491">
        <f t="shared" ref="D401:L401" si="207">SUM(D399:D400)</f>
        <v>0</v>
      </c>
      <c r="E401" s="491">
        <f t="shared" si="207"/>
        <v>0</v>
      </c>
      <c r="F401" s="491">
        <f t="shared" si="207"/>
        <v>0</v>
      </c>
      <c r="G401" s="491">
        <f t="shared" si="207"/>
        <v>0</v>
      </c>
      <c r="H401" s="491">
        <f t="shared" si="207"/>
        <v>0</v>
      </c>
      <c r="I401" s="491">
        <f t="shared" si="207"/>
        <v>0</v>
      </c>
      <c r="J401" s="491">
        <f t="shared" si="207"/>
        <v>0</v>
      </c>
      <c r="K401" s="491">
        <f t="shared" si="207"/>
        <v>0</v>
      </c>
      <c r="L401" s="491">
        <f t="shared" si="207"/>
        <v>0</v>
      </c>
      <c r="M401" s="491">
        <f>SUM(M399:M400)</f>
        <v>0</v>
      </c>
      <c r="N401" s="491">
        <f>SUM(N399:N400)</f>
        <v>0</v>
      </c>
      <c r="O401" s="491">
        <f>SUM(O399:O400)</f>
        <v>0</v>
      </c>
    </row>
    <row r="402" spans="2:15" ht="14.25" hidden="1" outlineLevel="1" x14ac:dyDescent="0.2">
      <c r="B402" s="428" t="s">
        <v>947</v>
      </c>
      <c r="C402" s="495"/>
      <c r="D402" s="495"/>
      <c r="E402" s="495"/>
      <c r="F402" s="495"/>
      <c r="G402" s="495"/>
      <c r="H402" s="495"/>
      <c r="I402" s="495"/>
      <c r="J402" s="495"/>
      <c r="K402" s="495"/>
      <c r="L402" s="495"/>
      <c r="M402" s="495"/>
      <c r="N402" s="495"/>
      <c r="O402" s="495"/>
    </row>
    <row r="403" spans="2:15" ht="15.75" hidden="1" outlineLevel="1" thickBot="1" x14ac:dyDescent="0.3">
      <c r="B403" s="478" t="s">
        <v>59</v>
      </c>
      <c r="C403" s="491">
        <f t="shared" ref="C403:L403" si="208">SUM(C401:C402)</f>
        <v>0</v>
      </c>
      <c r="D403" s="491">
        <f t="shared" si="208"/>
        <v>0</v>
      </c>
      <c r="E403" s="491">
        <f t="shared" si="208"/>
        <v>0</v>
      </c>
      <c r="F403" s="491">
        <f t="shared" si="208"/>
        <v>0</v>
      </c>
      <c r="G403" s="491">
        <f t="shared" si="208"/>
        <v>0</v>
      </c>
      <c r="H403" s="491">
        <f t="shared" si="208"/>
        <v>0</v>
      </c>
      <c r="I403" s="491">
        <f t="shared" si="208"/>
        <v>0</v>
      </c>
      <c r="J403" s="491">
        <f t="shared" si="208"/>
        <v>0</v>
      </c>
      <c r="K403" s="491">
        <f t="shared" si="208"/>
        <v>0</v>
      </c>
      <c r="L403" s="491">
        <f t="shared" si="208"/>
        <v>0</v>
      </c>
      <c r="M403" s="491">
        <f>SUM(M401:M402)</f>
        <v>0</v>
      </c>
      <c r="N403" s="491">
        <f>SUM(N401:N402)</f>
        <v>0</v>
      </c>
      <c r="O403" s="491">
        <f>SUM(O401:O402)</f>
        <v>0</v>
      </c>
    </row>
    <row r="404" spans="2:15" ht="15" hidden="1" outlineLevel="1" x14ac:dyDescent="0.25">
      <c r="B404" s="478"/>
      <c r="C404" s="499"/>
      <c r="D404" s="499"/>
      <c r="E404" s="499"/>
      <c r="F404" s="499"/>
      <c r="G404" s="499"/>
      <c r="H404" s="499"/>
      <c r="I404" s="499"/>
      <c r="J404" s="499"/>
      <c r="K404" s="499"/>
      <c r="L404" s="499"/>
      <c r="M404" s="499"/>
      <c r="N404" s="499"/>
      <c r="O404" s="499"/>
    </row>
    <row r="405" spans="2:15" ht="15" hidden="1" outlineLevel="1" x14ac:dyDescent="0.25">
      <c r="B405" s="428" t="s">
        <v>131</v>
      </c>
      <c r="C405" s="450">
        <f t="shared" ref="C405:L405" si="209">C403-C395</f>
        <v>0</v>
      </c>
      <c r="D405" s="450">
        <f t="shared" si="209"/>
        <v>0</v>
      </c>
      <c r="E405" s="450">
        <f t="shared" si="209"/>
        <v>0</v>
      </c>
      <c r="F405" s="450">
        <f t="shared" si="209"/>
        <v>0</v>
      </c>
      <c r="G405" s="450">
        <f t="shared" si="209"/>
        <v>0</v>
      </c>
      <c r="H405" s="450">
        <f t="shared" si="209"/>
        <v>0</v>
      </c>
      <c r="I405" s="450">
        <f t="shared" si="209"/>
        <v>0</v>
      </c>
      <c r="J405" s="450">
        <f t="shared" si="209"/>
        <v>0</v>
      </c>
      <c r="K405" s="450">
        <f t="shared" si="209"/>
        <v>0</v>
      </c>
      <c r="L405" s="450">
        <f t="shared" si="209"/>
        <v>0</v>
      </c>
      <c r="M405" s="450">
        <f>M403-M395</f>
        <v>0</v>
      </c>
      <c r="N405" s="450">
        <f>N403-N395</f>
        <v>0</v>
      </c>
      <c r="O405" s="450">
        <f>O403-O395</f>
        <v>0</v>
      </c>
    </row>
    <row r="406" spans="2:15" ht="15" hidden="1" outlineLevel="1" x14ac:dyDescent="0.25">
      <c r="B406" s="500" t="s">
        <v>948</v>
      </c>
      <c r="C406" s="476"/>
      <c r="D406" s="476"/>
      <c r="E406" s="476"/>
      <c r="F406" s="476"/>
      <c r="G406" s="476"/>
      <c r="H406" s="476"/>
      <c r="I406" s="476"/>
      <c r="J406" s="476"/>
      <c r="K406" s="476"/>
      <c r="L406" s="476"/>
      <c r="M406" s="476"/>
      <c r="N406" s="476"/>
      <c r="O406" s="476"/>
    </row>
    <row r="407" spans="2:15" ht="15" hidden="1" outlineLevel="1" x14ac:dyDescent="0.25">
      <c r="B407" s="426" t="str">
        <f>B340</f>
        <v>Income excl Gains\losses</v>
      </c>
      <c r="C407" s="501"/>
      <c r="D407" s="501"/>
      <c r="E407" s="501"/>
      <c r="F407" s="501"/>
      <c r="G407" s="501"/>
      <c r="H407" s="501"/>
      <c r="I407" s="501"/>
      <c r="J407" s="501"/>
      <c r="K407" s="501"/>
      <c r="L407" s="501"/>
      <c r="M407" s="495"/>
      <c r="N407" s="495"/>
      <c r="O407" s="495"/>
    </row>
    <row r="408" spans="2:15" ht="14.25" hidden="1" outlineLevel="1" x14ac:dyDescent="0.2">
      <c r="B408" s="442"/>
      <c r="C408" s="442"/>
      <c r="D408" s="442"/>
      <c r="E408" s="442"/>
      <c r="F408" s="442"/>
      <c r="G408" s="442"/>
      <c r="H408" s="442"/>
      <c r="I408" s="442"/>
      <c r="J408" s="442"/>
      <c r="K408" s="442"/>
      <c r="L408" s="442"/>
      <c r="M408" s="442"/>
      <c r="N408" s="442"/>
      <c r="O408" s="442"/>
    </row>
    <row r="409" spans="2:15" ht="15" hidden="1" outlineLevel="1" x14ac:dyDescent="0.25">
      <c r="B409" s="422" t="s">
        <v>949</v>
      </c>
      <c r="C409" s="468"/>
      <c r="D409" s="468"/>
      <c r="E409" s="468"/>
      <c r="F409" s="468"/>
      <c r="G409" s="468"/>
      <c r="H409" s="468"/>
      <c r="I409" s="468"/>
      <c r="J409" s="468"/>
      <c r="K409" s="468"/>
      <c r="L409" s="468"/>
      <c r="M409" s="468"/>
      <c r="N409" s="468"/>
      <c r="O409" s="468"/>
    </row>
    <row r="410" spans="2:15" ht="15" hidden="1" outlineLevel="1" x14ac:dyDescent="0.25">
      <c r="B410" s="428" t="s">
        <v>30</v>
      </c>
      <c r="C410" s="501"/>
      <c r="D410" s="501"/>
      <c r="E410" s="501"/>
      <c r="F410" s="501"/>
      <c r="G410" s="501"/>
      <c r="H410" s="501"/>
      <c r="I410" s="501"/>
      <c r="J410" s="501"/>
      <c r="K410" s="501"/>
      <c r="L410" s="501"/>
      <c r="M410" s="501"/>
      <c r="N410" s="501"/>
      <c r="O410" s="501"/>
    </row>
    <row r="411" spans="2:15" ht="15" hidden="1" outlineLevel="1" x14ac:dyDescent="0.25">
      <c r="B411" s="503" t="s">
        <v>950</v>
      </c>
      <c r="C411" s="501"/>
      <c r="D411" s="501"/>
      <c r="E411" s="501"/>
      <c r="F411" s="501"/>
      <c r="G411" s="501"/>
      <c r="H411" s="501"/>
      <c r="I411" s="501"/>
      <c r="J411" s="501"/>
      <c r="K411" s="501"/>
      <c r="L411" s="501"/>
      <c r="M411" s="502"/>
      <c r="N411" s="502"/>
      <c r="O411" s="502"/>
    </row>
    <row r="412" spans="2:15" ht="15" hidden="1" outlineLevel="1" x14ac:dyDescent="0.25">
      <c r="B412" s="503" t="s">
        <v>951</v>
      </c>
      <c r="C412" s="496"/>
      <c r="D412" s="496"/>
      <c r="E412" s="496"/>
      <c r="F412" s="496"/>
      <c r="G412" s="496"/>
      <c r="H412" s="496"/>
      <c r="I412" s="496"/>
      <c r="J412" s="496"/>
      <c r="K412" s="496"/>
      <c r="L412" s="496"/>
      <c r="M412" s="495"/>
      <c r="N412" s="495"/>
      <c r="O412" s="495"/>
    </row>
    <row r="413" spans="2:15" ht="15" hidden="1" outlineLevel="1" x14ac:dyDescent="0.25">
      <c r="B413" s="428" t="s">
        <v>952</v>
      </c>
      <c r="C413" s="501"/>
      <c r="D413" s="501"/>
      <c r="E413" s="501"/>
      <c r="F413" s="501"/>
      <c r="G413" s="501"/>
      <c r="H413" s="501"/>
      <c r="I413" s="501"/>
      <c r="J413" s="501"/>
      <c r="K413" s="501"/>
      <c r="L413" s="501"/>
      <c r="M413" s="502"/>
      <c r="N413" s="502"/>
      <c r="O413" s="502"/>
    </row>
    <row r="414" spans="2:15" ht="15.75" hidden="1" outlineLevel="1" thickBot="1" x14ac:dyDescent="0.3">
      <c r="B414" s="493" t="s">
        <v>953</v>
      </c>
      <c r="C414" s="504">
        <f t="shared" ref="C414:L414" si="210">C363</f>
        <v>0</v>
      </c>
      <c r="D414" s="504">
        <f t="shared" si="210"/>
        <v>0</v>
      </c>
      <c r="E414" s="504">
        <f t="shared" si="210"/>
        <v>0</v>
      </c>
      <c r="F414" s="504">
        <f t="shared" si="210"/>
        <v>0</v>
      </c>
      <c r="G414" s="504">
        <f t="shared" si="210"/>
        <v>0</v>
      </c>
      <c r="H414" s="504">
        <f t="shared" si="210"/>
        <v>0</v>
      </c>
      <c r="I414" s="504">
        <f t="shared" si="210"/>
        <v>0</v>
      </c>
      <c r="J414" s="504">
        <f t="shared" si="210"/>
        <v>0</v>
      </c>
      <c r="K414" s="504">
        <f t="shared" si="210"/>
        <v>0</v>
      </c>
      <c r="L414" s="504">
        <f t="shared" si="210"/>
        <v>0</v>
      </c>
      <c r="M414" s="504">
        <f>M363</f>
        <v>0</v>
      </c>
      <c r="N414" s="504">
        <f>N363</f>
        <v>0</v>
      </c>
      <c r="O414" s="504">
        <f>O363</f>
        <v>0</v>
      </c>
    </row>
    <row r="415" spans="2:15" ht="15" collapsed="1" thickBot="1" x14ac:dyDescent="0.25"/>
    <row r="416" spans="2:15" ht="15" x14ac:dyDescent="0.25">
      <c r="B416" s="422" t="s">
        <v>1274</v>
      </c>
      <c r="C416" s="423">
        <f t="shared" ref="C416:L416" si="211">C324</f>
        <v>2015</v>
      </c>
      <c r="D416" s="423">
        <f t="shared" si="211"/>
        <v>2016</v>
      </c>
      <c r="E416" s="423">
        <f t="shared" si="211"/>
        <v>2017</v>
      </c>
      <c r="F416" s="423">
        <f t="shared" si="211"/>
        <v>2018</v>
      </c>
      <c r="G416" s="423">
        <f t="shared" si="211"/>
        <v>2019</v>
      </c>
      <c r="H416" s="423">
        <f t="shared" si="211"/>
        <v>2020</v>
      </c>
      <c r="I416" s="423">
        <f t="shared" si="211"/>
        <v>2021</v>
      </c>
      <c r="J416" s="423">
        <f t="shared" si="211"/>
        <v>2022</v>
      </c>
      <c r="K416" s="423">
        <f t="shared" si="211"/>
        <v>2023</v>
      </c>
      <c r="L416" s="423">
        <f t="shared" si="211"/>
        <v>2024</v>
      </c>
      <c r="M416" s="423">
        <f>M324</f>
        <v>2025</v>
      </c>
      <c r="N416" s="423">
        <f>N324</f>
        <v>2026</v>
      </c>
      <c r="O416" s="423">
        <f>O324</f>
        <v>2027</v>
      </c>
    </row>
    <row r="417" spans="2:41" ht="15.75" thickBot="1" x14ac:dyDescent="0.3">
      <c r="B417" s="425"/>
      <c r="C417" s="475" t="s">
        <v>875</v>
      </c>
      <c r="D417" s="475" t="s">
        <v>875</v>
      </c>
      <c r="E417" s="475" t="s">
        <v>875</v>
      </c>
      <c r="F417" s="475" t="s">
        <v>875</v>
      </c>
      <c r="G417" s="475" t="s">
        <v>875</v>
      </c>
      <c r="H417" s="475" t="s">
        <v>875</v>
      </c>
      <c r="I417" s="475" t="s">
        <v>875</v>
      </c>
      <c r="J417" s="475" t="s">
        <v>875</v>
      </c>
      <c r="K417" s="475" t="s">
        <v>875</v>
      </c>
      <c r="L417" s="475" t="s">
        <v>875</v>
      </c>
      <c r="M417" s="475" t="s">
        <v>875</v>
      </c>
      <c r="N417" s="475" t="s">
        <v>875</v>
      </c>
      <c r="O417" s="475" t="s">
        <v>875</v>
      </c>
    </row>
    <row r="418" spans="2:41" ht="15" x14ac:dyDescent="0.25">
      <c r="B418" s="480" t="s">
        <v>954</v>
      </c>
      <c r="C418" s="501"/>
      <c r="D418" s="501"/>
      <c r="E418" s="501"/>
      <c r="F418" s="501"/>
      <c r="G418" s="501"/>
      <c r="H418" s="501"/>
      <c r="I418" s="501"/>
      <c r="J418" s="501"/>
      <c r="K418" s="501"/>
      <c r="L418" s="501"/>
      <c r="M418" s="505"/>
      <c r="N418" s="505"/>
      <c r="O418" s="505"/>
    </row>
    <row r="419" spans="2:41" ht="15" x14ac:dyDescent="0.25">
      <c r="B419" s="428" t="s">
        <v>955</v>
      </c>
      <c r="C419" s="501"/>
      <c r="D419" s="501"/>
      <c r="E419" s="501"/>
      <c r="F419" s="501"/>
      <c r="G419" s="501"/>
      <c r="H419" s="501"/>
      <c r="I419" s="501"/>
      <c r="J419" s="501"/>
      <c r="K419" s="501"/>
      <c r="L419" s="501"/>
      <c r="M419" s="505"/>
      <c r="N419" s="505"/>
      <c r="O419" s="505"/>
      <c r="AG419" s="506"/>
      <c r="AH419" s="506"/>
      <c r="AI419" s="506"/>
      <c r="AJ419" s="506"/>
      <c r="AK419" s="506"/>
      <c r="AL419" s="506"/>
      <c r="AM419" s="506"/>
      <c r="AN419" s="506"/>
      <c r="AO419" s="506"/>
    </row>
    <row r="420" spans="2:41" ht="15.75" thickBot="1" x14ac:dyDescent="0.3">
      <c r="B420" s="498" t="s">
        <v>956</v>
      </c>
      <c r="C420" s="491">
        <f t="shared" ref="C420:L420" si="212">SUM(C418:C419)</f>
        <v>0</v>
      </c>
      <c r="D420" s="491">
        <f t="shared" si="212"/>
        <v>0</v>
      </c>
      <c r="E420" s="491">
        <f t="shared" si="212"/>
        <v>0</v>
      </c>
      <c r="F420" s="491">
        <f t="shared" si="212"/>
        <v>0</v>
      </c>
      <c r="G420" s="491">
        <f t="shared" si="212"/>
        <v>0</v>
      </c>
      <c r="H420" s="491">
        <f t="shared" si="212"/>
        <v>0</v>
      </c>
      <c r="I420" s="491">
        <f t="shared" si="212"/>
        <v>0</v>
      </c>
      <c r="J420" s="491">
        <f t="shared" si="212"/>
        <v>0</v>
      </c>
      <c r="K420" s="491">
        <f t="shared" si="212"/>
        <v>0</v>
      </c>
      <c r="L420" s="491">
        <f t="shared" si="212"/>
        <v>0</v>
      </c>
      <c r="M420" s="491">
        <f>SUM(M418:M419)</f>
        <v>0</v>
      </c>
      <c r="N420" s="491">
        <f>SUM(N418:N419)</f>
        <v>0</v>
      </c>
      <c r="O420" s="491">
        <f>SUM(O418:O419)</f>
        <v>0</v>
      </c>
      <c r="AG420" s="506"/>
      <c r="AH420" s="506"/>
      <c r="AI420" s="506"/>
      <c r="AJ420" s="506"/>
      <c r="AK420" s="506"/>
      <c r="AL420" s="506"/>
      <c r="AM420" s="506"/>
      <c r="AN420" s="506"/>
      <c r="AO420" s="506"/>
    </row>
    <row r="421" spans="2:41" ht="15" thickBot="1" x14ac:dyDescent="0.25">
      <c r="C421" s="507">
        <f>C410-C418-C419</f>
        <v>0</v>
      </c>
      <c r="D421" s="507">
        <f>D410-D418-D419</f>
        <v>0</v>
      </c>
      <c r="E421" s="507">
        <f t="shared" ref="E421:L421" si="213">E410-E418-E419</f>
        <v>0</v>
      </c>
      <c r="F421" s="507">
        <f t="shared" si="213"/>
        <v>0</v>
      </c>
      <c r="G421" s="507">
        <f t="shared" si="213"/>
        <v>0</v>
      </c>
      <c r="H421" s="507">
        <f t="shared" si="213"/>
        <v>0</v>
      </c>
      <c r="I421" s="507">
        <f t="shared" si="213"/>
        <v>0</v>
      </c>
      <c r="J421" s="507">
        <f t="shared" si="213"/>
        <v>0</v>
      </c>
      <c r="K421" s="507">
        <f t="shared" si="213"/>
        <v>0</v>
      </c>
      <c r="L421" s="507">
        <f t="shared" si="213"/>
        <v>0</v>
      </c>
      <c r="M421" s="507">
        <f>M410-M418-M419</f>
        <v>0</v>
      </c>
      <c r="N421" s="507">
        <f>N410-N418-N419</f>
        <v>0</v>
      </c>
      <c r="O421" s="507">
        <f>O410-O418-O419</f>
        <v>0</v>
      </c>
      <c r="AG421" s="506"/>
      <c r="AH421" s="506"/>
      <c r="AI421" s="506"/>
      <c r="AJ421" s="506"/>
      <c r="AK421" s="506"/>
      <c r="AL421" s="506"/>
      <c r="AM421" s="506"/>
      <c r="AN421" s="506"/>
      <c r="AO421" s="506"/>
    </row>
    <row r="422" spans="2:41" ht="15" x14ac:dyDescent="0.25">
      <c r="B422" s="422" t="s">
        <v>957</v>
      </c>
      <c r="C422" s="509"/>
      <c r="D422" s="822">
        <v>8.9999999999999993E-3</v>
      </c>
      <c r="E422" s="508"/>
      <c r="F422" s="508"/>
      <c r="G422" s="508"/>
      <c r="H422" s="508"/>
      <c r="I422" s="508"/>
      <c r="J422" s="508"/>
      <c r="K422" s="508"/>
      <c r="L422" s="508"/>
      <c r="M422" s="508"/>
      <c r="N422" s="508"/>
      <c r="O422" s="508"/>
      <c r="Q422" s="819">
        <v>2016</v>
      </c>
      <c r="R422" s="819">
        <v>2021</v>
      </c>
      <c r="S422" s="819">
        <v>2026</v>
      </c>
      <c r="T422" s="819">
        <v>2031</v>
      </c>
      <c r="U422" s="819">
        <v>2036</v>
      </c>
      <c r="AG422" s="506"/>
      <c r="AH422" s="506"/>
      <c r="AI422" s="506"/>
      <c r="AJ422" s="506"/>
      <c r="AK422" s="506"/>
      <c r="AL422" s="506"/>
      <c r="AM422" s="506"/>
      <c r="AN422" s="506"/>
      <c r="AO422" s="506"/>
    </row>
    <row r="423" spans="2:41" ht="15" x14ac:dyDescent="0.25">
      <c r="B423" s="428" t="s">
        <v>958</v>
      </c>
      <c r="C423" s="501"/>
      <c r="D423" s="501"/>
      <c r="E423" s="501"/>
      <c r="F423" s="501"/>
      <c r="G423" s="501"/>
      <c r="H423" s="501"/>
      <c r="I423" s="501"/>
      <c r="J423" s="501"/>
      <c r="K423" s="501"/>
      <c r="L423" s="501"/>
      <c r="M423" s="502"/>
      <c r="N423" s="502"/>
      <c r="O423" s="502"/>
      <c r="Q423" s="820">
        <v>17150</v>
      </c>
      <c r="R423" s="820">
        <v>18000</v>
      </c>
      <c r="S423" s="820">
        <v>18800</v>
      </c>
      <c r="T423" s="820">
        <v>19550</v>
      </c>
      <c r="U423" s="821">
        <v>20300</v>
      </c>
      <c r="AG423" s="506"/>
      <c r="AH423" s="506"/>
      <c r="AI423" s="506"/>
      <c r="AJ423" s="506"/>
      <c r="AK423" s="506"/>
      <c r="AL423" s="506"/>
      <c r="AM423" s="506"/>
      <c r="AN423" s="506"/>
      <c r="AO423" s="506"/>
    </row>
    <row r="424" spans="2:41" ht="15" x14ac:dyDescent="0.25">
      <c r="B424" s="428" t="s">
        <v>959</v>
      </c>
      <c r="C424" s="501">
        <f>Q423</f>
        <v>17150</v>
      </c>
      <c r="D424" s="501">
        <f>C424*1.009</f>
        <v>17304.349999999999</v>
      </c>
      <c r="E424" s="501">
        <f t="shared" ref="E424" si="214">D424*1.009</f>
        <v>17460.089149999996</v>
      </c>
      <c r="F424" s="501">
        <f t="shared" ref="F424" si="215">E424*1.009</f>
        <v>17617.229952349993</v>
      </c>
      <c r="G424" s="501">
        <f t="shared" ref="G424" si="216">F424*1.009</f>
        <v>17775.78502192114</v>
      </c>
      <c r="H424" s="501">
        <f t="shared" ref="H424" si="217">G424*1.009</f>
        <v>17935.767087118427</v>
      </c>
      <c r="I424" s="501">
        <f>R423</f>
        <v>18000</v>
      </c>
      <c r="J424" s="501">
        <f t="shared" ref="J424" si="218">I424*1.009</f>
        <v>18161.999999999996</v>
      </c>
      <c r="K424" s="501">
        <f t="shared" ref="K424" si="219">J424*1.009</f>
        <v>18325.457999999995</v>
      </c>
      <c r="L424" s="501">
        <f t="shared" ref="L424" si="220">K424*1.009</f>
        <v>18490.387121999993</v>
      </c>
      <c r="M424" s="501">
        <f t="shared" ref="M424" si="221">L424*1.009</f>
        <v>18656.80060609799</v>
      </c>
      <c r="N424" s="502">
        <f>S423</f>
        <v>18800</v>
      </c>
      <c r="O424" s="501">
        <f t="shared" ref="O424" si="222">N424*1.009</f>
        <v>18969.199999999997</v>
      </c>
      <c r="Q424" s="900" t="s">
        <v>1272</v>
      </c>
      <c r="AG424" s="506"/>
      <c r="AH424" s="506"/>
      <c r="AI424" s="506"/>
      <c r="AJ424" s="506"/>
      <c r="AK424" s="506"/>
      <c r="AL424" s="506"/>
      <c r="AM424" s="506"/>
      <c r="AN424" s="506"/>
      <c r="AO424" s="506"/>
    </row>
    <row r="425" spans="2:41" ht="16.5" thickBot="1" x14ac:dyDescent="0.3">
      <c r="B425" s="493" t="s">
        <v>960</v>
      </c>
      <c r="C425" s="510"/>
      <c r="D425" s="510"/>
      <c r="E425" s="510"/>
      <c r="F425" s="510"/>
      <c r="G425" s="510"/>
      <c r="H425" s="510"/>
      <c r="I425" s="510"/>
      <c r="J425" s="510"/>
      <c r="K425" s="510"/>
      <c r="L425" s="510"/>
      <c r="M425" s="510"/>
      <c r="N425" s="510"/>
      <c r="O425" s="510"/>
      <c r="Q425" s="899" t="s">
        <v>1271</v>
      </c>
      <c r="AG425" s="506"/>
      <c r="AH425" s="506"/>
      <c r="AI425" s="506"/>
      <c r="AJ425" s="506"/>
      <c r="AK425" s="506"/>
      <c r="AL425" s="506"/>
      <c r="AM425" s="506"/>
      <c r="AN425" s="506"/>
      <c r="AO425" s="506"/>
    </row>
    <row r="426" spans="2:41" ht="15" thickBot="1" x14ac:dyDescent="0.25">
      <c r="C426" s="511"/>
      <c r="D426" s="511"/>
      <c r="E426" s="511"/>
      <c r="F426" s="511"/>
      <c r="G426" s="511"/>
      <c r="H426" s="511"/>
      <c r="I426" s="511"/>
      <c r="J426" s="511"/>
      <c r="K426" s="511"/>
      <c r="L426" s="511"/>
      <c r="M426" s="511"/>
      <c r="N426" s="511"/>
      <c r="O426" s="511"/>
      <c r="Q426" s="900" t="s">
        <v>1273</v>
      </c>
      <c r="AG426" s="506"/>
      <c r="AH426" s="506"/>
      <c r="AI426" s="506"/>
      <c r="AJ426" s="506"/>
      <c r="AK426" s="506"/>
      <c r="AL426" s="506"/>
      <c r="AM426" s="506"/>
      <c r="AN426" s="506"/>
      <c r="AO426" s="506"/>
    </row>
    <row r="427" spans="2:41" ht="15" customHeight="1" x14ac:dyDescent="0.25">
      <c r="B427" s="512" t="s">
        <v>961</v>
      </c>
      <c r="C427" s="221"/>
      <c r="D427" s="221"/>
      <c r="E427" s="513"/>
      <c r="F427" s="513"/>
      <c r="G427" s="513"/>
      <c r="H427" s="513"/>
      <c r="I427" s="513"/>
      <c r="J427" s="513"/>
      <c r="K427" s="513"/>
      <c r="L427" s="513"/>
      <c r="AG427" s="506"/>
      <c r="AH427" s="506"/>
      <c r="AI427" s="506"/>
      <c r="AJ427" s="506"/>
      <c r="AK427" s="506"/>
      <c r="AL427" s="506"/>
      <c r="AM427" s="506"/>
      <c r="AN427" s="506"/>
      <c r="AO427" s="506"/>
    </row>
    <row r="428" spans="2:41" ht="15" x14ac:dyDescent="0.25">
      <c r="B428" s="428" t="s">
        <v>962</v>
      </c>
      <c r="C428" s="496"/>
      <c r="D428" s="496"/>
      <c r="E428" s="496">
        <f>'Renewals &amp; Maintenance'!G69</f>
        <v>6862</v>
      </c>
      <c r="F428" s="496">
        <f>'Renewals &amp; Maintenance'!H69</f>
        <v>6093.326</v>
      </c>
      <c r="G428" s="496">
        <f>'Renewals &amp; Maintenance'!I69</f>
        <v>10469.0535</v>
      </c>
      <c r="H428" s="496">
        <f>'Renewals &amp; Maintenance'!J69</f>
        <v>7109.5190000000002</v>
      </c>
      <c r="I428" s="496">
        <f>'Renewals &amp; Maintenance'!K69</f>
        <v>7132.6670000000004</v>
      </c>
      <c r="J428" s="496">
        <f>'Renewals &amp; Maintenance'!L69</f>
        <v>7221.0257000000001</v>
      </c>
      <c r="K428" s="496">
        <f>'Renewals &amp; Maintenance'!M69</f>
        <v>7369.9183674999995</v>
      </c>
      <c r="L428" s="496">
        <f>'Renewals &amp; Maintenance'!N69</f>
        <v>7933.9763516875</v>
      </c>
      <c r="M428" s="496">
        <f>'Renewals &amp; Maintenance'!O69</f>
        <v>7761.2036454796871</v>
      </c>
      <c r="N428" s="496">
        <f>'Renewals &amp; Maintenance'!P69</f>
        <v>8078.604338816679</v>
      </c>
      <c r="O428" s="496">
        <f>'Renewals &amp; Maintenance'!Q69</f>
        <v>8196.1826210310974</v>
      </c>
      <c r="AG428" s="514"/>
      <c r="AH428" s="514"/>
      <c r="AI428" s="514"/>
      <c r="AJ428" s="514"/>
      <c r="AK428" s="514"/>
      <c r="AL428" s="514"/>
      <c r="AM428" s="514"/>
      <c r="AN428" s="514"/>
      <c r="AO428" s="514"/>
    </row>
    <row r="429" spans="2:41" ht="15" x14ac:dyDescent="0.25">
      <c r="B429" s="428" t="s">
        <v>963</v>
      </c>
      <c r="C429" s="496"/>
      <c r="D429" s="496"/>
      <c r="E429" s="496">
        <f>'Renewals &amp; Maintenance'!G70</f>
        <v>0</v>
      </c>
      <c r="F429" s="496">
        <f>'Renewals &amp; Maintenance'!H70</f>
        <v>1734.672</v>
      </c>
      <c r="G429" s="496">
        <f>'Renewals &amp; Maintenance'!I70</f>
        <v>1795.5137999999997</v>
      </c>
      <c r="H429" s="496">
        <f>'Renewals &amp; Maintenance'!J70</f>
        <v>1830.759395</v>
      </c>
      <c r="I429" s="496">
        <f>'Renewals &amp; Maintenance'!K70</f>
        <v>1784.2684048749998</v>
      </c>
      <c r="J429" s="496">
        <f>'Renewals &amp; Maintenance'!L70</f>
        <v>1760.5397399968747</v>
      </c>
      <c r="K429" s="496">
        <f>'Renewals &amp; Maintenance'!M70</f>
        <v>1787.4678584967965</v>
      </c>
      <c r="L429" s="496">
        <f>'Renewals &amp; Maintenance'!N70</f>
        <v>1865.0691799592162</v>
      </c>
      <c r="M429" s="496">
        <f>'Renewals &amp; Maintenance'!O70</f>
        <v>1893.3605344581968</v>
      </c>
      <c r="N429" s="496">
        <f>'Renewals &amp; Maintenance'!P70</f>
        <v>1872.3591728196513</v>
      </c>
      <c r="O429" s="496">
        <f>'Renewals &amp; Maintenance'!Q70</f>
        <v>1952.0827771401425</v>
      </c>
      <c r="AG429" s="506"/>
      <c r="AH429" s="506"/>
      <c r="AI429" s="506"/>
      <c r="AJ429" s="506"/>
      <c r="AK429" s="506"/>
      <c r="AL429" s="506"/>
      <c r="AM429" s="506"/>
      <c r="AN429" s="506"/>
      <c r="AO429" s="506"/>
    </row>
    <row r="430" spans="2:41" ht="15.75" thickBot="1" x14ac:dyDescent="0.3">
      <c r="B430" s="478" t="s">
        <v>964</v>
      </c>
      <c r="C430" s="491">
        <f t="shared" ref="C430" si="223">SUM(C428:C429)</f>
        <v>0</v>
      </c>
      <c r="D430" s="491">
        <f t="shared" ref="D430:E430" si="224">SUM(D428:D429)</f>
        <v>0</v>
      </c>
      <c r="E430" s="491">
        <f t="shared" si="224"/>
        <v>6862</v>
      </c>
      <c r="F430" s="491">
        <f t="shared" ref="F430:O430" si="225">SUM(F428:F429)</f>
        <v>7827.9979999999996</v>
      </c>
      <c r="G430" s="491">
        <f t="shared" si="225"/>
        <v>12264.567299999999</v>
      </c>
      <c r="H430" s="491">
        <f t="shared" si="225"/>
        <v>8940.2783950000012</v>
      </c>
      <c r="I430" s="491">
        <f t="shared" si="225"/>
        <v>8916.9354048749992</v>
      </c>
      <c r="J430" s="491">
        <f t="shared" si="225"/>
        <v>8981.5654399968753</v>
      </c>
      <c r="K430" s="491">
        <f t="shared" si="225"/>
        <v>9157.3862259967955</v>
      </c>
      <c r="L430" s="491">
        <f t="shared" si="225"/>
        <v>9799.045531646716</v>
      </c>
      <c r="M430" s="491">
        <f t="shared" si="225"/>
        <v>9654.5641799378845</v>
      </c>
      <c r="N430" s="491">
        <f t="shared" si="225"/>
        <v>9950.9635116363297</v>
      </c>
      <c r="O430" s="491">
        <f t="shared" si="225"/>
        <v>10148.265398171239</v>
      </c>
      <c r="AG430" s="515"/>
      <c r="AH430" s="515"/>
      <c r="AI430" s="515"/>
      <c r="AJ430" s="515"/>
      <c r="AK430" s="515"/>
      <c r="AL430" s="515"/>
      <c r="AM430" s="515"/>
      <c r="AN430" s="515"/>
      <c r="AO430" s="515"/>
    </row>
    <row r="431" spans="2:41" ht="15" x14ac:dyDescent="0.25">
      <c r="B431" s="428" t="s">
        <v>965</v>
      </c>
      <c r="C431" s="496"/>
      <c r="D431" s="496"/>
      <c r="E431" s="496">
        <f>'GF &amp; FF  Inc Exp Statement'!F126-E432</f>
        <v>21320.421999999999</v>
      </c>
      <c r="F431" s="496">
        <f>'GF &amp; FF  Inc Exp Statement'!G126-F432</f>
        <v>2600.8139999999999</v>
      </c>
      <c r="G431" s="496">
        <f>'GF &amp; FF  Inc Exp Statement'!H126-G432</f>
        <v>19306.5245</v>
      </c>
      <c r="H431" s="496">
        <f>'GF &amp; FF  Inc Exp Statement'!I126-H432</f>
        <v>16162.895</v>
      </c>
      <c r="I431" s="496">
        <f>'GF &amp; FF  Inc Exp Statement'!J126-I432</f>
        <v>2065.5980000000004</v>
      </c>
      <c r="J431" s="496">
        <f>'GF &amp; FF  Inc Exp Statement'!K126-J432</f>
        <v>1445.9567</v>
      </c>
      <c r="K431" s="496">
        <f>'GF &amp; FF  Inc Exp Statement'!L126-K432</f>
        <v>2401.4493674999999</v>
      </c>
      <c r="L431" s="496">
        <f>'GF &amp; FF  Inc Exp Statement'!M126-L432</f>
        <v>3207.0793516875001</v>
      </c>
      <c r="M431" s="496">
        <f>'GF &amp; FF  Inc Exp Statement'!N126-M432</f>
        <v>3212.8500854796876</v>
      </c>
      <c r="N431" s="496">
        <f>'GF &amp; FF  Inc Exp Statement'!O126-N432</f>
        <v>3168.7650876166799</v>
      </c>
      <c r="O431" s="496">
        <f>'GF &amp; FF  Inc Exp Statement'!P126-O432</f>
        <v>3224.8279648070966</v>
      </c>
      <c r="AG431" s="515"/>
      <c r="AH431" s="506"/>
      <c r="AI431" s="506"/>
      <c r="AJ431" s="515"/>
      <c r="AK431" s="506"/>
      <c r="AL431" s="506"/>
      <c r="AM431" s="506"/>
      <c r="AN431" s="506"/>
      <c r="AO431" s="515"/>
    </row>
    <row r="432" spans="2:41" ht="15" x14ac:dyDescent="0.25">
      <c r="B432" s="428" t="s">
        <v>966</v>
      </c>
      <c r="C432" s="496"/>
      <c r="D432" s="496"/>
      <c r="E432" s="516"/>
      <c r="F432" s="516"/>
      <c r="G432" s="516"/>
      <c r="H432" s="516"/>
      <c r="I432" s="516"/>
      <c r="J432" s="516"/>
      <c r="K432" s="516"/>
      <c r="L432" s="516"/>
      <c r="M432" s="516"/>
      <c r="N432" s="516"/>
      <c r="O432" s="516"/>
      <c r="AG432" s="506"/>
      <c r="AH432" s="506"/>
      <c r="AI432" s="506"/>
      <c r="AJ432" s="506"/>
      <c r="AK432" s="506"/>
      <c r="AL432" s="506"/>
      <c r="AM432" s="506"/>
      <c r="AN432" s="506"/>
    </row>
    <row r="433" spans="2:40" ht="15.75" thickBot="1" x14ac:dyDescent="0.3">
      <c r="B433" s="478" t="s">
        <v>967</v>
      </c>
      <c r="C433" s="491"/>
      <c r="D433" s="491"/>
      <c r="E433" s="491">
        <f>SUM(E431:E432)</f>
        <v>21320.421999999999</v>
      </c>
      <c r="F433" s="491">
        <f t="shared" ref="F433" si="226">SUM(F431:F432)</f>
        <v>2600.8139999999999</v>
      </c>
      <c r="G433" s="491">
        <f t="shared" ref="G433" si="227">SUM(G431:G432)</f>
        <v>19306.5245</v>
      </c>
      <c r="H433" s="491">
        <f t="shared" ref="H433" si="228">SUM(H431:H432)</f>
        <v>16162.895</v>
      </c>
      <c r="I433" s="491">
        <f t="shared" ref="I433" si="229">SUM(I431:I432)</f>
        <v>2065.5980000000004</v>
      </c>
      <c r="J433" s="491">
        <f t="shared" ref="J433" si="230">SUM(J431:J432)</f>
        <v>1445.9567</v>
      </c>
      <c r="K433" s="491">
        <f t="shared" ref="K433" si="231">SUM(K431:K432)</f>
        <v>2401.4493674999999</v>
      </c>
      <c r="L433" s="491">
        <f t="shared" ref="L433" si="232">SUM(L431:L432)</f>
        <v>3207.0793516875001</v>
      </c>
      <c r="M433" s="491">
        <f t="shared" ref="M433" si="233">SUM(M431:M432)</f>
        <v>3212.8500854796876</v>
      </c>
      <c r="N433" s="491">
        <f t="shared" ref="N433" si="234">SUM(N431:N432)</f>
        <v>3168.7650876166799</v>
      </c>
      <c r="O433" s="491">
        <f t="shared" ref="O433" si="235">SUM(O431:O432)</f>
        <v>3224.8279648070966</v>
      </c>
      <c r="AG433" s="515"/>
      <c r="AH433" s="515"/>
      <c r="AI433" s="515"/>
      <c r="AJ433" s="515"/>
      <c r="AK433" s="515"/>
      <c r="AL433" s="515"/>
      <c r="AM433" s="515"/>
      <c r="AN433" s="515"/>
    </row>
    <row r="434" spans="2:40" ht="15.75" thickBot="1" x14ac:dyDescent="0.3">
      <c r="B434" s="498" t="s">
        <v>910</v>
      </c>
      <c r="C434" s="491">
        <f t="shared" ref="C434:L434" si="236">C430+C433</f>
        <v>0</v>
      </c>
      <c r="D434" s="491">
        <f t="shared" si="236"/>
        <v>0</v>
      </c>
      <c r="E434" s="491">
        <f t="shared" si="236"/>
        <v>28182.421999999999</v>
      </c>
      <c r="F434" s="491">
        <f t="shared" si="236"/>
        <v>10428.812</v>
      </c>
      <c r="G434" s="491">
        <f t="shared" si="236"/>
        <v>31571.091799999998</v>
      </c>
      <c r="H434" s="491">
        <f t="shared" si="236"/>
        <v>25103.173395000002</v>
      </c>
      <c r="I434" s="491">
        <f t="shared" si="236"/>
        <v>10982.533404874999</v>
      </c>
      <c r="J434" s="491">
        <f t="shared" si="236"/>
        <v>10427.522139996876</v>
      </c>
      <c r="K434" s="491">
        <f t="shared" si="236"/>
        <v>11558.835593496795</v>
      </c>
      <c r="L434" s="491">
        <f t="shared" si="236"/>
        <v>13006.124883334216</v>
      </c>
      <c r="M434" s="491">
        <f>M430+M433</f>
        <v>12867.414265417572</v>
      </c>
      <c r="N434" s="491">
        <f>N430+N433</f>
        <v>13119.728599253009</v>
      </c>
      <c r="O434" s="491">
        <f>O430+O433</f>
        <v>13373.093362978336</v>
      </c>
      <c r="AG434" s="506"/>
      <c r="AH434" s="506"/>
      <c r="AI434" s="515"/>
      <c r="AJ434" s="506"/>
      <c r="AK434" s="515"/>
      <c r="AL434" s="506"/>
      <c r="AM434" s="506"/>
      <c r="AN434" s="515"/>
    </row>
    <row r="435" spans="2:40" ht="15" thickBot="1" x14ac:dyDescent="0.25"/>
    <row r="436" spans="2:40" ht="30" x14ac:dyDescent="0.25">
      <c r="B436" s="422" t="s">
        <v>1114</v>
      </c>
      <c r="C436" s="474">
        <f>C324</f>
        <v>2015</v>
      </c>
      <c r="D436" s="474">
        <f t="shared" ref="D436:O436" si="237">D324</f>
        <v>2016</v>
      </c>
      <c r="E436" s="474">
        <f t="shared" si="237"/>
        <v>2017</v>
      </c>
      <c r="F436" s="474">
        <f t="shared" si="237"/>
        <v>2018</v>
      </c>
      <c r="G436" s="474">
        <f t="shared" si="237"/>
        <v>2019</v>
      </c>
      <c r="H436" s="474">
        <f t="shared" si="237"/>
        <v>2020</v>
      </c>
      <c r="I436" s="474">
        <f t="shared" si="237"/>
        <v>2021</v>
      </c>
      <c r="J436" s="474">
        <f t="shared" si="237"/>
        <v>2022</v>
      </c>
      <c r="K436" s="474">
        <f t="shared" si="237"/>
        <v>2023</v>
      </c>
      <c r="L436" s="474">
        <f t="shared" si="237"/>
        <v>2024</v>
      </c>
      <c r="M436" s="474">
        <f t="shared" si="237"/>
        <v>2025</v>
      </c>
      <c r="N436" s="474">
        <f t="shared" si="237"/>
        <v>2026</v>
      </c>
      <c r="O436" s="474">
        <f t="shared" si="237"/>
        <v>2027</v>
      </c>
    </row>
    <row r="437" spans="2:40" ht="15.75" thickBot="1" x14ac:dyDescent="0.3">
      <c r="B437" s="517" t="str">
        <f>B406</f>
        <v>Statement of Cashflows</v>
      </c>
      <c r="C437" s="475" t="s">
        <v>875</v>
      </c>
      <c r="D437" s="475" t="s">
        <v>875</v>
      </c>
      <c r="E437" s="475" t="s">
        <v>875</v>
      </c>
      <c r="F437" s="475" t="s">
        <v>875</v>
      </c>
      <c r="G437" s="475" t="s">
        <v>875</v>
      </c>
      <c r="H437" s="475" t="s">
        <v>875</v>
      </c>
      <c r="I437" s="475" t="s">
        <v>875</v>
      </c>
      <c r="J437" s="475" t="s">
        <v>875</v>
      </c>
      <c r="K437" s="475" t="s">
        <v>875</v>
      </c>
      <c r="L437" s="475" t="s">
        <v>875</v>
      </c>
      <c r="M437" s="475" t="s">
        <v>875</v>
      </c>
      <c r="N437" s="475" t="s">
        <v>875</v>
      </c>
      <c r="O437" s="475" t="s">
        <v>875</v>
      </c>
    </row>
    <row r="438" spans="2:40" ht="15" customHeight="1" x14ac:dyDescent="0.25">
      <c r="B438" s="518" t="s">
        <v>968</v>
      </c>
      <c r="C438" s="450"/>
      <c r="D438" s="450">
        <f>D347-SUM(D439:D445)</f>
        <v>0</v>
      </c>
      <c r="E438" s="450">
        <f t="shared" ref="E438" si="238">E347-SUM(E439:E445)</f>
        <v>0</v>
      </c>
      <c r="F438" s="450">
        <f t="shared" ref="F438" si="239">F347-SUM(F439:F445)</f>
        <v>0</v>
      </c>
      <c r="G438" s="450">
        <f t="shared" ref="G438" si="240">G347-SUM(G439:G445)</f>
        <v>0</v>
      </c>
      <c r="H438" s="450">
        <f t="shared" ref="H438" si="241">H347-SUM(H439:H445)</f>
        <v>0</v>
      </c>
      <c r="I438" s="450">
        <f t="shared" ref="I438" si="242">I347-SUM(I439:I445)</f>
        <v>0</v>
      </c>
      <c r="J438" s="450">
        <f t="shared" ref="J438" si="243">J347-SUM(J439:J445)</f>
        <v>0</v>
      </c>
      <c r="K438" s="450">
        <f t="shared" ref="K438" si="244">K347-SUM(K439:K445)</f>
        <v>0</v>
      </c>
      <c r="L438" s="450">
        <f t="shared" ref="L438" si="245">L347-SUM(L439:L445)</f>
        <v>0</v>
      </c>
      <c r="M438" s="450">
        <f t="shared" ref="M438" si="246">M347-SUM(M439:M445)</f>
        <v>0</v>
      </c>
      <c r="N438" s="450">
        <f t="shared" ref="N438" si="247">N347-SUM(N439:N445)</f>
        <v>0</v>
      </c>
      <c r="O438" s="450">
        <f t="shared" ref="O438" si="248">O347-SUM(O439:O445)</f>
        <v>0</v>
      </c>
    </row>
    <row r="439" spans="2:40" ht="15" x14ac:dyDescent="0.25">
      <c r="B439" s="428" t="s">
        <v>969</v>
      </c>
      <c r="C439" s="519"/>
      <c r="D439" s="519"/>
      <c r="E439" s="519"/>
      <c r="F439" s="519"/>
      <c r="G439" s="519"/>
      <c r="H439" s="519"/>
      <c r="I439" s="519"/>
      <c r="J439" s="519"/>
      <c r="K439" s="519"/>
      <c r="L439" s="519"/>
      <c r="M439" s="519"/>
      <c r="N439" s="519"/>
      <c r="O439" s="519"/>
    </row>
    <row r="440" spans="2:40" ht="15" x14ac:dyDescent="0.25">
      <c r="B440" s="428" t="s">
        <v>970</v>
      </c>
      <c r="C440" s="450"/>
      <c r="D440" s="450"/>
      <c r="E440" s="450"/>
      <c r="F440" s="450"/>
      <c r="G440" s="450"/>
      <c r="H440" s="450"/>
      <c r="I440" s="450"/>
      <c r="J440" s="450"/>
      <c r="K440" s="450"/>
      <c r="L440" s="450"/>
      <c r="M440" s="450"/>
      <c r="N440" s="450"/>
      <c r="O440" s="450"/>
    </row>
    <row r="441" spans="2:40" ht="15" x14ac:dyDescent="0.25">
      <c r="B441" s="428" t="s">
        <v>971</v>
      </c>
      <c r="C441" s="450"/>
      <c r="D441" s="450"/>
      <c r="E441" s="450"/>
      <c r="F441" s="450"/>
      <c r="G441" s="450"/>
      <c r="H441" s="450"/>
      <c r="I441" s="450"/>
      <c r="J441" s="450"/>
      <c r="K441" s="450"/>
      <c r="L441" s="450"/>
      <c r="M441" s="450"/>
      <c r="N441" s="450"/>
      <c r="O441" s="450"/>
    </row>
    <row r="442" spans="2:40" ht="15" x14ac:dyDescent="0.25">
      <c r="B442" s="428" t="s">
        <v>972</v>
      </c>
      <c r="C442" s="450"/>
      <c r="D442" s="450"/>
      <c r="E442" s="450"/>
      <c r="F442" s="450"/>
      <c r="G442" s="450"/>
      <c r="H442" s="450"/>
      <c r="I442" s="450"/>
      <c r="J442" s="450"/>
      <c r="K442" s="450"/>
      <c r="L442" s="450"/>
      <c r="M442" s="450"/>
      <c r="N442" s="450"/>
      <c r="O442" s="450"/>
    </row>
    <row r="443" spans="2:40" ht="15" x14ac:dyDescent="0.25">
      <c r="B443" s="428" t="s">
        <v>973</v>
      </c>
      <c r="C443" s="450"/>
      <c r="D443" s="450">
        <f>'Renewals &amp; Maintenance'!F64</f>
        <v>5616</v>
      </c>
      <c r="E443" s="450">
        <f>'Renewals &amp; Maintenance'!G64</f>
        <v>6905.496000000001</v>
      </c>
      <c r="F443" s="450">
        <f>'Renewals &amp; Maintenance'!H64</f>
        <v>6136.0370000000003</v>
      </c>
      <c r="G443" s="450">
        <f>'Renewals &amp; Maintenance'!I64</f>
        <v>6230.1202999999996</v>
      </c>
      <c r="H443" s="450">
        <f>'Renewals &amp; Maintenance'!J64</f>
        <v>6509.9427075000003</v>
      </c>
      <c r="I443" s="450">
        <f>'Renewals &amp; Maintenance'!K64</f>
        <v>7027.1279501874997</v>
      </c>
      <c r="J443" s="450">
        <f>'Renewals &amp; Maintenance'!L64</f>
        <v>7202.8061489421862</v>
      </c>
      <c r="K443" s="450">
        <f>'Renewals &amp; Maintenance'!M64</f>
        <v>7382.8763026657416</v>
      </c>
      <c r="L443" s="450">
        <f>'Renewals &amp; Maintenance'!N64</f>
        <v>7567.4482102323836</v>
      </c>
      <c r="M443" s="450">
        <f>'Renewals &amp; Maintenance'!O64</f>
        <v>7756.6344154881936</v>
      </c>
      <c r="N443" s="450">
        <f>'Renewals &amp; Maintenance'!P64</f>
        <v>7950.5502758753973</v>
      </c>
      <c r="O443" s="450">
        <f>'Renewals &amp; Maintenance'!Q64</f>
        <v>8149.3140327722822</v>
      </c>
    </row>
    <row r="444" spans="2:40" ht="15" x14ac:dyDescent="0.25">
      <c r="B444" s="428" t="s">
        <v>974</v>
      </c>
      <c r="C444" s="450"/>
      <c r="D444" s="450"/>
      <c r="E444" s="450"/>
      <c r="F444" s="450"/>
      <c r="G444" s="450"/>
      <c r="H444" s="450"/>
      <c r="I444" s="450"/>
      <c r="J444" s="450"/>
      <c r="K444" s="450"/>
      <c r="L444" s="450"/>
      <c r="M444" s="450"/>
      <c r="N444" s="450"/>
      <c r="O444" s="450"/>
    </row>
    <row r="445" spans="2:40" ht="15.75" thickBot="1" x14ac:dyDescent="0.3">
      <c r="B445" s="428" t="s">
        <v>975</v>
      </c>
      <c r="C445" s="520">
        <f>'Renewals &amp; Maintenance'!E338</f>
        <v>0</v>
      </c>
      <c r="D445" s="520">
        <f>'Renewals &amp; Maintenance'!F65</f>
        <v>1566</v>
      </c>
      <c r="E445" s="520">
        <f>'Renewals &amp; Maintenance'!G65</f>
        <v>1605.1499999999999</v>
      </c>
      <c r="F445" s="520">
        <f>'Renewals &amp; Maintenance'!H65</f>
        <v>1489.4280000000001</v>
      </c>
      <c r="G445" s="520">
        <f>'Renewals &amp; Maintenance'!I65</f>
        <v>1526.6637000000001</v>
      </c>
      <c r="H445" s="520">
        <f>'Renewals &amp; Maintenance'!J65</f>
        <v>1564.8302925</v>
      </c>
      <c r="I445" s="520">
        <f>'Renewals &amp; Maintenance'!K65</f>
        <v>1603.9510498124998</v>
      </c>
      <c r="J445" s="520">
        <f>'Renewals &amp; Maintenance'!L65</f>
        <v>1644.0498260578122</v>
      </c>
      <c r="K445" s="520">
        <f>'Renewals &amp; Maintenance'!M65</f>
        <v>1685.1510717092574</v>
      </c>
      <c r="L445" s="520">
        <f>'Renewals &amp; Maintenance'!N65</f>
        <v>1727.2798485019887</v>
      </c>
      <c r="M445" s="520">
        <f>'Renewals &amp; Maintenance'!O65</f>
        <v>1770.4618447145383</v>
      </c>
      <c r="N445" s="520">
        <f>'Renewals &amp; Maintenance'!P65</f>
        <v>1814.7233908324015</v>
      </c>
      <c r="O445" s="520">
        <f>'Renewals &amp; Maintenance'!Q65</f>
        <v>1860.0914756032114</v>
      </c>
    </row>
    <row r="446" spans="2:40" ht="15.75" thickBot="1" x14ac:dyDescent="0.3">
      <c r="B446" s="521" t="s">
        <v>614</v>
      </c>
      <c r="C446" s="491">
        <f>SUM(C438:C445)</f>
        <v>0</v>
      </c>
      <c r="D446" s="491">
        <f>SUM(D438:D445)</f>
        <v>7182</v>
      </c>
      <c r="E446" s="491">
        <f t="shared" ref="E446" si="249">SUM(E438:E445)</f>
        <v>8510.6460000000006</v>
      </c>
      <c r="F446" s="491">
        <f t="shared" ref="F446" si="250">SUM(F438:F445)</f>
        <v>7625.4650000000001</v>
      </c>
      <c r="G446" s="491">
        <f t="shared" ref="G446" si="251">SUM(G438:G445)</f>
        <v>7756.7839999999997</v>
      </c>
      <c r="H446" s="491">
        <f t="shared" ref="H446" si="252">SUM(H438:H445)</f>
        <v>8074.7730000000001</v>
      </c>
      <c r="I446" s="491">
        <f t="shared" ref="I446" si="253">SUM(I438:I445)</f>
        <v>8631.0789999999997</v>
      </c>
      <c r="J446" s="491">
        <f t="shared" ref="J446" si="254">SUM(J438:J445)</f>
        <v>8846.8559749999986</v>
      </c>
      <c r="K446" s="491">
        <f t="shared" ref="K446" si="255">SUM(K438:K445)</f>
        <v>9068.0273743749985</v>
      </c>
      <c r="L446" s="491">
        <f t="shared" ref="L446" si="256">SUM(L438:L445)</f>
        <v>9294.7280587343721</v>
      </c>
      <c r="M446" s="491">
        <f t="shared" ref="M446" si="257">SUM(M438:M445)</f>
        <v>9527.0962602027321</v>
      </c>
      <c r="N446" s="491">
        <f t="shared" ref="N446" si="258">SUM(N438:N445)</f>
        <v>9765.2736667077988</v>
      </c>
      <c r="O446" s="491">
        <f t="shared" ref="O446" si="259">SUM(O438:O445)</f>
        <v>10009.405508375494</v>
      </c>
    </row>
    <row r="447" spans="2:40" ht="15.75" thickBot="1" x14ac:dyDescent="0.3">
      <c r="B447" s="493" t="s">
        <v>976</v>
      </c>
      <c r="C447" s="522"/>
      <c r="D447" s="522">
        <f>SUM(D440:D444)</f>
        <v>5616</v>
      </c>
      <c r="E447" s="522">
        <f t="shared" ref="E447:O447" si="260">SUM(E440:E444)</f>
        <v>6905.496000000001</v>
      </c>
      <c r="F447" s="522">
        <f t="shared" si="260"/>
        <v>6136.0370000000003</v>
      </c>
      <c r="G447" s="522">
        <f t="shared" si="260"/>
        <v>6230.1202999999996</v>
      </c>
      <c r="H447" s="522">
        <f t="shared" si="260"/>
        <v>6509.9427075000003</v>
      </c>
      <c r="I447" s="522">
        <f t="shared" si="260"/>
        <v>7027.1279501874997</v>
      </c>
      <c r="J447" s="522">
        <f t="shared" si="260"/>
        <v>7202.8061489421862</v>
      </c>
      <c r="K447" s="522">
        <f t="shared" si="260"/>
        <v>7382.8763026657416</v>
      </c>
      <c r="L447" s="522">
        <f t="shared" si="260"/>
        <v>7567.4482102323836</v>
      </c>
      <c r="M447" s="522">
        <f t="shared" si="260"/>
        <v>7756.6344154881936</v>
      </c>
      <c r="N447" s="522">
        <f t="shared" si="260"/>
        <v>7950.5502758753973</v>
      </c>
      <c r="O447" s="522">
        <f t="shared" si="260"/>
        <v>8149.3140327722822</v>
      </c>
    </row>
    <row r="448" spans="2:40" ht="15" thickBot="1" x14ac:dyDescent="0.25"/>
    <row r="449" spans="2:15" ht="15" x14ac:dyDescent="0.25">
      <c r="B449" s="422" t="s">
        <v>977</v>
      </c>
      <c r="C449" s="474">
        <f t="shared" ref="C449:L449" si="261">C324</f>
        <v>2015</v>
      </c>
      <c r="D449" s="474">
        <f t="shared" si="261"/>
        <v>2016</v>
      </c>
      <c r="E449" s="474">
        <f t="shared" si="261"/>
        <v>2017</v>
      </c>
      <c r="F449" s="474">
        <f t="shared" si="261"/>
        <v>2018</v>
      </c>
      <c r="G449" s="474">
        <f t="shared" si="261"/>
        <v>2019</v>
      </c>
      <c r="H449" s="474">
        <f t="shared" si="261"/>
        <v>2020</v>
      </c>
      <c r="I449" s="474">
        <f t="shared" si="261"/>
        <v>2021</v>
      </c>
      <c r="J449" s="474">
        <f t="shared" si="261"/>
        <v>2022</v>
      </c>
      <c r="K449" s="474">
        <f t="shared" si="261"/>
        <v>2023</v>
      </c>
      <c r="L449" s="474">
        <f t="shared" si="261"/>
        <v>2024</v>
      </c>
      <c r="M449" s="474">
        <f>M324</f>
        <v>2025</v>
      </c>
      <c r="N449" s="474">
        <f>N324</f>
        <v>2026</v>
      </c>
      <c r="O449" s="474">
        <f>O324</f>
        <v>2027</v>
      </c>
    </row>
    <row r="450" spans="2:15" ht="15.75" thickBot="1" x14ac:dyDescent="0.3">
      <c r="B450" s="517" t="s">
        <v>978</v>
      </c>
      <c r="C450" s="475" t="s">
        <v>875</v>
      </c>
      <c r="D450" s="475" t="s">
        <v>875</v>
      </c>
      <c r="E450" s="475" t="s">
        <v>875</v>
      </c>
      <c r="F450" s="475" t="s">
        <v>875</v>
      </c>
      <c r="G450" s="475" t="s">
        <v>875</v>
      </c>
      <c r="H450" s="475" t="s">
        <v>875</v>
      </c>
      <c r="I450" s="475" t="s">
        <v>875</v>
      </c>
      <c r="J450" s="475" t="s">
        <v>875</v>
      </c>
      <c r="K450" s="475" t="s">
        <v>875</v>
      </c>
      <c r="L450" s="475" t="s">
        <v>875</v>
      </c>
      <c r="M450" s="475" t="s">
        <v>875</v>
      </c>
      <c r="N450" s="475" t="s">
        <v>875</v>
      </c>
      <c r="O450" s="475" t="s">
        <v>875</v>
      </c>
    </row>
    <row r="451" spans="2:15" ht="15" x14ac:dyDescent="0.25">
      <c r="B451" s="523" t="s">
        <v>909</v>
      </c>
      <c r="C451" s="442"/>
      <c r="D451" s="442"/>
      <c r="E451" s="442"/>
      <c r="F451" s="442"/>
      <c r="G451" s="442"/>
      <c r="H451" s="442"/>
      <c r="I451" s="442"/>
      <c r="J451" s="442"/>
      <c r="K451" s="442"/>
      <c r="L451" s="442"/>
      <c r="M451" s="442"/>
      <c r="N451" s="442"/>
      <c r="O451" s="442"/>
    </row>
    <row r="452" spans="2:15" ht="14.25" x14ac:dyDescent="0.2">
      <c r="B452" s="442" t="s">
        <v>979</v>
      </c>
      <c r="C452" s="442"/>
      <c r="D452" s="442">
        <v>373</v>
      </c>
      <c r="E452" s="442"/>
      <c r="F452" s="442"/>
      <c r="G452" s="442"/>
      <c r="H452" s="442"/>
      <c r="I452" s="442"/>
      <c r="J452" s="442"/>
      <c r="K452" s="442"/>
      <c r="L452" s="442"/>
      <c r="M452" s="442"/>
      <c r="N452" s="442"/>
      <c r="O452" s="442"/>
    </row>
    <row r="453" spans="2:15" ht="14.25" x14ac:dyDescent="0.2">
      <c r="B453" s="442" t="s">
        <v>980</v>
      </c>
      <c r="C453" s="442"/>
      <c r="D453" s="442">
        <v>350</v>
      </c>
      <c r="E453" s="442"/>
      <c r="F453" s="442"/>
      <c r="G453" s="442"/>
      <c r="H453" s="442"/>
      <c r="I453" s="442"/>
      <c r="J453" s="442"/>
      <c r="K453" s="442"/>
      <c r="L453" s="442"/>
      <c r="M453" s="442"/>
      <c r="N453" s="442"/>
      <c r="O453" s="442"/>
    </row>
    <row r="454" spans="2:15" ht="14.25" x14ac:dyDescent="0.2">
      <c r="B454" s="442" t="s">
        <v>981</v>
      </c>
      <c r="C454" s="442"/>
      <c r="D454" s="442">
        <v>208</v>
      </c>
      <c r="E454" s="442"/>
      <c r="F454" s="442"/>
      <c r="G454" s="442"/>
      <c r="H454" s="442"/>
      <c r="I454" s="442"/>
      <c r="J454" s="442"/>
      <c r="K454" s="442"/>
      <c r="L454" s="442"/>
      <c r="M454" s="442"/>
      <c r="N454" s="442"/>
      <c r="O454" s="442"/>
    </row>
    <row r="455" spans="2:15" ht="14.25" x14ac:dyDescent="0.2">
      <c r="B455" s="442" t="s">
        <v>982</v>
      </c>
      <c r="C455" s="442"/>
      <c r="D455" s="442"/>
      <c r="E455" s="442"/>
      <c r="F455" s="442"/>
      <c r="G455" s="442"/>
      <c r="H455" s="442"/>
      <c r="I455" s="442"/>
      <c r="J455" s="442"/>
      <c r="K455" s="442"/>
      <c r="L455" s="442"/>
      <c r="M455" s="442"/>
      <c r="N455" s="442"/>
      <c r="O455" s="442"/>
    </row>
    <row r="456" spans="2:15" ht="14.25" x14ac:dyDescent="0.2">
      <c r="B456" s="442" t="s">
        <v>983</v>
      </c>
      <c r="C456" s="442"/>
      <c r="D456" s="442">
        <v>51016</v>
      </c>
      <c r="E456" s="442"/>
      <c r="F456" s="442"/>
      <c r="G456" s="442"/>
      <c r="H456" s="442"/>
      <c r="I456" s="442"/>
      <c r="J456" s="442"/>
      <c r="K456" s="442"/>
      <c r="L456" s="442"/>
      <c r="M456" s="442"/>
      <c r="N456" s="442"/>
      <c r="O456" s="442"/>
    </row>
    <row r="457" spans="2:15" ht="14.25" x14ac:dyDescent="0.2">
      <c r="B457" s="442" t="s">
        <v>984</v>
      </c>
      <c r="C457" s="552"/>
      <c r="D457" s="552">
        <f>1+277</f>
        <v>278</v>
      </c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</row>
    <row r="458" spans="2:15" ht="15" x14ac:dyDescent="0.25">
      <c r="B458" s="523" t="s">
        <v>972</v>
      </c>
      <c r="C458" s="442"/>
      <c r="D458" s="442"/>
      <c r="E458" s="442"/>
      <c r="F458" s="442"/>
      <c r="G458" s="442"/>
      <c r="H458" s="442"/>
      <c r="I458" s="442"/>
      <c r="J458" s="442"/>
      <c r="K458" s="442"/>
      <c r="L458" s="442"/>
      <c r="M458" s="442"/>
      <c r="N458" s="442"/>
      <c r="O458" s="442"/>
    </row>
    <row r="459" spans="2:15" ht="14.25" x14ac:dyDescent="0.2">
      <c r="B459" s="442" t="s">
        <v>979</v>
      </c>
      <c r="C459" s="442"/>
      <c r="D459" s="442"/>
      <c r="E459" s="442"/>
      <c r="F459" s="442"/>
      <c r="G459" s="442"/>
      <c r="H459" s="442"/>
      <c r="I459" s="442"/>
      <c r="J459" s="442"/>
      <c r="K459" s="442"/>
      <c r="L459" s="442"/>
      <c r="M459" s="442"/>
      <c r="N459" s="442"/>
      <c r="O459" s="442"/>
    </row>
    <row r="460" spans="2:15" ht="14.25" x14ac:dyDescent="0.2">
      <c r="B460" s="442" t="s">
        <v>980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</row>
    <row r="461" spans="2:15" ht="14.25" x14ac:dyDescent="0.2">
      <c r="B461" s="442" t="s">
        <v>981</v>
      </c>
      <c r="C461" s="442"/>
      <c r="D461" s="442"/>
      <c r="E461" s="442"/>
      <c r="F461" s="442"/>
      <c r="G461" s="442"/>
      <c r="H461" s="442"/>
      <c r="I461" s="442"/>
      <c r="J461" s="442"/>
      <c r="K461" s="442"/>
      <c r="L461" s="442"/>
      <c r="M461" s="442"/>
      <c r="N461" s="442"/>
      <c r="O461" s="442"/>
    </row>
    <row r="462" spans="2:15" ht="14.25" x14ac:dyDescent="0.2">
      <c r="B462" s="442" t="s">
        <v>982</v>
      </c>
      <c r="C462" s="442"/>
      <c r="D462" s="442"/>
      <c r="E462" s="442"/>
      <c r="F462" s="442"/>
      <c r="G462" s="442"/>
      <c r="H462" s="442"/>
      <c r="I462" s="442"/>
      <c r="J462" s="442"/>
      <c r="K462" s="442"/>
      <c r="L462" s="442"/>
      <c r="M462" s="442"/>
      <c r="N462" s="442"/>
      <c r="O462" s="442"/>
    </row>
    <row r="463" spans="2:15" ht="14.25" x14ac:dyDescent="0.2">
      <c r="B463" s="442" t="s">
        <v>983</v>
      </c>
      <c r="C463" s="442"/>
      <c r="D463" s="442"/>
      <c r="E463" s="442"/>
      <c r="F463" s="442"/>
      <c r="G463" s="442"/>
      <c r="H463" s="442"/>
      <c r="I463" s="442"/>
      <c r="J463" s="442"/>
      <c r="K463" s="442"/>
      <c r="L463" s="442"/>
      <c r="M463" s="442"/>
      <c r="N463" s="442"/>
      <c r="O463" s="442"/>
    </row>
    <row r="464" spans="2:15" ht="14.25" x14ac:dyDescent="0.2">
      <c r="B464" s="442" t="s">
        <v>984</v>
      </c>
      <c r="C464" s="442"/>
      <c r="D464" s="442"/>
      <c r="E464" s="442"/>
      <c r="F464" s="442"/>
      <c r="G464" s="442"/>
      <c r="H464" s="442"/>
      <c r="I464" s="442"/>
      <c r="J464" s="442"/>
      <c r="K464" s="442"/>
      <c r="L464" s="442"/>
      <c r="M464" s="442"/>
      <c r="N464" s="442"/>
      <c r="O464" s="442"/>
    </row>
    <row r="465" spans="2:15" ht="15" x14ac:dyDescent="0.25">
      <c r="B465" s="523" t="s">
        <v>985</v>
      </c>
      <c r="C465" s="442"/>
      <c r="D465" s="442"/>
      <c r="E465" s="442"/>
      <c r="F465" s="442"/>
      <c r="G465" s="442"/>
      <c r="H465" s="442"/>
      <c r="I465" s="442"/>
      <c r="J465" s="442"/>
      <c r="K465" s="442"/>
      <c r="L465" s="442"/>
      <c r="M465" s="442"/>
      <c r="N465" s="442"/>
      <c r="O465" s="442"/>
    </row>
    <row r="466" spans="2:15" ht="14.25" x14ac:dyDescent="0.2">
      <c r="B466" s="442" t="s">
        <v>979</v>
      </c>
      <c r="C466" s="442"/>
      <c r="D466" s="442">
        <v>5379</v>
      </c>
      <c r="E466" s="442"/>
      <c r="F466" s="442"/>
      <c r="G466" s="442"/>
      <c r="H466" s="442"/>
      <c r="I466" s="442"/>
      <c r="J466" s="442"/>
      <c r="K466" s="442"/>
      <c r="L466" s="442"/>
      <c r="M466" s="442"/>
      <c r="N466" s="442"/>
      <c r="O466" s="442"/>
    </row>
    <row r="467" spans="2:15" ht="14.25" x14ac:dyDescent="0.2">
      <c r="B467" s="442" t="s">
        <v>980</v>
      </c>
      <c r="C467" s="442"/>
      <c r="D467" s="442">
        <v>2622</v>
      </c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</row>
    <row r="468" spans="2:15" ht="14.25" x14ac:dyDescent="0.2">
      <c r="B468" s="442" t="s">
        <v>981</v>
      </c>
      <c r="C468" s="442"/>
      <c r="D468" s="442">
        <v>2229</v>
      </c>
      <c r="E468" s="442"/>
      <c r="F468" s="442"/>
      <c r="G468" s="442"/>
      <c r="H468" s="442"/>
      <c r="I468" s="442"/>
      <c r="J468" s="442"/>
      <c r="K468" s="442"/>
      <c r="L468" s="442"/>
      <c r="M468" s="442"/>
      <c r="N468" s="442"/>
      <c r="O468" s="442"/>
    </row>
    <row r="469" spans="2:15" ht="14.25" x14ac:dyDescent="0.2">
      <c r="B469" s="442" t="s">
        <v>982</v>
      </c>
      <c r="C469" s="442"/>
      <c r="D469" s="442"/>
      <c r="E469" s="442"/>
      <c r="F469" s="442"/>
      <c r="G469" s="442"/>
      <c r="H469" s="442"/>
      <c r="I469" s="442"/>
      <c r="J469" s="442"/>
      <c r="K469" s="442"/>
      <c r="L469" s="442"/>
      <c r="M469" s="442"/>
      <c r="N469" s="442"/>
      <c r="O469" s="442"/>
    </row>
    <row r="470" spans="2:15" ht="14.25" x14ac:dyDescent="0.2">
      <c r="B470" s="442" t="s">
        <v>983</v>
      </c>
      <c r="C470" s="442"/>
      <c r="D470" s="442">
        <v>324724</v>
      </c>
      <c r="E470" s="442"/>
      <c r="F470" s="442"/>
      <c r="G470" s="442"/>
      <c r="H470" s="442"/>
      <c r="I470" s="442"/>
      <c r="J470" s="442"/>
      <c r="K470" s="442"/>
      <c r="L470" s="442"/>
      <c r="M470" s="442"/>
      <c r="N470" s="442"/>
      <c r="O470" s="442"/>
    </row>
    <row r="471" spans="2:15" ht="14.25" x14ac:dyDescent="0.2">
      <c r="B471" s="442" t="s">
        <v>984</v>
      </c>
      <c r="C471" s="552"/>
      <c r="D471" s="552">
        <f>3522+605+281</f>
        <v>4408</v>
      </c>
      <c r="E471" s="442"/>
      <c r="F471" s="442"/>
      <c r="G471" s="442"/>
      <c r="H471" s="442"/>
      <c r="I471" s="442"/>
      <c r="J471" s="442"/>
      <c r="K471" s="442"/>
      <c r="L471" s="442"/>
      <c r="M471" s="442"/>
      <c r="N471" s="442"/>
      <c r="O471" s="442"/>
    </row>
    <row r="472" spans="2:15" ht="15" x14ac:dyDescent="0.25">
      <c r="B472" s="523" t="s">
        <v>974</v>
      </c>
      <c r="C472" s="442"/>
      <c r="D472" s="442"/>
      <c r="E472" s="442"/>
      <c r="F472" s="442"/>
      <c r="G472" s="442"/>
      <c r="H472" s="442"/>
      <c r="I472" s="442"/>
      <c r="J472" s="442"/>
      <c r="K472" s="442"/>
      <c r="L472" s="442"/>
      <c r="M472" s="442"/>
      <c r="N472" s="442"/>
      <c r="O472" s="442"/>
    </row>
    <row r="473" spans="2:15" ht="14.25" x14ac:dyDescent="0.2">
      <c r="B473" s="442" t="s">
        <v>979</v>
      </c>
      <c r="C473" s="442"/>
      <c r="D473" s="442">
        <v>511</v>
      </c>
      <c r="E473" s="442"/>
      <c r="F473" s="442"/>
      <c r="G473" s="442"/>
      <c r="H473" s="442"/>
      <c r="I473" s="442"/>
      <c r="J473" s="442"/>
      <c r="K473" s="442"/>
      <c r="L473" s="442"/>
      <c r="M473" s="442"/>
      <c r="N473" s="442"/>
      <c r="O473" s="442"/>
    </row>
    <row r="474" spans="2:15" ht="14.25" x14ac:dyDescent="0.2">
      <c r="B474" s="442" t="s">
        <v>980</v>
      </c>
      <c r="C474" s="442"/>
      <c r="D474" s="442">
        <v>77</v>
      </c>
      <c r="E474" s="442"/>
      <c r="F474" s="442"/>
      <c r="G474" s="442"/>
      <c r="H474" s="442"/>
      <c r="I474" s="442"/>
      <c r="J474" s="442"/>
      <c r="K474" s="442"/>
      <c r="L474" s="442"/>
      <c r="M474" s="442"/>
      <c r="N474" s="442"/>
      <c r="O474" s="442"/>
    </row>
    <row r="475" spans="2:15" ht="14.25" x14ac:dyDescent="0.2">
      <c r="B475" s="442" t="s">
        <v>981</v>
      </c>
      <c r="C475" s="442"/>
      <c r="D475" s="442">
        <v>65</v>
      </c>
      <c r="E475" s="442"/>
      <c r="F475" s="442"/>
      <c r="G475" s="442"/>
      <c r="H475" s="442"/>
      <c r="I475" s="442"/>
      <c r="J475" s="442"/>
      <c r="K475" s="442"/>
      <c r="L475" s="442"/>
      <c r="M475" s="442"/>
      <c r="N475" s="442"/>
      <c r="O475" s="442"/>
    </row>
    <row r="476" spans="2:15" ht="14.25" x14ac:dyDescent="0.2">
      <c r="B476" s="442" t="s">
        <v>982</v>
      </c>
      <c r="C476" s="442"/>
      <c r="D476" s="442"/>
      <c r="E476" s="442"/>
      <c r="F476" s="442"/>
      <c r="G476" s="442"/>
      <c r="H476" s="442"/>
      <c r="I476" s="442"/>
      <c r="J476" s="442"/>
      <c r="K476" s="442"/>
      <c r="L476" s="442"/>
      <c r="M476" s="442"/>
      <c r="N476" s="442"/>
      <c r="O476" s="442"/>
    </row>
    <row r="477" spans="2:15" ht="14.25" x14ac:dyDescent="0.2">
      <c r="B477" s="442" t="s">
        <v>983</v>
      </c>
      <c r="C477" s="442"/>
      <c r="D477" s="442">
        <v>38284</v>
      </c>
      <c r="E477" s="442"/>
      <c r="F477" s="442"/>
      <c r="G477" s="442"/>
      <c r="H477" s="442"/>
      <c r="I477" s="442"/>
      <c r="J477" s="442"/>
      <c r="K477" s="442"/>
      <c r="L477" s="442"/>
      <c r="M477" s="442"/>
      <c r="N477" s="442"/>
      <c r="O477" s="442"/>
    </row>
    <row r="478" spans="2:15" ht="14.25" x14ac:dyDescent="0.2">
      <c r="B478" s="442" t="s">
        <v>984</v>
      </c>
      <c r="C478" s="552"/>
      <c r="D478" s="552">
        <v>593</v>
      </c>
      <c r="E478" s="442"/>
      <c r="F478" s="442"/>
      <c r="G478" s="442"/>
      <c r="H478" s="442"/>
      <c r="I478" s="442"/>
      <c r="J478" s="442"/>
      <c r="K478" s="442"/>
      <c r="L478" s="442"/>
      <c r="M478" s="442"/>
      <c r="N478" s="442"/>
      <c r="O478" s="442"/>
    </row>
    <row r="479" spans="2:15" ht="15" x14ac:dyDescent="0.25">
      <c r="B479" s="523" t="s">
        <v>986</v>
      </c>
      <c r="C479" s="442"/>
      <c r="D479" s="442"/>
      <c r="E479" s="442"/>
      <c r="F479" s="442"/>
      <c r="G479" s="442"/>
      <c r="H479" s="442"/>
      <c r="I479" s="442"/>
      <c r="J479" s="442"/>
      <c r="K479" s="442"/>
      <c r="L479" s="442"/>
      <c r="M479" s="442"/>
      <c r="N479" s="442"/>
      <c r="O479" s="442"/>
    </row>
    <row r="480" spans="2:15" ht="14.25" x14ac:dyDescent="0.2">
      <c r="B480" s="442" t="s">
        <v>979</v>
      </c>
      <c r="C480" s="442"/>
      <c r="D480" s="442">
        <f>2256+356</f>
        <v>2612</v>
      </c>
      <c r="E480" s="442"/>
      <c r="F480" s="442"/>
      <c r="G480" s="442"/>
      <c r="H480" s="442"/>
      <c r="I480" s="442"/>
      <c r="J480" s="442"/>
      <c r="K480" s="442"/>
      <c r="L480" s="442"/>
      <c r="M480" s="442"/>
      <c r="N480" s="442"/>
      <c r="O480" s="442"/>
    </row>
    <row r="481" spans="2:16" ht="14.25" x14ac:dyDescent="0.2">
      <c r="B481" s="442" t="s">
        <v>980</v>
      </c>
      <c r="C481" s="442"/>
      <c r="D481" s="442">
        <f>209+617</f>
        <v>826</v>
      </c>
      <c r="E481" s="442"/>
      <c r="F481" s="442"/>
      <c r="G481" s="442"/>
      <c r="H481" s="442"/>
      <c r="I481" s="442"/>
      <c r="J481" s="442"/>
      <c r="K481" s="442"/>
      <c r="L481" s="442"/>
      <c r="M481" s="442"/>
      <c r="N481" s="442"/>
      <c r="O481" s="442"/>
    </row>
    <row r="482" spans="2:16" ht="14.25" x14ac:dyDescent="0.2">
      <c r="B482" s="442" t="s">
        <v>981</v>
      </c>
      <c r="C482" s="442"/>
      <c r="D482" s="442">
        <f>82+617</f>
        <v>699</v>
      </c>
      <c r="E482" s="442"/>
      <c r="F482" s="442"/>
      <c r="G482" s="442"/>
      <c r="H482" s="442"/>
      <c r="I482" s="442"/>
      <c r="J482" s="442"/>
      <c r="K482" s="442"/>
      <c r="L482" s="442"/>
      <c r="M482" s="442"/>
      <c r="N482" s="442"/>
      <c r="O482" s="442"/>
    </row>
    <row r="483" spans="2:16" ht="14.25" x14ac:dyDescent="0.2">
      <c r="B483" s="442" t="s">
        <v>982</v>
      </c>
      <c r="C483" s="442"/>
      <c r="D483" s="442"/>
      <c r="E483" s="442"/>
      <c r="F483" s="442"/>
      <c r="G483" s="442"/>
      <c r="H483" s="442"/>
      <c r="I483" s="442"/>
      <c r="J483" s="442"/>
      <c r="K483" s="442"/>
      <c r="L483" s="442"/>
      <c r="M483" s="442"/>
      <c r="N483" s="442"/>
      <c r="O483" s="442"/>
    </row>
    <row r="484" spans="2:16" ht="14.25" x14ac:dyDescent="0.2">
      <c r="B484" s="442" t="s">
        <v>983</v>
      </c>
      <c r="C484" s="442"/>
      <c r="D484" s="442">
        <f>4291+5887</f>
        <v>10178</v>
      </c>
      <c r="E484" s="442"/>
      <c r="F484" s="442"/>
      <c r="G484" s="442"/>
      <c r="H484" s="442"/>
      <c r="I484" s="442"/>
      <c r="J484" s="442"/>
      <c r="K484" s="442"/>
      <c r="L484" s="442"/>
      <c r="M484" s="442"/>
      <c r="N484" s="442"/>
      <c r="O484" s="442"/>
    </row>
    <row r="485" spans="2:16" ht="14.25" x14ac:dyDescent="0.2">
      <c r="B485" s="442" t="s">
        <v>984</v>
      </c>
      <c r="C485" s="553"/>
      <c r="D485" s="552">
        <f>112+283</f>
        <v>395</v>
      </c>
      <c r="E485" s="442"/>
      <c r="F485" s="442"/>
      <c r="G485" s="442"/>
      <c r="H485" s="442"/>
      <c r="I485" s="442"/>
      <c r="J485" s="442"/>
      <c r="K485" s="442"/>
      <c r="L485" s="442"/>
      <c r="M485" s="442"/>
      <c r="N485" s="442"/>
      <c r="O485" s="442"/>
    </row>
    <row r="486" spans="2:16" ht="15" x14ac:dyDescent="0.25">
      <c r="B486" s="523" t="s">
        <v>987</v>
      </c>
      <c r="C486" s="442"/>
      <c r="D486" s="442"/>
      <c r="E486" s="442"/>
      <c r="F486" s="442"/>
      <c r="G486" s="442"/>
      <c r="H486" s="442"/>
      <c r="I486" s="442"/>
      <c r="J486" s="442"/>
      <c r="K486" s="442"/>
      <c r="L486" s="442"/>
      <c r="M486" s="442"/>
      <c r="N486" s="442"/>
      <c r="O486" s="442"/>
    </row>
    <row r="487" spans="2:16" ht="14.25" x14ac:dyDescent="0.2">
      <c r="B487" s="442" t="s">
        <v>979</v>
      </c>
      <c r="C487" s="442"/>
      <c r="D487" s="442"/>
      <c r="E487" s="442"/>
      <c r="F487" s="442"/>
      <c r="G487" s="442"/>
      <c r="H487" s="442"/>
      <c r="I487" s="442"/>
      <c r="J487" s="442"/>
      <c r="K487" s="442"/>
      <c r="L487" s="442"/>
      <c r="M487" s="442"/>
      <c r="N487" s="442"/>
      <c r="O487" s="442"/>
    </row>
    <row r="488" spans="2:16" ht="14.25" x14ac:dyDescent="0.2">
      <c r="B488" s="442" t="s">
        <v>980</v>
      </c>
      <c r="C488" s="442"/>
      <c r="D488" s="442"/>
      <c r="E488" s="442"/>
      <c r="F488" s="442"/>
      <c r="G488" s="442"/>
      <c r="H488" s="442"/>
      <c r="I488" s="442"/>
      <c r="J488" s="442"/>
      <c r="K488" s="442"/>
      <c r="L488" s="442"/>
      <c r="M488" s="442"/>
      <c r="N488" s="442"/>
      <c r="O488" s="442"/>
    </row>
    <row r="489" spans="2:16" ht="14.25" x14ac:dyDescent="0.2">
      <c r="B489" s="442" t="s">
        <v>981</v>
      </c>
      <c r="C489" s="442"/>
      <c r="D489" s="442"/>
      <c r="E489" s="442"/>
      <c r="F489" s="442"/>
      <c r="G489" s="442"/>
      <c r="H489" s="442"/>
      <c r="I489" s="442"/>
      <c r="J489" s="442"/>
      <c r="K489" s="442"/>
      <c r="L489" s="442"/>
      <c r="M489" s="442"/>
      <c r="N489" s="442"/>
      <c r="O489" s="442"/>
    </row>
    <row r="490" spans="2:16" ht="14.25" x14ac:dyDescent="0.2">
      <c r="B490" s="442" t="s">
        <v>982</v>
      </c>
      <c r="C490" s="442"/>
      <c r="D490" s="442"/>
      <c r="E490" s="442"/>
      <c r="F490" s="442"/>
      <c r="G490" s="442"/>
      <c r="H490" s="442"/>
      <c r="I490" s="442"/>
      <c r="J490" s="442"/>
      <c r="K490" s="442"/>
      <c r="L490" s="442"/>
      <c r="M490" s="442"/>
      <c r="N490" s="442"/>
      <c r="O490" s="442"/>
    </row>
    <row r="491" spans="2:16" ht="14.25" x14ac:dyDescent="0.2">
      <c r="B491" s="442" t="s">
        <v>983</v>
      </c>
      <c r="C491" s="442"/>
      <c r="D491" s="442"/>
      <c r="E491" s="442"/>
      <c r="F491" s="442"/>
      <c r="G491" s="442"/>
      <c r="H491" s="442"/>
      <c r="I491" s="442"/>
      <c r="J491" s="442"/>
      <c r="K491" s="442"/>
      <c r="L491" s="442"/>
      <c r="M491" s="442"/>
      <c r="N491" s="442"/>
      <c r="O491" s="442"/>
    </row>
    <row r="492" spans="2:16" ht="14.25" x14ac:dyDescent="0.2">
      <c r="B492" s="442" t="s">
        <v>984</v>
      </c>
      <c r="C492" s="442"/>
      <c r="D492" s="442"/>
      <c r="E492" s="442"/>
      <c r="F492" s="442"/>
      <c r="G492" s="442"/>
      <c r="H492" s="442"/>
      <c r="I492" s="442"/>
      <c r="J492" s="442"/>
      <c r="K492" s="442"/>
      <c r="L492" s="442"/>
      <c r="M492" s="442"/>
      <c r="N492" s="442"/>
      <c r="O492" s="442"/>
    </row>
    <row r="493" spans="2:16" ht="15" x14ac:dyDescent="0.25">
      <c r="B493" s="523" t="s">
        <v>988</v>
      </c>
      <c r="C493" s="442"/>
      <c r="D493" s="442"/>
    </row>
    <row r="494" spans="2:16" ht="15" x14ac:dyDescent="0.25">
      <c r="B494" s="524" t="s">
        <v>979</v>
      </c>
      <c r="C494" s="525">
        <f t="shared" ref="C494:D494" si="262">C487+C480+C473+C466+C459+C452</f>
        <v>0</v>
      </c>
      <c r="D494" s="525">
        <f t="shared" si="262"/>
        <v>8875</v>
      </c>
      <c r="E494" s="526">
        <f>D494</f>
        <v>8875</v>
      </c>
      <c r="F494" s="526">
        <f t="shared" ref="F494" si="263">IF((E428-E447)&gt;E494,0,IF(E428&gt;E447,E494-(E428-E447),E494-E428+E447))</f>
        <v>8918.496000000001</v>
      </c>
      <c r="G494" s="526">
        <f t="shared" ref="G494" si="264">IF((F428-F447)&gt;F494,0,IF(F428&gt;F447,F494-(F428-F447),F494-F428+F447))</f>
        <v>8961.2070000000022</v>
      </c>
      <c r="H494" s="526">
        <f t="shared" ref="H494" si="265">IF((G428-G447)&gt;G494,0,IF(G428&gt;G447,G494-(G428-G447),G494-G428+G447))</f>
        <v>4722.2738000000018</v>
      </c>
      <c r="I494" s="526">
        <f t="shared" ref="I494" si="266">IF((H428-H447)&gt;H494,0,IF(H428&gt;H447,H494-(H428-H447),H494-H428+H447))</f>
        <v>4122.6975075000018</v>
      </c>
      <c r="J494" s="526">
        <f t="shared" ref="J494" si="267">IF((I428-I447)&gt;I494,0,IF(I428&gt;I447,I494-(I428-I447),I494-I428+I447))</f>
        <v>4017.1584576875011</v>
      </c>
      <c r="K494" s="526">
        <f t="shared" ref="K494" si="268">IF((J428-J447)&gt;J494,0,IF(J428&gt;J447,J494-(J428-J447),J494-J428+J447))</f>
        <v>3998.9389066296872</v>
      </c>
      <c r="L494" s="526">
        <f t="shared" ref="L494" si="269">IF((K428-K447)&gt;K494,0,IF(K428&gt;K447,K494-(K428-K447),K494-K428+K447))</f>
        <v>4011.8968417954293</v>
      </c>
      <c r="M494" s="526">
        <f t="shared" ref="M494" si="270">IF((L428-L447)&gt;L494,0,IF(L428&gt;L447,L494-(L428-L447),L494-L428+L447))</f>
        <v>3645.3687003403129</v>
      </c>
      <c r="N494" s="526">
        <f t="shared" ref="N494" si="271">IF((M428-M447)&gt;M494,0,IF(M428&gt;M447,M494-(M428-M447),M494-M428+M447))</f>
        <v>3640.7994703488193</v>
      </c>
      <c r="O494" s="526">
        <f t="shared" ref="O494" si="272">IF((N428-N447)&gt;N494,0,IF(N428&gt;N447,N494-(N428-N447),N494-N428+N447))</f>
        <v>3512.7454074075376</v>
      </c>
    </row>
    <row r="495" spans="2:16" ht="15" x14ac:dyDescent="0.25">
      <c r="B495" s="524" t="s">
        <v>980</v>
      </c>
      <c r="C495" s="525">
        <f t="shared" ref="C495:D495" si="273">C488+C481+C474+C467+C460+C453</f>
        <v>0</v>
      </c>
      <c r="D495" s="525">
        <f t="shared" si="273"/>
        <v>3875</v>
      </c>
      <c r="E495" s="743">
        <f>D495*(1+'LTFP Assumptions'!B$130)</f>
        <v>3875</v>
      </c>
      <c r="F495" s="743">
        <f>E495*(1+'LTFP Assumptions'!$B$30)</f>
        <v>3952.5</v>
      </c>
      <c r="G495" s="743">
        <f>F495*(1+'LTFP Assumptions'!$B$30)</f>
        <v>4031.55</v>
      </c>
      <c r="H495" s="743">
        <f>G495*(1+'LTFP Assumptions'!$B$30)</f>
        <v>4112.1810000000005</v>
      </c>
      <c r="I495" s="743">
        <f>H495*(1+'LTFP Assumptions'!$H$13)</f>
        <v>4194.4246200000007</v>
      </c>
      <c r="J495" s="743">
        <f>I495*(1+'LTFP Assumptions'!$H$13)</f>
        <v>4278.313112400001</v>
      </c>
      <c r="K495" s="743">
        <f>J495*(1+'LTFP Assumptions'!$H$13)</f>
        <v>4363.8793746480014</v>
      </c>
      <c r="L495" s="743">
        <f>K495*(1+'LTFP Assumptions'!$H$13)</f>
        <v>4451.1569621409617</v>
      </c>
      <c r="M495" s="743">
        <f>L495*(1+'LTFP Assumptions'!$H$13)</f>
        <v>4540.1801013837812</v>
      </c>
      <c r="N495" s="743">
        <f>M495*(1+'LTFP Assumptions'!$H$13)</f>
        <v>4630.9837034114571</v>
      </c>
      <c r="O495" s="743">
        <f>N495*(1+'LTFP Assumptions'!$H$13)</f>
        <v>4723.6033774796861</v>
      </c>
    </row>
    <row r="496" spans="2:16" ht="15" x14ac:dyDescent="0.25">
      <c r="B496" s="524" t="s">
        <v>981</v>
      </c>
      <c r="C496" s="525">
        <f t="shared" ref="C496:D496" si="274">C489+C482+C475+C468+C461+C454</f>
        <v>0</v>
      </c>
      <c r="D496" s="525">
        <f t="shared" si="274"/>
        <v>3201</v>
      </c>
      <c r="E496" s="743">
        <f>E495</f>
        <v>3875</v>
      </c>
      <c r="F496" s="743">
        <f>E496*(1+'LTFP Assumptions'!$B$30)</f>
        <v>3952.5</v>
      </c>
      <c r="G496" s="743">
        <f>F496*(1+'LTFP Assumptions'!$B$30)</f>
        <v>4031.55</v>
      </c>
      <c r="H496" s="743">
        <f>G496*(1+'LTFP Assumptions'!$B$30)</f>
        <v>4112.1810000000005</v>
      </c>
      <c r="I496" s="743">
        <f>H496*(1+'LTFP Assumptions'!$H$13)</f>
        <v>4194.4246200000007</v>
      </c>
      <c r="J496" s="743">
        <f>I496*(1+'LTFP Assumptions'!$H$13)</f>
        <v>4278.313112400001</v>
      </c>
      <c r="K496" s="743">
        <f>J496*(1+'LTFP Assumptions'!$H$13)</f>
        <v>4363.8793746480014</v>
      </c>
      <c r="L496" s="743">
        <f>K496*(1+'LTFP Assumptions'!$H$13)</f>
        <v>4451.1569621409617</v>
      </c>
      <c r="M496" s="743">
        <f>L496*(1+'LTFP Assumptions'!$H$13)</f>
        <v>4540.1801013837812</v>
      </c>
      <c r="N496" s="743">
        <f>M496*(1+'LTFP Assumptions'!$H$13)</f>
        <v>4630.9837034114571</v>
      </c>
      <c r="O496" s="743">
        <f>N496*(1+'LTFP Assumptions'!$H$13)</f>
        <v>4723.6033774796861</v>
      </c>
      <c r="P496" s="527"/>
    </row>
    <row r="497" spans="2:16" ht="15" x14ac:dyDescent="0.25">
      <c r="B497" s="524" t="s">
        <v>982</v>
      </c>
      <c r="C497" s="526"/>
      <c r="D497" s="526"/>
      <c r="E497" s="526"/>
      <c r="F497" s="526"/>
      <c r="G497" s="526"/>
      <c r="H497" s="526"/>
      <c r="I497" s="526"/>
      <c r="J497" s="526"/>
      <c r="K497" s="526"/>
      <c r="L497" s="526"/>
      <c r="M497" s="526"/>
      <c r="N497" s="526"/>
      <c r="O497" s="526"/>
      <c r="P497" s="526">
        <f t="shared" ref="P497" si="275">(O497*1.02)+O418-O411</f>
        <v>0</v>
      </c>
    </row>
    <row r="498" spans="2:16" ht="15" x14ac:dyDescent="0.25">
      <c r="B498" s="524" t="s">
        <v>983</v>
      </c>
      <c r="C498" s="525">
        <f>C491+C484+C477+C470+C463+C456</f>
        <v>0</v>
      </c>
      <c r="D498" s="525">
        <f>D491+D484+D477+D470+D463+D456</f>
        <v>424202</v>
      </c>
      <c r="E498" s="526">
        <f>D498-D447+D418-D411+D428</f>
        <v>418586</v>
      </c>
      <c r="F498" s="526">
        <f t="shared" ref="F498" si="276">E498-E447+E418-E411+E428</f>
        <v>418542.50400000002</v>
      </c>
      <c r="G498" s="526">
        <f t="shared" ref="G498" si="277">F498-F447+F418-F411+F428</f>
        <v>418499.79300000001</v>
      </c>
      <c r="H498" s="526">
        <f t="shared" ref="H498" si="278">G498-G447+G418-G411+G428</f>
        <v>422738.72619999998</v>
      </c>
      <c r="I498" s="526">
        <f t="shared" ref="I498" si="279">H498-H447+H418-H411+H428</f>
        <v>423338.30249249993</v>
      </c>
      <c r="J498" s="526">
        <f t="shared" ref="J498" si="280">I498-I447+I418-I411+I428</f>
        <v>423443.84154231247</v>
      </c>
      <c r="K498" s="526">
        <f t="shared" ref="K498" si="281">J498-J447+J418-J411+J428</f>
        <v>423462.06109337026</v>
      </c>
      <c r="L498" s="526">
        <f t="shared" ref="L498" si="282">K498-K447+K418-K411+K428</f>
        <v>423449.10315820453</v>
      </c>
      <c r="M498" s="526">
        <f t="shared" ref="M498" si="283">L498-L447+L418-L411+L428</f>
        <v>423815.63129965967</v>
      </c>
      <c r="N498" s="526">
        <f t="shared" ref="N498" si="284">M498-M447+M418-M411+M428</f>
        <v>423820.20052965119</v>
      </c>
      <c r="O498" s="526">
        <f t="shared" ref="O498" si="285">N498-N447+N418-N411+N428</f>
        <v>423948.25459259248</v>
      </c>
    </row>
    <row r="499" spans="2:16" ht="15.75" thickBot="1" x14ac:dyDescent="0.3">
      <c r="B499" s="528" t="s">
        <v>984</v>
      </c>
      <c r="C499" s="529">
        <f t="shared" ref="C499:D499" si="286">C492+C485+C478+C471+C464+C457</f>
        <v>0</v>
      </c>
      <c r="D499" s="529">
        <f t="shared" si="286"/>
        <v>5674</v>
      </c>
      <c r="E499" s="530">
        <f t="shared" ref="E499:O499" si="287">E447</f>
        <v>6905.496000000001</v>
      </c>
      <c r="F499" s="530">
        <f t="shared" si="287"/>
        <v>6136.0370000000003</v>
      </c>
      <c r="G499" s="530">
        <f t="shared" si="287"/>
        <v>6230.1202999999996</v>
      </c>
      <c r="H499" s="530">
        <f t="shared" si="287"/>
        <v>6509.9427075000003</v>
      </c>
      <c r="I499" s="530">
        <f t="shared" si="287"/>
        <v>7027.1279501874997</v>
      </c>
      <c r="J499" s="530">
        <f t="shared" si="287"/>
        <v>7202.8061489421862</v>
      </c>
      <c r="K499" s="530">
        <f t="shared" si="287"/>
        <v>7382.8763026657416</v>
      </c>
      <c r="L499" s="530">
        <f t="shared" si="287"/>
        <v>7567.4482102323836</v>
      </c>
      <c r="M499" s="530">
        <f t="shared" si="287"/>
        <v>7756.6344154881936</v>
      </c>
      <c r="N499" s="530">
        <f t="shared" si="287"/>
        <v>7950.5502758753973</v>
      </c>
      <c r="O499" s="530">
        <f t="shared" si="287"/>
        <v>8149.3140327722822</v>
      </c>
    </row>
    <row r="500" spans="2:16" ht="15.75" thickBot="1" x14ac:dyDescent="0.3">
      <c r="B500" s="531"/>
      <c r="C500" s="532"/>
      <c r="D500" s="532"/>
      <c r="E500" s="532"/>
      <c r="F500" s="532"/>
      <c r="G500" s="532"/>
      <c r="H500" s="532"/>
      <c r="I500" s="532"/>
      <c r="J500" s="532"/>
      <c r="K500" s="532"/>
      <c r="L500" s="532"/>
      <c r="M500" s="532"/>
      <c r="N500" s="532"/>
      <c r="O500" s="532"/>
    </row>
    <row r="501" spans="2:16" ht="15.75" hidden="1" outlineLevel="1" thickBot="1" x14ac:dyDescent="0.3">
      <c r="B501" s="422" t="s">
        <v>404</v>
      </c>
      <c r="C501" s="474">
        <v>2015</v>
      </c>
      <c r="D501" s="474">
        <v>2015</v>
      </c>
      <c r="E501" s="474">
        <v>2015</v>
      </c>
      <c r="F501" s="474">
        <v>2017</v>
      </c>
      <c r="G501" s="474">
        <v>2016</v>
      </c>
      <c r="H501" s="474">
        <v>2019</v>
      </c>
      <c r="I501" s="474">
        <v>2017</v>
      </c>
      <c r="J501" s="474">
        <v>2021</v>
      </c>
      <c r="K501" s="474">
        <v>2018</v>
      </c>
      <c r="L501" s="474">
        <v>2023</v>
      </c>
      <c r="M501" s="474"/>
      <c r="N501" s="474"/>
      <c r="O501" s="474"/>
    </row>
    <row r="502" spans="2:16" ht="15.75" hidden="1" outlineLevel="1" thickBot="1" x14ac:dyDescent="0.3">
      <c r="B502" s="517"/>
      <c r="C502" s="475" t="s">
        <v>875</v>
      </c>
      <c r="D502" s="475" t="s">
        <v>875</v>
      </c>
      <c r="E502" s="475" t="s">
        <v>875</v>
      </c>
      <c r="F502" s="475" t="s">
        <v>875</v>
      </c>
      <c r="G502" s="475" t="s">
        <v>875</v>
      </c>
      <c r="H502" s="475" t="s">
        <v>875</v>
      </c>
      <c r="I502" s="475" t="s">
        <v>875</v>
      </c>
      <c r="J502" s="475" t="s">
        <v>875</v>
      </c>
      <c r="K502" s="475" t="s">
        <v>875</v>
      </c>
      <c r="L502" s="475" t="s">
        <v>875</v>
      </c>
      <c r="M502" s="475"/>
      <c r="N502" s="475"/>
      <c r="O502" s="475"/>
    </row>
    <row r="503" spans="2:16" ht="15" hidden="1" outlineLevel="1" thickBot="1" x14ac:dyDescent="0.25">
      <c r="B503" s="442" t="s">
        <v>989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</row>
    <row r="504" spans="2:16" ht="15" hidden="1" outlineLevel="1" thickBot="1" x14ac:dyDescent="0.25">
      <c r="B504" s="442" t="s">
        <v>990</v>
      </c>
      <c r="C504" s="442"/>
      <c r="D504" s="442"/>
      <c r="E504" s="442"/>
      <c r="F504" s="442"/>
      <c r="G504" s="442"/>
      <c r="H504" s="442"/>
      <c r="I504" s="442"/>
      <c r="J504" s="442"/>
      <c r="K504" s="442"/>
      <c r="L504" s="442"/>
      <c r="M504" s="442"/>
      <c r="N504" s="442"/>
      <c r="O504" s="442"/>
    </row>
    <row r="505" spans="2:16" ht="15" hidden="1" customHeight="1" outlineLevel="1" x14ac:dyDescent="0.2">
      <c r="B505" s="442" t="s">
        <v>991</v>
      </c>
      <c r="C505" s="442"/>
      <c r="D505" s="442"/>
      <c r="E505" s="442"/>
      <c r="F505" s="442"/>
      <c r="G505" s="442"/>
      <c r="H505" s="442"/>
      <c r="I505" s="442"/>
      <c r="J505" s="442"/>
      <c r="K505" s="442"/>
      <c r="L505" s="442"/>
      <c r="M505" s="442"/>
      <c r="N505" s="442"/>
      <c r="O505" s="442"/>
    </row>
    <row r="506" spans="2:16" ht="15" hidden="1" outlineLevel="1" thickBot="1" x14ac:dyDescent="0.25">
      <c r="B506" s="442" t="s">
        <v>992</v>
      </c>
      <c r="C506" s="442"/>
      <c r="D506" s="442"/>
      <c r="E506" s="442"/>
      <c r="F506" s="442"/>
      <c r="G506" s="442"/>
      <c r="H506" s="442"/>
      <c r="I506" s="442"/>
      <c r="J506" s="442"/>
      <c r="K506" s="442"/>
      <c r="L506" s="442"/>
      <c r="M506" s="442"/>
      <c r="N506" s="442"/>
      <c r="O506" s="442"/>
    </row>
    <row r="507" spans="2:16" ht="15" hidden="1" outlineLevel="1" thickBot="1" x14ac:dyDescent="0.25">
      <c r="B507" s="442" t="s">
        <v>993</v>
      </c>
      <c r="C507" s="442"/>
      <c r="D507" s="442"/>
      <c r="E507" s="442"/>
      <c r="F507" s="442"/>
      <c r="G507" s="442"/>
      <c r="H507" s="442"/>
      <c r="I507" s="442"/>
      <c r="J507" s="442"/>
      <c r="K507" s="442"/>
      <c r="L507" s="442"/>
      <c r="M507" s="442"/>
      <c r="N507" s="442"/>
      <c r="O507" s="442"/>
    </row>
    <row r="508" spans="2:16" ht="15" hidden="1" outlineLevel="1" thickBot="1" x14ac:dyDescent="0.25">
      <c r="B508" s="442" t="s">
        <v>994</v>
      </c>
      <c r="C508" s="442"/>
      <c r="D508" s="442"/>
      <c r="E508" s="442"/>
      <c r="F508" s="442"/>
      <c r="G508" s="442"/>
      <c r="H508" s="442"/>
      <c r="I508" s="442"/>
      <c r="J508" s="442"/>
      <c r="K508" s="442"/>
      <c r="L508" s="442"/>
      <c r="M508" s="442"/>
      <c r="N508" s="442"/>
      <c r="O508" s="442"/>
    </row>
    <row r="509" spans="2:16" ht="15" hidden="1" outlineLevel="1" thickBot="1" x14ac:dyDescent="0.25">
      <c r="B509" s="442" t="s">
        <v>995</v>
      </c>
      <c r="C509" s="442"/>
      <c r="D509" s="442"/>
      <c r="E509" s="442"/>
      <c r="F509" s="442"/>
      <c r="G509" s="442"/>
      <c r="H509" s="442"/>
      <c r="I509" s="442"/>
      <c r="J509" s="442"/>
      <c r="K509" s="442"/>
      <c r="L509" s="442"/>
      <c r="M509" s="442"/>
      <c r="N509" s="442"/>
      <c r="O509" s="442"/>
    </row>
    <row r="510" spans="2:16" ht="15" hidden="1" outlineLevel="1" thickBot="1" x14ac:dyDescent="0.25">
      <c r="B510" s="442" t="s">
        <v>996</v>
      </c>
      <c r="C510" s="442"/>
      <c r="D510" s="442"/>
      <c r="E510" s="442"/>
      <c r="F510" s="442"/>
      <c r="G510" s="442"/>
      <c r="H510" s="442"/>
      <c r="I510" s="442"/>
      <c r="J510" s="442"/>
      <c r="K510" s="442"/>
      <c r="L510" s="442"/>
      <c r="M510" s="442"/>
      <c r="N510" s="442"/>
      <c r="O510" s="442"/>
    </row>
    <row r="511" spans="2:16" ht="15" hidden="1" outlineLevel="1" thickBot="1" x14ac:dyDescent="0.25">
      <c r="B511" s="428"/>
      <c r="C511" s="442"/>
      <c r="D511" s="442"/>
      <c r="E511" s="442"/>
      <c r="F511" s="442"/>
      <c r="G511" s="442"/>
      <c r="H511" s="442"/>
      <c r="I511" s="442"/>
      <c r="J511" s="442"/>
      <c r="K511" s="442"/>
      <c r="L511" s="442"/>
      <c r="M511" s="442"/>
      <c r="N511" s="442"/>
      <c r="O511" s="442"/>
    </row>
    <row r="512" spans="2:16" ht="15" hidden="1" customHeight="1" outlineLevel="1" x14ac:dyDescent="0.2">
      <c r="B512" s="442" t="s">
        <v>472</v>
      </c>
      <c r="C512" s="442"/>
      <c r="D512" s="442"/>
      <c r="E512" s="442"/>
      <c r="F512" s="442"/>
      <c r="G512" s="442"/>
      <c r="H512" s="442"/>
      <c r="I512" s="442"/>
      <c r="J512" s="442"/>
      <c r="K512" s="442"/>
      <c r="L512" s="442"/>
      <c r="M512" s="442"/>
      <c r="N512" s="442"/>
      <c r="O512" s="442"/>
    </row>
    <row r="513" spans="2:29" ht="15" hidden="1" outlineLevel="1" thickBot="1" x14ac:dyDescent="0.25">
      <c r="B513" s="442" t="s">
        <v>990</v>
      </c>
      <c r="C513" s="442"/>
      <c r="D513" s="442"/>
      <c r="E513" s="442"/>
      <c r="F513" s="442"/>
      <c r="G513" s="442"/>
      <c r="H513" s="442"/>
      <c r="I513" s="442"/>
      <c r="J513" s="442"/>
      <c r="K513" s="442"/>
      <c r="L513" s="442"/>
      <c r="M513" s="442"/>
      <c r="N513" s="442"/>
      <c r="O513" s="442"/>
    </row>
    <row r="514" spans="2:29" ht="15" hidden="1" outlineLevel="1" thickBot="1" x14ac:dyDescent="0.25">
      <c r="B514" s="442" t="s">
        <v>991</v>
      </c>
      <c r="C514" s="442"/>
      <c r="D514" s="442"/>
      <c r="E514" s="442"/>
      <c r="F514" s="442"/>
      <c r="G514" s="442"/>
      <c r="H514" s="442"/>
      <c r="I514" s="442"/>
      <c r="J514" s="442"/>
      <c r="K514" s="442"/>
      <c r="L514" s="442"/>
      <c r="M514" s="442"/>
      <c r="N514" s="442"/>
      <c r="O514" s="442"/>
    </row>
    <row r="515" spans="2:29" ht="15" hidden="1" outlineLevel="1" thickBot="1" x14ac:dyDescent="0.25">
      <c r="B515" s="442" t="s">
        <v>992</v>
      </c>
      <c r="C515" s="442"/>
      <c r="D515" s="442"/>
      <c r="E515" s="442"/>
      <c r="F515" s="442"/>
      <c r="G515" s="442"/>
      <c r="H515" s="442"/>
      <c r="I515" s="442"/>
      <c r="J515" s="442"/>
      <c r="K515" s="442"/>
      <c r="L515" s="442"/>
      <c r="M515" s="442"/>
      <c r="N515" s="442"/>
      <c r="O515" s="442"/>
    </row>
    <row r="516" spans="2:29" ht="15" hidden="1" outlineLevel="1" thickBot="1" x14ac:dyDescent="0.25">
      <c r="B516" s="442" t="s">
        <v>993</v>
      </c>
      <c r="C516" s="442"/>
      <c r="D516" s="442"/>
      <c r="E516" s="442"/>
      <c r="F516" s="442"/>
      <c r="G516" s="442"/>
      <c r="H516" s="442"/>
      <c r="I516" s="442"/>
      <c r="J516" s="442"/>
      <c r="K516" s="442"/>
      <c r="L516" s="442"/>
      <c r="M516" s="442"/>
      <c r="N516" s="442"/>
      <c r="O516" s="442"/>
    </row>
    <row r="517" spans="2:29" ht="15" hidden="1" outlineLevel="1" thickBot="1" x14ac:dyDescent="0.25">
      <c r="B517" s="442" t="s">
        <v>994</v>
      </c>
      <c r="C517" s="442"/>
      <c r="D517" s="442"/>
      <c r="E517" s="442"/>
      <c r="F517" s="442"/>
      <c r="G517" s="442"/>
      <c r="H517" s="442"/>
      <c r="I517" s="442"/>
      <c r="J517" s="442"/>
      <c r="K517" s="442"/>
      <c r="L517" s="442"/>
      <c r="M517" s="442"/>
      <c r="N517" s="442"/>
      <c r="O517" s="442"/>
    </row>
    <row r="518" spans="2:29" ht="15" hidden="1" outlineLevel="1" thickBot="1" x14ac:dyDescent="0.25">
      <c r="B518" s="442" t="s">
        <v>995</v>
      </c>
      <c r="C518" s="442"/>
      <c r="D518" s="442"/>
      <c r="E518" s="442"/>
      <c r="F518" s="442"/>
      <c r="G518" s="442"/>
      <c r="H518" s="442"/>
      <c r="I518" s="442"/>
      <c r="J518" s="442"/>
      <c r="K518" s="442"/>
      <c r="L518" s="442"/>
      <c r="M518" s="442"/>
      <c r="N518" s="442"/>
      <c r="O518" s="442"/>
    </row>
    <row r="519" spans="2:29" ht="15" hidden="1" outlineLevel="1" thickBot="1" x14ac:dyDescent="0.25">
      <c r="B519" s="442" t="s">
        <v>996</v>
      </c>
      <c r="C519" s="442"/>
      <c r="D519" s="442"/>
      <c r="E519" s="442"/>
      <c r="F519" s="442"/>
      <c r="G519" s="442"/>
      <c r="H519" s="442"/>
      <c r="I519" s="442"/>
      <c r="J519" s="442"/>
      <c r="K519" s="442"/>
      <c r="L519" s="442"/>
      <c r="M519" s="442"/>
      <c r="N519" s="442"/>
      <c r="O519" s="442"/>
    </row>
    <row r="520" spans="2:29" ht="15" hidden="1" outlineLevel="1" thickBot="1" x14ac:dyDescent="0.25">
      <c r="B520" s="524"/>
      <c r="C520" s="442"/>
      <c r="D520" s="442"/>
      <c r="E520" s="442"/>
      <c r="F520" s="442"/>
      <c r="G520" s="442"/>
      <c r="H520" s="442"/>
      <c r="I520" s="442"/>
      <c r="J520" s="442"/>
      <c r="K520" s="442"/>
      <c r="L520" s="442"/>
      <c r="M520" s="442"/>
      <c r="N520" s="442"/>
      <c r="O520" s="442"/>
    </row>
    <row r="521" spans="2:29" ht="15" hidden="1" outlineLevel="1" thickBot="1" x14ac:dyDescent="0.25">
      <c r="B521" s="510"/>
      <c r="C521" s="510"/>
      <c r="D521" s="510"/>
      <c r="E521" s="510"/>
      <c r="F521" s="510"/>
      <c r="G521" s="510"/>
      <c r="H521" s="510"/>
      <c r="I521" s="510"/>
      <c r="J521" s="510"/>
      <c r="K521" s="510"/>
      <c r="L521" s="510"/>
      <c r="M521" s="510"/>
      <c r="N521" s="510"/>
      <c r="O521" s="510"/>
    </row>
    <row r="522" spans="2:29" ht="15.75" hidden="1" outlineLevel="1" thickBot="1" x14ac:dyDescent="0.3">
      <c r="B522" s="533" t="s">
        <v>997</v>
      </c>
      <c r="C522" s="534"/>
      <c r="D522" s="534"/>
      <c r="E522" s="534"/>
      <c r="F522" s="534"/>
      <c r="G522" s="534"/>
      <c r="H522" s="534"/>
      <c r="I522" s="534"/>
      <c r="J522" s="534"/>
      <c r="K522" s="534"/>
      <c r="L522" s="534"/>
      <c r="M522" s="534"/>
      <c r="N522" s="534"/>
      <c r="O522" s="534"/>
    </row>
    <row r="523" spans="2:29" ht="15" collapsed="1" x14ac:dyDescent="0.25">
      <c r="B523" s="422" t="s">
        <v>873</v>
      </c>
      <c r="C523" s="423">
        <f t="shared" ref="C523:O523" si="288">C324</f>
        <v>2015</v>
      </c>
      <c r="D523" s="423">
        <f t="shared" si="288"/>
        <v>2016</v>
      </c>
      <c r="E523" s="423">
        <f t="shared" si="288"/>
        <v>2017</v>
      </c>
      <c r="F523" s="423">
        <f t="shared" si="288"/>
        <v>2018</v>
      </c>
      <c r="G523" s="423">
        <f t="shared" si="288"/>
        <v>2019</v>
      </c>
      <c r="H523" s="423">
        <f t="shared" si="288"/>
        <v>2020</v>
      </c>
      <c r="I523" s="423">
        <f t="shared" si="288"/>
        <v>2021</v>
      </c>
      <c r="J523" s="423">
        <f t="shared" si="288"/>
        <v>2022</v>
      </c>
      <c r="K523" s="423">
        <f t="shared" si="288"/>
        <v>2023</v>
      </c>
      <c r="L523" s="423">
        <f t="shared" si="288"/>
        <v>2024</v>
      </c>
      <c r="M523" s="423">
        <f t="shared" si="288"/>
        <v>2025</v>
      </c>
      <c r="N523" s="423">
        <f t="shared" si="288"/>
        <v>2026</v>
      </c>
      <c r="O523" s="423">
        <f t="shared" si="288"/>
        <v>2027</v>
      </c>
    </row>
    <row r="524" spans="2:29" ht="15.75" thickBot="1" x14ac:dyDescent="0.3">
      <c r="B524" s="425" t="s">
        <v>874</v>
      </c>
      <c r="C524" s="427" t="s">
        <v>875</v>
      </c>
      <c r="D524" s="427" t="s">
        <v>875</v>
      </c>
      <c r="E524" s="427" t="s">
        <v>875</v>
      </c>
      <c r="F524" s="427" t="s">
        <v>875</v>
      </c>
      <c r="G524" s="427" t="s">
        <v>875</v>
      </c>
      <c r="H524" s="427" t="s">
        <v>875</v>
      </c>
      <c r="I524" s="427" t="s">
        <v>875</v>
      </c>
      <c r="J524" s="427" t="s">
        <v>875</v>
      </c>
      <c r="K524" s="427" t="s">
        <v>875</v>
      </c>
      <c r="L524" s="427" t="s">
        <v>875</v>
      </c>
      <c r="M524" s="427" t="s">
        <v>875</v>
      </c>
      <c r="N524" s="427" t="s">
        <v>875</v>
      </c>
      <c r="O524" s="427" t="s">
        <v>875</v>
      </c>
    </row>
    <row r="525" spans="2:29" ht="15" x14ac:dyDescent="0.25">
      <c r="B525" s="428"/>
      <c r="C525" s="429"/>
      <c r="D525" s="429"/>
      <c r="E525" s="430"/>
      <c r="F525" s="430"/>
      <c r="G525" s="430"/>
      <c r="H525" s="430"/>
      <c r="I525" s="430"/>
      <c r="J525" s="430"/>
      <c r="K525" s="430"/>
      <c r="L525" s="430"/>
      <c r="M525" s="430"/>
      <c r="N525" s="430"/>
      <c r="O525" s="430"/>
    </row>
    <row r="526" spans="2:29" ht="28.5" customHeight="1" x14ac:dyDescent="0.25">
      <c r="B526" s="431" t="s">
        <v>876</v>
      </c>
      <c r="C526" s="440" t="e">
        <f t="shared" ref="C526:O526" si="289">C528/C529</f>
        <v>#DIV/0!</v>
      </c>
      <c r="D526" s="440">
        <f t="shared" si="289"/>
        <v>-6.3232067249745033E-2</v>
      </c>
      <c r="E526" s="440">
        <f t="shared" si="289"/>
        <v>7.8428465057164679E-4</v>
      </c>
      <c r="F526" s="440">
        <f t="shared" si="289"/>
        <v>2.3702042510422138E-2</v>
      </c>
      <c r="G526" s="440">
        <f t="shared" si="289"/>
        <v>2.857922366761393E-2</v>
      </c>
      <c r="H526" s="440">
        <f t="shared" si="289"/>
        <v>2.796051586121362E-2</v>
      </c>
      <c r="I526" s="440">
        <f t="shared" si="289"/>
        <v>3.8874022081274171E-3</v>
      </c>
      <c r="J526" s="440">
        <f t="shared" si="289"/>
        <v>1.0407169538768277E-3</v>
      </c>
      <c r="K526" s="440">
        <f t="shared" si="289"/>
        <v>2.8126118431104244E-3</v>
      </c>
      <c r="L526" s="440">
        <f t="shared" si="289"/>
        <v>3.8090893608538554E-3</v>
      </c>
      <c r="M526" s="440">
        <f t="shared" si="289"/>
        <v>4.0397995147766113E-3</v>
      </c>
      <c r="N526" s="440">
        <f t="shared" si="289"/>
        <v>4.6800528767775122E-3</v>
      </c>
      <c r="O526" s="440">
        <f t="shared" si="289"/>
        <v>5.3338587804002292E-3</v>
      </c>
      <c r="P526" s="433"/>
      <c r="Q526" s="433"/>
      <c r="R526" s="433"/>
      <c r="S526" s="433"/>
      <c r="T526" s="433"/>
      <c r="U526" s="433"/>
      <c r="V526" s="433"/>
      <c r="W526" s="433"/>
      <c r="X526" s="433"/>
      <c r="Y526" s="433"/>
      <c r="Z526" s="433"/>
      <c r="AA526" s="433"/>
      <c r="AB526" s="433"/>
      <c r="AC526" s="433"/>
    </row>
    <row r="527" spans="2:29" ht="22.5" customHeight="1" x14ac:dyDescent="0.25">
      <c r="B527" s="431" t="s">
        <v>877</v>
      </c>
      <c r="C527" s="554" t="str">
        <f>IF(ISERR(AVERAGE(SUM(#REF!,#REF!,C528)/SUM(#REF!,#REF!,C529))),"",AVERAGE(SUM(#REF!,#REF!,C528)/SUM(#REF!,#REF!,C529)))</f>
        <v/>
      </c>
      <c r="D527" s="554" t="str">
        <f>IF(ISERR(AVERAGE(SUM(#REF!,#REF!,D528)/SUM(#REF!,#REF!,D529))),"",AVERAGE(SUM(#REF!,#REF!,D528)/SUM(#REF!,#REF!,D529)))</f>
        <v/>
      </c>
      <c r="E527" s="554" t="str">
        <f>IF(ISERR(AVERAGE(SUM(#REF!,D528,E528)/SUM(#REF!,D529,E529))),"",AVERAGE(SUM(#REF!,D528,E528)/SUM(#REF!,D529,E529)))</f>
        <v/>
      </c>
      <c r="F527" s="554">
        <f t="shared" ref="F527" si="290">IF(ISERR(AVERAGE(SUM(D528,E528,F528)/SUM(D529,E529,F529))),"",AVERAGE(SUM(D528,E528,F528)/SUM(D529,E529,F529)))</f>
        <v>-9.8612138065034757E-3</v>
      </c>
      <c r="G527" s="554">
        <f t="shared" ref="G527" si="291">IF(ISERR(AVERAGE(SUM(E528,F528,G528)/SUM(E529,F529,G529))),"",AVERAGE(SUM(E528,F528,G528)/SUM(E529,F529,G529)))</f>
        <v>1.7936962171444724E-2</v>
      </c>
      <c r="H527" s="554">
        <f t="shared" ref="H527" si="292">IF(ISERR(AVERAGE(SUM(F528,G528,H528)/SUM(F529,G529,H529))),"",AVERAGE(SUM(F528,G528,H528)/SUM(F529,G529,H529)))</f>
        <v>2.6791067883172526E-2</v>
      </c>
      <c r="I527" s="554">
        <f t="shared" ref="I527" si="293">IF(ISERR(AVERAGE(SUM(G528,H528,I528)/SUM(G529,H529,I529))),"",AVERAGE(SUM(G528,H528,I528)/SUM(G529,H529,I529)))</f>
        <v>1.9830041171664797E-2</v>
      </c>
      <c r="J527" s="554">
        <f t="shared" ref="J527" si="294">IF(ISERR(AVERAGE(SUM(H528,I528,J528)/SUM(H529,I529,J529))),"",AVERAGE(SUM(H528,I528,J528)/SUM(H529,I529,J529)))</f>
        <v>1.0705858461186137E-2</v>
      </c>
      <c r="K527" s="554">
        <f t="shared" ref="K527" si="295">IF(ISERR(AVERAGE(SUM(I528,J528,K528)/SUM(I529,J529,K529))),"",AVERAGE(SUM(I528,J528,K528)/SUM(I529,J529,K529)))</f>
        <v>2.5739496963453471E-3</v>
      </c>
      <c r="L527" s="554">
        <f t="shared" ref="L527" si="296">IF(ISERR(AVERAGE(SUM(J528,K528,L528)/SUM(J529,K529,L529))),"",AVERAGE(SUM(J528,K528,L528)/SUM(J529,K529,L529)))</f>
        <v>2.5755805793724654E-3</v>
      </c>
      <c r="M527" s="554">
        <f t="shared" ref="M527" si="297">IF(ISERR(AVERAGE(SUM(K528,L528,M528)/SUM(K529,L529,M529))),"",AVERAGE(SUM(K528,L528,M528)/SUM(K529,L529,M529)))</f>
        <v>3.5630547894766888E-3</v>
      </c>
      <c r="N527" s="554">
        <f t="shared" ref="N527" si="298">IF(ISERR(AVERAGE(SUM(L528,M528,N528)/SUM(L529,M529,N529))),"",AVERAGE(SUM(L528,M528,N528)/SUM(L529,M529,N529)))</f>
        <v>4.1828433354658993E-3</v>
      </c>
      <c r="O527" s="554">
        <f t="shared" ref="O527" si="299">IF(ISERR(AVERAGE(SUM(M528,N528,O528)/SUM(M529,N529,O529))),"",AVERAGE(SUM(M528,N528,O528)/SUM(M529,N529,O529)))</f>
        <v>4.6943580079982523E-3</v>
      </c>
      <c r="P527" s="433"/>
      <c r="Q527" s="433"/>
      <c r="R527" s="433"/>
      <c r="S527" s="433"/>
      <c r="T527" s="433"/>
      <c r="U527" s="433"/>
      <c r="V527" s="433"/>
      <c r="W527" s="433"/>
      <c r="X527" s="433"/>
      <c r="Y527" s="433"/>
      <c r="Z527" s="433"/>
      <c r="AA527" s="433"/>
      <c r="AB527" s="433"/>
      <c r="AC527" s="433"/>
    </row>
    <row r="528" spans="2:29" s="433" customFormat="1" ht="29.25" x14ac:dyDescent="0.25">
      <c r="B528" s="436" t="s">
        <v>878</v>
      </c>
      <c r="C528" s="437">
        <f t="shared" ref="C528:O528" si="300">(C339-C334-C336)-(C350-C346)</f>
        <v>0</v>
      </c>
      <c r="D528" s="437">
        <f t="shared" si="300"/>
        <v>-2046</v>
      </c>
      <c r="E528" s="437">
        <f t="shared" si="300"/>
        <v>30</v>
      </c>
      <c r="F528" s="437">
        <f t="shared" si="300"/>
        <v>931.97000000000116</v>
      </c>
      <c r="G528" s="437">
        <f t="shared" si="300"/>
        <v>1153.2109999999884</v>
      </c>
      <c r="H528" s="437">
        <f t="shared" si="300"/>
        <v>1178.8810000000085</v>
      </c>
      <c r="I528" s="437">
        <f t="shared" si="300"/>
        <v>169.67176000000472</v>
      </c>
      <c r="J528" s="437">
        <f t="shared" si="300"/>
        <v>46.289923922362505</v>
      </c>
      <c r="K528" s="437">
        <f t="shared" si="300"/>
        <v>128.08760903483926</v>
      </c>
      <c r="L528" s="437">
        <f t="shared" si="300"/>
        <v>177.48193121593795</v>
      </c>
      <c r="M528" s="437">
        <f t="shared" si="300"/>
        <v>192.45246492984734</v>
      </c>
      <c r="N528" s="437">
        <f t="shared" si="300"/>
        <v>228.06153992289182</v>
      </c>
      <c r="O528" s="437">
        <f t="shared" si="300"/>
        <v>265.897608482941</v>
      </c>
      <c r="P528" s="424"/>
      <c r="Q528" s="424"/>
      <c r="R528" s="424"/>
      <c r="S528" s="424"/>
      <c r="T528" s="424"/>
      <c r="U528" s="424"/>
      <c r="V528" s="424"/>
      <c r="W528" s="424"/>
      <c r="X528" s="424"/>
      <c r="Y528" s="424"/>
      <c r="Z528" s="424"/>
      <c r="AA528" s="424"/>
      <c r="AB528" s="424"/>
      <c r="AC528" s="424"/>
    </row>
    <row r="529" spans="2:29" s="433" customFormat="1" ht="30" customHeight="1" x14ac:dyDescent="0.25">
      <c r="B529" s="436" t="s">
        <v>879</v>
      </c>
      <c r="C529" s="437">
        <f t="shared" ref="C529:O529" si="301">C339-C334-C336</f>
        <v>0</v>
      </c>
      <c r="D529" s="437">
        <f t="shared" si="301"/>
        <v>32357</v>
      </c>
      <c r="E529" s="437">
        <f t="shared" si="301"/>
        <v>38251.417999999998</v>
      </c>
      <c r="F529" s="437">
        <f t="shared" si="301"/>
        <v>39320.240000000005</v>
      </c>
      <c r="G529" s="437">
        <f t="shared" si="301"/>
        <v>40351.375999999989</v>
      </c>
      <c r="H529" s="437">
        <f t="shared" si="301"/>
        <v>42162.348000000005</v>
      </c>
      <c r="I529" s="437">
        <f t="shared" si="301"/>
        <v>43646.566760000002</v>
      </c>
      <c r="J529" s="437">
        <f t="shared" si="301"/>
        <v>44478.879439722354</v>
      </c>
      <c r="K529" s="437">
        <f t="shared" si="301"/>
        <v>45540.450008625841</v>
      </c>
      <c r="L529" s="437">
        <f t="shared" si="301"/>
        <v>46594.320689854634</v>
      </c>
      <c r="M529" s="437">
        <f t="shared" si="301"/>
        <v>47639.112838620502</v>
      </c>
      <c r="N529" s="437">
        <f t="shared" si="301"/>
        <v>48730.547694137465</v>
      </c>
      <c r="O529" s="437">
        <f t="shared" si="301"/>
        <v>49850.890214792904</v>
      </c>
      <c r="P529" s="424"/>
      <c r="Q529" s="424"/>
      <c r="R529" s="424"/>
      <c r="S529" s="424"/>
      <c r="T529" s="424"/>
      <c r="U529" s="424"/>
      <c r="V529" s="424"/>
      <c r="W529" s="424"/>
      <c r="X529" s="424"/>
      <c r="Y529" s="424"/>
      <c r="Z529" s="424"/>
      <c r="AA529" s="424"/>
      <c r="AB529" s="424"/>
      <c r="AC529" s="424"/>
    </row>
    <row r="530" spans="2:29" ht="45" x14ac:dyDescent="0.25">
      <c r="B530" s="431" t="s">
        <v>880</v>
      </c>
      <c r="C530" s="438" t="e">
        <f t="shared" ref="C530:O530" si="302">C532/C533</f>
        <v>#DIV/0!</v>
      </c>
      <c r="D530" s="438">
        <f t="shared" si="302"/>
        <v>0.66866028708133973</v>
      </c>
      <c r="E530" s="438">
        <f t="shared" si="302"/>
        <v>0.77951694343238087</v>
      </c>
      <c r="F530" s="438">
        <f t="shared" si="302"/>
        <v>0.78568220199926198</v>
      </c>
      <c r="G530" s="438">
        <f t="shared" si="302"/>
        <v>0.78749715424257949</v>
      </c>
      <c r="H530" s="438">
        <f t="shared" si="302"/>
        <v>0.73678808007316854</v>
      </c>
      <c r="I530" s="438">
        <f t="shared" si="302"/>
        <v>0.79617135298563546</v>
      </c>
      <c r="J530" s="438">
        <f t="shared" si="302"/>
        <v>0.79526635504210852</v>
      </c>
      <c r="K530" s="438">
        <f t="shared" si="302"/>
        <v>0.79523999338357598</v>
      </c>
      <c r="L530" s="438">
        <f t="shared" si="302"/>
        <v>0.79507980267876832</v>
      </c>
      <c r="M530" s="438">
        <f t="shared" si="302"/>
        <v>0.79478666544706045</v>
      </c>
      <c r="N530" s="438">
        <f t="shared" si="302"/>
        <v>0.79458211042625548</v>
      </c>
      <c r="O530" s="438">
        <f t="shared" si="302"/>
        <v>0.79439136138063371</v>
      </c>
      <c r="P530" s="433"/>
      <c r="Q530" s="433"/>
      <c r="R530" s="433"/>
      <c r="S530" s="433"/>
      <c r="T530" s="433"/>
      <c r="U530" s="433"/>
      <c r="V530" s="433"/>
      <c r="W530" s="433"/>
      <c r="X530" s="433"/>
      <c r="Y530" s="433"/>
      <c r="Z530" s="433"/>
      <c r="AA530" s="433"/>
      <c r="AB530" s="433"/>
      <c r="AC530" s="433"/>
    </row>
    <row r="531" spans="2:29" ht="15.75" x14ac:dyDescent="0.25">
      <c r="B531" s="431"/>
      <c r="C531" s="439" t="str">
        <f>IF(ISERR(AVERAGE(SUM(#REF!,#REF!,C532)/SUM(#REF!,#REF!,C533))),"",AVERAGE(SUM(#REF!,#REF!,C532)/SUM(#REF!,#REF!,C533)))</f>
        <v/>
      </c>
      <c r="D531" s="439" t="str">
        <f>IF(ISERR(AVERAGE(SUM(#REF!,#REF!,D532)/SUM(#REF!,#REF!,D533))),"",AVERAGE(SUM(#REF!,#REF!,D532)/SUM(#REF!,#REF!,D533)))</f>
        <v/>
      </c>
      <c r="E531" s="439" t="str">
        <f>IF(ISERR(AVERAGE(SUM(#REF!,D532,E532)/SUM(#REF!,D533,E533))),"",AVERAGE(SUM(#REF!,D532,E532)/SUM(#REF!,D533,E533)))</f>
        <v/>
      </c>
      <c r="F531" s="439">
        <f t="shared" ref="F531" si="303">IF(ISERR(AVERAGE(SUM(D532,E532,F532)/SUM(D533,E533,F533))),"",AVERAGE(SUM(D532,E532,F532)/SUM(D533,E533,F533)))</f>
        <v>0.74194957075729773</v>
      </c>
      <c r="G531" s="439">
        <f t="shared" ref="G531" si="304">IF(ISERR(AVERAGE(SUM(E532,F532,G532)/SUM(E533,F533,G533))),"",AVERAGE(SUM(E532,F532,G532)/SUM(E533,F533,G533)))</f>
        <v>0.78433164449614579</v>
      </c>
      <c r="H531" s="439">
        <f t="shared" ref="H531" si="305">IF(ISERR(AVERAGE(SUM(F532,G532,H532)/SUM(F533,G533,H533))),"",AVERAGE(SUM(F532,G532,H532)/SUM(F533,G533,H533)))</f>
        <v>0.76856204594820132</v>
      </c>
      <c r="I531" s="439">
        <f t="shared" ref="I531" si="306">IF(ISERR(AVERAGE(SUM(G532,H532,I532)/SUM(G533,H533,I533))),"",AVERAGE(SUM(G532,H532,I532)/SUM(G533,H533,I533)))</f>
        <v>0.77263950588741637</v>
      </c>
      <c r="J531" s="439">
        <f t="shared" ref="J531" si="307">IF(ISERR(AVERAGE(SUM(H532,I532,J532)/SUM(H533,I533,J533))),"",AVERAGE(SUM(H532,I532,J532)/SUM(H533,I533,J533)))</f>
        <v>0.77566907098045301</v>
      </c>
      <c r="K531" s="439">
        <f t="shared" ref="K531" si="308">IF(ISERR(AVERAGE(SUM(I532,J532,K532)/SUM(I533,J533,K533))),"",AVERAGE(SUM(I532,J532,K532)/SUM(I533,J533,K533)))</f>
        <v>0.79555284973703599</v>
      </c>
      <c r="L531" s="439">
        <f t="shared" ref="L531" si="309">IF(ISERR(AVERAGE(SUM(J532,K532,L532)/SUM(J533,K533,L533))),"",AVERAGE(SUM(J532,K532,L532)/SUM(J533,K533,L533)))</f>
        <v>0.79519394674580646</v>
      </c>
      <c r="M531" s="439">
        <f t="shared" ref="M531" si="310">IF(ISERR(AVERAGE(SUM(K532,L532,M532)/SUM(K533,L533,M533))),"",AVERAGE(SUM(K532,L532,M532)/SUM(K533,L533,M533)))</f>
        <v>0.79503209188009294</v>
      </c>
      <c r="N531" s="439">
        <f t="shared" ref="N531" si="311">IF(ISERR(AVERAGE(SUM(L532,M532,N532)/SUM(L533,M533,N533))),"",AVERAGE(SUM(L532,M532,N532)/SUM(L533,M533,N533)))</f>
        <v>0.79481248518802872</v>
      </c>
      <c r="O531" s="439">
        <f t="shared" ref="O531" si="312">IF(ISERR(AVERAGE(SUM(M532,N532,O532)/SUM(M533,N533,O533))),"",AVERAGE(SUM(M532,N532,O532)/SUM(M533,N533,O533)))</f>
        <v>0.79458373090887635</v>
      </c>
      <c r="P531" s="433"/>
      <c r="Q531" s="433"/>
      <c r="R531" s="433"/>
      <c r="S531" s="433"/>
      <c r="T531" s="433"/>
      <c r="U531" s="433"/>
      <c r="V531" s="433"/>
      <c r="W531" s="433"/>
      <c r="X531" s="433"/>
      <c r="Y531" s="433"/>
      <c r="Z531" s="433"/>
      <c r="AA531" s="433"/>
      <c r="AB531" s="433"/>
      <c r="AC531" s="433"/>
    </row>
    <row r="532" spans="2:29" s="433" customFormat="1" ht="16.5" customHeight="1" x14ac:dyDescent="0.25">
      <c r="B532" s="436" t="s">
        <v>881</v>
      </c>
      <c r="C532" s="437">
        <f>C339-C335-C334-C336</f>
        <v>0</v>
      </c>
      <c r="D532" s="437">
        <f>D339-D335-D334-D336</f>
        <v>31304</v>
      </c>
      <c r="E532" s="437">
        <f t="shared" ref="E532:O532" si="313">E339-E333-E334-E336</f>
        <v>32076.673999999995</v>
      </c>
      <c r="F532" s="437">
        <f t="shared" si="313"/>
        <v>33869.351000000002</v>
      </c>
      <c r="G532" s="437">
        <f t="shared" si="313"/>
        <v>34804.024999999987</v>
      </c>
      <c r="H532" s="437">
        <f t="shared" si="313"/>
        <v>36518.759000000005</v>
      </c>
      <c r="I532" s="437">
        <f t="shared" si="313"/>
        <v>37904.801000000007</v>
      </c>
      <c r="J532" s="437">
        <f t="shared" si="313"/>
        <v>38593.569535722359</v>
      </c>
      <c r="K532" s="437">
        <f t="shared" si="313"/>
        <v>39508.007357025839</v>
      </c>
      <c r="L532" s="437">
        <f t="shared" si="313"/>
        <v>40411.066971964632</v>
      </c>
      <c r="M532" s="437">
        <f t="shared" si="313"/>
        <v>41301.277777783253</v>
      </c>
      <c r="N532" s="437">
        <f t="shared" si="313"/>
        <v>42234.266756779289</v>
      </c>
      <c r="O532" s="437">
        <f t="shared" si="313"/>
        <v>43192.202254000767</v>
      </c>
      <c r="P532" s="424"/>
      <c r="Q532" s="424"/>
      <c r="R532" s="424"/>
      <c r="S532" s="424"/>
      <c r="T532" s="424"/>
      <c r="U532" s="424"/>
      <c r="V532" s="424"/>
      <c r="W532" s="424"/>
      <c r="X532" s="424"/>
      <c r="Y532" s="424"/>
      <c r="Z532" s="424"/>
      <c r="AA532" s="424"/>
      <c r="AB532" s="424"/>
      <c r="AC532" s="424"/>
    </row>
    <row r="533" spans="2:29" s="433" customFormat="1" ht="32.25" customHeight="1" x14ac:dyDescent="0.25">
      <c r="B533" s="436" t="s">
        <v>882</v>
      </c>
      <c r="C533" s="437">
        <f t="shared" ref="C533:O533" si="314">C339-C336</f>
        <v>0</v>
      </c>
      <c r="D533" s="437">
        <f t="shared" si="314"/>
        <v>46816</v>
      </c>
      <c r="E533" s="437">
        <f t="shared" si="314"/>
        <v>41149.424999999996</v>
      </c>
      <c r="F533" s="437">
        <f t="shared" si="314"/>
        <v>43108.207000000002</v>
      </c>
      <c r="G533" s="437">
        <f t="shared" si="314"/>
        <v>44195.747009999992</v>
      </c>
      <c r="H533" s="437">
        <f t="shared" si="314"/>
        <v>49564.807015300008</v>
      </c>
      <c r="I533" s="437">
        <f t="shared" si="314"/>
        <v>47608.848092634005</v>
      </c>
      <c r="J533" s="437">
        <f t="shared" si="314"/>
        <v>48529.111399009038</v>
      </c>
      <c r="K533" s="437">
        <f t="shared" si="314"/>
        <v>49680.609232098257</v>
      </c>
      <c r="L533" s="437">
        <f t="shared" si="314"/>
        <v>50826.428788421494</v>
      </c>
      <c r="M533" s="437">
        <f t="shared" si="314"/>
        <v>51965.237432049325</v>
      </c>
      <c r="N533" s="437">
        <f t="shared" si="314"/>
        <v>53152.803470647756</v>
      </c>
      <c r="O533" s="437">
        <f t="shared" si="314"/>
        <v>54371.440015326611</v>
      </c>
      <c r="P533" s="424"/>
      <c r="Q533" s="424"/>
      <c r="R533" s="424"/>
      <c r="S533" s="424"/>
      <c r="T533" s="424"/>
      <c r="U533" s="424"/>
      <c r="V533" s="424"/>
      <c r="W533" s="424"/>
      <c r="X533" s="424"/>
      <c r="Y533" s="424"/>
      <c r="Z533" s="424"/>
      <c r="AA533" s="424"/>
      <c r="AB533" s="424"/>
      <c r="AC533" s="424"/>
    </row>
    <row r="534" spans="2:29" ht="30" customHeight="1" x14ac:dyDescent="0.25">
      <c r="B534" s="431" t="s">
        <v>883</v>
      </c>
      <c r="C534" s="440" t="e">
        <f t="shared" ref="C534:O534" si="315">C536/C537</f>
        <v>#DIV/0!</v>
      </c>
      <c r="D534" s="440">
        <f t="shared" si="315"/>
        <v>2.2962573786197732E-2</v>
      </c>
      <c r="E534" s="440">
        <f t="shared" si="315"/>
        <v>3.9223696230032572E-2</v>
      </c>
      <c r="F534" s="440">
        <f t="shared" si="315"/>
        <v>3.8076369828871845E-2</v>
      </c>
      <c r="G534" s="440">
        <f t="shared" si="315"/>
        <v>3.7032739602238116E-2</v>
      </c>
      <c r="H534" s="440">
        <f t="shared" si="315"/>
        <v>4.5330279044231592E-2</v>
      </c>
      <c r="I534" s="440">
        <f t="shared" si="315"/>
        <v>5.364960348143543E-2</v>
      </c>
      <c r="J534" s="440">
        <f t="shared" si="315"/>
        <v>5.1753436907500679E-2</v>
      </c>
      <c r="K534" s="440">
        <f t="shared" si="315"/>
        <v>4.9658161893166547E-2</v>
      </c>
      <c r="L534" s="440">
        <f t="shared" si="315"/>
        <v>4.7648845780548857E-2</v>
      </c>
      <c r="M534" s="440">
        <f t="shared" si="315"/>
        <v>4.5719792914586041E-2</v>
      </c>
      <c r="N534" s="440">
        <f t="shared" si="315"/>
        <v>4.3814259082204314E-2</v>
      </c>
      <c r="O534" s="440">
        <f t="shared" si="315"/>
        <v>4.1950628173654046E-2</v>
      </c>
    </row>
    <row r="535" spans="2:29" ht="30" customHeight="1" x14ac:dyDescent="0.25">
      <c r="B535" s="431" t="s">
        <v>884</v>
      </c>
      <c r="C535" s="439" t="str">
        <f>IF(ISERR(AVERAGE(SUM(#REF!,#REF!,C536)/SUM(#REF!,#REF!,C537))),"",AVERAGE(SUM(#REF!,#REF!,C536)/SUM(#REF!,#REF!,C537)))</f>
        <v/>
      </c>
      <c r="D535" s="439" t="str">
        <f>IF(ISERR(AVERAGE(SUM(#REF!,#REF!,D536)/SUM(#REF!,#REF!,D537))),"",AVERAGE(SUM(#REF!,#REF!,D536)/SUM(#REF!,#REF!,D537)))</f>
        <v/>
      </c>
      <c r="E535" s="439" t="str">
        <f>IF(ISERR(AVERAGE(SUM(#REF!,D536,E536)/SUM(#REF!,D537,E537))),"",AVERAGE(SUM(#REF!,D536,E536)/SUM(#REF!,D537,E537)))</f>
        <v/>
      </c>
      <c r="F535" s="439">
        <f>IF(ISERR(AVERAGE(SUM(D536,E536,F536)/SUM(D537,E537,F537))),"",AVERAGE(SUM(D536,E536,F536)/SUM(D537,E537,F537)))</f>
        <v>3.4026923170480255E-2</v>
      </c>
      <c r="G535" s="439">
        <f t="shared" ref="G535" si="316">IF(ISERR(AVERAGE(SUM(E536,F536,G536)/SUM(E537,F537,G537))),"",AVERAGE(SUM(E536,F536,G536)/SUM(E537,F537,G537)))</f>
        <v>3.8091421562304786E-2</v>
      </c>
      <c r="H535" s="439">
        <f t="shared" ref="H535" si="317">IF(ISERR(AVERAGE(SUM(F536,G536,H536)/SUM(F537,G537,H537))),"",AVERAGE(SUM(F536,G536,H536)/SUM(F537,G537,H537)))</f>
        <v>4.0241036563498832E-2</v>
      </c>
      <c r="I535" s="439">
        <f t="shared" ref="I535" si="318">IF(ISERR(AVERAGE(SUM(G536,H536,I536)/SUM(G537,H537,I537))),"",AVERAGE(SUM(G536,H536,I536)/SUM(G537,H537,I537)))</f>
        <v>4.5554539906166591E-2</v>
      </c>
      <c r="J535" s="439">
        <f t="shared" ref="J535" si="319">IF(ISERR(AVERAGE(SUM(H536,I536,J536)/SUM(H537,I537,J537))),"",AVERAGE(SUM(H536,I536,J536)/SUM(H537,I537,J537)))</f>
        <v>5.0310061054161033E-2</v>
      </c>
      <c r="K535" s="439">
        <f t="shared" ref="K535" si="320">IF(ISERR(AVERAGE(SUM(I536,J536,K536)/SUM(I537,J537,K537))),"",AVERAGE(SUM(I536,J536,K536)/SUM(I537,J537,K537)))</f>
        <v>5.1658733572945162E-2</v>
      </c>
      <c r="L535" s="439">
        <f t="shared" ref="L535" si="321">IF(ISERR(AVERAGE(SUM(J536,K536,L536)/SUM(J537,K537,L537))),"",AVERAGE(SUM(J536,K536,L536)/SUM(J537,K537,L537)))</f>
        <v>4.9655034573440164E-2</v>
      </c>
      <c r="M535" s="439">
        <f t="shared" ref="M535" si="322">IF(ISERR(AVERAGE(SUM(K536,L536,M536)/SUM(K537,L537,M537))),"",AVERAGE(SUM(K536,L536,M536)/SUM(K537,L537,M537)))</f>
        <v>4.7646032614275413E-2</v>
      </c>
      <c r="N535" s="439">
        <f t="shared" ref="N535" si="323">IF(ISERR(AVERAGE(SUM(L536,M536,N536)/SUM(L537,M537,N537))),"",AVERAGE(SUM(L536,M536,N536)/SUM(L537,M537,N537)))</f>
        <v>4.5698984880199509E-2</v>
      </c>
      <c r="O535" s="439">
        <f t="shared" ref="O535" si="324">IF(ISERR(AVERAGE(SUM(M536,N536,O536)/SUM(M537,N537,O537))),"",AVERAGE(SUM(M536,N536,O536)/SUM(M537,N537,O537)))</f>
        <v>4.3799721327056187E-2</v>
      </c>
      <c r="P535" s="433"/>
      <c r="Q535" s="433"/>
      <c r="R535" s="433"/>
      <c r="S535" s="433"/>
      <c r="T535" s="433"/>
      <c r="U535" s="433"/>
      <c r="V535" s="433"/>
      <c r="W535" s="433"/>
      <c r="X535" s="433"/>
      <c r="Y535" s="433"/>
      <c r="Z535" s="433"/>
      <c r="AA535" s="433"/>
      <c r="AB535" s="433"/>
      <c r="AC535" s="433"/>
    </row>
    <row r="536" spans="2:29" ht="15" x14ac:dyDescent="0.25">
      <c r="B536" s="442" t="s">
        <v>885</v>
      </c>
      <c r="C536" s="437">
        <f t="shared" ref="C536:E536" si="325">C538+C539</f>
        <v>0</v>
      </c>
      <c r="D536" s="437">
        <f t="shared" si="325"/>
        <v>743</v>
      </c>
      <c r="E536" s="437">
        <f t="shared" si="325"/>
        <v>1500.3620000000001</v>
      </c>
      <c r="F536" s="437">
        <f>F538+F539</f>
        <v>1497.172</v>
      </c>
      <c r="G536" s="437">
        <f t="shared" ref="G536:O536" si="326">G538+G539</f>
        <v>1494.3220000000001</v>
      </c>
      <c r="H536" s="437">
        <f t="shared" si="326"/>
        <v>1911.231</v>
      </c>
      <c r="I536" s="437">
        <f t="shared" si="326"/>
        <v>2341.6210000000001</v>
      </c>
      <c r="J536" s="437">
        <f t="shared" si="326"/>
        <v>2301.9348808</v>
      </c>
      <c r="K536" s="437">
        <f t="shared" si="326"/>
        <v>2261.4550392159999</v>
      </c>
      <c r="L536" s="437">
        <f t="shared" si="326"/>
        <v>2220.1656008003201</v>
      </c>
      <c r="M536" s="437">
        <f t="shared" si="326"/>
        <v>2178.0503736163264</v>
      </c>
      <c r="N536" s="437">
        <f t="shared" si="326"/>
        <v>2135.0928418886529</v>
      </c>
      <c r="O536" s="437">
        <f t="shared" si="326"/>
        <v>2091.276159526426</v>
      </c>
      <c r="P536" s="433"/>
      <c r="Q536" s="433"/>
      <c r="R536" s="433"/>
      <c r="S536" s="433"/>
      <c r="T536" s="433"/>
      <c r="U536" s="433"/>
      <c r="V536" s="433"/>
      <c r="W536" s="433"/>
      <c r="X536" s="433"/>
      <c r="Y536" s="433"/>
      <c r="Z536" s="433"/>
      <c r="AA536" s="433"/>
      <c r="AB536" s="433"/>
      <c r="AC536" s="433"/>
    </row>
    <row r="537" spans="2:29" s="433" customFormat="1" ht="29.25" customHeight="1" x14ac:dyDescent="0.25">
      <c r="B537" s="436" t="s">
        <v>879</v>
      </c>
      <c r="C537" s="437">
        <f t="shared" ref="C537:O537" si="327">C339-C334-C336</f>
        <v>0</v>
      </c>
      <c r="D537" s="437">
        <f t="shared" si="327"/>
        <v>32357</v>
      </c>
      <c r="E537" s="437">
        <f t="shared" si="327"/>
        <v>38251.417999999998</v>
      </c>
      <c r="F537" s="437">
        <f t="shared" si="327"/>
        <v>39320.240000000005</v>
      </c>
      <c r="G537" s="437">
        <f t="shared" si="327"/>
        <v>40351.375999999989</v>
      </c>
      <c r="H537" s="437">
        <f t="shared" si="327"/>
        <v>42162.348000000005</v>
      </c>
      <c r="I537" s="437">
        <f t="shared" si="327"/>
        <v>43646.566760000002</v>
      </c>
      <c r="J537" s="437">
        <f t="shared" si="327"/>
        <v>44478.879439722354</v>
      </c>
      <c r="K537" s="437">
        <f t="shared" si="327"/>
        <v>45540.450008625841</v>
      </c>
      <c r="L537" s="437">
        <f t="shared" si="327"/>
        <v>46594.320689854634</v>
      </c>
      <c r="M537" s="437">
        <f t="shared" si="327"/>
        <v>47639.112838620502</v>
      </c>
      <c r="N537" s="437">
        <f t="shared" si="327"/>
        <v>48730.547694137465</v>
      </c>
      <c r="O537" s="437">
        <f t="shared" si="327"/>
        <v>49850.890214792904</v>
      </c>
    </row>
    <row r="538" spans="2:29" s="433" customFormat="1" ht="15" x14ac:dyDescent="0.25">
      <c r="B538" s="436" t="s">
        <v>886</v>
      </c>
      <c r="C538" s="437">
        <f t="shared" ref="C538:O538" si="328">C344</f>
        <v>0</v>
      </c>
      <c r="D538" s="437">
        <f t="shared" si="328"/>
        <v>743</v>
      </c>
      <c r="E538" s="437">
        <f t="shared" si="328"/>
        <v>1500.3620000000001</v>
      </c>
      <c r="F538" s="437">
        <f t="shared" si="328"/>
        <v>1497.172</v>
      </c>
      <c r="G538" s="437">
        <f t="shared" si="328"/>
        <v>1494.3220000000001</v>
      </c>
      <c r="H538" s="437">
        <f t="shared" si="328"/>
        <v>1911.231</v>
      </c>
      <c r="I538" s="437">
        <f t="shared" si="328"/>
        <v>2341.6210000000001</v>
      </c>
      <c r="J538" s="437">
        <f t="shared" si="328"/>
        <v>2301.9348808</v>
      </c>
      <c r="K538" s="437">
        <f t="shared" si="328"/>
        <v>2261.4550392159999</v>
      </c>
      <c r="L538" s="437">
        <f t="shared" si="328"/>
        <v>2220.1656008003201</v>
      </c>
      <c r="M538" s="437">
        <f t="shared" si="328"/>
        <v>2178.0503736163264</v>
      </c>
      <c r="N538" s="437">
        <f t="shared" si="328"/>
        <v>2135.0928418886529</v>
      </c>
      <c r="O538" s="437">
        <f t="shared" si="328"/>
        <v>2091.276159526426</v>
      </c>
    </row>
    <row r="539" spans="2:29" s="433" customFormat="1" ht="29.25" x14ac:dyDescent="0.25">
      <c r="B539" s="436" t="s">
        <v>887</v>
      </c>
      <c r="C539" s="437">
        <f t="shared" ref="C539:O539" si="329">C413</f>
        <v>0</v>
      </c>
      <c r="D539" s="437">
        <f t="shared" si="329"/>
        <v>0</v>
      </c>
      <c r="E539" s="437">
        <f t="shared" si="329"/>
        <v>0</v>
      </c>
      <c r="F539" s="437">
        <f t="shared" si="329"/>
        <v>0</v>
      </c>
      <c r="G539" s="437">
        <f t="shared" si="329"/>
        <v>0</v>
      </c>
      <c r="H539" s="437">
        <f t="shared" si="329"/>
        <v>0</v>
      </c>
      <c r="I539" s="437">
        <f t="shared" si="329"/>
        <v>0</v>
      </c>
      <c r="J539" s="437">
        <f t="shared" si="329"/>
        <v>0</v>
      </c>
      <c r="K539" s="437">
        <f t="shared" si="329"/>
        <v>0</v>
      </c>
      <c r="L539" s="437">
        <f t="shared" si="329"/>
        <v>0</v>
      </c>
      <c r="M539" s="437">
        <f t="shared" si="329"/>
        <v>0</v>
      </c>
      <c r="N539" s="437">
        <f t="shared" si="329"/>
        <v>0</v>
      </c>
      <c r="O539" s="437">
        <f t="shared" si="329"/>
        <v>0</v>
      </c>
      <c r="P539" s="424"/>
      <c r="Q539" s="424"/>
      <c r="R539" s="424"/>
      <c r="S539" s="424"/>
      <c r="T539" s="424"/>
      <c r="U539" s="424"/>
      <c r="V539" s="424"/>
      <c r="W539" s="424"/>
      <c r="X539" s="424"/>
      <c r="Y539" s="424"/>
      <c r="Z539" s="424"/>
      <c r="AA539" s="424"/>
      <c r="AB539" s="424"/>
      <c r="AC539" s="424"/>
    </row>
    <row r="540" spans="2:29" s="433" customFormat="1" ht="15.75" thickBot="1" x14ac:dyDescent="0.3">
      <c r="B540" s="436"/>
      <c r="C540" s="437"/>
      <c r="D540" s="437"/>
      <c r="E540" s="437"/>
      <c r="F540" s="437"/>
      <c r="G540" s="437"/>
      <c r="H540" s="437"/>
      <c r="I540" s="437"/>
      <c r="J540" s="437"/>
      <c r="K540" s="437"/>
      <c r="L540" s="437"/>
      <c r="M540" s="437"/>
      <c r="N540" s="437"/>
      <c r="O540" s="437"/>
      <c r="P540" s="424"/>
      <c r="Q540" s="424"/>
      <c r="R540" s="424"/>
      <c r="S540" s="424"/>
      <c r="T540" s="424"/>
      <c r="U540" s="424"/>
      <c r="V540" s="424"/>
      <c r="W540" s="424"/>
      <c r="X540" s="424"/>
      <c r="Y540" s="424"/>
      <c r="Z540" s="424"/>
      <c r="AA540" s="424"/>
      <c r="AB540" s="424"/>
      <c r="AC540" s="424"/>
    </row>
    <row r="541" spans="2:29" ht="44.25" thickBot="1" x14ac:dyDescent="0.25">
      <c r="B541" s="443" t="s">
        <v>888</v>
      </c>
      <c r="C541" s="445">
        <f t="shared" ref="C541:O541" si="330">C552/C543*1000</f>
        <v>0</v>
      </c>
      <c r="D541" s="445">
        <f t="shared" si="330"/>
        <v>1948.3505592524425</v>
      </c>
      <c r="E541" s="445">
        <f t="shared" si="330"/>
        <v>2093.0326906360388</v>
      </c>
      <c r="F541" s="445">
        <f t="shared" si="330"/>
        <v>2032.6667745911852</v>
      </c>
      <c r="G541" s="445">
        <f t="shared" si="330"/>
        <v>2006.9281086090677</v>
      </c>
      <c r="H541" s="445">
        <f t="shared" si="330"/>
        <v>2028.9586911233114</v>
      </c>
      <c r="I541" s="445">
        <f t="shared" si="330"/>
        <v>2092.9887724471214</v>
      </c>
      <c r="J541" s="445">
        <f t="shared" si="330"/>
        <v>2068.7845016372289</v>
      </c>
      <c r="K541" s="445">
        <f t="shared" si="330"/>
        <v>2044.998415029022</v>
      </c>
      <c r="L541" s="445">
        <f t="shared" si="330"/>
        <v>2021.620772420388</v>
      </c>
      <c r="M541" s="445">
        <f t="shared" si="330"/>
        <v>1998.6421057549014</v>
      </c>
      <c r="N541" s="445">
        <f t="shared" si="330"/>
        <v>1978.6506498615445</v>
      </c>
      <c r="O541" s="445">
        <f t="shared" si="330"/>
        <v>1956.4133865185797</v>
      </c>
    </row>
    <row r="542" spans="2:29" ht="15.75" x14ac:dyDescent="0.25">
      <c r="B542" s="443" t="s">
        <v>889</v>
      </c>
      <c r="C542" s="448" t="str">
        <f>IF(ISERR(AVERAGE(SUM(#REF!,#REF!,C541)/3)),"",AVERAGE(SUM(#REF!,#REF!,C541)/3))</f>
        <v/>
      </c>
      <c r="D542" s="448" t="str">
        <f>IF(ISERR(AVERAGE(SUM(#REF!,#REF!,D541)/3)),"",AVERAGE(SUM(#REF!,#REF!,D541)/3))</f>
        <v/>
      </c>
      <c r="E542" s="448" t="str">
        <f>IF(ISERR(AVERAGE(SUM(#REF!,D541,E541)/3)),"",AVERAGE(SUM(#REF!,D541,E541)/3))</f>
        <v/>
      </c>
      <c r="F542" s="448">
        <f t="shared" ref="F542" si="331">IF(ISERR(AVERAGE(SUM(D541,E541,F541)/3)),"",AVERAGE(SUM(D541,E541,F541)/3))</f>
        <v>2024.6833414932223</v>
      </c>
      <c r="G542" s="448">
        <f t="shared" ref="G542" si="332">IF(ISERR(AVERAGE(SUM(E541,F541,G541)/3)),"",AVERAGE(SUM(E541,F541,G541)/3))</f>
        <v>2044.2091912787639</v>
      </c>
      <c r="H542" s="448">
        <f t="shared" ref="H542" si="333">IF(ISERR(AVERAGE(SUM(F541,G541,H541)/3)),"",AVERAGE(SUM(F541,G541,H541)/3))</f>
        <v>2022.8511914411883</v>
      </c>
      <c r="I542" s="448">
        <f t="shared" ref="I542" si="334">IF(ISERR(AVERAGE(SUM(G541,H541,I541)/3)),"",AVERAGE(SUM(G541,H541,I541)/3))</f>
        <v>2042.9585240598335</v>
      </c>
      <c r="J542" s="448">
        <f t="shared" ref="J542" si="335">IF(ISERR(AVERAGE(SUM(H541,I541,J541)/3)),"",AVERAGE(SUM(H541,I541,J541)/3))</f>
        <v>2063.5773217358874</v>
      </c>
      <c r="K542" s="448">
        <f t="shared" ref="K542" si="336">IF(ISERR(AVERAGE(SUM(I541,J541,K541)/3)),"",AVERAGE(SUM(I541,J541,K541)/3))</f>
        <v>2068.9238963711241</v>
      </c>
      <c r="L542" s="448">
        <f t="shared" ref="L542" si="337">IF(ISERR(AVERAGE(SUM(J541,K541,L541)/3)),"",AVERAGE(SUM(J541,K541,L541)/3))</f>
        <v>2045.1345630288795</v>
      </c>
      <c r="M542" s="448">
        <f t="shared" ref="M542" si="338">IF(ISERR(AVERAGE(SUM(K541,L541,M541)/3)),"",AVERAGE(SUM(K541,L541,M541)/3))</f>
        <v>2021.7537644014371</v>
      </c>
      <c r="N542" s="448">
        <f t="shared" ref="N542" si="339">IF(ISERR(AVERAGE(SUM(L541,M541,N541)/3)),"",AVERAGE(SUM(L541,M541,N541)/3))</f>
        <v>1999.6378426789445</v>
      </c>
      <c r="O542" s="448">
        <f t="shared" ref="O542" si="340">IF(ISERR(AVERAGE(SUM(M541,N541,O541)/3)),"",AVERAGE(SUM(M541,N541,O541)/3))</f>
        <v>1977.9020473783419</v>
      </c>
    </row>
    <row r="543" spans="2:29" ht="15" x14ac:dyDescent="0.25">
      <c r="B543" s="449" t="s">
        <v>890</v>
      </c>
      <c r="C543" s="450">
        <f t="shared" ref="C543:O543" si="341">C424</f>
        <v>17150</v>
      </c>
      <c r="D543" s="450">
        <f t="shared" si="341"/>
        <v>17304.349999999999</v>
      </c>
      <c r="E543" s="450">
        <f t="shared" si="341"/>
        <v>17460.089149999996</v>
      </c>
      <c r="F543" s="450">
        <f t="shared" si="341"/>
        <v>17617.229952349993</v>
      </c>
      <c r="G543" s="450">
        <f t="shared" si="341"/>
        <v>17775.78502192114</v>
      </c>
      <c r="H543" s="450">
        <f t="shared" si="341"/>
        <v>17935.767087118427</v>
      </c>
      <c r="I543" s="450">
        <f t="shared" si="341"/>
        <v>18000</v>
      </c>
      <c r="J543" s="450">
        <f t="shared" si="341"/>
        <v>18161.999999999996</v>
      </c>
      <c r="K543" s="450">
        <f t="shared" si="341"/>
        <v>18325.457999999995</v>
      </c>
      <c r="L543" s="450">
        <f t="shared" si="341"/>
        <v>18490.387121999993</v>
      </c>
      <c r="M543" s="450">
        <f t="shared" si="341"/>
        <v>18656.80060609799</v>
      </c>
      <c r="N543" s="450">
        <f t="shared" si="341"/>
        <v>18800</v>
      </c>
      <c r="O543" s="450">
        <f t="shared" si="341"/>
        <v>18969.199999999997</v>
      </c>
    </row>
    <row r="544" spans="2:29" ht="15.75" thickBot="1" x14ac:dyDescent="0.3">
      <c r="B544" s="451" t="s">
        <v>891</v>
      </c>
      <c r="C544" s="450">
        <f t="shared" ref="C544:O544" si="342">C552</f>
        <v>0</v>
      </c>
      <c r="D544" s="450">
        <f t="shared" si="342"/>
        <v>33714.94</v>
      </c>
      <c r="E544" s="450">
        <f t="shared" si="342"/>
        <v>36544.537372369596</v>
      </c>
      <c r="F544" s="450">
        <f t="shared" si="342"/>
        <v>35809.95798447448</v>
      </c>
      <c r="G544" s="450">
        <f t="shared" si="342"/>
        <v>35674.722613085592</v>
      </c>
      <c r="H544" s="450">
        <f t="shared" si="342"/>
        <v>36390.930513372368</v>
      </c>
      <c r="I544" s="450">
        <f t="shared" si="342"/>
        <v>37673.797904048188</v>
      </c>
      <c r="J544" s="450">
        <f t="shared" si="342"/>
        <v>37573.264118735344</v>
      </c>
      <c r="K544" s="450">
        <f t="shared" si="342"/>
        <v>37475.5325646809</v>
      </c>
      <c r="L544" s="450">
        <f t="shared" si="342"/>
        <v>37380.550695929618</v>
      </c>
      <c r="M544" s="450">
        <f t="shared" si="342"/>
        <v>37288.26725002101</v>
      </c>
      <c r="N544" s="450">
        <f t="shared" si="342"/>
        <v>37198.632217397033</v>
      </c>
      <c r="O544" s="450">
        <f t="shared" si="342"/>
        <v>37111.596811548239</v>
      </c>
    </row>
    <row r="545" spans="2:29" ht="15" x14ac:dyDescent="0.25">
      <c r="B545" s="449" t="s">
        <v>892</v>
      </c>
      <c r="C545" s="454">
        <v>0</v>
      </c>
      <c r="D545" s="454">
        <v>0.02</v>
      </c>
      <c r="E545" s="454">
        <f>'CPI &amp; IPART calc'!C13</f>
        <v>2.436E-2</v>
      </c>
      <c r="F545" s="454">
        <f>E545</f>
        <v>2.436E-2</v>
      </c>
      <c r="G545" s="454">
        <f t="shared" ref="G545" si="343">F545</f>
        <v>2.436E-2</v>
      </c>
      <c r="H545" s="454">
        <f t="shared" ref="H545" si="344">G545</f>
        <v>2.436E-2</v>
      </c>
      <c r="I545" s="454">
        <f>'CPI &amp; IPART calc'!I13</f>
        <v>2.4120000000000003E-2</v>
      </c>
      <c r="J545" s="454">
        <f t="shared" ref="J545" si="345">I545</f>
        <v>2.4120000000000003E-2</v>
      </c>
      <c r="K545" s="454">
        <f t="shared" ref="K545" si="346">J545</f>
        <v>2.4120000000000003E-2</v>
      </c>
      <c r="L545" s="454">
        <f t="shared" ref="L545" si="347">K545</f>
        <v>2.4120000000000003E-2</v>
      </c>
      <c r="M545" s="454">
        <f t="shared" ref="M545" si="348">L545</f>
        <v>2.4120000000000003E-2</v>
      </c>
      <c r="N545" s="454">
        <f t="shared" ref="N545" si="349">M545</f>
        <v>2.4120000000000003E-2</v>
      </c>
      <c r="O545" s="454">
        <f t="shared" ref="O545" si="350">N545</f>
        <v>2.4120000000000003E-2</v>
      </c>
    </row>
    <row r="546" spans="2:29" ht="15" x14ac:dyDescent="0.25">
      <c r="B546" s="449" t="s">
        <v>893</v>
      </c>
      <c r="C546" s="454">
        <f>(1-C545)</f>
        <v>1</v>
      </c>
      <c r="D546" s="454">
        <f>C546*(1-D545)</f>
        <v>0.98</v>
      </c>
      <c r="E546" s="454">
        <f t="shared" ref="E546" si="351">D546*(1-E545)</f>
        <v>0.95612719999999995</v>
      </c>
      <c r="F546" s="454">
        <f t="shared" ref="F546" si="352">E546*(1-F545)</f>
        <v>0.93283594140799986</v>
      </c>
      <c r="G546" s="454">
        <f t="shared" ref="G546" si="353">F546*(1-G545)</f>
        <v>0.91011205787530092</v>
      </c>
      <c r="H546" s="454">
        <f t="shared" ref="H546" si="354">G546*(1-H545)</f>
        <v>0.88794172814545858</v>
      </c>
      <c r="I546" s="454">
        <f t="shared" ref="I546" si="355">H546*(1-I545)</f>
        <v>0.86652457366259006</v>
      </c>
      <c r="J546" s="454">
        <f t="shared" ref="J546" si="356">I546*(1-J545)</f>
        <v>0.84562400094584833</v>
      </c>
      <c r="K546" s="454">
        <f t="shared" ref="K546" si="357">J546*(1-K545)</f>
        <v>0.8252275500430345</v>
      </c>
      <c r="L546" s="454">
        <f t="shared" ref="L546" si="358">K546*(1-L545)</f>
        <v>0.80532306153599653</v>
      </c>
      <c r="M546" s="454">
        <f t="shared" ref="M546" si="359">L546*(1-M545)</f>
        <v>0.78589866929174823</v>
      </c>
      <c r="N546" s="454">
        <f t="shared" ref="N546" si="360">M546*(1-N545)</f>
        <v>0.76694279338843119</v>
      </c>
      <c r="O546" s="454">
        <f t="shared" ref="O546" si="361">N546*(1-O545)</f>
        <v>0.74844413321190217</v>
      </c>
    </row>
    <row r="547" spans="2:29" ht="15" x14ac:dyDescent="0.25">
      <c r="B547" s="449" t="s">
        <v>894</v>
      </c>
      <c r="C547" s="450">
        <f t="shared" ref="C547:O547" si="362">C350</f>
        <v>0</v>
      </c>
      <c r="D547" s="450">
        <f t="shared" si="362"/>
        <v>35003</v>
      </c>
      <c r="E547" s="450">
        <f t="shared" si="362"/>
        <v>38221.417999999998</v>
      </c>
      <c r="F547" s="450">
        <f t="shared" si="362"/>
        <v>38388.270000000004</v>
      </c>
      <c r="G547" s="450">
        <f t="shared" si="362"/>
        <v>39198.165000000001</v>
      </c>
      <c r="H547" s="450">
        <f t="shared" si="362"/>
        <v>40983.466999999997</v>
      </c>
      <c r="I547" s="450">
        <f t="shared" si="362"/>
        <v>43476.894999999997</v>
      </c>
      <c r="J547" s="450">
        <f t="shared" si="362"/>
        <v>44432.589515799991</v>
      </c>
      <c r="K547" s="450">
        <f t="shared" si="362"/>
        <v>45412.362399591002</v>
      </c>
      <c r="L547" s="450">
        <f t="shared" si="362"/>
        <v>46416.838758638696</v>
      </c>
      <c r="M547" s="450">
        <f t="shared" si="362"/>
        <v>47446.660373690655</v>
      </c>
      <c r="N547" s="450">
        <f t="shared" si="362"/>
        <v>48502.486154214574</v>
      </c>
      <c r="O547" s="450">
        <f t="shared" si="362"/>
        <v>49584.992606309963</v>
      </c>
    </row>
    <row r="548" spans="2:29" ht="15" x14ac:dyDescent="0.25">
      <c r="B548" s="449" t="s">
        <v>895</v>
      </c>
      <c r="C548" s="450">
        <f t="shared" ref="C548:O548" si="363">C346</f>
        <v>0</v>
      </c>
      <c r="D548" s="450">
        <f t="shared" si="363"/>
        <v>600</v>
      </c>
      <c r="E548" s="450">
        <f t="shared" si="363"/>
        <v>0</v>
      </c>
      <c r="F548" s="450">
        <f t="shared" si="363"/>
        <v>0</v>
      </c>
      <c r="G548" s="450">
        <f t="shared" si="363"/>
        <v>0</v>
      </c>
      <c r="H548" s="450">
        <f t="shared" si="363"/>
        <v>0</v>
      </c>
      <c r="I548" s="450">
        <f t="shared" si="363"/>
        <v>0</v>
      </c>
      <c r="J548" s="450">
        <f t="shared" si="363"/>
        <v>0</v>
      </c>
      <c r="K548" s="450">
        <f t="shared" si="363"/>
        <v>0</v>
      </c>
      <c r="L548" s="450">
        <f t="shared" si="363"/>
        <v>0</v>
      </c>
      <c r="M548" s="450">
        <f t="shared" si="363"/>
        <v>0</v>
      </c>
      <c r="N548" s="450">
        <f t="shared" si="363"/>
        <v>0</v>
      </c>
      <c r="O548" s="450">
        <f t="shared" si="363"/>
        <v>0</v>
      </c>
    </row>
    <row r="549" spans="2:29" ht="15" x14ac:dyDescent="0.25">
      <c r="B549" s="449" t="s">
        <v>896</v>
      </c>
      <c r="C549" s="450">
        <f>0</f>
        <v>0</v>
      </c>
      <c r="D549" s="450">
        <f>0</f>
        <v>0</v>
      </c>
      <c r="E549" s="450">
        <f>0</f>
        <v>0</v>
      </c>
      <c r="F549" s="450">
        <f>0</f>
        <v>0</v>
      </c>
      <c r="G549" s="450">
        <f>0</f>
        <v>0</v>
      </c>
      <c r="H549" s="450">
        <f>0</f>
        <v>0</v>
      </c>
      <c r="I549" s="450">
        <f>0</f>
        <v>0</v>
      </c>
      <c r="J549" s="450">
        <f>0</f>
        <v>0</v>
      </c>
      <c r="K549" s="450">
        <f>0</f>
        <v>0</v>
      </c>
      <c r="L549" s="450">
        <f>0</f>
        <v>0</v>
      </c>
      <c r="M549" s="450">
        <f>0</f>
        <v>0</v>
      </c>
      <c r="N549" s="450">
        <f>0</f>
        <v>0</v>
      </c>
      <c r="O549" s="450">
        <f>0</f>
        <v>0</v>
      </c>
    </row>
    <row r="550" spans="2:29" ht="15" x14ac:dyDescent="0.25">
      <c r="B550" s="449" t="s">
        <v>897</v>
      </c>
      <c r="C550" s="450">
        <f>0</f>
        <v>0</v>
      </c>
      <c r="D550" s="450">
        <f>0</f>
        <v>0</v>
      </c>
      <c r="E550" s="450">
        <f>0</f>
        <v>0</v>
      </c>
      <c r="F550" s="450">
        <f>0</f>
        <v>0</v>
      </c>
      <c r="G550" s="450">
        <f>0</f>
        <v>0</v>
      </c>
      <c r="H550" s="450">
        <f>0</f>
        <v>0</v>
      </c>
      <c r="I550" s="450">
        <f>0</f>
        <v>0</v>
      </c>
      <c r="J550" s="450">
        <f>0</f>
        <v>0</v>
      </c>
      <c r="K550" s="450">
        <f>0</f>
        <v>0</v>
      </c>
      <c r="L550" s="450">
        <f>0</f>
        <v>0</v>
      </c>
      <c r="M550" s="450">
        <f>0</f>
        <v>0</v>
      </c>
      <c r="N550" s="450">
        <f>0</f>
        <v>0</v>
      </c>
      <c r="O550" s="450">
        <f>0</f>
        <v>0</v>
      </c>
    </row>
    <row r="551" spans="2:29" ht="15.75" thickBot="1" x14ac:dyDescent="0.3">
      <c r="B551" s="455" t="s">
        <v>898</v>
      </c>
      <c r="C551" s="456">
        <f t="shared" ref="C551:O551" si="364">C547-C548-C549-C550</f>
        <v>0</v>
      </c>
      <c r="D551" s="456">
        <f t="shared" si="364"/>
        <v>34403</v>
      </c>
      <c r="E551" s="456">
        <f t="shared" si="364"/>
        <v>38221.417999999998</v>
      </c>
      <c r="F551" s="456">
        <f t="shared" si="364"/>
        <v>38388.270000000004</v>
      </c>
      <c r="G551" s="456">
        <f t="shared" si="364"/>
        <v>39198.165000000001</v>
      </c>
      <c r="H551" s="456">
        <f t="shared" si="364"/>
        <v>40983.466999999997</v>
      </c>
      <c r="I551" s="456">
        <f t="shared" si="364"/>
        <v>43476.894999999997</v>
      </c>
      <c r="J551" s="456">
        <f t="shared" si="364"/>
        <v>44432.589515799991</v>
      </c>
      <c r="K551" s="456">
        <f t="shared" si="364"/>
        <v>45412.362399591002</v>
      </c>
      <c r="L551" s="456">
        <f t="shared" si="364"/>
        <v>46416.838758638696</v>
      </c>
      <c r="M551" s="456">
        <f t="shared" si="364"/>
        <v>47446.660373690655</v>
      </c>
      <c r="N551" s="456">
        <f t="shared" si="364"/>
        <v>48502.486154214574</v>
      </c>
      <c r="O551" s="456">
        <f t="shared" si="364"/>
        <v>49584.992606309963</v>
      </c>
    </row>
    <row r="552" spans="2:29" ht="15.75" thickBot="1" x14ac:dyDescent="0.3">
      <c r="B552" s="457" t="s">
        <v>891</v>
      </c>
      <c r="C552" s="458">
        <f t="shared" ref="C552:E552" si="365">C551*C546</f>
        <v>0</v>
      </c>
      <c r="D552" s="458">
        <f t="shared" si="365"/>
        <v>33714.94</v>
      </c>
      <c r="E552" s="458">
        <f t="shared" si="365"/>
        <v>36544.537372369596</v>
      </c>
      <c r="F552" s="458">
        <f>F551*F546</f>
        <v>35809.95798447448</v>
      </c>
      <c r="G552" s="458">
        <f t="shared" ref="G552:O552" si="366">G551*G546</f>
        <v>35674.722613085592</v>
      </c>
      <c r="H552" s="458">
        <f t="shared" si="366"/>
        <v>36390.930513372368</v>
      </c>
      <c r="I552" s="458">
        <f t="shared" si="366"/>
        <v>37673.797904048188</v>
      </c>
      <c r="J552" s="458">
        <f t="shared" si="366"/>
        <v>37573.264118735344</v>
      </c>
      <c r="K552" s="458">
        <f t="shared" si="366"/>
        <v>37475.5325646809</v>
      </c>
      <c r="L552" s="458">
        <f t="shared" si="366"/>
        <v>37380.550695929618</v>
      </c>
      <c r="M552" s="458">
        <f t="shared" si="366"/>
        <v>37288.26725002101</v>
      </c>
      <c r="N552" s="458">
        <f t="shared" si="366"/>
        <v>37198.632217397033</v>
      </c>
      <c r="O552" s="458">
        <f t="shared" si="366"/>
        <v>37111.596811548239</v>
      </c>
    </row>
    <row r="553" spans="2:29" ht="42.75" x14ac:dyDescent="0.2">
      <c r="B553" s="444" t="s">
        <v>899</v>
      </c>
      <c r="C553" s="459" t="e">
        <f>C555/C556</f>
        <v>#DIV/0!</v>
      </c>
      <c r="D553" s="459">
        <f>D555/D556</f>
        <v>0</v>
      </c>
      <c r="E553" s="459">
        <f t="shared" ref="E553:O553" si="367">E555/E556</f>
        <v>0.99370124897617762</v>
      </c>
      <c r="F553" s="459">
        <f t="shared" si="367"/>
        <v>0.99303931837438397</v>
      </c>
      <c r="G553" s="459">
        <f t="shared" si="367"/>
        <v>1.6803934749060947</v>
      </c>
      <c r="H553" s="459">
        <f t="shared" si="367"/>
        <v>1.0921016235379826</v>
      </c>
      <c r="I553" s="459">
        <f t="shared" si="367"/>
        <v>1.0150188029249823</v>
      </c>
      <c r="J553" s="459">
        <f t="shared" si="367"/>
        <v>1.0025295073449241</v>
      </c>
      <c r="K553" s="459">
        <f t="shared" si="367"/>
        <v>0.99824486627778619</v>
      </c>
      <c r="L553" s="459">
        <f t="shared" si="367"/>
        <v>1.0484348397600545</v>
      </c>
      <c r="M553" s="459">
        <f t="shared" si="367"/>
        <v>1.0005890737846779</v>
      </c>
      <c r="N553" s="459">
        <f t="shared" si="367"/>
        <v>1.016106314468552</v>
      </c>
      <c r="O553" s="459">
        <f t="shared" si="367"/>
        <v>1.0057512310938483</v>
      </c>
      <c r="P553" s="433"/>
      <c r="Q553" s="433"/>
      <c r="R553" s="433"/>
      <c r="S553" s="433"/>
      <c r="T553" s="433"/>
      <c r="U553" s="433"/>
      <c r="V553" s="433"/>
      <c r="W553" s="433"/>
      <c r="X553" s="433"/>
      <c r="Y553" s="433"/>
      <c r="Z553" s="433"/>
      <c r="AA553" s="433"/>
      <c r="AB553" s="433"/>
      <c r="AC553" s="433"/>
    </row>
    <row r="554" spans="2:29" ht="15.75" x14ac:dyDescent="0.25">
      <c r="B554" s="446"/>
      <c r="C554" s="461" t="str">
        <f>IF(ISERR(AVERAGE(SUM(#REF!,#REF!,C555)/SUM(#REF!,#REF!,C556))),"",AVERAGE(SUM(#REF!,#REF!,C555)/SUM(#REF!,#REF!,C556)))</f>
        <v/>
      </c>
      <c r="D554" s="461" t="str">
        <f>IF(ISERR(AVERAGE(SUM(#REF!,#REF!,D555)/SUM(#REF!,#REF!,D556))),"",AVERAGE(SUM(#REF!,#REF!,D555)/SUM(#REF!,#REF!,D556)))</f>
        <v/>
      </c>
      <c r="E554" s="461" t="str">
        <f>IF(ISERR(AVERAGE(SUM(#REF!,D555,E555)/SUM(#REF!,D556,E556))),"",AVERAGE(SUM(#REF!,D555,E555)/SUM(#REF!,D556,E556)))</f>
        <v/>
      </c>
      <c r="F554" s="461">
        <f t="shared" ref="F554" si="368">IF(ISERR(AVERAGE(SUM(D555,E555,F555)/SUM(D556,E556,F556))),"",AVERAGE(SUM(D555,E555,F555)/SUM(D556,E556,F556)))</f>
        <v>0.69437508163592687</v>
      </c>
      <c r="G554" s="461">
        <f t="shared" ref="G554" si="369">IF(ISERR(AVERAGE(SUM(E555,F555,G555)/SUM(E556,F556,G556))),"",AVERAGE(SUM(E555,F555,G555)/SUM(E556,F556,G556)))</f>
        <v>1.2154836502792421</v>
      </c>
      <c r="H554" s="461">
        <f t="shared" ref="H554" si="370">IF(ISERR(AVERAGE(SUM(F555,G555,H555)/SUM(F556,G556,H556))),"",AVERAGE(SUM(F555,G555,H555)/SUM(F556,G556,H556)))</f>
        <v>1.2540672326695927</v>
      </c>
      <c r="I554" s="461">
        <f t="shared" ref="I554" si="371">IF(ISERR(AVERAGE(SUM(G555,H555,I555)/SUM(G556,H556,I556))),"",AVERAGE(SUM(G555,H555,I555)/SUM(G556,H556,I556)))</f>
        <v>1.2501138655914967</v>
      </c>
      <c r="J554" s="461">
        <f t="shared" ref="J554" si="372">IF(ISERR(AVERAGE(SUM(H555,I555,J555)/SUM(H556,I556,J556))),"",AVERAGE(SUM(H555,I555,J555)/SUM(H556,I556,J556)))</f>
        <v>1.0348765279617809</v>
      </c>
      <c r="K554" s="461">
        <f t="shared" ref="K554" si="373">IF(ISERR(AVERAGE(SUM(I555,J555,K555)/SUM(I556,J556,K556))),"",AVERAGE(SUM(I555,J555,K555)/SUM(I556,J556,K556)))</f>
        <v>1.0051266199834599</v>
      </c>
      <c r="L554" s="461">
        <f t="shared" ref="L554" si="374">IF(ISERR(AVERAGE(SUM(J555,K555,L555)/SUM(J556,K556,L556))),"",AVERAGE(SUM(J555,K555,L555)/SUM(J556,K556,L556)))</f>
        <v>1.0167827185702296</v>
      </c>
      <c r="M554" s="461">
        <f t="shared" ref="M554" si="375">IF(ISERR(AVERAGE(SUM(K555,L555,M555)/SUM(K556,L556,M556))),"",AVERAGE(SUM(K555,L555,M555)/SUM(K556,L556,M556)))</f>
        <v>1.0157722325305814</v>
      </c>
      <c r="N554" s="461">
        <f t="shared" ref="N554" si="376">IF(ISERR(AVERAGE(SUM(L555,M555,N555)/SUM(L556,M556,N556))),"",AVERAGE(SUM(L555,M555,N555)/SUM(L556,M556,N556)))</f>
        <v>1.0214461571315983</v>
      </c>
      <c r="O554" s="461">
        <f t="shared" ref="O554" si="377">IF(ISERR(AVERAGE(SUM(M555,N555,O555)/SUM(M556,N556,O556))),"",AVERAGE(SUM(M555,N555,O555)/SUM(M556,N556,O556)))</f>
        <v>1.0075238149263706</v>
      </c>
      <c r="P554" s="433"/>
      <c r="Q554" s="433"/>
      <c r="R554" s="433"/>
      <c r="S554" s="433"/>
      <c r="T554" s="433"/>
      <c r="U554" s="433"/>
      <c r="V554" s="433"/>
      <c r="W554" s="433"/>
      <c r="X554" s="433"/>
      <c r="Y554" s="433"/>
      <c r="Z554" s="433"/>
      <c r="AA554" s="433"/>
      <c r="AB554" s="433"/>
      <c r="AC554" s="433"/>
    </row>
    <row r="555" spans="2:29" s="433" customFormat="1" ht="15" x14ac:dyDescent="0.25">
      <c r="B555" s="449" t="s">
        <v>900</v>
      </c>
      <c r="C555" s="437">
        <f>C428</f>
        <v>0</v>
      </c>
      <c r="D555" s="437">
        <f>D428</f>
        <v>0</v>
      </c>
      <c r="E555" s="437">
        <f t="shared" ref="E555:F555" si="378">E428</f>
        <v>6862</v>
      </c>
      <c r="F555" s="437">
        <f t="shared" si="378"/>
        <v>6093.326</v>
      </c>
      <c r="G555" s="437">
        <f>G428</f>
        <v>10469.0535</v>
      </c>
      <c r="H555" s="437">
        <f t="shared" ref="H555:O555" si="379">H428</f>
        <v>7109.5190000000002</v>
      </c>
      <c r="I555" s="437">
        <f t="shared" si="379"/>
        <v>7132.6670000000004</v>
      </c>
      <c r="J555" s="437">
        <f t="shared" si="379"/>
        <v>7221.0257000000001</v>
      </c>
      <c r="K555" s="437">
        <f t="shared" si="379"/>
        <v>7369.9183674999995</v>
      </c>
      <c r="L555" s="437">
        <f t="shared" si="379"/>
        <v>7933.9763516875</v>
      </c>
      <c r="M555" s="437">
        <f t="shared" si="379"/>
        <v>7761.2036454796871</v>
      </c>
      <c r="N555" s="437">
        <f t="shared" si="379"/>
        <v>8078.604338816679</v>
      </c>
      <c r="O555" s="437">
        <f t="shared" si="379"/>
        <v>8196.1826210310974</v>
      </c>
    </row>
    <row r="556" spans="2:29" s="433" customFormat="1" ht="15.75" thickBot="1" x14ac:dyDescent="0.3">
      <c r="B556" s="451" t="s">
        <v>901</v>
      </c>
      <c r="C556" s="437">
        <f t="shared" ref="C556:O556" si="380">C447</f>
        <v>0</v>
      </c>
      <c r="D556" s="437">
        <f t="shared" si="380"/>
        <v>5616</v>
      </c>
      <c r="E556" s="437">
        <f t="shared" si="380"/>
        <v>6905.496000000001</v>
      </c>
      <c r="F556" s="437">
        <f t="shared" si="380"/>
        <v>6136.0370000000003</v>
      </c>
      <c r="G556" s="437">
        <f t="shared" si="380"/>
        <v>6230.1202999999996</v>
      </c>
      <c r="H556" s="437">
        <f t="shared" si="380"/>
        <v>6509.9427075000003</v>
      </c>
      <c r="I556" s="437">
        <f t="shared" si="380"/>
        <v>7027.1279501874997</v>
      </c>
      <c r="J556" s="437">
        <f t="shared" si="380"/>
        <v>7202.8061489421862</v>
      </c>
      <c r="K556" s="437">
        <f t="shared" si="380"/>
        <v>7382.8763026657416</v>
      </c>
      <c r="L556" s="437">
        <f t="shared" si="380"/>
        <v>7567.4482102323836</v>
      </c>
      <c r="M556" s="437">
        <f t="shared" si="380"/>
        <v>7756.6344154881936</v>
      </c>
      <c r="N556" s="437">
        <f t="shared" si="380"/>
        <v>7950.5502758753973</v>
      </c>
      <c r="O556" s="437">
        <f t="shared" si="380"/>
        <v>8149.3140327722822</v>
      </c>
    </row>
    <row r="557" spans="2:29" s="433" customFormat="1" ht="15" x14ac:dyDescent="0.25">
      <c r="B557" s="446" t="s">
        <v>902</v>
      </c>
      <c r="C557" s="462" t="e">
        <f>C496/C495</f>
        <v>#DIV/0!</v>
      </c>
      <c r="D557" s="462">
        <f>D496/D495</f>
        <v>0.82606451612903231</v>
      </c>
      <c r="E557" s="462">
        <f t="shared" ref="E557:O557" si="381">E496/E495</f>
        <v>1</v>
      </c>
      <c r="F557" s="462">
        <f t="shared" si="381"/>
        <v>1</v>
      </c>
      <c r="G557" s="462">
        <f t="shared" si="381"/>
        <v>1</v>
      </c>
      <c r="H557" s="462">
        <f t="shared" si="381"/>
        <v>1</v>
      </c>
      <c r="I557" s="462">
        <f t="shared" si="381"/>
        <v>1</v>
      </c>
      <c r="J557" s="462">
        <f t="shared" si="381"/>
        <v>1</v>
      </c>
      <c r="K557" s="462">
        <f t="shared" si="381"/>
        <v>1</v>
      </c>
      <c r="L557" s="462">
        <f t="shared" si="381"/>
        <v>1</v>
      </c>
      <c r="M557" s="462">
        <f t="shared" si="381"/>
        <v>1</v>
      </c>
      <c r="N557" s="462">
        <f t="shared" si="381"/>
        <v>1</v>
      </c>
      <c r="O557" s="462">
        <f t="shared" si="381"/>
        <v>1</v>
      </c>
      <c r="P557" s="424"/>
      <c r="Q557" s="424"/>
      <c r="R557" s="424"/>
      <c r="S557" s="424"/>
      <c r="T557" s="424"/>
      <c r="U557" s="424"/>
      <c r="V557" s="424"/>
      <c r="W557" s="424"/>
      <c r="X557" s="424"/>
      <c r="Y557" s="424"/>
      <c r="Z557" s="424"/>
      <c r="AA557" s="424"/>
      <c r="AB557" s="424"/>
      <c r="AC557" s="424"/>
    </row>
    <row r="558" spans="2:29" s="433" customFormat="1" ht="15.75" thickBot="1" x14ac:dyDescent="0.3">
      <c r="B558" s="463" t="s">
        <v>903</v>
      </c>
      <c r="C558" s="464" t="e">
        <f>C494/C498</f>
        <v>#DIV/0!</v>
      </c>
      <c r="D558" s="464">
        <f>D494/D498</f>
        <v>2.0921636390210323E-2</v>
      </c>
      <c r="E558" s="464">
        <f t="shared" ref="E558:O558" si="382">E494/E498</f>
        <v>2.1202333570640202E-2</v>
      </c>
      <c r="F558" s="464">
        <f t="shared" si="382"/>
        <v>2.1308459510721522E-2</v>
      </c>
      <c r="G558" s="464">
        <f t="shared" si="382"/>
        <v>2.1412691594808034E-2</v>
      </c>
      <c r="H558" s="464">
        <f t="shared" si="382"/>
        <v>1.1170667618858909E-2</v>
      </c>
      <c r="I558" s="464">
        <f t="shared" si="382"/>
        <v>9.7385412168629407E-3</v>
      </c>
      <c r="J558" s="464">
        <f t="shared" si="382"/>
        <v>9.4868742052211137E-3</v>
      </c>
      <c r="K558" s="464">
        <f t="shared" si="382"/>
        <v>9.4434408038928212E-3</v>
      </c>
      <c r="L558" s="464">
        <f t="shared" si="382"/>
        <v>9.4743307091066081E-3</v>
      </c>
      <c r="M558" s="464">
        <f t="shared" si="382"/>
        <v>8.6013078119878215E-3</v>
      </c>
      <c r="N558" s="464">
        <f t="shared" si="382"/>
        <v>8.5904340231987182E-3</v>
      </c>
      <c r="O558" s="464">
        <f t="shared" si="382"/>
        <v>8.2857881105872933E-3</v>
      </c>
      <c r="P558" s="424"/>
      <c r="Q558" s="424"/>
      <c r="R558" s="424"/>
      <c r="S558" s="424"/>
      <c r="T558" s="424"/>
      <c r="U558" s="424"/>
      <c r="V558" s="424"/>
      <c r="W558" s="424"/>
      <c r="X558" s="424"/>
      <c r="Y558" s="424"/>
      <c r="Z558" s="424"/>
      <c r="AA558" s="424"/>
      <c r="AB558" s="424"/>
      <c r="AC558" s="424"/>
    </row>
    <row r="559" spans="2:29" ht="17.25" customHeight="1" x14ac:dyDescent="0.4">
      <c r="B559" s="535"/>
      <c r="C559" s="535"/>
      <c r="D559" s="535"/>
      <c r="E559" s="535"/>
      <c r="F559" s="535"/>
      <c r="G559" s="535"/>
      <c r="H559" s="535"/>
      <c r="I559" s="535"/>
      <c r="J559" s="535"/>
      <c r="K559" s="535"/>
      <c r="L559" s="535"/>
      <c r="M559" s="535"/>
      <c r="N559" s="535"/>
      <c r="O559" s="535"/>
    </row>
    <row r="560" spans="2:29" ht="15" thickBot="1" x14ac:dyDescent="0.25"/>
    <row r="561" spans="2:15" ht="15.75" thickBot="1" x14ac:dyDescent="0.3">
      <c r="B561" s="536"/>
      <c r="C561" s="537">
        <f>C324</f>
        <v>2015</v>
      </c>
      <c r="D561" s="537">
        <f t="shared" ref="D561" si="383">C561+1</f>
        <v>2016</v>
      </c>
      <c r="E561" s="537">
        <f t="shared" ref="E561" si="384">D561+1</f>
        <v>2017</v>
      </c>
      <c r="F561" s="537">
        <f t="shared" ref="F561" si="385">E561+1</f>
        <v>2018</v>
      </c>
      <c r="G561" s="537">
        <f t="shared" ref="G561" si="386">F561+1</f>
        <v>2019</v>
      </c>
      <c r="H561" s="537">
        <f t="shared" ref="H561" si="387">G561+1</f>
        <v>2020</v>
      </c>
      <c r="I561" s="537">
        <f t="shared" ref="I561" si="388">H561+1</f>
        <v>2021</v>
      </c>
      <c r="J561" s="537">
        <f t="shared" ref="J561" si="389">I561+1</f>
        <v>2022</v>
      </c>
      <c r="K561" s="537">
        <f t="shared" ref="K561" si="390">J561+1</f>
        <v>2023</v>
      </c>
      <c r="L561" s="537">
        <f t="shared" ref="L561" si="391">K561+1</f>
        <v>2024</v>
      </c>
      <c r="M561" s="537">
        <f t="shared" ref="M561" si="392">L561+1</f>
        <v>2025</v>
      </c>
      <c r="N561" s="537">
        <f t="shared" ref="N561" si="393">M561+1</f>
        <v>2026</v>
      </c>
      <c r="O561" s="537">
        <f t="shared" ref="O561" si="394">N561+1</f>
        <v>2027</v>
      </c>
    </row>
    <row r="562" spans="2:15" ht="15" x14ac:dyDescent="0.25">
      <c r="B562" s="455"/>
      <c r="C562" s="476"/>
      <c r="D562" s="476"/>
      <c r="E562" s="476"/>
      <c r="F562" s="476"/>
      <c r="G562" s="476"/>
      <c r="H562" s="476"/>
      <c r="I562" s="476"/>
      <c r="J562" s="476"/>
      <c r="K562" s="476"/>
      <c r="L562" s="476"/>
      <c r="M562" s="476"/>
      <c r="N562" s="476"/>
      <c r="O562" s="476"/>
    </row>
    <row r="563" spans="2:15" ht="15" x14ac:dyDescent="0.25">
      <c r="B563" s="455"/>
      <c r="C563" s="476"/>
      <c r="D563" s="476"/>
      <c r="E563" s="476"/>
      <c r="F563" s="476"/>
      <c r="G563" s="476"/>
      <c r="H563" s="476"/>
      <c r="I563" s="476"/>
      <c r="J563" s="476"/>
      <c r="K563" s="476"/>
      <c r="L563" s="476"/>
      <c r="M563" s="476"/>
      <c r="N563" s="476"/>
      <c r="O563" s="476"/>
    </row>
    <row r="564" spans="2:15" ht="15" x14ac:dyDescent="0.25">
      <c r="B564" s="455"/>
      <c r="C564" s="476"/>
      <c r="D564" s="476"/>
      <c r="E564" s="476"/>
      <c r="F564" s="476"/>
      <c r="G564" s="476"/>
      <c r="H564" s="476"/>
      <c r="I564" s="476"/>
      <c r="J564" s="476"/>
      <c r="K564" s="476"/>
      <c r="L564" s="476"/>
      <c r="M564" s="476"/>
      <c r="N564" s="476"/>
      <c r="O564" s="476"/>
    </row>
    <row r="565" spans="2:15" ht="15" x14ac:dyDescent="0.25">
      <c r="B565" s="455"/>
      <c r="C565" s="476"/>
      <c r="D565" s="476"/>
      <c r="E565" s="476"/>
      <c r="F565" s="476"/>
      <c r="G565" s="476"/>
      <c r="H565" s="476"/>
      <c r="I565" s="476"/>
      <c r="J565" s="476"/>
      <c r="K565" s="476"/>
      <c r="L565" s="476"/>
      <c r="M565" s="476"/>
      <c r="N565" s="476"/>
      <c r="O565" s="476"/>
    </row>
    <row r="566" spans="2:15" ht="20.25" x14ac:dyDescent="0.3">
      <c r="B566" s="538" t="s">
        <v>998</v>
      </c>
      <c r="C566" s="476"/>
      <c r="D566" s="476"/>
      <c r="E566" s="476"/>
      <c r="F566" s="476"/>
      <c r="G566" s="476"/>
      <c r="H566" s="476"/>
      <c r="I566" s="476"/>
      <c r="J566" s="476"/>
      <c r="K566" s="476"/>
      <c r="L566" s="476"/>
      <c r="M566" s="476"/>
      <c r="N566" s="476"/>
      <c r="O566" s="476"/>
    </row>
    <row r="567" spans="2:15" ht="26.25" x14ac:dyDescent="0.25">
      <c r="B567" s="539" t="s">
        <v>999</v>
      </c>
      <c r="C567" s="540" t="str">
        <f t="shared" ref="C567:O567" si="395">C527</f>
        <v/>
      </c>
      <c r="D567" s="540" t="str">
        <f t="shared" si="395"/>
        <v/>
      </c>
      <c r="E567" s="540" t="str">
        <f t="shared" si="395"/>
        <v/>
      </c>
      <c r="F567" s="540">
        <f t="shared" si="395"/>
        <v>-9.8612138065034757E-3</v>
      </c>
      <c r="G567" s="540">
        <f t="shared" si="395"/>
        <v>1.7936962171444724E-2</v>
      </c>
      <c r="H567" s="540">
        <f t="shared" si="395"/>
        <v>2.6791067883172526E-2</v>
      </c>
      <c r="I567" s="540">
        <f t="shared" si="395"/>
        <v>1.9830041171664797E-2</v>
      </c>
      <c r="J567" s="540">
        <f t="shared" si="395"/>
        <v>1.0705858461186137E-2</v>
      </c>
      <c r="K567" s="540">
        <f t="shared" si="395"/>
        <v>2.5739496963453471E-3</v>
      </c>
      <c r="L567" s="540">
        <f t="shared" si="395"/>
        <v>2.5755805793724654E-3</v>
      </c>
      <c r="M567" s="540">
        <f t="shared" si="395"/>
        <v>3.5630547894766888E-3</v>
      </c>
      <c r="N567" s="540">
        <f t="shared" si="395"/>
        <v>4.1828433354658993E-3</v>
      </c>
      <c r="O567" s="540">
        <f t="shared" si="395"/>
        <v>4.6943580079982523E-3</v>
      </c>
    </row>
    <row r="568" spans="2:15" ht="26.25" x14ac:dyDescent="0.25">
      <c r="B568" s="539" t="s">
        <v>1000</v>
      </c>
      <c r="C568" s="541" t="str">
        <f t="shared" ref="C568:O568" si="396">C531</f>
        <v/>
      </c>
      <c r="D568" s="541" t="str">
        <f t="shared" si="396"/>
        <v/>
      </c>
      <c r="E568" s="541" t="str">
        <f t="shared" si="396"/>
        <v/>
      </c>
      <c r="F568" s="541">
        <f t="shared" si="396"/>
        <v>0.74194957075729773</v>
      </c>
      <c r="G568" s="541">
        <f t="shared" si="396"/>
        <v>0.78433164449614579</v>
      </c>
      <c r="H568" s="541">
        <f t="shared" si="396"/>
        <v>0.76856204594820132</v>
      </c>
      <c r="I568" s="541">
        <f t="shared" si="396"/>
        <v>0.77263950588741637</v>
      </c>
      <c r="J568" s="541">
        <f t="shared" si="396"/>
        <v>0.77566907098045301</v>
      </c>
      <c r="K568" s="541">
        <f t="shared" si="396"/>
        <v>0.79555284973703599</v>
      </c>
      <c r="L568" s="541">
        <f t="shared" si="396"/>
        <v>0.79519394674580646</v>
      </c>
      <c r="M568" s="541">
        <f t="shared" si="396"/>
        <v>0.79503209188009294</v>
      </c>
      <c r="N568" s="541">
        <f t="shared" si="396"/>
        <v>0.79481248518802872</v>
      </c>
      <c r="O568" s="541">
        <f t="shared" si="396"/>
        <v>0.79458373090887635</v>
      </c>
    </row>
    <row r="569" spans="2:15" ht="26.25" x14ac:dyDescent="0.25">
      <c r="B569" s="539" t="s">
        <v>1001</v>
      </c>
      <c r="C569" s="541" t="str">
        <f>C554</f>
        <v/>
      </c>
      <c r="D569" s="541" t="str">
        <f>D554</f>
        <v/>
      </c>
      <c r="E569" s="541" t="str">
        <f>E554</f>
        <v/>
      </c>
      <c r="F569" s="541">
        <f t="shared" ref="F569:G569" si="397">F554</f>
        <v>0.69437508163592687</v>
      </c>
      <c r="G569" s="541">
        <f t="shared" si="397"/>
        <v>1.2154836502792421</v>
      </c>
      <c r="H569" s="541">
        <f>H554</f>
        <v>1.2540672326695927</v>
      </c>
      <c r="I569" s="541">
        <f t="shared" ref="I569:O569" si="398">I554</f>
        <v>1.2501138655914967</v>
      </c>
      <c r="J569" s="541">
        <f t="shared" si="398"/>
        <v>1.0348765279617809</v>
      </c>
      <c r="K569" s="541">
        <f t="shared" si="398"/>
        <v>1.0051266199834599</v>
      </c>
      <c r="L569" s="541">
        <f t="shared" si="398"/>
        <v>1.0167827185702296</v>
      </c>
      <c r="M569" s="541">
        <f t="shared" si="398"/>
        <v>1.0157722325305814</v>
      </c>
      <c r="N569" s="541">
        <f t="shared" si="398"/>
        <v>1.0214461571315983</v>
      </c>
      <c r="O569" s="541">
        <f t="shared" si="398"/>
        <v>1.0075238149263706</v>
      </c>
    </row>
    <row r="570" spans="2:15" ht="15" x14ac:dyDescent="0.25">
      <c r="B570" s="539" t="s">
        <v>1002</v>
      </c>
      <c r="C570" s="540" t="e">
        <f t="shared" ref="C570:O570" si="399">C558</f>
        <v>#DIV/0!</v>
      </c>
      <c r="D570" s="540">
        <f t="shared" si="399"/>
        <v>2.0921636390210323E-2</v>
      </c>
      <c r="E570" s="540">
        <f t="shared" si="399"/>
        <v>2.1202333570640202E-2</v>
      </c>
      <c r="F570" s="540">
        <f t="shared" si="399"/>
        <v>2.1308459510721522E-2</v>
      </c>
      <c r="G570" s="540">
        <f t="shared" si="399"/>
        <v>2.1412691594808034E-2</v>
      </c>
      <c r="H570" s="540">
        <f t="shared" si="399"/>
        <v>1.1170667618858909E-2</v>
      </c>
      <c r="I570" s="540">
        <f t="shared" si="399"/>
        <v>9.7385412168629407E-3</v>
      </c>
      <c r="J570" s="540">
        <f t="shared" si="399"/>
        <v>9.4868742052211137E-3</v>
      </c>
      <c r="K570" s="540">
        <f t="shared" si="399"/>
        <v>9.4434408038928212E-3</v>
      </c>
      <c r="L570" s="540">
        <f t="shared" si="399"/>
        <v>9.4743307091066081E-3</v>
      </c>
      <c r="M570" s="540">
        <f t="shared" si="399"/>
        <v>8.6013078119878215E-3</v>
      </c>
      <c r="N570" s="540">
        <f t="shared" si="399"/>
        <v>8.5904340231987182E-3</v>
      </c>
      <c r="O570" s="540">
        <f t="shared" si="399"/>
        <v>8.2857881105872933E-3</v>
      </c>
    </row>
    <row r="571" spans="2:15" ht="26.25" x14ac:dyDescent="0.25">
      <c r="B571" s="539" t="s">
        <v>1003</v>
      </c>
      <c r="C571" s="542"/>
      <c r="D571" s="542"/>
      <c r="E571" s="542"/>
      <c r="F571" s="542">
        <f t="shared" ref="F571" si="400">AVERAGE(D557:F557)</f>
        <v>0.94202150537634421</v>
      </c>
      <c r="G571" s="542">
        <f t="shared" ref="G571" si="401">AVERAGE(E557:G557)</f>
        <v>1</v>
      </c>
      <c r="H571" s="542">
        <f t="shared" ref="H571" si="402">AVERAGE(F557:H557)</f>
        <v>1</v>
      </c>
      <c r="I571" s="542">
        <f t="shared" ref="I571" si="403">AVERAGE(G557:I557)</f>
        <v>1</v>
      </c>
      <c r="J571" s="542">
        <f t="shared" ref="J571" si="404">AVERAGE(H557:J557)</f>
        <v>1</v>
      </c>
      <c r="K571" s="542">
        <f t="shared" ref="K571" si="405">AVERAGE(I557:K557)</f>
        <v>1</v>
      </c>
      <c r="L571" s="542">
        <f>AVERAGE(J557:L557)</f>
        <v>1</v>
      </c>
      <c r="M571" s="542">
        <f t="shared" ref="M571" si="406">AVERAGE(K557:M557)</f>
        <v>1</v>
      </c>
      <c r="N571" s="542">
        <f t="shared" ref="N571" si="407">AVERAGE(L557:N557)</f>
        <v>1</v>
      </c>
      <c r="O571" s="542">
        <f t="shared" ref="O571" si="408">AVERAGE(M557:O557)</f>
        <v>1</v>
      </c>
    </row>
    <row r="572" spans="2:15" ht="26.25" collapsed="1" x14ac:dyDescent="0.25">
      <c r="B572" s="539" t="s">
        <v>1004</v>
      </c>
      <c r="C572" s="541" t="str">
        <f t="shared" ref="C572:O572" si="409">C535</f>
        <v/>
      </c>
      <c r="D572" s="541" t="str">
        <f t="shared" si="409"/>
        <v/>
      </c>
      <c r="E572" s="541" t="str">
        <f t="shared" si="409"/>
        <v/>
      </c>
      <c r="F572" s="541">
        <f t="shared" si="409"/>
        <v>3.4026923170480255E-2</v>
      </c>
      <c r="G572" s="541">
        <f t="shared" si="409"/>
        <v>3.8091421562304786E-2</v>
      </c>
      <c r="H572" s="541">
        <f t="shared" si="409"/>
        <v>4.0241036563498832E-2</v>
      </c>
      <c r="I572" s="541">
        <f t="shared" si="409"/>
        <v>4.5554539906166591E-2</v>
      </c>
      <c r="J572" s="541">
        <f t="shared" si="409"/>
        <v>5.0310061054161033E-2</v>
      </c>
      <c r="K572" s="541">
        <f t="shared" si="409"/>
        <v>5.1658733572945162E-2</v>
      </c>
      <c r="L572" s="541">
        <f t="shared" si="409"/>
        <v>4.9655034573440164E-2</v>
      </c>
      <c r="M572" s="541">
        <f t="shared" si="409"/>
        <v>4.7646032614275413E-2</v>
      </c>
      <c r="N572" s="541">
        <f t="shared" si="409"/>
        <v>4.5698984880199509E-2</v>
      </c>
      <c r="O572" s="541">
        <f t="shared" si="409"/>
        <v>4.3799721327056187E-2</v>
      </c>
    </row>
    <row r="573" spans="2:15" ht="14.25" x14ac:dyDescent="0.2">
      <c r="B573" s="539"/>
      <c r="C573" s="476"/>
      <c r="D573" s="476"/>
      <c r="E573" s="476"/>
      <c r="F573" s="476"/>
      <c r="G573" s="476"/>
      <c r="H573" s="476"/>
      <c r="I573" s="476"/>
      <c r="J573" s="476"/>
      <c r="K573" s="476"/>
      <c r="L573" s="476"/>
      <c r="M573" s="476"/>
      <c r="N573" s="476"/>
      <c r="O573" s="476"/>
    </row>
    <row r="574" spans="2:15" ht="26.25" x14ac:dyDescent="0.25">
      <c r="B574" s="539" t="s">
        <v>1005</v>
      </c>
      <c r="C574" s="543">
        <f t="shared" ref="C574:O574" si="410">C552/C424*1000</f>
        <v>0</v>
      </c>
      <c r="D574" s="543">
        <f t="shared" si="410"/>
        <v>1948.3505592524425</v>
      </c>
      <c r="E574" s="543">
        <f t="shared" si="410"/>
        <v>2093.0326906360388</v>
      </c>
      <c r="F574" s="543">
        <f t="shared" si="410"/>
        <v>2032.6667745911852</v>
      </c>
      <c r="G574" s="543">
        <f t="shared" si="410"/>
        <v>2006.9281086090677</v>
      </c>
      <c r="H574" s="543">
        <f t="shared" si="410"/>
        <v>2028.9586911233114</v>
      </c>
      <c r="I574" s="543">
        <f t="shared" si="410"/>
        <v>2092.9887724471214</v>
      </c>
      <c r="J574" s="543">
        <f t="shared" si="410"/>
        <v>2068.7845016372289</v>
      </c>
      <c r="K574" s="543">
        <f t="shared" si="410"/>
        <v>2044.998415029022</v>
      </c>
      <c r="L574" s="543">
        <f t="shared" si="410"/>
        <v>2021.620772420388</v>
      </c>
      <c r="M574" s="543">
        <f t="shared" si="410"/>
        <v>1998.6421057549014</v>
      </c>
      <c r="N574" s="543">
        <f t="shared" si="410"/>
        <v>1978.6506498615445</v>
      </c>
      <c r="O574" s="543">
        <f t="shared" si="410"/>
        <v>1956.4133865185797</v>
      </c>
    </row>
    <row r="575" spans="2:15" ht="15.75" thickBot="1" x14ac:dyDescent="0.3">
      <c r="B575" s="457"/>
      <c r="C575" s="544"/>
      <c r="D575" s="544"/>
      <c r="E575" s="544"/>
      <c r="F575" s="544"/>
      <c r="G575" s="544"/>
      <c r="H575" s="544"/>
      <c r="I575" s="544"/>
      <c r="J575" s="544"/>
      <c r="K575" s="544"/>
      <c r="L575" s="544"/>
      <c r="M575" s="544"/>
      <c r="N575" s="544"/>
      <c r="O575" s="544"/>
    </row>
    <row r="577" spans="3:15" ht="14.25" x14ac:dyDescent="0.2">
      <c r="C577" s="545">
        <v>1</v>
      </c>
      <c r="D577" s="545">
        <v>1</v>
      </c>
      <c r="E577" s="545">
        <v>1</v>
      </c>
      <c r="F577" s="545">
        <v>1</v>
      </c>
      <c r="G577" s="545">
        <v>1</v>
      </c>
      <c r="H577" s="545">
        <v>1</v>
      </c>
      <c r="I577" s="545">
        <v>1</v>
      </c>
      <c r="J577" s="545">
        <v>1</v>
      </c>
      <c r="K577" s="545">
        <v>1</v>
      </c>
      <c r="L577" s="545">
        <v>1</v>
      </c>
      <c r="M577" s="545">
        <v>1</v>
      </c>
      <c r="N577" s="545">
        <v>1</v>
      </c>
      <c r="O577" s="545">
        <v>1</v>
      </c>
    </row>
    <row r="578" spans="3:15" ht="14.25" x14ac:dyDescent="0.2">
      <c r="C578" s="545">
        <v>0.6</v>
      </c>
      <c r="D578" s="545">
        <v>0.6</v>
      </c>
      <c r="E578" s="545">
        <v>0.6</v>
      </c>
      <c r="F578" s="545">
        <v>0.6</v>
      </c>
      <c r="G578" s="545">
        <v>0.6</v>
      </c>
      <c r="H578" s="545">
        <v>0.6</v>
      </c>
      <c r="I578" s="545">
        <v>0.6</v>
      </c>
      <c r="J578" s="545">
        <v>0.6</v>
      </c>
      <c r="K578" s="545">
        <v>0.6</v>
      </c>
      <c r="L578" s="545">
        <v>0.6</v>
      </c>
      <c r="M578" s="545">
        <v>0.6</v>
      </c>
      <c r="N578" s="545">
        <v>0.6</v>
      </c>
      <c r="O578" s="545">
        <v>0.6</v>
      </c>
    </row>
    <row r="579" spans="3:15" ht="14.25" x14ac:dyDescent="0.2">
      <c r="C579" s="545">
        <v>0</v>
      </c>
      <c r="D579" s="545">
        <v>0</v>
      </c>
      <c r="E579" s="545">
        <v>0</v>
      </c>
      <c r="F579" s="545">
        <v>0</v>
      </c>
      <c r="G579" s="545">
        <v>0</v>
      </c>
      <c r="H579" s="545">
        <v>0</v>
      </c>
      <c r="I579" s="545">
        <v>0</v>
      </c>
      <c r="J579" s="545">
        <v>0</v>
      </c>
      <c r="K579" s="545">
        <v>0</v>
      </c>
      <c r="L579" s="545">
        <v>0</v>
      </c>
      <c r="M579" s="545">
        <v>0</v>
      </c>
      <c r="N579" s="545">
        <v>0</v>
      </c>
      <c r="O579" s="545">
        <v>0</v>
      </c>
    </row>
    <row r="580" spans="3:15" ht="14.25" x14ac:dyDescent="0.2">
      <c r="C580" s="546">
        <v>0.2</v>
      </c>
      <c r="D580" s="546">
        <v>0.2</v>
      </c>
      <c r="E580" s="546">
        <v>0.2</v>
      </c>
      <c r="F580" s="546">
        <v>0.2</v>
      </c>
      <c r="G580" s="546">
        <v>0.2</v>
      </c>
      <c r="H580" s="546">
        <v>0.2</v>
      </c>
      <c r="I580" s="546">
        <v>0.2</v>
      </c>
      <c r="J580" s="546">
        <v>0.2</v>
      </c>
      <c r="K580" s="546">
        <v>0.2</v>
      </c>
      <c r="L580" s="546">
        <v>0.2</v>
      </c>
      <c r="M580" s="546">
        <v>0.2</v>
      </c>
      <c r="N580" s="546">
        <v>0.2</v>
      </c>
      <c r="O580" s="546">
        <v>0.2</v>
      </c>
    </row>
    <row r="581" spans="3:15" ht="14.25" x14ac:dyDescent="0.2">
      <c r="C581" s="545">
        <v>0.02</v>
      </c>
      <c r="D581" s="545">
        <v>0.02</v>
      </c>
      <c r="E581" s="545">
        <v>0.02</v>
      </c>
      <c r="F581" s="545">
        <v>0.02</v>
      </c>
      <c r="G581" s="545">
        <v>0.02</v>
      </c>
      <c r="H581" s="545">
        <v>0.02</v>
      </c>
      <c r="I581" s="545">
        <v>0.02</v>
      </c>
      <c r="J581" s="545">
        <v>0.02</v>
      </c>
      <c r="K581" s="545">
        <v>0.02</v>
      </c>
      <c r="L581" s="545">
        <v>0.02</v>
      </c>
      <c r="M581" s="545">
        <v>0.02</v>
      </c>
      <c r="N581" s="545">
        <v>0.02</v>
      </c>
      <c r="O581" s="545">
        <v>0.02</v>
      </c>
    </row>
    <row r="639" spans="2:15" ht="14.4" thickBot="1" x14ac:dyDescent="0.3"/>
    <row r="640" spans="2:15" x14ac:dyDescent="0.25">
      <c r="B640" s="467" t="s">
        <v>1044</v>
      </c>
      <c r="C640" s="468"/>
      <c r="D640" s="468"/>
      <c r="E640" s="468"/>
      <c r="F640" s="468"/>
      <c r="G640" s="468"/>
      <c r="H640" s="468"/>
      <c r="I640" s="468"/>
      <c r="J640" s="468"/>
      <c r="K640" s="468"/>
      <c r="L640" s="468"/>
      <c r="M640" s="468"/>
      <c r="N640" s="468"/>
      <c r="O640" s="468"/>
    </row>
    <row r="641" spans="2:48" ht="17.399999999999999" x14ac:dyDescent="0.3">
      <c r="B641" s="469" t="s">
        <v>913</v>
      </c>
      <c r="C641" s="471"/>
      <c r="D641" s="471"/>
      <c r="E641" s="471"/>
      <c r="F641" s="471"/>
      <c r="G641" s="471"/>
      <c r="H641" s="471"/>
      <c r="I641" s="471"/>
      <c r="J641" s="471"/>
      <c r="K641" s="471"/>
      <c r="L641" s="471">
        <v>1676270.4676194983</v>
      </c>
      <c r="M641" s="471"/>
      <c r="N641" s="471"/>
      <c r="O641" s="471"/>
    </row>
    <row r="642" spans="2:48" ht="15.6" x14ac:dyDescent="0.3">
      <c r="B642" s="903" t="s">
        <v>1079</v>
      </c>
      <c r="C642" s="897"/>
      <c r="D642" s="897"/>
      <c r="E642" s="897"/>
      <c r="F642" s="897"/>
      <c r="G642" s="897"/>
      <c r="H642" s="898"/>
      <c r="I642" s="442"/>
      <c r="J642" s="442"/>
      <c r="K642" s="442"/>
      <c r="L642" s="442"/>
      <c r="M642" s="442"/>
      <c r="N642" s="442"/>
      <c r="O642" s="442"/>
    </row>
    <row r="643" spans="2:48" ht="23.4" thickBot="1" x14ac:dyDescent="0.45">
      <c r="B643" s="929" t="s">
        <v>1291</v>
      </c>
      <c r="C643" s="442"/>
      <c r="D643" s="442"/>
      <c r="E643" s="442"/>
      <c r="F643" s="442"/>
      <c r="G643" s="442"/>
      <c r="H643" s="442"/>
      <c r="I643" s="442"/>
      <c r="J643" s="442"/>
      <c r="K643" s="442"/>
      <c r="L643" s="442"/>
      <c r="M643" s="442"/>
      <c r="N643" s="442"/>
      <c r="O643" s="442"/>
    </row>
    <row r="644" spans="2:48" x14ac:dyDescent="0.25">
      <c r="B644" s="473" t="s">
        <v>1115</v>
      </c>
      <c r="C644" s="474">
        <v>2015</v>
      </c>
      <c r="D644" s="474">
        <v>2016</v>
      </c>
      <c r="E644" s="474">
        <f t="shared" ref="E644" si="411">D644+1</f>
        <v>2017</v>
      </c>
      <c r="F644" s="474">
        <f t="shared" ref="F644" si="412">E644+1</f>
        <v>2018</v>
      </c>
      <c r="G644" s="474">
        <f t="shared" ref="G644" si="413">F644+1</f>
        <v>2019</v>
      </c>
      <c r="H644" s="474">
        <f t="shared" ref="H644" si="414">G644+1</f>
        <v>2020</v>
      </c>
      <c r="I644" s="474">
        <f t="shared" ref="I644" si="415">H644+1</f>
        <v>2021</v>
      </c>
      <c r="J644" s="474">
        <f t="shared" ref="J644" si="416">I644+1</f>
        <v>2022</v>
      </c>
      <c r="K644" s="474">
        <f t="shared" ref="K644" si="417">J644+1</f>
        <v>2023</v>
      </c>
      <c r="L644" s="474">
        <f t="shared" ref="L644" si="418">K644+1</f>
        <v>2024</v>
      </c>
      <c r="M644" s="474">
        <f>L644+1</f>
        <v>2025</v>
      </c>
      <c r="N644" s="474">
        <f>M644+1</f>
        <v>2026</v>
      </c>
      <c r="O644" s="474">
        <f>N644+1</f>
        <v>2027</v>
      </c>
    </row>
    <row r="645" spans="2:48" ht="14.4" thickBot="1" x14ac:dyDescent="0.3">
      <c r="B645" s="457"/>
      <c r="C645" s="475" t="s">
        <v>875</v>
      </c>
      <c r="D645" s="475" t="s">
        <v>875</v>
      </c>
      <c r="E645" s="475" t="s">
        <v>875</v>
      </c>
      <c r="F645" s="475" t="s">
        <v>875</v>
      </c>
      <c r="G645" s="475" t="s">
        <v>875</v>
      </c>
      <c r="H645" s="475" t="s">
        <v>875</v>
      </c>
      <c r="I645" s="475" t="s">
        <v>875</v>
      </c>
      <c r="J645" s="475" t="s">
        <v>875</v>
      </c>
      <c r="K645" s="475" t="s">
        <v>875</v>
      </c>
      <c r="L645" s="475" t="s">
        <v>875</v>
      </c>
      <c r="M645" s="475" t="s">
        <v>875</v>
      </c>
      <c r="N645" s="475" t="s">
        <v>875</v>
      </c>
      <c r="O645" s="475" t="s">
        <v>875</v>
      </c>
    </row>
    <row r="646" spans="2:48" s="433" customFormat="1" x14ac:dyDescent="0.25">
      <c r="B646" s="455"/>
      <c r="C646" s="476"/>
      <c r="D646" s="476"/>
      <c r="E646" s="476"/>
      <c r="F646" s="476"/>
      <c r="G646" s="476"/>
      <c r="H646" s="476"/>
      <c r="I646" s="476"/>
      <c r="J646" s="476"/>
      <c r="K646" s="476"/>
      <c r="L646" s="476"/>
      <c r="M646" s="476"/>
      <c r="N646" s="476"/>
      <c r="O646" s="476"/>
      <c r="P646" s="424"/>
      <c r="Q646" s="424"/>
      <c r="R646" s="424"/>
      <c r="S646" s="424"/>
      <c r="T646" s="424"/>
      <c r="U646" s="424"/>
      <c r="V646" s="424"/>
      <c r="W646" s="424"/>
      <c r="X646" s="424"/>
      <c r="Y646" s="424"/>
      <c r="Z646" s="424"/>
      <c r="AA646" s="424"/>
      <c r="AB646" s="424"/>
      <c r="AC646" s="424"/>
      <c r="AD646" s="424"/>
      <c r="AE646" s="424"/>
      <c r="AF646" s="424"/>
      <c r="AG646" s="424"/>
      <c r="AH646" s="424"/>
      <c r="AI646" s="424"/>
      <c r="AJ646" s="424"/>
      <c r="AK646" s="424"/>
      <c r="AL646" s="424"/>
      <c r="AM646" s="424"/>
      <c r="AN646" s="424"/>
      <c r="AO646" s="424"/>
      <c r="AP646" s="424"/>
      <c r="AQ646" s="424"/>
      <c r="AR646" s="424"/>
      <c r="AS646" s="424"/>
      <c r="AT646" s="424"/>
      <c r="AU646" s="424"/>
      <c r="AV646" s="424"/>
    </row>
    <row r="647" spans="2:48" x14ac:dyDescent="0.25">
      <c r="B647" s="472" t="s">
        <v>914</v>
      </c>
      <c r="C647" s="477"/>
      <c r="D647" s="477"/>
      <c r="E647" s="477">
        <f t="shared" ref="E647" si="419">(E651/D651)-1</f>
        <v>5.5537983929875967E-2</v>
      </c>
      <c r="F647" s="477">
        <f t="shared" ref="F647" si="420">(F651/E651)-1</f>
        <v>0.11570775446763615</v>
      </c>
      <c r="G647" s="477">
        <f t="shared" ref="G647" si="421">(G651/F651)-1</f>
        <v>2.0293085052819793E-2</v>
      </c>
      <c r="H647" s="477">
        <f t="shared" ref="H647" si="422">(H651/G651)-1</f>
        <v>8.3797107941336657E-2</v>
      </c>
      <c r="I647" s="477">
        <f t="shared" ref="I647" si="423">(I651/H651)-1</f>
        <v>4.7651249057725886E-2</v>
      </c>
      <c r="J647" s="477">
        <f t="shared" ref="J647" si="424">(J651/I651)-1</f>
        <v>-4.9925972784515826E-3</v>
      </c>
      <c r="K647" s="477">
        <f t="shared" ref="K647" si="425">(K651/J651)-1</f>
        <v>2.4999999999999911E-2</v>
      </c>
      <c r="L647" s="477">
        <f t="shared" ref="L647" si="426">(L651/K651)-1</f>
        <v>4.0191858390685731E-3</v>
      </c>
      <c r="M647" s="477"/>
      <c r="N647" s="477"/>
      <c r="O647" s="477"/>
    </row>
    <row r="648" spans="2:48" ht="14.4" thickBot="1" x14ac:dyDescent="0.3">
      <c r="B648" s="478"/>
      <c r="C648" s="476"/>
      <c r="D648" s="476"/>
      <c r="E648" s="476"/>
      <c r="F648" s="476"/>
      <c r="G648" s="476"/>
      <c r="H648" s="476"/>
      <c r="I648" s="476"/>
      <c r="J648" s="476"/>
      <c r="K648" s="476"/>
      <c r="L648" s="476"/>
      <c r="M648" s="476"/>
      <c r="N648" s="476"/>
      <c r="O648" s="476"/>
    </row>
    <row r="649" spans="2:48" x14ac:dyDescent="0.25">
      <c r="B649" s="422" t="s">
        <v>80</v>
      </c>
      <c r="C649" s="423">
        <f t="shared" ref="C649:L649" si="427">C644</f>
        <v>2015</v>
      </c>
      <c r="D649" s="423">
        <f t="shared" si="427"/>
        <v>2016</v>
      </c>
      <c r="E649" s="423">
        <f t="shared" si="427"/>
        <v>2017</v>
      </c>
      <c r="F649" s="423">
        <f t="shared" si="427"/>
        <v>2018</v>
      </c>
      <c r="G649" s="423">
        <f t="shared" si="427"/>
        <v>2019</v>
      </c>
      <c r="H649" s="423">
        <f t="shared" si="427"/>
        <v>2020</v>
      </c>
      <c r="I649" s="423">
        <f t="shared" si="427"/>
        <v>2021</v>
      </c>
      <c r="J649" s="423">
        <f t="shared" si="427"/>
        <v>2022</v>
      </c>
      <c r="K649" s="423">
        <f t="shared" si="427"/>
        <v>2023</v>
      </c>
      <c r="L649" s="423">
        <f t="shared" si="427"/>
        <v>2024</v>
      </c>
      <c r="M649" s="423">
        <f>M644</f>
        <v>2025</v>
      </c>
      <c r="N649" s="423">
        <f>N644</f>
        <v>2026</v>
      </c>
      <c r="O649" s="423">
        <f>O644</f>
        <v>2027</v>
      </c>
    </row>
    <row r="650" spans="2:48" ht="29.4" thickBot="1" x14ac:dyDescent="0.35">
      <c r="B650" s="479" t="s">
        <v>915</v>
      </c>
      <c r="C650" s="475" t="s">
        <v>875</v>
      </c>
      <c r="D650" s="475" t="s">
        <v>875</v>
      </c>
      <c r="E650" s="475" t="s">
        <v>875</v>
      </c>
      <c r="F650" s="475" t="s">
        <v>875</v>
      </c>
      <c r="G650" s="475" t="s">
        <v>875</v>
      </c>
      <c r="H650" s="475" t="s">
        <v>875</v>
      </c>
      <c r="I650" s="475" t="s">
        <v>875</v>
      </c>
      <c r="J650" s="475" t="s">
        <v>875</v>
      </c>
      <c r="K650" s="475" t="s">
        <v>875</v>
      </c>
      <c r="L650" s="475" t="s">
        <v>875</v>
      </c>
      <c r="M650" s="475" t="s">
        <v>875</v>
      </c>
      <c r="N650" s="475" t="s">
        <v>875</v>
      </c>
      <c r="O650" s="475" t="s">
        <v>875</v>
      </c>
    </row>
    <row r="651" spans="2:48" ht="14.4" x14ac:dyDescent="0.3">
      <c r="B651" s="480" t="s">
        <v>916</v>
      </c>
      <c r="C651" s="481">
        <f>'GF &amp; FF  Inc Exp Statement'!D153</f>
        <v>0</v>
      </c>
      <c r="D651" s="481">
        <f>'GF &amp; FF  Inc Exp Statement'!E153</f>
        <v>13690</v>
      </c>
      <c r="E651" s="481">
        <f>'GF &amp; FF  Inc Exp Statement'!F153</f>
        <v>14450.315000000001</v>
      </c>
      <c r="F651" s="481">
        <f>'GF &amp; FF  Inc Exp Statement'!G153</f>
        <v>16122.328500000001</v>
      </c>
      <c r="G651" s="481">
        <f>'GF &amp; FF  Inc Exp Statement'!H153</f>
        <v>16449.500283500001</v>
      </c>
      <c r="H651" s="481">
        <f>'GF &amp; FF  Inc Exp Statement'!I153</f>
        <v>17827.920834337499</v>
      </c>
      <c r="I651" s="481">
        <f>'GF &amp; FF  Inc Exp Statement'!J153</f>
        <v>18677.443530195935</v>
      </c>
      <c r="J651" s="481">
        <f>'GF &amp; FF  Inc Exp Statement'!K153</f>
        <v>18584.194576458645</v>
      </c>
      <c r="K651" s="481">
        <f>'GF &amp; FF  Inc Exp Statement'!L153</f>
        <v>19048.799440870109</v>
      </c>
      <c r="L651" s="481">
        <f>'GF &amp; FF  Inc Exp Statement'!M153</f>
        <v>19125.360105834112</v>
      </c>
      <c r="M651" s="481">
        <f>'GF &amp; FF  Inc Exp Statement'!N153</f>
        <v>19603.494108479965</v>
      </c>
      <c r="N651" s="481">
        <f>'GF &amp; FF  Inc Exp Statement'!O153</f>
        <v>18795.068573170767</v>
      </c>
      <c r="O651" s="481">
        <f>'GF &amp; FF  Inc Exp Statement'!P153</f>
        <v>17257.126597965384</v>
      </c>
    </row>
    <row r="652" spans="2:48" ht="14.4" x14ac:dyDescent="0.3">
      <c r="B652" s="428" t="s">
        <v>580</v>
      </c>
      <c r="C652" s="481">
        <f>'GF &amp; FF  Inc Exp Statement'!D154</f>
        <v>0</v>
      </c>
      <c r="D652" s="481">
        <f>'GF &amp; FF  Inc Exp Statement'!E154</f>
        <v>7643</v>
      </c>
      <c r="E652" s="481">
        <f>'GF &amp; FF  Inc Exp Statement'!F154</f>
        <v>9486.969000000001</v>
      </c>
      <c r="F652" s="481">
        <f>'GF &amp; FF  Inc Exp Statement'!G154</f>
        <v>9897.5250000000015</v>
      </c>
      <c r="G652" s="481">
        <f>'GF &amp; FF  Inc Exp Statement'!H154</f>
        <v>9797.2430000000004</v>
      </c>
      <c r="H652" s="481">
        <f>'GF &amp; FF  Inc Exp Statement'!I154</f>
        <v>10156.66</v>
      </c>
      <c r="I652" s="481">
        <f>'GF &amp; FF  Inc Exp Statement'!J154</f>
        <v>10598.714</v>
      </c>
      <c r="J652" s="481">
        <f>'GF &amp; FF  Inc Exp Statement'!K154</f>
        <v>10810.68828</v>
      </c>
      <c r="K652" s="481">
        <f>'GF &amp; FF  Inc Exp Statement'!L154</f>
        <v>11026.9020456</v>
      </c>
      <c r="L652" s="481">
        <f>'GF &amp; FF  Inc Exp Statement'!M154</f>
        <v>11247.440086512001</v>
      </c>
      <c r="M652" s="481">
        <f>'GF &amp; FF  Inc Exp Statement'!N154</f>
        <v>11472.38888824224</v>
      </c>
      <c r="N652" s="481">
        <f>'GF &amp; FF  Inc Exp Statement'!O154</f>
        <v>11701.836666007086</v>
      </c>
      <c r="O652" s="481">
        <f>'GF &amp; FF  Inc Exp Statement'!P154</f>
        <v>11935.873399327229</v>
      </c>
    </row>
    <row r="653" spans="2:48" ht="14.4" x14ac:dyDescent="0.3">
      <c r="B653" s="428" t="s">
        <v>917</v>
      </c>
      <c r="C653" s="481">
        <f>'GF &amp; FF  Inc Exp Statement'!D157</f>
        <v>0</v>
      </c>
      <c r="D653" s="481">
        <f>'GF &amp; FF  Inc Exp Statement'!E157</f>
        <v>8953</v>
      </c>
      <c r="E653" s="481">
        <f>'GF &amp; FF  Inc Exp Statement'!F157</f>
        <v>6174.7439999999997</v>
      </c>
      <c r="F653" s="481">
        <f>'GF &amp; FF  Inc Exp Statement'!G157</f>
        <v>5450.8890000000001</v>
      </c>
      <c r="G653" s="481">
        <f>'GF &amp; FF  Inc Exp Statement'!H157</f>
        <v>5547.3509999999997</v>
      </c>
      <c r="H653" s="481">
        <f>'GF &amp; FF  Inc Exp Statement'!I157</f>
        <v>5643.5889999999999</v>
      </c>
      <c r="I653" s="481">
        <f>'GF &amp; FF  Inc Exp Statement'!J157</f>
        <v>5741.7657600000002</v>
      </c>
      <c r="J653" s="481">
        <f>'GF &amp; FF  Inc Exp Statement'!K157</f>
        <v>5885.3099039999997</v>
      </c>
      <c r="K653" s="481">
        <f>'GF &amp; FF  Inc Exp Statement'!L157</f>
        <v>6032.4426515999994</v>
      </c>
      <c r="L653" s="481">
        <f>'GF &amp; FF  Inc Exp Statement'!M157</f>
        <v>6183.2537178899993</v>
      </c>
      <c r="M653" s="481">
        <f>'GF &amp; FF  Inc Exp Statement'!N157</f>
        <v>6337.8350608372484</v>
      </c>
      <c r="N653" s="481">
        <f>'GF &amp; FF  Inc Exp Statement'!O157</f>
        <v>6496.2809373581795</v>
      </c>
      <c r="O653" s="481">
        <f>'GF &amp; FF  Inc Exp Statement'!P157</f>
        <v>6658.6879607921337</v>
      </c>
    </row>
    <row r="654" spans="2:48" ht="14.4" x14ac:dyDescent="0.3">
      <c r="B654" s="428" t="s">
        <v>918</v>
      </c>
      <c r="C654" s="481">
        <f>'GF &amp; FF  Inc Exp Statement'!D158</f>
        <v>0</v>
      </c>
      <c r="D654" s="481">
        <f>'GF &amp; FF  Inc Exp Statement'!E158</f>
        <v>14459</v>
      </c>
      <c r="E654" s="481">
        <f>'GF &amp; FF  Inc Exp Statement'!F158</f>
        <v>2898.0070000000001</v>
      </c>
      <c r="F654" s="481">
        <f>'GF &amp; FF  Inc Exp Statement'!G158</f>
        <v>3787.9670000000001</v>
      </c>
      <c r="G654" s="481">
        <f>'GF &amp; FF  Inc Exp Statement'!H158</f>
        <v>3844.3710099999998</v>
      </c>
      <c r="H654" s="481">
        <f>'GF &amp; FF  Inc Exp Statement'!I158</f>
        <v>7402.4590152999999</v>
      </c>
      <c r="I654" s="481">
        <f>'GF &amp; FF  Inc Exp Statement'!J158</f>
        <v>3962.2813326340001</v>
      </c>
      <c r="J654" s="481">
        <f>'GF &amp; FF  Inc Exp Statement'!K158</f>
        <v>4041.5269592866807</v>
      </c>
      <c r="K654" s="481">
        <f>'GF &amp; FF  Inc Exp Statement'!L158</f>
        <v>4122.3574984724137</v>
      </c>
      <c r="L654" s="481">
        <f>'GF &amp; FF  Inc Exp Statement'!M158</f>
        <v>4204.8046484418628</v>
      </c>
      <c r="M654" s="481">
        <f>'GF &amp; FF  Inc Exp Statement'!N158</f>
        <v>4288.9007414107</v>
      </c>
      <c r="N654" s="481">
        <f>'GF &amp; FF  Inc Exp Statement'!O158</f>
        <v>4374.6787562389136</v>
      </c>
      <c r="O654" s="481">
        <f>'GF &amp; FF  Inc Exp Statement'!P158</f>
        <v>4462.1723313636921</v>
      </c>
    </row>
    <row r="655" spans="2:48" ht="14.4" x14ac:dyDescent="0.3">
      <c r="B655" s="428" t="s">
        <v>919</v>
      </c>
      <c r="C655" s="481">
        <f>'GF &amp; FF  Inc Exp Statement'!D155</f>
        <v>0</v>
      </c>
      <c r="D655" s="481">
        <f>'GF &amp; FF  Inc Exp Statement'!E155</f>
        <v>1053</v>
      </c>
      <c r="E655" s="481">
        <f>'GF &amp; FF  Inc Exp Statement'!F155</f>
        <v>931.5</v>
      </c>
      <c r="F655" s="481">
        <f>'GF &amp; FF  Inc Exp Statement'!G155</f>
        <v>938.20899999999995</v>
      </c>
      <c r="G655" s="481">
        <f>'GF &amp; FF  Inc Exp Statement'!H155</f>
        <v>947.19299999999998</v>
      </c>
      <c r="H655" s="481">
        <f>'GF &amp; FF  Inc Exp Statement'!I155</f>
        <v>956.88900000000001</v>
      </c>
      <c r="I655" s="481">
        <f>'GF &amp; FF  Inc Exp Statement'!J155</f>
        <v>965.43299999999999</v>
      </c>
      <c r="J655" s="481">
        <f>'GF &amp; FF  Inc Exp Statement'!K155</f>
        <v>879.29486664369801</v>
      </c>
      <c r="K655" s="481">
        <f>'GF &amp; FF  Inc Exp Statement'!L155</f>
        <v>908.81266794835881</v>
      </c>
      <c r="L655" s="481">
        <f>'GF &amp; FF  Inc Exp Statement'!M155</f>
        <v>943.02786427007584</v>
      </c>
      <c r="M655" s="481">
        <f>'GF &amp; FF  Inc Exp Statement'!N155</f>
        <v>966.1976963611213</v>
      </c>
      <c r="N655" s="481">
        <f>'GF &amp; FF  Inc Exp Statement'!O155</f>
        <v>993.523037582896</v>
      </c>
      <c r="O655" s="481">
        <f>'GF &amp; FF  Inc Exp Statement'!P155</f>
        <v>973.27580415601676</v>
      </c>
    </row>
    <row r="656" spans="2:48" ht="14.4" x14ac:dyDescent="0.3">
      <c r="B656" s="428" t="s">
        <v>920</v>
      </c>
      <c r="C656" s="481">
        <f>'GF &amp; FF  Inc Exp Statement'!D161+'GF &amp; FF  Inc Exp Statement'!D162</f>
        <v>0</v>
      </c>
      <c r="D656" s="481">
        <f>'GF &amp; FF  Inc Exp Statement'!E161+'GF &amp; FF  Inc Exp Statement'!E162</f>
        <v>-3</v>
      </c>
      <c r="E656" s="481">
        <f>'GF &amp; FF  Inc Exp Statement'!F161+'GF &amp; FF  Inc Exp Statement'!F162</f>
        <v>0</v>
      </c>
      <c r="F656" s="481">
        <f>'GF &amp; FF  Inc Exp Statement'!G161+'GF &amp; FF  Inc Exp Statement'!G162</f>
        <v>0</v>
      </c>
      <c r="G656" s="481">
        <f>'GF &amp; FF  Inc Exp Statement'!H161+'GF &amp; FF  Inc Exp Statement'!H162</f>
        <v>0</v>
      </c>
      <c r="H656" s="481">
        <f>'GF &amp; FF  Inc Exp Statement'!I161+'GF &amp; FF  Inc Exp Statement'!I162</f>
        <v>0</v>
      </c>
      <c r="I656" s="481">
        <f>'GF &amp; FF  Inc Exp Statement'!J161+'GF &amp; FF  Inc Exp Statement'!J162</f>
        <v>0</v>
      </c>
      <c r="J656" s="481">
        <f>'GF &amp; FF  Inc Exp Statement'!K161+'GF &amp; FF  Inc Exp Statement'!K162</f>
        <v>0</v>
      </c>
      <c r="K656" s="481">
        <f>'GF &amp; FF  Inc Exp Statement'!L161+'GF &amp; FF  Inc Exp Statement'!L162</f>
        <v>0</v>
      </c>
      <c r="L656" s="481">
        <f>'GF &amp; FF  Inc Exp Statement'!M161+'GF &amp; FF  Inc Exp Statement'!M162</f>
        <v>0</v>
      </c>
      <c r="M656" s="481">
        <f>'GF &amp; FF  Inc Exp Statement'!N161+'GF &amp; FF  Inc Exp Statement'!N162</f>
        <v>0</v>
      </c>
      <c r="N656" s="481">
        <f>'GF &amp; FF  Inc Exp Statement'!O161+'GF &amp; FF  Inc Exp Statement'!O162</f>
        <v>0</v>
      </c>
      <c r="O656" s="481">
        <f>'GF &amp; FF  Inc Exp Statement'!P161+'GF &amp; FF  Inc Exp Statement'!P162</f>
        <v>0</v>
      </c>
    </row>
    <row r="657" spans="2:29" ht="14.4" x14ac:dyDescent="0.3">
      <c r="B657" s="1322" t="s">
        <v>1180</v>
      </c>
      <c r="C657" s="481"/>
      <c r="D657" s="481">
        <f>'GF &amp; FF  Inc Exp Statement'!E159</f>
        <v>0</v>
      </c>
      <c r="E657" s="481">
        <f>'GF &amp; FF  Inc Exp Statement'!F159</f>
        <v>4783.3530000000001</v>
      </c>
      <c r="F657" s="481">
        <f>'GF &amp; FF  Inc Exp Statement'!G159</f>
        <v>5059.8519999999999</v>
      </c>
      <c r="G657" s="481">
        <f>'GF &amp; FF  Inc Exp Statement'!H159</f>
        <v>5239.6229999999996</v>
      </c>
      <c r="H657" s="481">
        <f>'GF &amp; FF  Inc Exp Statement'!I159</f>
        <v>5419.1779999999999</v>
      </c>
      <c r="I657" s="481">
        <f>'GF &amp; FF  Inc Exp Statement'!J159</f>
        <v>5456.5190000000002</v>
      </c>
      <c r="J657" s="481">
        <f>'GF &amp; FF  Inc Exp Statement'!K159</f>
        <v>5565.6493800000007</v>
      </c>
      <c r="K657" s="481">
        <f>'GF &amp; FF  Inc Exp Statement'!L159</f>
        <v>5676.962367600001</v>
      </c>
      <c r="L657" s="481">
        <f>'GF &amp; FF  Inc Exp Statement'!M159</f>
        <v>5790.5016149520015</v>
      </c>
      <c r="M657" s="481">
        <f>'GF &amp; FF  Inc Exp Statement'!N159</f>
        <v>5906.3116472510419</v>
      </c>
      <c r="N657" s="481">
        <f>'GF &amp; FF  Inc Exp Statement'!O159</f>
        <v>6024.4378801960629</v>
      </c>
      <c r="O657" s="481">
        <f>'GF &amp; FF  Inc Exp Statement'!P159</f>
        <v>6144.9266377999838</v>
      </c>
    </row>
    <row r="658" spans="2:29" ht="14.4" x14ac:dyDescent="0.3">
      <c r="B658" s="428" t="s">
        <v>921</v>
      </c>
      <c r="C658" s="481">
        <f>'GF &amp; FF  Inc Exp Statement'!D156</f>
        <v>0</v>
      </c>
      <c r="D658" s="481">
        <f>'GF &amp; FF  Inc Exp Statement'!E156</f>
        <v>1018</v>
      </c>
      <c r="E658" s="481">
        <f>'GF &amp; FF  Inc Exp Statement'!F156</f>
        <v>2424.5369999999998</v>
      </c>
      <c r="F658" s="481">
        <f>'GF &amp; FF  Inc Exp Statement'!G156</f>
        <v>2409.788</v>
      </c>
      <c r="G658" s="481">
        <f>'GF &amp; FF  Inc Exp Statement'!H156</f>
        <v>2463.8040000000001</v>
      </c>
      <c r="H658" s="481">
        <f>'GF &amp; FF  Inc Exp Statement'!I156</f>
        <v>2520.3789999999999</v>
      </c>
      <c r="I658" s="481">
        <f>'GF &amp; FF  Inc Exp Statement'!J156</f>
        <v>2578.0160000000001</v>
      </c>
      <c r="J658" s="481">
        <f>'GF &amp; FF  Inc Exp Statement'!K156</f>
        <v>2629.5763200000001</v>
      </c>
      <c r="K658" s="481">
        <f>'GF &amp; FF  Inc Exp Statement'!L156</f>
        <v>2682.1678464000001</v>
      </c>
      <c r="L658" s="481">
        <f>'GF &amp; FF  Inc Exp Statement'!M156</f>
        <v>2735.8112033280004</v>
      </c>
      <c r="M658" s="481">
        <f>'GF &amp; FF  Inc Exp Statement'!N156</f>
        <v>2790.5274273945606</v>
      </c>
      <c r="N658" s="481">
        <f>'GF &amp; FF  Inc Exp Statement'!O156</f>
        <v>2846.337975942452</v>
      </c>
      <c r="O658" s="481">
        <f>'GF &amp; FF  Inc Exp Statement'!P156</f>
        <v>2903.2647354613009</v>
      </c>
    </row>
    <row r="659" spans="2:29" ht="14.4" thickBot="1" x14ac:dyDescent="0.3">
      <c r="B659" s="482" t="s">
        <v>922</v>
      </c>
      <c r="C659" s="484">
        <f t="shared" ref="C659:O659" si="428">SUM(C651:C658)</f>
        <v>0</v>
      </c>
      <c r="D659" s="484">
        <f t="shared" si="428"/>
        <v>46813</v>
      </c>
      <c r="E659" s="484">
        <f t="shared" si="428"/>
        <v>41149.424999999996</v>
      </c>
      <c r="F659" s="484">
        <f t="shared" si="428"/>
        <v>43666.558500000006</v>
      </c>
      <c r="G659" s="484">
        <f t="shared" si="428"/>
        <v>44289.0852935</v>
      </c>
      <c r="H659" s="484">
        <f t="shared" si="428"/>
        <v>49927.074849637509</v>
      </c>
      <c r="I659" s="484">
        <f t="shared" si="428"/>
        <v>47980.17262282993</v>
      </c>
      <c r="J659" s="484">
        <f t="shared" si="428"/>
        <v>48396.240286389031</v>
      </c>
      <c r="K659" s="484">
        <f t="shared" si="428"/>
        <v>49498.444518490884</v>
      </c>
      <c r="L659" s="484">
        <f t="shared" si="428"/>
        <v>50230.199241228052</v>
      </c>
      <c r="M659" s="484">
        <f t="shared" si="428"/>
        <v>51365.655569976887</v>
      </c>
      <c r="N659" s="484">
        <f t="shared" si="428"/>
        <v>51232.163826496355</v>
      </c>
      <c r="O659" s="484">
        <f t="shared" si="428"/>
        <v>50335.327466865732</v>
      </c>
      <c r="AA659" s="485"/>
      <c r="AB659" s="485"/>
      <c r="AC659" s="485"/>
    </row>
    <row r="660" spans="2:29" x14ac:dyDescent="0.25">
      <c r="B660" s="428" t="s">
        <v>923</v>
      </c>
      <c r="C660" s="487">
        <f t="shared" ref="C660" si="429">C659-C656</f>
        <v>0</v>
      </c>
      <c r="D660" s="487">
        <f t="shared" ref="D660:O660" si="430">D659-D656</f>
        <v>46816</v>
      </c>
      <c r="E660" s="487">
        <f t="shared" si="430"/>
        <v>41149.424999999996</v>
      </c>
      <c r="F660" s="487">
        <f t="shared" si="430"/>
        <v>43666.558500000006</v>
      </c>
      <c r="G660" s="487">
        <f t="shared" si="430"/>
        <v>44289.0852935</v>
      </c>
      <c r="H660" s="487">
        <f t="shared" si="430"/>
        <v>49927.074849637509</v>
      </c>
      <c r="I660" s="487">
        <f t="shared" si="430"/>
        <v>47980.17262282993</v>
      </c>
      <c r="J660" s="487">
        <f t="shared" si="430"/>
        <v>48396.240286389031</v>
      </c>
      <c r="K660" s="487">
        <f t="shared" si="430"/>
        <v>49498.444518490884</v>
      </c>
      <c r="L660" s="487">
        <f t="shared" si="430"/>
        <v>50230.199241228052</v>
      </c>
      <c r="M660" s="487">
        <f t="shared" si="430"/>
        <v>51365.655569976887</v>
      </c>
      <c r="N660" s="487">
        <f t="shared" si="430"/>
        <v>51232.163826496355</v>
      </c>
      <c r="O660" s="487">
        <f t="shared" si="430"/>
        <v>50335.327466865732</v>
      </c>
      <c r="AA660" s="485"/>
      <c r="AB660" s="485"/>
      <c r="AC660" s="485"/>
    </row>
    <row r="661" spans="2:29" x14ac:dyDescent="0.25">
      <c r="B661" s="428" t="s">
        <v>924</v>
      </c>
      <c r="C661" s="487">
        <f>C659-C656-C654</f>
        <v>0</v>
      </c>
      <c r="D661" s="487">
        <f t="shared" ref="D661:O661" si="431">D659-D656-D654</f>
        <v>32357</v>
      </c>
      <c r="E661" s="487">
        <f t="shared" si="431"/>
        <v>38251.417999999998</v>
      </c>
      <c r="F661" s="487">
        <f t="shared" si="431"/>
        <v>39878.59150000001</v>
      </c>
      <c r="G661" s="487">
        <f t="shared" si="431"/>
        <v>40444.714283499998</v>
      </c>
      <c r="H661" s="487">
        <f t="shared" si="431"/>
        <v>42524.615834337506</v>
      </c>
      <c r="I661" s="487">
        <f t="shared" si="431"/>
        <v>44017.891290195927</v>
      </c>
      <c r="J661" s="487">
        <f t="shared" si="431"/>
        <v>44354.713327102349</v>
      </c>
      <c r="K661" s="487">
        <f t="shared" si="431"/>
        <v>45376.087020018473</v>
      </c>
      <c r="L661" s="487">
        <f t="shared" si="431"/>
        <v>46025.394592786193</v>
      </c>
      <c r="M661" s="487">
        <f t="shared" si="431"/>
        <v>47076.754828566191</v>
      </c>
      <c r="N661" s="487">
        <f t="shared" si="431"/>
        <v>46857.48507025744</v>
      </c>
      <c r="O661" s="487">
        <f t="shared" si="431"/>
        <v>45873.155135502042</v>
      </c>
      <c r="AA661" s="485"/>
      <c r="AB661" s="485"/>
      <c r="AC661" s="485"/>
    </row>
    <row r="662" spans="2:29" x14ac:dyDescent="0.25">
      <c r="B662" s="428"/>
      <c r="C662" s="489"/>
      <c r="D662" s="489"/>
      <c r="E662" s="489"/>
      <c r="F662" s="489"/>
      <c r="G662" s="489"/>
      <c r="H662" s="489"/>
      <c r="I662" s="489"/>
      <c r="J662" s="489"/>
      <c r="K662" s="489"/>
      <c r="L662" s="489"/>
      <c r="M662" s="489"/>
      <c r="N662" s="489"/>
      <c r="O662" s="489"/>
      <c r="AA662" s="485"/>
      <c r="AB662" s="485"/>
      <c r="AC662" s="485"/>
    </row>
    <row r="663" spans="2:29" x14ac:dyDescent="0.25">
      <c r="B663" s="490" t="s">
        <v>925</v>
      </c>
      <c r="C663" s="489"/>
      <c r="D663" s="489"/>
      <c r="E663" s="489"/>
      <c r="F663" s="489"/>
      <c r="G663" s="489"/>
      <c r="H663" s="489"/>
      <c r="I663" s="489"/>
      <c r="J663" s="489"/>
      <c r="K663" s="489"/>
      <c r="L663" s="489"/>
      <c r="M663" s="489"/>
      <c r="N663" s="489"/>
      <c r="O663" s="489"/>
      <c r="AA663" s="485"/>
      <c r="AB663" s="485"/>
      <c r="AC663" s="485"/>
    </row>
    <row r="664" spans="2:29" ht="14.4" x14ac:dyDescent="0.3">
      <c r="B664" s="428" t="s">
        <v>926</v>
      </c>
      <c r="C664" s="481">
        <f>'GF &amp; FF  Inc Exp Statement'!D168</f>
        <v>0</v>
      </c>
      <c r="D664" s="481">
        <f>'GF &amp; FF  Inc Exp Statement'!E168</f>
        <v>743</v>
      </c>
      <c r="E664" s="481">
        <f>'GF &amp; FF  Inc Exp Statement'!F168</f>
        <v>1500.3620000000001</v>
      </c>
      <c r="F664" s="481">
        <f>'GF &amp; FF  Inc Exp Statement'!G168</f>
        <v>1497.172</v>
      </c>
      <c r="G664" s="481">
        <f>'GF &amp; FF  Inc Exp Statement'!H168</f>
        <v>1494.3220000000001</v>
      </c>
      <c r="H664" s="481">
        <f>'GF &amp; FF  Inc Exp Statement'!I168</f>
        <v>1911.231</v>
      </c>
      <c r="I664" s="481">
        <f>'GF &amp; FF  Inc Exp Statement'!J168</f>
        <v>2341.6210000000001</v>
      </c>
      <c r="J664" s="481">
        <f>'GF &amp; FF  Inc Exp Statement'!K168</f>
        <v>2301.9348808</v>
      </c>
      <c r="K664" s="481">
        <f>'GF &amp; FF  Inc Exp Statement'!L168</f>
        <v>2261.4550392159999</v>
      </c>
      <c r="L664" s="481">
        <f>'GF &amp; FF  Inc Exp Statement'!M168</f>
        <v>2220.1656008003201</v>
      </c>
      <c r="M664" s="481">
        <f>'GF &amp; FF  Inc Exp Statement'!N168</f>
        <v>2178.0503736163264</v>
      </c>
      <c r="N664" s="481">
        <f>'GF &amp; FF  Inc Exp Statement'!O168</f>
        <v>2135.0928418886529</v>
      </c>
      <c r="O664" s="481">
        <f>'GF &amp; FF  Inc Exp Statement'!P168</f>
        <v>2091.276159526426</v>
      </c>
      <c r="AA664" s="485"/>
      <c r="AB664" s="485"/>
      <c r="AC664" s="485"/>
    </row>
    <row r="665" spans="2:29" ht="14.4" x14ac:dyDescent="0.3">
      <c r="B665" s="428" t="s">
        <v>26</v>
      </c>
      <c r="C665" s="481">
        <f>'GF &amp; FF  Inc Exp Statement'!D167</f>
        <v>0</v>
      </c>
      <c r="D665" s="481">
        <f>'GF &amp; FF  Inc Exp Statement'!E167</f>
        <v>10980</v>
      </c>
      <c r="E665" s="481">
        <f>'GF &amp; FF  Inc Exp Statement'!F167</f>
        <v>11311.316000000001</v>
      </c>
      <c r="F665" s="481">
        <f>'GF &amp; FF  Inc Exp Statement'!G167</f>
        <v>11644.458000000001</v>
      </c>
      <c r="G665" s="481">
        <f>'GF &amp; FF  Inc Exp Statement'!H167</f>
        <v>11891.706</v>
      </c>
      <c r="H665" s="481">
        <f>'GF &amp; FF  Inc Exp Statement'!I167</f>
        <v>12397.860999999999</v>
      </c>
      <c r="I665" s="481">
        <f>'GF &amp; FF  Inc Exp Statement'!J167</f>
        <v>12951.976000000001</v>
      </c>
      <c r="J665" s="481">
        <f>'GF &amp; FF  Inc Exp Statement'!K167</f>
        <v>13340.53528</v>
      </c>
      <c r="K665" s="481">
        <f>'GF &amp; FF  Inc Exp Statement'!L167</f>
        <v>13740.751338400001</v>
      </c>
      <c r="L665" s="481">
        <f>'GF &amp; FF  Inc Exp Statement'!M167</f>
        <v>14152.973878552002</v>
      </c>
      <c r="M665" s="481">
        <f>'GF &amp; FF  Inc Exp Statement'!N167</f>
        <v>14577.563094908561</v>
      </c>
      <c r="N665" s="481">
        <f>'GF &amp; FF  Inc Exp Statement'!O167</f>
        <v>15014.88998775582</v>
      </c>
      <c r="O665" s="481">
        <f>'GF &amp; FF  Inc Exp Statement'!P167</f>
        <v>15465.336687388493</v>
      </c>
      <c r="AA665" s="485"/>
      <c r="AB665" s="485"/>
      <c r="AC665" s="485"/>
    </row>
    <row r="666" spans="2:29" ht="14.4" x14ac:dyDescent="0.3">
      <c r="B666" s="428" t="s">
        <v>927</v>
      </c>
      <c r="C666" s="481">
        <f>'GF &amp; FF  Inc Exp Statement'!D172+'GF &amp; FF  Inc Exp Statement'!D173</f>
        <v>0</v>
      </c>
      <c r="D666" s="481">
        <f>'GF &amp; FF  Inc Exp Statement'!E172+'GF &amp; FF  Inc Exp Statement'!E173</f>
        <v>600</v>
      </c>
      <c r="E666" s="481">
        <f>'GF &amp; FF  Inc Exp Statement'!F172+'GF &amp; FF  Inc Exp Statement'!F173</f>
        <v>0</v>
      </c>
      <c r="F666" s="481">
        <f>'GF &amp; FF  Inc Exp Statement'!G172+'GF &amp; FF  Inc Exp Statement'!G173</f>
        <v>0</v>
      </c>
      <c r="G666" s="481">
        <f>'GF &amp; FF  Inc Exp Statement'!H172+'GF &amp; FF  Inc Exp Statement'!H173</f>
        <v>0</v>
      </c>
      <c r="H666" s="481">
        <f>'GF &amp; FF  Inc Exp Statement'!I172+'GF &amp; FF  Inc Exp Statement'!I173</f>
        <v>0</v>
      </c>
      <c r="I666" s="481">
        <f>'GF &amp; FF  Inc Exp Statement'!J172+'GF &amp; FF  Inc Exp Statement'!J173</f>
        <v>0</v>
      </c>
      <c r="J666" s="481">
        <f>'GF &amp; FF  Inc Exp Statement'!K172+'GF &amp; FF  Inc Exp Statement'!K173</f>
        <v>0</v>
      </c>
      <c r="K666" s="481">
        <f>'GF &amp; FF  Inc Exp Statement'!L172+'GF &amp; FF  Inc Exp Statement'!L173</f>
        <v>0</v>
      </c>
      <c r="L666" s="481">
        <f>'GF &amp; FF  Inc Exp Statement'!M172+'GF &amp; FF  Inc Exp Statement'!M173</f>
        <v>0</v>
      </c>
      <c r="M666" s="481">
        <f>'GF &amp; FF  Inc Exp Statement'!N172+'GF &amp; FF  Inc Exp Statement'!N173</f>
        <v>0</v>
      </c>
      <c r="N666" s="481">
        <f>'GF &amp; FF  Inc Exp Statement'!O172+'GF &amp; FF  Inc Exp Statement'!O173</f>
        <v>0</v>
      </c>
      <c r="O666" s="481">
        <f>'GF &amp; FF  Inc Exp Statement'!P172+'GF &amp; FF  Inc Exp Statement'!P173</f>
        <v>0</v>
      </c>
      <c r="AA666" s="485"/>
      <c r="AB666" s="485"/>
      <c r="AC666" s="485"/>
    </row>
    <row r="667" spans="2:29" ht="14.4" x14ac:dyDescent="0.3">
      <c r="B667" s="428" t="s">
        <v>928</v>
      </c>
      <c r="C667" s="481">
        <f>'GF &amp; FF  Inc Exp Statement'!D171</f>
        <v>0</v>
      </c>
      <c r="D667" s="481">
        <f>'GF &amp; FF  Inc Exp Statement'!E171</f>
        <v>7182</v>
      </c>
      <c r="E667" s="481">
        <f>'GF &amp; FF  Inc Exp Statement'!F171</f>
        <v>8510.6460000000006</v>
      </c>
      <c r="F667" s="481">
        <f>'GF &amp; FF  Inc Exp Statement'!G171</f>
        <v>7625.4650000000001</v>
      </c>
      <c r="G667" s="481">
        <f>'GF &amp; FF  Inc Exp Statement'!H171</f>
        <v>7756.7839999999997</v>
      </c>
      <c r="H667" s="481">
        <f>'GF &amp; FF  Inc Exp Statement'!I171</f>
        <v>8074.7730000000001</v>
      </c>
      <c r="I667" s="481">
        <f>'GF &amp; FF  Inc Exp Statement'!J171</f>
        <v>8631.0789999999997</v>
      </c>
      <c r="J667" s="481">
        <f>'GF &amp; FF  Inc Exp Statement'!K171</f>
        <v>8846.8559749999986</v>
      </c>
      <c r="K667" s="481">
        <f>'GF &amp; FF  Inc Exp Statement'!L171</f>
        <v>9068.0273743749985</v>
      </c>
      <c r="L667" s="481">
        <f>'GF &amp; FF  Inc Exp Statement'!M171</f>
        <v>9294.7280587343721</v>
      </c>
      <c r="M667" s="481">
        <f>'GF &amp; FF  Inc Exp Statement'!N171</f>
        <v>9527.0962602027321</v>
      </c>
      <c r="N667" s="481">
        <f>'GF &amp; FF  Inc Exp Statement'!O171</f>
        <v>9765.2736667077988</v>
      </c>
      <c r="O667" s="481">
        <f>'GF &amp; FF  Inc Exp Statement'!P171</f>
        <v>10009.405508375494</v>
      </c>
      <c r="AA667" s="485"/>
      <c r="AB667" s="485"/>
      <c r="AC667" s="485"/>
    </row>
    <row r="668" spans="2:29" ht="14.4" x14ac:dyDescent="0.3">
      <c r="B668" s="1322" t="s">
        <v>1077</v>
      </c>
      <c r="C668" s="481"/>
      <c r="D668" s="481">
        <f>'GF &amp; FF  Inc Exp Statement'!E170</f>
        <v>0</v>
      </c>
      <c r="E668" s="481">
        <f>'GF &amp; FF  Inc Exp Statement'!F170</f>
        <v>2763.3530000000001</v>
      </c>
      <c r="F668" s="481">
        <f>'GF &amp; FF  Inc Exp Statement'!G170</f>
        <v>2935.1769999999997</v>
      </c>
      <c r="G668" s="481">
        <f>'GF &amp; FF  Inc Exp Statement'!H170</f>
        <v>3069.2200000000003</v>
      </c>
      <c r="H668" s="481">
        <f>'GF &amp; FF  Inc Exp Statement'!I170</f>
        <v>3204.4650000000001</v>
      </c>
      <c r="I668" s="481">
        <f>'GF &amp; FF  Inc Exp Statement'!J170</f>
        <v>3340.5709999999999</v>
      </c>
      <c r="J668" s="481">
        <f>'GF &amp; FF  Inc Exp Statement'!K170</f>
        <v>3407.3824199999999</v>
      </c>
      <c r="K668" s="481">
        <f>'GF &amp; FF  Inc Exp Statement'!L170</f>
        <v>3475.5300683999999</v>
      </c>
      <c r="L668" s="481">
        <f>'GF &amp; FF  Inc Exp Statement'!M170</f>
        <v>3545.040669768</v>
      </c>
      <c r="M668" s="481">
        <f>'GF &amp; FF  Inc Exp Statement'!N170</f>
        <v>3615.9414831633594</v>
      </c>
      <c r="N668" s="481">
        <f>'GF &amp; FF  Inc Exp Statement'!O170</f>
        <v>3688.2603128266273</v>
      </c>
      <c r="O668" s="481">
        <f>'GF &amp; FF  Inc Exp Statement'!P170</f>
        <v>3762.0255190831599</v>
      </c>
      <c r="AA668" s="485"/>
      <c r="AB668" s="485"/>
      <c r="AC668" s="485"/>
    </row>
    <row r="669" spans="2:29" ht="14.4" x14ac:dyDescent="0.3">
      <c r="B669" s="428" t="s">
        <v>929</v>
      </c>
      <c r="C669" s="481">
        <f>'GF &amp; FF  Inc Exp Statement'!D169+'GF &amp; FF  Inc Exp Statement'!D174</f>
        <v>0</v>
      </c>
      <c r="D669" s="481">
        <f>'GF &amp; FF  Inc Exp Statement'!E169+'GF &amp; FF  Inc Exp Statement'!E174</f>
        <v>15498</v>
      </c>
      <c r="E669" s="481">
        <f>'GF &amp; FF  Inc Exp Statement'!F169+'GF &amp; FF  Inc Exp Statement'!F174</f>
        <v>14135.741</v>
      </c>
      <c r="F669" s="481">
        <f>'GF &amp; FF  Inc Exp Statement'!G169+'GF &amp; FF  Inc Exp Statement'!G174</f>
        <v>14685.998</v>
      </c>
      <c r="G669" s="481">
        <f>'GF &amp; FF  Inc Exp Statement'!H169+'GF &amp; FF  Inc Exp Statement'!H174</f>
        <v>14986.133000000002</v>
      </c>
      <c r="H669" s="481">
        <f>'GF &amp; FF  Inc Exp Statement'!I169+'GF &amp; FF  Inc Exp Statement'!I174</f>
        <v>15395.137000000001</v>
      </c>
      <c r="I669" s="481">
        <f>'GF &amp; FF  Inc Exp Statement'!J169+'GF &amp; FF  Inc Exp Statement'!J174</f>
        <v>16211.647999999997</v>
      </c>
      <c r="J669" s="481">
        <f>'GF &amp; FF  Inc Exp Statement'!K169+'GF &amp; FF  Inc Exp Statement'!K174</f>
        <v>16535.880959999999</v>
      </c>
      <c r="K669" s="481">
        <f>'GF &amp; FF  Inc Exp Statement'!L169+'GF &amp; FF  Inc Exp Statement'!L174</f>
        <v>16866.598579199999</v>
      </c>
      <c r="L669" s="481">
        <f>'GF &amp; FF  Inc Exp Statement'!M169+'GF &amp; FF  Inc Exp Statement'!M174</f>
        <v>17203.930550784</v>
      </c>
      <c r="M669" s="481">
        <f>'GF &amp; FF  Inc Exp Statement'!N169+'GF &amp; FF  Inc Exp Statement'!N174</f>
        <v>17548.00916179968</v>
      </c>
      <c r="N669" s="481">
        <f>'GF &amp; FF  Inc Exp Statement'!O169+'GF &amp; FF  Inc Exp Statement'!O174</f>
        <v>17898.969345035675</v>
      </c>
      <c r="O669" s="481">
        <f>'GF &amp; FF  Inc Exp Statement'!P169+'GF &amp; FF  Inc Exp Statement'!P174</f>
        <v>18256.948731936391</v>
      </c>
      <c r="AA669" s="485"/>
      <c r="AB669" s="485"/>
      <c r="AC669" s="485"/>
    </row>
    <row r="670" spans="2:29" ht="14.4" thickBot="1" x14ac:dyDescent="0.3">
      <c r="B670" s="482" t="s">
        <v>930</v>
      </c>
      <c r="C670" s="492">
        <f t="shared" ref="C670:O670" si="432">SUM(C664:C669)</f>
        <v>0</v>
      </c>
      <c r="D670" s="492">
        <f t="shared" si="432"/>
        <v>35003</v>
      </c>
      <c r="E670" s="492">
        <f t="shared" si="432"/>
        <v>38221.417999999998</v>
      </c>
      <c r="F670" s="492">
        <f t="shared" si="432"/>
        <v>38388.270000000004</v>
      </c>
      <c r="G670" s="492">
        <f t="shared" si="432"/>
        <v>39198.165000000001</v>
      </c>
      <c r="H670" s="492">
        <f t="shared" si="432"/>
        <v>40983.466999999997</v>
      </c>
      <c r="I670" s="492">
        <f t="shared" si="432"/>
        <v>43476.894999999997</v>
      </c>
      <c r="J670" s="492">
        <f t="shared" si="432"/>
        <v>44432.589515799991</v>
      </c>
      <c r="K670" s="492">
        <f t="shared" si="432"/>
        <v>45412.362399591002</v>
      </c>
      <c r="L670" s="492">
        <f t="shared" si="432"/>
        <v>46416.838758638696</v>
      </c>
      <c r="M670" s="492">
        <f t="shared" si="432"/>
        <v>47446.660373690655</v>
      </c>
      <c r="N670" s="492">
        <f t="shared" si="432"/>
        <v>48502.486154214574</v>
      </c>
      <c r="O670" s="492">
        <f t="shared" si="432"/>
        <v>49584.992606309963</v>
      </c>
      <c r="AA670" s="485"/>
      <c r="AB670" s="485"/>
      <c r="AC670" s="485"/>
    </row>
    <row r="671" spans="2:29" x14ac:dyDescent="0.25">
      <c r="B671" s="428"/>
      <c r="C671" s="447"/>
      <c r="D671" s="447"/>
      <c r="E671" s="447"/>
      <c r="F671" s="447"/>
      <c r="G671" s="447"/>
      <c r="H671" s="447"/>
      <c r="I671" s="447"/>
      <c r="J671" s="447"/>
      <c r="K671" s="447"/>
      <c r="L671" s="447"/>
      <c r="M671" s="447"/>
      <c r="N671" s="447"/>
      <c r="O671" s="447"/>
      <c r="AA671" s="485"/>
      <c r="AB671" s="485"/>
      <c r="AC671" s="485"/>
    </row>
    <row r="672" spans="2:29" x14ac:dyDescent="0.25">
      <c r="B672" s="478" t="s">
        <v>931</v>
      </c>
      <c r="C672" s="450">
        <f t="shared" ref="C672:L672" si="433">C659-C670</f>
        <v>0</v>
      </c>
      <c r="D672" s="450">
        <f t="shared" si="433"/>
        <v>11810</v>
      </c>
      <c r="E672" s="450">
        <f t="shared" si="433"/>
        <v>2928.0069999999978</v>
      </c>
      <c r="F672" s="450">
        <f t="shared" si="433"/>
        <v>5278.2885000000024</v>
      </c>
      <c r="G672" s="450">
        <f t="shared" si="433"/>
        <v>5090.9202934999994</v>
      </c>
      <c r="H672" s="450">
        <f t="shared" si="433"/>
        <v>8943.6078496375121</v>
      </c>
      <c r="I672" s="450">
        <f t="shared" si="433"/>
        <v>4503.2776228299335</v>
      </c>
      <c r="J672" s="450">
        <f t="shared" si="433"/>
        <v>3963.6507705890399</v>
      </c>
      <c r="K672" s="450">
        <f t="shared" si="433"/>
        <v>4086.0821188998816</v>
      </c>
      <c r="L672" s="450">
        <f t="shared" si="433"/>
        <v>3813.3604825893563</v>
      </c>
      <c r="M672" s="450">
        <f>M659-M670</f>
        <v>3918.9951962862324</v>
      </c>
      <c r="N672" s="450">
        <f>N659-N670</f>
        <v>2729.6776722817813</v>
      </c>
      <c r="O672" s="450">
        <f>O659-O670</f>
        <v>750.33486055576941</v>
      </c>
      <c r="AA672" s="485"/>
      <c r="AB672" s="485"/>
      <c r="AC672" s="485"/>
    </row>
    <row r="673" spans="2:31" ht="27.6" x14ac:dyDescent="0.25">
      <c r="B673" s="478" t="s">
        <v>932</v>
      </c>
      <c r="C673" s="450">
        <f t="shared" ref="C673:L673" si="434">C672-C654</f>
        <v>0</v>
      </c>
      <c r="D673" s="450">
        <f t="shared" si="434"/>
        <v>-2649</v>
      </c>
      <c r="E673" s="450">
        <f t="shared" si="434"/>
        <v>29.999999999997726</v>
      </c>
      <c r="F673" s="450">
        <f t="shared" si="434"/>
        <v>1490.3215000000023</v>
      </c>
      <c r="G673" s="450">
        <f t="shared" si="434"/>
        <v>1246.5492834999995</v>
      </c>
      <c r="H673" s="450">
        <f t="shared" si="434"/>
        <v>1541.1488343375122</v>
      </c>
      <c r="I673" s="450">
        <f t="shared" si="434"/>
        <v>540.9962901959334</v>
      </c>
      <c r="J673" s="450">
        <f t="shared" si="434"/>
        <v>-77.876188697640828</v>
      </c>
      <c r="K673" s="450">
        <f t="shared" si="434"/>
        <v>-36.275379572532074</v>
      </c>
      <c r="L673" s="450">
        <f t="shared" si="434"/>
        <v>-391.44416585250656</v>
      </c>
      <c r="M673" s="450">
        <f>M672-M654</f>
        <v>-369.90554512446761</v>
      </c>
      <c r="N673" s="450">
        <f>N672-N654</f>
        <v>-1645.0010839571323</v>
      </c>
      <c r="O673" s="450">
        <f>O672-O654</f>
        <v>-3711.8374708079227</v>
      </c>
      <c r="AA673" s="485"/>
      <c r="AB673" s="485"/>
      <c r="AC673" s="485"/>
    </row>
    <row r="674" spans="2:31" ht="27.6" x14ac:dyDescent="0.25">
      <c r="B674" s="478" t="s">
        <v>933</v>
      </c>
      <c r="C674" s="450">
        <f t="shared" ref="C674:L674" si="435">C672-C654-C656+C666</f>
        <v>0</v>
      </c>
      <c r="D674" s="450">
        <f t="shared" si="435"/>
        <v>-2046</v>
      </c>
      <c r="E674" s="450">
        <f t="shared" si="435"/>
        <v>29.999999999997726</v>
      </c>
      <c r="F674" s="450">
        <f t="shared" si="435"/>
        <v>1490.3215000000023</v>
      </c>
      <c r="G674" s="450">
        <f t="shared" si="435"/>
        <v>1246.5492834999995</v>
      </c>
      <c r="H674" s="450">
        <f t="shared" si="435"/>
        <v>1541.1488343375122</v>
      </c>
      <c r="I674" s="450">
        <f t="shared" si="435"/>
        <v>540.9962901959334</v>
      </c>
      <c r="J674" s="450">
        <f t="shared" si="435"/>
        <v>-77.876188697640828</v>
      </c>
      <c r="K674" s="450">
        <f t="shared" si="435"/>
        <v>-36.275379572532074</v>
      </c>
      <c r="L674" s="450">
        <f t="shared" si="435"/>
        <v>-391.44416585250656</v>
      </c>
      <c r="M674" s="450">
        <f>M672-M654-M656+M666</f>
        <v>-369.90554512446761</v>
      </c>
      <c r="N674" s="450">
        <f>N672-N654-N656+N666</f>
        <v>-1645.0010839571323</v>
      </c>
      <c r="O674" s="450">
        <f>O672-O654-O656+O666</f>
        <v>-3711.8374708079227</v>
      </c>
      <c r="AA674" s="485"/>
      <c r="AB674" s="485"/>
      <c r="AC674" s="485"/>
    </row>
    <row r="675" spans="2:31" x14ac:dyDescent="0.25">
      <c r="B675" s="478" t="s">
        <v>934</v>
      </c>
      <c r="C675" s="450">
        <f t="shared" ref="C675:O675" si="436">C674+C667+C664</f>
        <v>0</v>
      </c>
      <c r="D675" s="450">
        <f t="shared" si="436"/>
        <v>5879</v>
      </c>
      <c r="E675" s="450">
        <f t="shared" si="436"/>
        <v>10041.007999999998</v>
      </c>
      <c r="F675" s="450">
        <f t="shared" si="436"/>
        <v>10612.958500000002</v>
      </c>
      <c r="G675" s="450">
        <f t="shared" si="436"/>
        <v>10497.6552835</v>
      </c>
      <c r="H675" s="450">
        <f t="shared" si="436"/>
        <v>11527.152834337512</v>
      </c>
      <c r="I675" s="450">
        <f t="shared" si="436"/>
        <v>11513.696290195934</v>
      </c>
      <c r="J675" s="450">
        <f t="shared" si="436"/>
        <v>11070.914667102357</v>
      </c>
      <c r="K675" s="450">
        <f t="shared" si="436"/>
        <v>11293.207034018467</v>
      </c>
      <c r="L675" s="450">
        <f t="shared" si="436"/>
        <v>11123.449493682187</v>
      </c>
      <c r="M675" s="450">
        <f t="shared" si="436"/>
        <v>11335.241088694591</v>
      </c>
      <c r="N675" s="450">
        <f t="shared" si="436"/>
        <v>10255.36542463932</v>
      </c>
      <c r="O675" s="450">
        <f t="shared" si="436"/>
        <v>8388.8441970939966</v>
      </c>
      <c r="AA675" s="485"/>
      <c r="AB675" s="485"/>
      <c r="AC675" s="485"/>
    </row>
    <row r="676" spans="2:31" ht="14.4" thickBot="1" x14ac:dyDescent="0.3">
      <c r="B676" s="493"/>
      <c r="C676" s="494"/>
      <c r="D676" s="494"/>
      <c r="E676" s="494"/>
      <c r="F676" s="494"/>
      <c r="G676" s="494"/>
      <c r="H676" s="494"/>
      <c r="I676" s="494"/>
      <c r="J676" s="494"/>
      <c r="K676" s="494"/>
      <c r="L676" s="494"/>
      <c r="M676" s="494"/>
      <c r="N676" s="494"/>
      <c r="O676" s="494"/>
      <c r="AA676" s="485"/>
      <c r="AB676" s="485"/>
      <c r="AC676" s="485"/>
    </row>
    <row r="677" spans="2:31" x14ac:dyDescent="0.25">
      <c r="AA677" s="485"/>
      <c r="AB677" s="485"/>
      <c r="AC677" s="485"/>
    </row>
    <row r="678" spans="2:31" ht="15" hidden="1" outlineLevel="1" x14ac:dyDescent="0.25">
      <c r="B678" s="422" t="s">
        <v>81</v>
      </c>
      <c r="C678" s="423">
        <f t="shared" ref="C678:L678" si="437">C644</f>
        <v>2015</v>
      </c>
      <c r="D678" s="423">
        <f t="shared" si="437"/>
        <v>2016</v>
      </c>
      <c r="E678" s="423">
        <f t="shared" si="437"/>
        <v>2017</v>
      </c>
      <c r="F678" s="423">
        <f t="shared" si="437"/>
        <v>2018</v>
      </c>
      <c r="G678" s="423">
        <f t="shared" si="437"/>
        <v>2019</v>
      </c>
      <c r="H678" s="423">
        <f t="shared" si="437"/>
        <v>2020</v>
      </c>
      <c r="I678" s="423">
        <f t="shared" si="437"/>
        <v>2021</v>
      </c>
      <c r="J678" s="423">
        <f t="shared" si="437"/>
        <v>2022</v>
      </c>
      <c r="K678" s="423">
        <f t="shared" si="437"/>
        <v>2023</v>
      </c>
      <c r="L678" s="423">
        <f t="shared" si="437"/>
        <v>2024</v>
      </c>
      <c r="M678" s="423">
        <f>M644</f>
        <v>2025</v>
      </c>
      <c r="N678" s="423">
        <f>N644</f>
        <v>2026</v>
      </c>
      <c r="O678" s="423">
        <f>O644</f>
        <v>2027</v>
      </c>
      <c r="AA678" s="485"/>
      <c r="AB678" s="485"/>
      <c r="AC678" s="485"/>
    </row>
    <row r="679" spans="2:31" ht="15.75" hidden="1" outlineLevel="1" thickBot="1" x14ac:dyDescent="0.3">
      <c r="B679" s="425"/>
      <c r="C679" s="475" t="s">
        <v>875</v>
      </c>
      <c r="D679" s="475" t="s">
        <v>875</v>
      </c>
      <c r="E679" s="475" t="s">
        <v>875</v>
      </c>
      <c r="F679" s="475" t="s">
        <v>875</v>
      </c>
      <c r="G679" s="475" t="s">
        <v>875</v>
      </c>
      <c r="H679" s="475" t="s">
        <v>875</v>
      </c>
      <c r="I679" s="475" t="s">
        <v>875</v>
      </c>
      <c r="J679" s="475" t="s">
        <v>875</v>
      </c>
      <c r="K679" s="475" t="s">
        <v>875</v>
      </c>
      <c r="L679" s="475" t="s">
        <v>875</v>
      </c>
      <c r="M679" s="475" t="s">
        <v>875</v>
      </c>
      <c r="N679" s="475" t="s">
        <v>875</v>
      </c>
      <c r="O679" s="475" t="s">
        <v>875</v>
      </c>
      <c r="AA679" s="485"/>
      <c r="AB679" s="485"/>
      <c r="AC679" s="485"/>
    </row>
    <row r="680" spans="2:31" ht="14.25" hidden="1" outlineLevel="1" x14ac:dyDescent="0.2">
      <c r="B680" s="480"/>
      <c r="C680" s="468"/>
      <c r="D680" s="468"/>
      <c r="E680" s="468"/>
      <c r="F680" s="468"/>
      <c r="G680" s="468"/>
      <c r="H680" s="468"/>
      <c r="I680" s="468"/>
      <c r="J680" s="468"/>
      <c r="K680" s="468"/>
      <c r="L680" s="468"/>
      <c r="M680" s="468"/>
      <c r="N680" s="468"/>
      <c r="O680" s="468"/>
      <c r="AA680" s="485"/>
      <c r="AB680" s="485"/>
      <c r="AC680" s="485"/>
    </row>
    <row r="681" spans="2:31" ht="15" hidden="1" outlineLevel="1" x14ac:dyDescent="0.25">
      <c r="B681" s="478" t="s">
        <v>35</v>
      </c>
      <c r="C681" s="470"/>
      <c r="D681" s="470"/>
      <c r="E681" s="470"/>
      <c r="F681" s="470"/>
      <c r="G681" s="470"/>
      <c r="H681" s="470"/>
      <c r="I681" s="470"/>
      <c r="J681" s="470"/>
      <c r="K681" s="470"/>
      <c r="L681" s="470"/>
      <c r="M681" s="470"/>
      <c r="N681" s="470"/>
      <c r="O681" s="470"/>
      <c r="AA681" s="485"/>
      <c r="AB681" s="485"/>
      <c r="AC681" s="485"/>
    </row>
    <row r="682" spans="2:31" ht="14.25" hidden="1" outlineLevel="1" x14ac:dyDescent="0.2">
      <c r="B682" s="428"/>
      <c r="C682" s="470"/>
      <c r="D682" s="470"/>
      <c r="E682" s="470"/>
      <c r="F682" s="470"/>
      <c r="G682" s="470"/>
      <c r="H682" s="470"/>
      <c r="I682" s="470"/>
      <c r="J682" s="470"/>
      <c r="K682" s="470"/>
      <c r="L682" s="470"/>
      <c r="M682" s="470"/>
      <c r="N682" s="470"/>
      <c r="O682" s="470"/>
      <c r="AA682" s="485"/>
      <c r="AB682" s="485"/>
      <c r="AC682" s="485"/>
    </row>
    <row r="683" spans="2:31" ht="15" hidden="1" outlineLevel="1" x14ac:dyDescent="0.25">
      <c r="B683" s="428" t="s">
        <v>935</v>
      </c>
      <c r="C683" s="496"/>
      <c r="D683" s="496"/>
      <c r="E683" s="496"/>
      <c r="F683" s="496"/>
      <c r="G683" s="496"/>
      <c r="H683" s="496"/>
      <c r="I683" s="496"/>
      <c r="J683" s="496"/>
      <c r="K683" s="496"/>
      <c r="L683" s="496"/>
      <c r="M683" s="495"/>
      <c r="N683" s="495"/>
      <c r="O683" s="495"/>
      <c r="AA683" s="485"/>
      <c r="AB683" s="485"/>
      <c r="AC683" s="485"/>
      <c r="AE683" s="424">
        <v>6</v>
      </c>
    </row>
    <row r="684" spans="2:31" ht="15" hidden="1" outlineLevel="1" x14ac:dyDescent="0.25">
      <c r="B684" s="428" t="s">
        <v>38</v>
      </c>
      <c r="C684" s="496"/>
      <c r="D684" s="496"/>
      <c r="E684" s="496"/>
      <c r="F684" s="496"/>
      <c r="G684" s="496"/>
      <c r="H684" s="496"/>
      <c r="I684" s="496"/>
      <c r="J684" s="496"/>
      <c r="K684" s="496"/>
      <c r="L684" s="496"/>
      <c r="M684" s="495"/>
      <c r="N684" s="495"/>
      <c r="O684" s="495"/>
    </row>
    <row r="685" spans="2:31" ht="15" hidden="1" outlineLevel="1" x14ac:dyDescent="0.25">
      <c r="B685" s="428" t="s">
        <v>39</v>
      </c>
      <c r="C685" s="496"/>
      <c r="D685" s="496"/>
      <c r="E685" s="496"/>
      <c r="F685" s="496"/>
      <c r="G685" s="496"/>
      <c r="H685" s="496"/>
      <c r="I685" s="496"/>
      <c r="J685" s="496"/>
      <c r="K685" s="496"/>
      <c r="L685" s="496"/>
      <c r="M685" s="495"/>
      <c r="N685" s="495"/>
      <c r="O685" s="495"/>
    </row>
    <row r="686" spans="2:31" ht="15" hidden="1" outlineLevel="1" x14ac:dyDescent="0.25">
      <c r="B686" s="428" t="s">
        <v>40</v>
      </c>
      <c r="C686" s="496"/>
      <c r="D686" s="496"/>
      <c r="E686" s="496"/>
      <c r="F686" s="496"/>
      <c r="G686" s="496"/>
      <c r="H686" s="496"/>
      <c r="I686" s="496"/>
      <c r="J686" s="496"/>
      <c r="K686" s="496"/>
      <c r="L686" s="496"/>
      <c r="M686" s="495"/>
      <c r="N686" s="495"/>
      <c r="O686" s="495"/>
    </row>
    <row r="687" spans="2:31" ht="15" hidden="1" outlineLevel="1" x14ac:dyDescent="0.25">
      <c r="B687" s="428" t="s">
        <v>41</v>
      </c>
      <c r="C687" s="496"/>
      <c r="D687" s="496"/>
      <c r="E687" s="496"/>
      <c r="F687" s="496"/>
      <c r="G687" s="496"/>
      <c r="H687" s="496"/>
      <c r="I687" s="496"/>
      <c r="J687" s="496"/>
      <c r="K687" s="496"/>
      <c r="L687" s="496"/>
      <c r="M687" s="495"/>
      <c r="N687" s="495"/>
      <c r="O687" s="495"/>
    </row>
    <row r="688" spans="2:31" ht="15" hidden="1" outlineLevel="1" x14ac:dyDescent="0.25">
      <c r="B688" s="428" t="s">
        <v>936</v>
      </c>
      <c r="C688" s="496"/>
      <c r="D688" s="496"/>
      <c r="E688" s="496"/>
      <c r="F688" s="496"/>
      <c r="G688" s="496"/>
      <c r="H688" s="496"/>
      <c r="I688" s="496"/>
      <c r="J688" s="496"/>
      <c r="K688" s="496"/>
      <c r="L688" s="496"/>
      <c r="M688" s="495"/>
      <c r="N688" s="495"/>
      <c r="O688" s="495"/>
      <c r="P688" s="485"/>
      <c r="R688" s="485"/>
      <c r="T688" s="485"/>
      <c r="U688" s="485"/>
      <c r="V688" s="485"/>
      <c r="W688" s="485"/>
      <c r="X688" s="485"/>
      <c r="Y688" s="485"/>
      <c r="Z688" s="485"/>
      <c r="AA688" s="485"/>
      <c r="AB688" s="485"/>
      <c r="AC688" s="485"/>
    </row>
    <row r="689" spans="2:29" ht="15" hidden="1" outlineLevel="1" x14ac:dyDescent="0.25">
      <c r="B689" s="478" t="s">
        <v>42</v>
      </c>
      <c r="C689" s="486">
        <f t="shared" ref="C689" si="438">SUM(C683:C688)</f>
        <v>0</v>
      </c>
      <c r="D689" s="486">
        <f t="shared" ref="D689:L689" si="439">SUM(D683:D688)</f>
        <v>0</v>
      </c>
      <c r="E689" s="486">
        <f t="shared" si="439"/>
        <v>0</v>
      </c>
      <c r="F689" s="486">
        <f t="shared" si="439"/>
        <v>0</v>
      </c>
      <c r="G689" s="486">
        <f t="shared" si="439"/>
        <v>0</v>
      </c>
      <c r="H689" s="486">
        <f t="shared" si="439"/>
        <v>0</v>
      </c>
      <c r="I689" s="486">
        <f t="shared" si="439"/>
        <v>0</v>
      </c>
      <c r="J689" s="486">
        <f t="shared" si="439"/>
        <v>0</v>
      </c>
      <c r="K689" s="486">
        <f t="shared" si="439"/>
        <v>0</v>
      </c>
      <c r="L689" s="486">
        <f t="shared" si="439"/>
        <v>0</v>
      </c>
      <c r="M689" s="486">
        <f>SUM(M683:M688)</f>
        <v>0</v>
      </c>
      <c r="N689" s="486">
        <f>SUM(N683:N688)</f>
        <v>0</v>
      </c>
      <c r="O689" s="486">
        <f>SUM(O683:O688)</f>
        <v>0</v>
      </c>
    </row>
    <row r="690" spans="2:29" ht="14.25" hidden="1" outlineLevel="1" x14ac:dyDescent="0.2">
      <c r="B690" s="428"/>
      <c r="C690" s="488"/>
      <c r="D690" s="488"/>
      <c r="E690" s="488"/>
      <c r="F690" s="488"/>
      <c r="G690" s="488"/>
      <c r="H690" s="488"/>
      <c r="I690" s="488"/>
      <c r="J690" s="488"/>
      <c r="K690" s="488"/>
      <c r="L690" s="488"/>
      <c r="M690" s="488"/>
      <c r="N690" s="488"/>
      <c r="O690" s="488"/>
    </row>
    <row r="691" spans="2:29" ht="15" hidden="1" outlineLevel="1" x14ac:dyDescent="0.25">
      <c r="B691" s="428" t="s">
        <v>937</v>
      </c>
      <c r="C691" s="496"/>
      <c r="D691" s="496"/>
      <c r="E691" s="496"/>
      <c r="F691" s="496"/>
      <c r="G691" s="496"/>
      <c r="H691" s="496"/>
      <c r="I691" s="496"/>
      <c r="J691" s="496"/>
      <c r="K691" s="496"/>
      <c r="L691" s="496"/>
      <c r="M691" s="495"/>
      <c r="N691" s="495"/>
      <c r="O691" s="495"/>
      <c r="P691" s="485"/>
      <c r="R691" s="485"/>
      <c r="T691" s="485"/>
      <c r="U691" s="485"/>
      <c r="V691" s="485"/>
      <c r="W691" s="485"/>
      <c r="X691" s="485"/>
      <c r="Y691" s="485"/>
      <c r="Z691" s="485"/>
      <c r="AA691" s="485"/>
      <c r="AB691" s="485"/>
      <c r="AC691" s="485"/>
    </row>
    <row r="692" spans="2:29" ht="15" hidden="1" outlineLevel="1" x14ac:dyDescent="0.25">
      <c r="B692" s="428" t="s">
        <v>38</v>
      </c>
      <c r="C692" s="496"/>
      <c r="D692" s="496"/>
      <c r="E692" s="496"/>
      <c r="F692" s="496"/>
      <c r="G692" s="496"/>
      <c r="H692" s="496"/>
      <c r="I692" s="496"/>
      <c r="J692" s="496"/>
      <c r="K692" s="496"/>
      <c r="L692" s="496"/>
      <c r="M692" s="495"/>
      <c r="N692" s="495"/>
      <c r="O692" s="495"/>
    </row>
    <row r="693" spans="2:29" ht="15" hidden="1" outlineLevel="1" x14ac:dyDescent="0.25">
      <c r="B693" s="428" t="s">
        <v>39</v>
      </c>
      <c r="C693" s="496"/>
      <c r="D693" s="496"/>
      <c r="E693" s="496"/>
      <c r="F693" s="496"/>
      <c r="G693" s="496"/>
      <c r="H693" s="496"/>
      <c r="I693" s="496"/>
      <c r="J693" s="496"/>
      <c r="K693" s="496"/>
      <c r="L693" s="496"/>
      <c r="M693" s="495"/>
      <c r="N693" s="495"/>
      <c r="O693" s="495"/>
    </row>
    <row r="694" spans="2:29" ht="15" hidden="1" outlineLevel="1" x14ac:dyDescent="0.25">
      <c r="B694" s="428" t="s">
        <v>40</v>
      </c>
      <c r="C694" s="496"/>
      <c r="D694" s="496"/>
      <c r="E694" s="496"/>
      <c r="F694" s="496"/>
      <c r="G694" s="496"/>
      <c r="H694" s="496"/>
      <c r="I694" s="496"/>
      <c r="J694" s="496"/>
      <c r="K694" s="496"/>
      <c r="L694" s="496"/>
      <c r="M694" s="495"/>
      <c r="N694" s="495"/>
      <c r="O694" s="495"/>
    </row>
    <row r="695" spans="2:29" ht="15" hidden="1" outlineLevel="1" x14ac:dyDescent="0.25">
      <c r="B695" s="428" t="s">
        <v>938</v>
      </c>
      <c r="C695" s="496"/>
      <c r="D695" s="496"/>
      <c r="E695" s="496"/>
      <c r="F695" s="496"/>
      <c r="G695" s="496"/>
      <c r="H695" s="496"/>
      <c r="I695" s="496"/>
      <c r="J695" s="496"/>
      <c r="K695" s="496"/>
      <c r="L695" s="496"/>
      <c r="M695" s="495"/>
      <c r="N695" s="495"/>
      <c r="O695" s="495"/>
    </row>
    <row r="696" spans="2:29" ht="15" hidden="1" outlineLevel="1" x14ac:dyDescent="0.25">
      <c r="B696" s="428" t="s">
        <v>939</v>
      </c>
      <c r="C696" s="496"/>
      <c r="D696" s="496"/>
      <c r="E696" s="496"/>
      <c r="F696" s="496"/>
      <c r="G696" s="496"/>
      <c r="H696" s="496"/>
      <c r="I696" s="496"/>
      <c r="J696" s="496"/>
      <c r="K696" s="496"/>
      <c r="L696" s="496"/>
      <c r="M696" s="495"/>
      <c r="N696" s="495"/>
      <c r="O696" s="495"/>
    </row>
    <row r="697" spans="2:29" ht="15" hidden="1" outlineLevel="1" x14ac:dyDescent="0.25">
      <c r="B697" s="428" t="s">
        <v>940</v>
      </c>
      <c r="C697" s="496"/>
      <c r="D697" s="496"/>
      <c r="E697" s="496"/>
      <c r="F697" s="496"/>
      <c r="G697" s="496"/>
      <c r="H697" s="496"/>
      <c r="I697" s="496"/>
      <c r="J697" s="496"/>
      <c r="K697" s="496"/>
      <c r="L697" s="496"/>
      <c r="M697" s="495"/>
      <c r="N697" s="495"/>
      <c r="O697" s="495"/>
    </row>
    <row r="698" spans="2:29" ht="15" hidden="1" outlineLevel="1" x14ac:dyDescent="0.25">
      <c r="B698" s="478" t="s">
        <v>941</v>
      </c>
      <c r="C698" s="486">
        <f>SUM(C691:C697)</f>
        <v>0</v>
      </c>
      <c r="D698" s="486">
        <f>SUM(D691:D697)</f>
        <v>0</v>
      </c>
      <c r="E698" s="486">
        <f t="shared" ref="E698:L698" si="440">SUM(E691:E697)</f>
        <v>0</v>
      </c>
      <c r="F698" s="486">
        <f t="shared" si="440"/>
        <v>0</v>
      </c>
      <c r="G698" s="486">
        <f t="shared" si="440"/>
        <v>0</v>
      </c>
      <c r="H698" s="486">
        <f t="shared" si="440"/>
        <v>0</v>
      </c>
      <c r="I698" s="486">
        <f t="shared" si="440"/>
        <v>0</v>
      </c>
      <c r="J698" s="486">
        <f t="shared" si="440"/>
        <v>0</v>
      </c>
      <c r="K698" s="486">
        <f t="shared" si="440"/>
        <v>0</v>
      </c>
      <c r="L698" s="486">
        <f t="shared" si="440"/>
        <v>0</v>
      </c>
      <c r="M698" s="486">
        <f>SUM(M691:M697)</f>
        <v>0</v>
      </c>
      <c r="N698" s="486">
        <f>SUM(N691:N697)</f>
        <v>0</v>
      </c>
      <c r="O698" s="486">
        <f>SUM(O691:O697)</f>
        <v>0</v>
      </c>
    </row>
    <row r="699" spans="2:29" ht="14.25" hidden="1" outlineLevel="1" x14ac:dyDescent="0.2">
      <c r="B699" s="428"/>
      <c r="C699" s="488"/>
      <c r="D699" s="488"/>
      <c r="E699" s="488"/>
      <c r="F699" s="488"/>
      <c r="G699" s="488"/>
      <c r="H699" s="488"/>
      <c r="I699" s="488"/>
      <c r="J699" s="488"/>
      <c r="K699" s="488"/>
      <c r="L699" s="488"/>
      <c r="M699" s="488"/>
      <c r="N699" s="488"/>
      <c r="O699" s="488"/>
    </row>
    <row r="700" spans="2:29" ht="15.75" hidden="1" outlineLevel="1" thickBot="1" x14ac:dyDescent="0.3">
      <c r="B700" s="478" t="s">
        <v>46</v>
      </c>
      <c r="C700" s="483">
        <f t="shared" ref="C700:L700" si="441">C689+C698</f>
        <v>0</v>
      </c>
      <c r="D700" s="483">
        <f t="shared" si="441"/>
        <v>0</v>
      </c>
      <c r="E700" s="483">
        <f t="shared" si="441"/>
        <v>0</v>
      </c>
      <c r="F700" s="483">
        <f t="shared" si="441"/>
        <v>0</v>
      </c>
      <c r="G700" s="483">
        <f t="shared" si="441"/>
        <v>0</v>
      </c>
      <c r="H700" s="483">
        <f t="shared" si="441"/>
        <v>0</v>
      </c>
      <c r="I700" s="483">
        <f t="shared" si="441"/>
        <v>0</v>
      </c>
      <c r="J700" s="483">
        <f t="shared" si="441"/>
        <v>0</v>
      </c>
      <c r="K700" s="483">
        <f t="shared" si="441"/>
        <v>0</v>
      </c>
      <c r="L700" s="483">
        <f t="shared" si="441"/>
        <v>0</v>
      </c>
      <c r="M700" s="483">
        <f>M689+M698</f>
        <v>0</v>
      </c>
      <c r="N700" s="483">
        <f>N689+N698</f>
        <v>0</v>
      </c>
      <c r="O700" s="483">
        <f>O689+O698</f>
        <v>0</v>
      </c>
    </row>
    <row r="701" spans="2:29" ht="15" hidden="1" outlineLevel="1" x14ac:dyDescent="0.25">
      <c r="B701" s="478"/>
      <c r="C701" s="497"/>
      <c r="D701" s="497"/>
      <c r="E701" s="497"/>
      <c r="F701" s="497"/>
      <c r="G701" s="497"/>
      <c r="H701" s="497"/>
      <c r="I701" s="497"/>
      <c r="J701" s="497"/>
      <c r="K701" s="497"/>
      <c r="L701" s="497"/>
      <c r="M701" s="497"/>
      <c r="N701" s="497"/>
      <c r="O701" s="497"/>
    </row>
    <row r="702" spans="2:29" ht="15" hidden="1" outlineLevel="1" x14ac:dyDescent="0.25">
      <c r="B702" s="478" t="s">
        <v>47</v>
      </c>
      <c r="C702" s="497"/>
      <c r="D702" s="497"/>
      <c r="E702" s="497"/>
      <c r="F702" s="497"/>
      <c r="G702" s="497"/>
      <c r="H702" s="497"/>
      <c r="I702" s="497"/>
      <c r="J702" s="497"/>
      <c r="K702" s="497"/>
      <c r="L702" s="497"/>
      <c r="M702" s="497"/>
      <c r="N702" s="497"/>
      <c r="O702" s="497"/>
    </row>
    <row r="703" spans="2:29" ht="14.25" hidden="1" outlineLevel="1" x14ac:dyDescent="0.2">
      <c r="B703" s="428"/>
      <c r="C703" s="488"/>
      <c r="D703" s="488"/>
      <c r="E703" s="488"/>
      <c r="F703" s="488"/>
      <c r="G703" s="488"/>
      <c r="H703" s="488"/>
      <c r="I703" s="488"/>
      <c r="J703" s="488"/>
      <c r="K703" s="488"/>
      <c r="L703" s="488"/>
      <c r="M703" s="488"/>
      <c r="N703" s="488"/>
      <c r="O703" s="488"/>
    </row>
    <row r="704" spans="2:29" ht="15" hidden="1" outlineLevel="1" x14ac:dyDescent="0.25">
      <c r="B704" s="428" t="s">
        <v>942</v>
      </c>
      <c r="C704" s="496"/>
      <c r="D704" s="496"/>
      <c r="E704" s="496"/>
      <c r="F704" s="496"/>
      <c r="G704" s="496"/>
      <c r="H704" s="496"/>
      <c r="I704" s="496"/>
      <c r="J704" s="496"/>
      <c r="K704" s="496"/>
      <c r="L704" s="496"/>
      <c r="M704" s="495"/>
      <c r="N704" s="495"/>
      <c r="O704" s="495"/>
    </row>
    <row r="705" spans="2:15" ht="15" hidden="1" outlineLevel="1" x14ac:dyDescent="0.25">
      <c r="B705" s="428" t="s">
        <v>49</v>
      </c>
      <c r="C705" s="496"/>
      <c r="D705" s="496"/>
      <c r="E705" s="496"/>
      <c r="F705" s="496"/>
      <c r="G705" s="496"/>
      <c r="H705" s="496"/>
      <c r="I705" s="496"/>
      <c r="J705" s="496"/>
      <c r="K705" s="496"/>
      <c r="L705" s="496"/>
      <c r="M705" s="495"/>
      <c r="N705" s="495"/>
      <c r="O705" s="495"/>
    </row>
    <row r="706" spans="2:15" ht="15" hidden="1" outlineLevel="1" x14ac:dyDescent="0.25">
      <c r="B706" s="428" t="s">
        <v>50</v>
      </c>
      <c r="C706" s="496"/>
      <c r="D706" s="496"/>
      <c r="E706" s="496"/>
      <c r="F706" s="496"/>
      <c r="G706" s="496"/>
      <c r="H706" s="496"/>
      <c r="I706" s="496"/>
      <c r="J706" s="496"/>
      <c r="K706" s="496"/>
      <c r="L706" s="496"/>
      <c r="M706" s="495"/>
      <c r="N706" s="495"/>
      <c r="O706" s="495"/>
    </row>
    <row r="707" spans="2:15" ht="15" hidden="1" outlineLevel="1" x14ac:dyDescent="0.25">
      <c r="B707" s="478" t="s">
        <v>51</v>
      </c>
      <c r="C707" s="486">
        <f t="shared" ref="C707:L707" si="442">SUM(C704:C706)</f>
        <v>0</v>
      </c>
      <c r="D707" s="486">
        <f t="shared" si="442"/>
        <v>0</v>
      </c>
      <c r="E707" s="486">
        <f t="shared" si="442"/>
        <v>0</v>
      </c>
      <c r="F707" s="486">
        <f t="shared" si="442"/>
        <v>0</v>
      </c>
      <c r="G707" s="486">
        <f t="shared" si="442"/>
        <v>0</v>
      </c>
      <c r="H707" s="486">
        <f t="shared" si="442"/>
        <v>0</v>
      </c>
      <c r="I707" s="486">
        <f t="shared" si="442"/>
        <v>0</v>
      </c>
      <c r="J707" s="486">
        <f t="shared" si="442"/>
        <v>0</v>
      </c>
      <c r="K707" s="486">
        <f t="shared" si="442"/>
        <v>0</v>
      </c>
      <c r="L707" s="486">
        <f t="shared" si="442"/>
        <v>0</v>
      </c>
      <c r="M707" s="486">
        <f>SUM(M704:M706)</f>
        <v>0</v>
      </c>
      <c r="N707" s="486">
        <f>SUM(N704:N706)</f>
        <v>0</v>
      </c>
      <c r="O707" s="486">
        <f>SUM(O704:O706)</f>
        <v>0</v>
      </c>
    </row>
    <row r="708" spans="2:15" ht="14.25" hidden="1" outlineLevel="1" x14ac:dyDescent="0.2">
      <c r="B708" s="428"/>
      <c r="C708" s="488"/>
      <c r="D708" s="488"/>
      <c r="E708" s="488"/>
      <c r="F708" s="488"/>
      <c r="G708" s="488"/>
      <c r="H708" s="488"/>
      <c r="I708" s="488"/>
      <c r="J708" s="488"/>
      <c r="K708" s="488"/>
      <c r="L708" s="488"/>
      <c r="M708" s="488"/>
      <c r="N708" s="488"/>
      <c r="O708" s="488"/>
    </row>
    <row r="709" spans="2:15" ht="14.25" hidden="1" outlineLevel="1" x14ac:dyDescent="0.2">
      <c r="B709" s="428"/>
      <c r="C709" s="488"/>
      <c r="D709" s="488"/>
      <c r="E709" s="488"/>
      <c r="F709" s="488"/>
      <c r="G709" s="488"/>
      <c r="H709" s="488"/>
      <c r="I709" s="488"/>
      <c r="J709" s="488"/>
      <c r="K709" s="488"/>
      <c r="L709" s="488"/>
      <c r="M709" s="488"/>
      <c r="N709" s="488"/>
      <c r="O709" s="488"/>
    </row>
    <row r="710" spans="2:15" ht="15" hidden="1" outlineLevel="1" x14ac:dyDescent="0.25">
      <c r="B710" s="428" t="s">
        <v>943</v>
      </c>
      <c r="C710" s="496"/>
      <c r="D710" s="496"/>
      <c r="E710" s="496"/>
      <c r="F710" s="496"/>
      <c r="G710" s="496"/>
      <c r="H710" s="496"/>
      <c r="I710" s="496"/>
      <c r="J710" s="496"/>
      <c r="K710" s="496"/>
      <c r="L710" s="496"/>
      <c r="M710" s="495"/>
      <c r="N710" s="495"/>
      <c r="O710" s="495"/>
    </row>
    <row r="711" spans="2:15" ht="15" hidden="1" outlineLevel="1" x14ac:dyDescent="0.25">
      <c r="B711" s="428" t="s">
        <v>49</v>
      </c>
      <c r="C711" s="496"/>
      <c r="D711" s="496"/>
      <c r="E711" s="496"/>
      <c r="F711" s="496"/>
      <c r="G711" s="496"/>
      <c r="H711" s="496"/>
      <c r="I711" s="496"/>
      <c r="J711" s="496"/>
      <c r="K711" s="496"/>
      <c r="L711" s="496"/>
      <c r="M711" s="495"/>
      <c r="N711" s="495"/>
      <c r="O711" s="495"/>
    </row>
    <row r="712" spans="2:15" ht="15" hidden="1" outlineLevel="1" x14ac:dyDescent="0.25">
      <c r="B712" s="428" t="s">
        <v>50</v>
      </c>
      <c r="C712" s="496"/>
      <c r="D712" s="496"/>
      <c r="E712" s="496"/>
      <c r="F712" s="496"/>
      <c r="G712" s="496"/>
      <c r="H712" s="496"/>
      <c r="I712" s="496"/>
      <c r="J712" s="496"/>
      <c r="K712" s="496"/>
      <c r="L712" s="496"/>
      <c r="M712" s="495"/>
      <c r="N712" s="495"/>
      <c r="O712" s="495"/>
    </row>
    <row r="713" spans="2:15" ht="15" hidden="1" outlineLevel="1" x14ac:dyDescent="0.25">
      <c r="B713" s="478" t="s">
        <v>944</v>
      </c>
      <c r="C713" s="486">
        <f t="shared" ref="C713:E713" si="443">SUM(C709:C712)</f>
        <v>0</v>
      </c>
      <c r="D713" s="486">
        <f t="shared" si="443"/>
        <v>0</v>
      </c>
      <c r="E713" s="486">
        <f t="shared" si="443"/>
        <v>0</v>
      </c>
      <c r="F713" s="486">
        <f>SUM(F709:F712)</f>
        <v>0</v>
      </c>
      <c r="G713" s="486">
        <f t="shared" ref="G713:L713" si="444">SUM(G709:G712)</f>
        <v>0</v>
      </c>
      <c r="H713" s="486">
        <f t="shared" si="444"/>
        <v>0</v>
      </c>
      <c r="I713" s="486">
        <f t="shared" si="444"/>
        <v>0</v>
      </c>
      <c r="J713" s="486">
        <f t="shared" si="444"/>
        <v>0</v>
      </c>
      <c r="K713" s="486">
        <f t="shared" si="444"/>
        <v>0</v>
      </c>
      <c r="L713" s="486">
        <f t="shared" si="444"/>
        <v>0</v>
      </c>
      <c r="M713" s="486">
        <f>SUM(M709:M712)</f>
        <v>0</v>
      </c>
      <c r="N713" s="486">
        <f>SUM(N709:N712)</f>
        <v>0</v>
      </c>
      <c r="O713" s="486">
        <f>SUM(O709:O712)</f>
        <v>0</v>
      </c>
    </row>
    <row r="714" spans="2:15" ht="14.25" hidden="1" outlineLevel="1" x14ac:dyDescent="0.2">
      <c r="B714" s="428"/>
      <c r="C714" s="488"/>
      <c r="D714" s="488"/>
      <c r="E714" s="488"/>
      <c r="F714" s="488"/>
      <c r="G714" s="488"/>
      <c r="H714" s="488"/>
      <c r="I714" s="488"/>
      <c r="J714" s="488"/>
      <c r="K714" s="488"/>
      <c r="L714" s="488"/>
      <c r="M714" s="488"/>
      <c r="N714" s="488"/>
      <c r="O714" s="488"/>
    </row>
    <row r="715" spans="2:15" ht="15.75" hidden="1" outlineLevel="1" thickBot="1" x14ac:dyDescent="0.3">
      <c r="B715" s="498" t="s">
        <v>945</v>
      </c>
      <c r="C715" s="483">
        <f t="shared" ref="C715:E715" si="445">C700-C707-C713</f>
        <v>0</v>
      </c>
      <c r="D715" s="483">
        <f t="shared" si="445"/>
        <v>0</v>
      </c>
      <c r="E715" s="483">
        <f t="shared" si="445"/>
        <v>0</v>
      </c>
      <c r="F715" s="483">
        <f>F700-F707-F713</f>
        <v>0</v>
      </c>
      <c r="G715" s="483">
        <f t="shared" ref="G715:L715" si="446">G700-G707-G713</f>
        <v>0</v>
      </c>
      <c r="H715" s="483">
        <f t="shared" si="446"/>
        <v>0</v>
      </c>
      <c r="I715" s="483">
        <f t="shared" si="446"/>
        <v>0</v>
      </c>
      <c r="J715" s="483">
        <f t="shared" si="446"/>
        <v>0</v>
      </c>
      <c r="K715" s="483">
        <f t="shared" si="446"/>
        <v>0</v>
      </c>
      <c r="L715" s="483">
        <f t="shared" si="446"/>
        <v>0</v>
      </c>
      <c r="M715" s="483">
        <f>M700-M707-M713</f>
        <v>0</v>
      </c>
      <c r="N715" s="483">
        <f>N700-N707-N713</f>
        <v>0</v>
      </c>
      <c r="O715" s="483">
        <f>O700-O707-O713</f>
        <v>0</v>
      </c>
    </row>
    <row r="716" spans="2:15" ht="15" hidden="1" outlineLevel="1" x14ac:dyDescent="0.25">
      <c r="B716" s="478"/>
      <c r="C716" s="497"/>
      <c r="D716" s="497"/>
      <c r="E716" s="497"/>
      <c r="F716" s="497"/>
      <c r="G716" s="497"/>
      <c r="H716" s="497"/>
      <c r="I716" s="497"/>
      <c r="J716" s="497"/>
      <c r="K716" s="497"/>
      <c r="L716" s="497"/>
      <c r="M716" s="497"/>
      <c r="N716" s="497"/>
      <c r="O716" s="497"/>
    </row>
    <row r="717" spans="2:15" ht="15" hidden="1" outlineLevel="1" x14ac:dyDescent="0.25">
      <c r="B717" s="478" t="s">
        <v>56</v>
      </c>
      <c r="C717" s="497"/>
      <c r="D717" s="497"/>
      <c r="E717" s="497"/>
      <c r="F717" s="497"/>
      <c r="G717" s="497"/>
      <c r="H717" s="497"/>
      <c r="I717" s="497"/>
      <c r="J717" s="497"/>
      <c r="K717" s="497"/>
      <c r="L717" s="497"/>
      <c r="M717" s="497"/>
      <c r="N717" s="497"/>
      <c r="O717" s="497"/>
    </row>
    <row r="718" spans="2:15" ht="15" hidden="1" outlineLevel="1" x14ac:dyDescent="0.25">
      <c r="B718" s="478"/>
      <c r="C718" s="497"/>
      <c r="D718" s="497"/>
      <c r="E718" s="497"/>
      <c r="F718" s="497"/>
      <c r="G718" s="497"/>
      <c r="H718" s="497"/>
      <c r="I718" s="497"/>
      <c r="J718" s="497"/>
      <c r="K718" s="497"/>
      <c r="L718" s="497"/>
      <c r="M718" s="497"/>
      <c r="N718" s="497"/>
      <c r="O718" s="497"/>
    </row>
    <row r="719" spans="2:15" ht="15" hidden="1" outlineLevel="1" x14ac:dyDescent="0.25">
      <c r="B719" s="428" t="s">
        <v>57</v>
      </c>
      <c r="C719" s="496"/>
      <c r="D719" s="496"/>
      <c r="E719" s="496"/>
      <c r="F719" s="496"/>
      <c r="G719" s="496"/>
      <c r="H719" s="496"/>
      <c r="I719" s="496"/>
      <c r="J719" s="496"/>
      <c r="K719" s="496"/>
      <c r="L719" s="496"/>
      <c r="M719" s="495"/>
      <c r="N719" s="495"/>
      <c r="O719" s="495"/>
    </row>
    <row r="720" spans="2:15" ht="15" hidden="1" outlineLevel="1" x14ac:dyDescent="0.25">
      <c r="B720" s="428" t="s">
        <v>58</v>
      </c>
      <c r="C720" s="496"/>
      <c r="D720" s="496"/>
      <c r="E720" s="496"/>
      <c r="F720" s="496"/>
      <c r="G720" s="496"/>
      <c r="H720" s="496"/>
      <c r="I720" s="496"/>
      <c r="J720" s="496"/>
      <c r="K720" s="496"/>
      <c r="L720" s="496"/>
      <c r="M720" s="495"/>
      <c r="N720" s="495"/>
      <c r="O720" s="495"/>
    </row>
    <row r="721" spans="2:15" ht="15.75" hidden="1" outlineLevel="1" thickBot="1" x14ac:dyDescent="0.3">
      <c r="B721" s="478" t="s">
        <v>946</v>
      </c>
      <c r="C721" s="491">
        <f t="shared" ref="C721" si="447">SUM(C719:C720)</f>
        <v>0</v>
      </c>
      <c r="D721" s="491">
        <f t="shared" ref="D721:L721" si="448">SUM(D719:D720)</f>
        <v>0</v>
      </c>
      <c r="E721" s="491">
        <f t="shared" si="448"/>
        <v>0</v>
      </c>
      <c r="F721" s="491">
        <f t="shared" si="448"/>
        <v>0</v>
      </c>
      <c r="G721" s="491">
        <f t="shared" si="448"/>
        <v>0</v>
      </c>
      <c r="H721" s="491">
        <f t="shared" si="448"/>
        <v>0</v>
      </c>
      <c r="I721" s="491">
        <f t="shared" si="448"/>
        <v>0</v>
      </c>
      <c r="J721" s="491">
        <f t="shared" si="448"/>
        <v>0</v>
      </c>
      <c r="K721" s="491">
        <f t="shared" si="448"/>
        <v>0</v>
      </c>
      <c r="L721" s="491">
        <f t="shared" si="448"/>
        <v>0</v>
      </c>
      <c r="M721" s="491">
        <f>SUM(M719:M720)</f>
        <v>0</v>
      </c>
      <c r="N721" s="491">
        <f>SUM(N719:N720)</f>
        <v>0</v>
      </c>
      <c r="O721" s="491">
        <f>SUM(O719:O720)</f>
        <v>0</v>
      </c>
    </row>
    <row r="722" spans="2:15" ht="14.25" hidden="1" outlineLevel="1" x14ac:dyDescent="0.2">
      <c r="B722" s="428" t="s">
        <v>947</v>
      </c>
      <c r="C722" s="495"/>
      <c r="D722" s="495"/>
      <c r="E722" s="495"/>
      <c r="F722" s="495"/>
      <c r="G722" s="495"/>
      <c r="H722" s="495"/>
      <c r="I722" s="495"/>
      <c r="J722" s="495"/>
      <c r="K722" s="495"/>
      <c r="L722" s="495"/>
      <c r="M722" s="495"/>
      <c r="N722" s="495"/>
      <c r="O722" s="495"/>
    </row>
    <row r="723" spans="2:15" ht="15.75" hidden="1" outlineLevel="1" thickBot="1" x14ac:dyDescent="0.3">
      <c r="B723" s="478" t="s">
        <v>59</v>
      </c>
      <c r="C723" s="491">
        <f t="shared" ref="C723:L723" si="449">SUM(C721:C722)</f>
        <v>0</v>
      </c>
      <c r="D723" s="491">
        <f t="shared" si="449"/>
        <v>0</v>
      </c>
      <c r="E723" s="491">
        <f t="shared" si="449"/>
        <v>0</v>
      </c>
      <c r="F723" s="491">
        <f t="shared" si="449"/>
        <v>0</v>
      </c>
      <c r="G723" s="491">
        <f t="shared" si="449"/>
        <v>0</v>
      </c>
      <c r="H723" s="491">
        <f t="shared" si="449"/>
        <v>0</v>
      </c>
      <c r="I723" s="491">
        <f t="shared" si="449"/>
        <v>0</v>
      </c>
      <c r="J723" s="491">
        <f t="shared" si="449"/>
        <v>0</v>
      </c>
      <c r="K723" s="491">
        <f t="shared" si="449"/>
        <v>0</v>
      </c>
      <c r="L723" s="491">
        <f t="shared" si="449"/>
        <v>0</v>
      </c>
      <c r="M723" s="491">
        <f>SUM(M721:M722)</f>
        <v>0</v>
      </c>
      <c r="N723" s="491">
        <f>SUM(N721:N722)</f>
        <v>0</v>
      </c>
      <c r="O723" s="491">
        <f>SUM(O721:O722)</f>
        <v>0</v>
      </c>
    </row>
    <row r="724" spans="2:15" ht="15" hidden="1" outlineLevel="1" x14ac:dyDescent="0.25">
      <c r="B724" s="478"/>
      <c r="C724" s="499"/>
      <c r="D724" s="499"/>
      <c r="E724" s="499"/>
      <c r="F724" s="499"/>
      <c r="G724" s="499"/>
      <c r="H724" s="499"/>
      <c r="I724" s="499"/>
      <c r="J724" s="499"/>
      <c r="K724" s="499"/>
      <c r="L724" s="499"/>
      <c r="M724" s="499"/>
      <c r="N724" s="499"/>
      <c r="O724" s="499"/>
    </row>
    <row r="725" spans="2:15" ht="15" hidden="1" outlineLevel="1" x14ac:dyDescent="0.25">
      <c r="B725" s="428" t="s">
        <v>131</v>
      </c>
      <c r="C725" s="450">
        <f t="shared" ref="C725:L725" si="450">C723-C715</f>
        <v>0</v>
      </c>
      <c r="D725" s="450">
        <f t="shared" si="450"/>
        <v>0</v>
      </c>
      <c r="E725" s="450">
        <f t="shared" si="450"/>
        <v>0</v>
      </c>
      <c r="F725" s="450">
        <f t="shared" si="450"/>
        <v>0</v>
      </c>
      <c r="G725" s="450">
        <f t="shared" si="450"/>
        <v>0</v>
      </c>
      <c r="H725" s="450">
        <f t="shared" si="450"/>
        <v>0</v>
      </c>
      <c r="I725" s="450">
        <f t="shared" si="450"/>
        <v>0</v>
      </c>
      <c r="J725" s="450">
        <f t="shared" si="450"/>
        <v>0</v>
      </c>
      <c r="K725" s="450">
        <f t="shared" si="450"/>
        <v>0</v>
      </c>
      <c r="L725" s="450">
        <f t="shared" si="450"/>
        <v>0</v>
      </c>
      <c r="M725" s="450">
        <f>M723-M715</f>
        <v>0</v>
      </c>
      <c r="N725" s="450">
        <f>N723-N715</f>
        <v>0</v>
      </c>
      <c r="O725" s="450">
        <f>O723-O715</f>
        <v>0</v>
      </c>
    </row>
    <row r="726" spans="2:15" ht="15" hidden="1" outlineLevel="1" x14ac:dyDescent="0.25">
      <c r="B726" s="500" t="s">
        <v>948</v>
      </c>
      <c r="C726" s="476"/>
      <c r="D726" s="476"/>
      <c r="E726" s="476"/>
      <c r="F726" s="476"/>
      <c r="G726" s="476"/>
      <c r="H726" s="476"/>
      <c r="I726" s="476"/>
      <c r="J726" s="476"/>
      <c r="K726" s="476"/>
      <c r="L726" s="476"/>
      <c r="M726" s="476"/>
      <c r="N726" s="476"/>
      <c r="O726" s="476"/>
    </row>
    <row r="727" spans="2:15" ht="15" hidden="1" outlineLevel="1" x14ac:dyDescent="0.25">
      <c r="B727" s="426" t="str">
        <f>B660</f>
        <v>Income excl Gains\losses</v>
      </c>
      <c r="C727" s="501"/>
      <c r="D727" s="501"/>
      <c r="E727" s="501"/>
      <c r="F727" s="501"/>
      <c r="G727" s="501"/>
      <c r="H727" s="501"/>
      <c r="I727" s="501"/>
      <c r="J727" s="501"/>
      <c r="K727" s="501"/>
      <c r="L727" s="501"/>
      <c r="M727" s="495"/>
      <c r="N727" s="495"/>
      <c r="O727" s="495"/>
    </row>
    <row r="728" spans="2:15" ht="14.25" hidden="1" outlineLevel="1" x14ac:dyDescent="0.2">
      <c r="B728" s="442"/>
      <c r="C728" s="442"/>
      <c r="D728" s="442"/>
      <c r="E728" s="442"/>
      <c r="F728" s="442"/>
      <c r="G728" s="442"/>
      <c r="H728" s="442"/>
      <c r="I728" s="442"/>
      <c r="J728" s="442"/>
      <c r="K728" s="442"/>
      <c r="L728" s="442"/>
      <c r="M728" s="442"/>
      <c r="N728" s="442"/>
      <c r="O728" s="442"/>
    </row>
    <row r="729" spans="2:15" ht="15" hidden="1" outlineLevel="1" x14ac:dyDescent="0.25">
      <c r="B729" s="422" t="s">
        <v>949</v>
      </c>
      <c r="C729" s="468"/>
      <c r="D729" s="468"/>
      <c r="E729" s="468"/>
      <c r="F729" s="468"/>
      <c r="G729" s="468"/>
      <c r="H729" s="468"/>
      <c r="I729" s="468"/>
      <c r="J729" s="468"/>
      <c r="K729" s="468"/>
      <c r="L729" s="468"/>
      <c r="M729" s="468"/>
      <c r="N729" s="468"/>
      <c r="O729" s="468"/>
    </row>
    <row r="730" spans="2:15" ht="15" hidden="1" outlineLevel="1" x14ac:dyDescent="0.25">
      <c r="B730" s="428" t="s">
        <v>30</v>
      </c>
      <c r="C730" s="501"/>
      <c r="D730" s="501"/>
      <c r="E730" s="501"/>
      <c r="F730" s="501"/>
      <c r="G730" s="501"/>
      <c r="H730" s="501"/>
      <c r="I730" s="501"/>
      <c r="J730" s="501"/>
      <c r="K730" s="501"/>
      <c r="L730" s="501"/>
      <c r="M730" s="501"/>
      <c r="N730" s="501"/>
      <c r="O730" s="501"/>
    </row>
    <row r="731" spans="2:15" ht="15" hidden="1" outlineLevel="1" x14ac:dyDescent="0.25">
      <c r="B731" s="503" t="s">
        <v>950</v>
      </c>
      <c r="C731" s="501"/>
      <c r="D731" s="501"/>
      <c r="E731" s="501"/>
      <c r="F731" s="501"/>
      <c r="G731" s="501"/>
      <c r="H731" s="501"/>
      <c r="I731" s="501"/>
      <c r="J731" s="501"/>
      <c r="K731" s="501"/>
      <c r="L731" s="501"/>
      <c r="M731" s="502"/>
      <c r="N731" s="502"/>
      <c r="O731" s="502"/>
    </row>
    <row r="732" spans="2:15" ht="15" hidden="1" outlineLevel="1" x14ac:dyDescent="0.25">
      <c r="B732" s="503" t="s">
        <v>951</v>
      </c>
      <c r="C732" s="496"/>
      <c r="D732" s="496"/>
      <c r="E732" s="496"/>
      <c r="F732" s="496"/>
      <c r="G732" s="496"/>
      <c r="H732" s="496"/>
      <c r="I732" s="496"/>
      <c r="J732" s="496"/>
      <c r="K732" s="496"/>
      <c r="L732" s="496"/>
      <c r="M732" s="495"/>
      <c r="N732" s="495"/>
      <c r="O732" s="495"/>
    </row>
    <row r="733" spans="2:15" ht="15" hidden="1" outlineLevel="1" x14ac:dyDescent="0.25">
      <c r="B733" s="428" t="s">
        <v>952</v>
      </c>
      <c r="C733" s="501"/>
      <c r="D733" s="501"/>
      <c r="E733" s="501"/>
      <c r="F733" s="501"/>
      <c r="G733" s="501"/>
      <c r="H733" s="501"/>
      <c r="I733" s="501"/>
      <c r="J733" s="501"/>
      <c r="K733" s="501"/>
      <c r="L733" s="501"/>
      <c r="M733" s="502"/>
      <c r="N733" s="502"/>
      <c r="O733" s="502"/>
    </row>
    <row r="734" spans="2:15" ht="15.75" hidden="1" outlineLevel="1" thickBot="1" x14ac:dyDescent="0.3">
      <c r="B734" s="493" t="s">
        <v>953</v>
      </c>
      <c r="C734" s="504">
        <f t="shared" ref="C734:L734" si="451">C683</f>
        <v>0</v>
      </c>
      <c r="D734" s="504">
        <f t="shared" si="451"/>
        <v>0</v>
      </c>
      <c r="E734" s="504">
        <f t="shared" si="451"/>
        <v>0</v>
      </c>
      <c r="F734" s="504">
        <f t="shared" si="451"/>
        <v>0</v>
      </c>
      <c r="G734" s="504">
        <f t="shared" si="451"/>
        <v>0</v>
      </c>
      <c r="H734" s="504">
        <f t="shared" si="451"/>
        <v>0</v>
      </c>
      <c r="I734" s="504">
        <f t="shared" si="451"/>
        <v>0</v>
      </c>
      <c r="J734" s="504">
        <f t="shared" si="451"/>
        <v>0</v>
      </c>
      <c r="K734" s="504">
        <f t="shared" si="451"/>
        <v>0</v>
      </c>
      <c r="L734" s="504">
        <f t="shared" si="451"/>
        <v>0</v>
      </c>
      <c r="M734" s="504">
        <f>M683</f>
        <v>0</v>
      </c>
      <c r="N734" s="504">
        <f>N683</f>
        <v>0</v>
      </c>
      <c r="O734" s="504">
        <f>O683</f>
        <v>0</v>
      </c>
    </row>
    <row r="735" spans="2:15" ht="14.4" collapsed="1" thickBot="1" x14ac:dyDescent="0.3"/>
    <row r="736" spans="2:15" x14ac:dyDescent="0.25">
      <c r="B736" s="422" t="s">
        <v>1274</v>
      </c>
      <c r="C736" s="423">
        <f t="shared" ref="C736:L736" si="452">C644</f>
        <v>2015</v>
      </c>
      <c r="D736" s="423">
        <f t="shared" si="452"/>
        <v>2016</v>
      </c>
      <c r="E736" s="423">
        <f t="shared" si="452"/>
        <v>2017</v>
      </c>
      <c r="F736" s="423">
        <f t="shared" si="452"/>
        <v>2018</v>
      </c>
      <c r="G736" s="423">
        <f t="shared" si="452"/>
        <v>2019</v>
      </c>
      <c r="H736" s="423">
        <f t="shared" si="452"/>
        <v>2020</v>
      </c>
      <c r="I736" s="423">
        <f t="shared" si="452"/>
        <v>2021</v>
      </c>
      <c r="J736" s="423">
        <f t="shared" si="452"/>
        <v>2022</v>
      </c>
      <c r="K736" s="423">
        <f t="shared" si="452"/>
        <v>2023</v>
      </c>
      <c r="L736" s="423">
        <f t="shared" si="452"/>
        <v>2024</v>
      </c>
      <c r="M736" s="423">
        <f>M644</f>
        <v>2025</v>
      </c>
      <c r="N736" s="423">
        <f>N644</f>
        <v>2026</v>
      </c>
      <c r="O736" s="423">
        <f>O644</f>
        <v>2027</v>
      </c>
    </row>
    <row r="737" spans="2:41" ht="14.4" thickBot="1" x14ac:dyDescent="0.3">
      <c r="B737" s="425"/>
      <c r="C737" s="475" t="s">
        <v>875</v>
      </c>
      <c r="D737" s="475" t="s">
        <v>875</v>
      </c>
      <c r="E737" s="475" t="s">
        <v>875</v>
      </c>
      <c r="F737" s="475" t="s">
        <v>875</v>
      </c>
      <c r="G737" s="475" t="s">
        <v>875</v>
      </c>
      <c r="H737" s="475" t="s">
        <v>875</v>
      </c>
      <c r="I737" s="475" t="s">
        <v>875</v>
      </c>
      <c r="J737" s="475" t="s">
        <v>875</v>
      </c>
      <c r="K737" s="475" t="s">
        <v>875</v>
      </c>
      <c r="L737" s="475" t="s">
        <v>875</v>
      </c>
      <c r="M737" s="475" t="s">
        <v>875</v>
      </c>
      <c r="N737" s="475" t="s">
        <v>875</v>
      </c>
      <c r="O737" s="475" t="s">
        <v>875</v>
      </c>
    </row>
    <row r="738" spans="2:41" ht="14.4" x14ac:dyDescent="0.3">
      <c r="B738" s="480" t="s">
        <v>954</v>
      </c>
      <c r="C738" s="501"/>
      <c r="D738" s="501"/>
      <c r="E738" s="501"/>
      <c r="F738" s="501"/>
      <c r="G738" s="501"/>
      <c r="H738" s="501"/>
      <c r="I738" s="501"/>
      <c r="J738" s="501"/>
      <c r="K738" s="501"/>
      <c r="L738" s="501"/>
      <c r="M738" s="505"/>
      <c r="N738" s="505"/>
      <c r="O738" s="505"/>
    </row>
    <row r="739" spans="2:41" ht="14.4" x14ac:dyDescent="0.3">
      <c r="B739" s="428" t="s">
        <v>955</v>
      </c>
      <c r="C739" s="501"/>
      <c r="D739" s="501"/>
      <c r="E739" s="501"/>
      <c r="F739" s="501"/>
      <c r="G739" s="501"/>
      <c r="H739" s="501"/>
      <c r="I739" s="501"/>
      <c r="J739" s="501"/>
      <c r="K739" s="501"/>
      <c r="L739" s="501"/>
      <c r="M739" s="505"/>
      <c r="N739" s="505"/>
      <c r="O739" s="505"/>
      <c r="AG739" s="506"/>
      <c r="AH739" s="506"/>
      <c r="AI739" s="506"/>
      <c r="AJ739" s="506"/>
      <c r="AK739" s="506"/>
      <c r="AL739" s="506"/>
      <c r="AM739" s="506"/>
      <c r="AN739" s="506"/>
      <c r="AO739" s="506"/>
    </row>
    <row r="740" spans="2:41" ht="14.4" thickBot="1" x14ac:dyDescent="0.3">
      <c r="B740" s="498" t="s">
        <v>956</v>
      </c>
      <c r="C740" s="491">
        <f t="shared" ref="C740:L740" si="453">SUM(C738:C739)</f>
        <v>0</v>
      </c>
      <c r="D740" s="491">
        <f t="shared" si="453"/>
        <v>0</v>
      </c>
      <c r="E740" s="491">
        <f t="shared" si="453"/>
        <v>0</v>
      </c>
      <c r="F740" s="491">
        <f t="shared" si="453"/>
        <v>0</v>
      </c>
      <c r="G740" s="491">
        <f t="shared" si="453"/>
        <v>0</v>
      </c>
      <c r="H740" s="491">
        <f t="shared" si="453"/>
        <v>0</v>
      </c>
      <c r="I740" s="491">
        <f t="shared" si="453"/>
        <v>0</v>
      </c>
      <c r="J740" s="491">
        <f t="shared" si="453"/>
        <v>0</v>
      </c>
      <c r="K740" s="491">
        <f t="shared" si="453"/>
        <v>0</v>
      </c>
      <c r="L740" s="491">
        <f t="shared" si="453"/>
        <v>0</v>
      </c>
      <c r="M740" s="491">
        <f>SUM(M738:M739)</f>
        <v>0</v>
      </c>
      <c r="N740" s="491">
        <f>SUM(N738:N739)</f>
        <v>0</v>
      </c>
      <c r="O740" s="491">
        <f>SUM(O738:O739)</f>
        <v>0</v>
      </c>
      <c r="AG740" s="506"/>
      <c r="AH740" s="506"/>
      <c r="AI740" s="506"/>
      <c r="AJ740" s="506"/>
      <c r="AK740" s="506"/>
      <c r="AL740" s="506"/>
      <c r="AM740" s="506"/>
      <c r="AN740" s="506"/>
      <c r="AO740" s="506"/>
    </row>
    <row r="741" spans="2:41" ht="14.4" thickBot="1" x14ac:dyDescent="0.3">
      <c r="C741" s="507">
        <f>C730-C738-C739</f>
        <v>0</v>
      </c>
      <c r="D741" s="507">
        <f>D730-D738-D739</f>
        <v>0</v>
      </c>
      <c r="E741" s="507">
        <f t="shared" ref="E741:L741" si="454">E730-E738-E739</f>
        <v>0</v>
      </c>
      <c r="F741" s="507">
        <f t="shared" si="454"/>
        <v>0</v>
      </c>
      <c r="G741" s="507">
        <f t="shared" si="454"/>
        <v>0</v>
      </c>
      <c r="H741" s="507">
        <f t="shared" si="454"/>
        <v>0</v>
      </c>
      <c r="I741" s="507">
        <f t="shared" si="454"/>
        <v>0</v>
      </c>
      <c r="J741" s="507">
        <f t="shared" si="454"/>
        <v>0</v>
      </c>
      <c r="K741" s="507">
        <f t="shared" si="454"/>
        <v>0</v>
      </c>
      <c r="L741" s="507">
        <f t="shared" si="454"/>
        <v>0</v>
      </c>
      <c r="M741" s="507">
        <f>M730-M738-M739</f>
        <v>0</v>
      </c>
      <c r="N741" s="507">
        <f>N730-N738-N739</f>
        <v>0</v>
      </c>
      <c r="O741" s="507">
        <f>O730-O738-O739</f>
        <v>0</v>
      </c>
      <c r="AG741" s="506"/>
      <c r="AH741" s="506"/>
      <c r="AI741" s="506"/>
      <c r="AJ741" s="506"/>
      <c r="AK741" s="506"/>
      <c r="AL741" s="506"/>
      <c r="AM741" s="506"/>
      <c r="AN741" s="506"/>
      <c r="AO741" s="506"/>
    </row>
    <row r="742" spans="2:41" ht="14.4" x14ac:dyDescent="0.3">
      <c r="B742" s="422" t="s">
        <v>957</v>
      </c>
      <c r="C742" s="509"/>
      <c r="D742" s="822">
        <v>8.9999999999999993E-3</v>
      </c>
      <c r="E742" s="508"/>
      <c r="F742" s="508"/>
      <c r="G742" s="508"/>
      <c r="H742" s="508"/>
      <c r="I742" s="508"/>
      <c r="J742" s="508"/>
      <c r="K742" s="508"/>
      <c r="L742" s="508"/>
      <c r="M742" s="508"/>
      <c r="N742" s="508"/>
      <c r="O742" s="508"/>
      <c r="Q742" s="819">
        <v>2016</v>
      </c>
      <c r="R742" s="819">
        <v>2021</v>
      </c>
      <c r="S742" s="819">
        <v>2026</v>
      </c>
      <c r="T742" s="819">
        <v>2031</v>
      </c>
      <c r="U742" s="819">
        <v>2036</v>
      </c>
      <c r="AG742" s="506"/>
      <c r="AH742" s="506"/>
      <c r="AI742" s="506"/>
      <c r="AJ742" s="506"/>
      <c r="AK742" s="506"/>
      <c r="AL742" s="506"/>
      <c r="AM742" s="506"/>
      <c r="AN742" s="506"/>
      <c r="AO742" s="506"/>
    </row>
    <row r="743" spans="2:41" ht="14.4" x14ac:dyDescent="0.3">
      <c r="B743" s="428" t="s">
        <v>958</v>
      </c>
      <c r="C743" s="501"/>
      <c r="D743" s="501"/>
      <c r="E743" s="501"/>
      <c r="F743" s="501"/>
      <c r="G743" s="501"/>
      <c r="H743" s="501"/>
      <c r="I743" s="501"/>
      <c r="J743" s="501"/>
      <c r="K743" s="501"/>
      <c r="L743" s="501"/>
      <c r="M743" s="502"/>
      <c r="N743" s="502"/>
      <c r="O743" s="502"/>
      <c r="Q743" s="820">
        <v>17150</v>
      </c>
      <c r="R743" s="820">
        <v>18000</v>
      </c>
      <c r="S743" s="820">
        <v>18800</v>
      </c>
      <c r="T743" s="820">
        <v>19550</v>
      </c>
      <c r="U743" s="821">
        <v>20300</v>
      </c>
      <c r="AG743" s="506"/>
      <c r="AH743" s="506"/>
      <c r="AI743" s="506"/>
      <c r="AJ743" s="506"/>
      <c r="AK743" s="506"/>
      <c r="AL743" s="506"/>
      <c r="AM743" s="506"/>
      <c r="AN743" s="506"/>
      <c r="AO743" s="506"/>
    </row>
    <row r="744" spans="2:41" ht="14.4" x14ac:dyDescent="0.3">
      <c r="B744" s="428" t="s">
        <v>959</v>
      </c>
      <c r="C744" s="501">
        <f>Q743</f>
        <v>17150</v>
      </c>
      <c r="D744" s="501">
        <f>C744*1.009</f>
        <v>17304.349999999999</v>
      </c>
      <c r="E744" s="501">
        <f t="shared" ref="E744" si="455">D744*1.009</f>
        <v>17460.089149999996</v>
      </c>
      <c r="F744" s="501">
        <f t="shared" ref="F744" si="456">E744*1.009</f>
        <v>17617.229952349993</v>
      </c>
      <c r="G744" s="501">
        <f t="shared" ref="G744" si="457">F744*1.009</f>
        <v>17775.78502192114</v>
      </c>
      <c r="H744" s="501">
        <f t="shared" ref="H744" si="458">G744*1.009</f>
        <v>17935.767087118427</v>
      </c>
      <c r="I744" s="501">
        <f>R743</f>
        <v>18000</v>
      </c>
      <c r="J744" s="501">
        <f t="shared" ref="J744" si="459">I744*1.009</f>
        <v>18161.999999999996</v>
      </c>
      <c r="K744" s="501">
        <f t="shared" ref="K744" si="460">J744*1.009</f>
        <v>18325.457999999995</v>
      </c>
      <c r="L744" s="501">
        <f t="shared" ref="L744" si="461">K744*1.009</f>
        <v>18490.387121999993</v>
      </c>
      <c r="M744" s="501">
        <f t="shared" ref="M744" si="462">L744*1.009</f>
        <v>18656.80060609799</v>
      </c>
      <c r="N744" s="502">
        <f>S743</f>
        <v>18800</v>
      </c>
      <c r="O744" s="501">
        <f t="shared" ref="O744" si="463">N744*1.009</f>
        <v>18969.199999999997</v>
      </c>
      <c r="Q744" s="900" t="s">
        <v>1272</v>
      </c>
      <c r="AG744" s="506"/>
      <c r="AH744" s="506"/>
      <c r="AI744" s="506"/>
      <c r="AJ744" s="506"/>
      <c r="AK744" s="506"/>
      <c r="AL744" s="506"/>
      <c r="AM744" s="506"/>
      <c r="AN744" s="506"/>
      <c r="AO744" s="506"/>
    </row>
    <row r="745" spans="2:41" ht="16.2" thickBot="1" x14ac:dyDescent="0.35">
      <c r="B745" s="493" t="s">
        <v>960</v>
      </c>
      <c r="C745" s="510"/>
      <c r="D745" s="510"/>
      <c r="E745" s="510"/>
      <c r="F745" s="510"/>
      <c r="G745" s="510"/>
      <c r="H745" s="510"/>
      <c r="I745" s="510"/>
      <c r="J745" s="510"/>
      <c r="K745" s="510"/>
      <c r="L745" s="510"/>
      <c r="M745" s="510"/>
      <c r="N745" s="510"/>
      <c r="O745" s="510"/>
      <c r="Q745" s="899" t="s">
        <v>1271</v>
      </c>
      <c r="AG745" s="506"/>
      <c r="AH745" s="506"/>
      <c r="AI745" s="506"/>
      <c r="AJ745" s="506"/>
      <c r="AK745" s="506"/>
      <c r="AL745" s="506"/>
      <c r="AM745" s="506"/>
      <c r="AN745" s="506"/>
      <c r="AO745" s="506"/>
    </row>
    <row r="746" spans="2:41" ht="14.4" thickBot="1" x14ac:dyDescent="0.3">
      <c r="C746" s="511"/>
      <c r="D746" s="511"/>
      <c r="E746" s="511"/>
      <c r="F746" s="511"/>
      <c r="G746" s="511"/>
      <c r="H746" s="511"/>
      <c r="I746" s="511"/>
      <c r="J746" s="511"/>
      <c r="K746" s="511"/>
      <c r="L746" s="511"/>
      <c r="M746" s="511"/>
      <c r="N746" s="511"/>
      <c r="O746" s="511"/>
      <c r="Q746" s="900" t="s">
        <v>1273</v>
      </c>
      <c r="AG746" s="506"/>
      <c r="AH746" s="506"/>
      <c r="AI746" s="506"/>
      <c r="AJ746" s="506"/>
      <c r="AK746" s="506"/>
      <c r="AL746" s="506"/>
      <c r="AM746" s="506"/>
      <c r="AN746" s="506"/>
      <c r="AO746" s="506"/>
    </row>
    <row r="747" spans="2:41" ht="15" customHeight="1" x14ac:dyDescent="0.3">
      <c r="B747" s="512" t="s">
        <v>961</v>
      </c>
      <c r="C747" s="221"/>
      <c r="D747" s="221"/>
      <c r="E747" s="513"/>
      <c r="F747" s="513"/>
      <c r="G747" s="513"/>
      <c r="H747" s="513"/>
      <c r="I747" s="513"/>
      <c r="J747" s="513"/>
      <c r="K747" s="513"/>
      <c r="L747" s="513"/>
      <c r="AG747" s="506"/>
      <c r="AH747" s="506"/>
      <c r="AI747" s="506"/>
      <c r="AJ747" s="506"/>
      <c r="AK747" s="506"/>
      <c r="AL747" s="506"/>
      <c r="AM747" s="506"/>
      <c r="AN747" s="506"/>
      <c r="AO747" s="506"/>
    </row>
    <row r="748" spans="2:41" ht="14.4" x14ac:dyDescent="0.3">
      <c r="B748" s="428" t="s">
        <v>962</v>
      </c>
      <c r="C748" s="496">
        <f>'Renewals &amp; Maintenance'!E102</f>
        <v>0</v>
      </c>
      <c r="D748" s="496">
        <f>'Renewals &amp; Maintenance'!F102</f>
        <v>0</v>
      </c>
      <c r="E748" s="496">
        <f>'Renewals &amp; Maintenance'!G102</f>
        <v>6862</v>
      </c>
      <c r="F748" s="496">
        <f>'Renewals &amp; Maintenance'!H102</f>
        <v>6093.326</v>
      </c>
      <c r="G748" s="496">
        <f>'Renewals &amp; Maintenance'!I102</f>
        <v>10469.0535</v>
      </c>
      <c r="H748" s="496">
        <f>'Renewals &amp; Maintenance'!J102</f>
        <v>7109.5190000000002</v>
      </c>
      <c r="I748" s="496">
        <f>'Renewals &amp; Maintenance'!K102</f>
        <v>7132.6670000000004</v>
      </c>
      <c r="J748" s="496">
        <f>'Renewals &amp; Maintenance'!L102</f>
        <v>7221.0257000000001</v>
      </c>
      <c r="K748" s="496">
        <f>'Renewals &amp; Maintenance'!M102</f>
        <v>7369.9183674999995</v>
      </c>
      <c r="L748" s="496">
        <f>'Renewals &amp; Maintenance'!N102</f>
        <v>7933.9763516875</v>
      </c>
      <c r="M748" s="496">
        <f>'Renewals &amp; Maintenance'!O102</f>
        <v>7761.2036454796871</v>
      </c>
      <c r="N748" s="496">
        <f>'Renewals &amp; Maintenance'!P102</f>
        <v>8078.604338816679</v>
      </c>
      <c r="O748" s="496">
        <f>'Renewals &amp; Maintenance'!Q102</f>
        <v>8196.1826210310974</v>
      </c>
      <c r="AG748" s="514"/>
      <c r="AH748" s="514"/>
      <c r="AI748" s="514"/>
      <c r="AJ748" s="514"/>
      <c r="AK748" s="514"/>
      <c r="AL748" s="514"/>
      <c r="AM748" s="514"/>
      <c r="AN748" s="514"/>
      <c r="AO748" s="514"/>
    </row>
    <row r="749" spans="2:41" ht="14.4" x14ac:dyDescent="0.3">
      <c r="B749" s="428" t="s">
        <v>963</v>
      </c>
      <c r="C749" s="496">
        <f>'Renewals &amp; Maintenance'!E103</f>
        <v>0</v>
      </c>
      <c r="D749" s="496">
        <f>'Renewals &amp; Maintenance'!F103</f>
        <v>0</v>
      </c>
      <c r="E749" s="496">
        <f>'Renewals &amp; Maintenance'!G103</f>
        <v>0</v>
      </c>
      <c r="F749" s="496">
        <f>'Renewals &amp; Maintenance'!H103</f>
        <v>1734.672</v>
      </c>
      <c r="G749" s="496">
        <f>'Renewals &amp; Maintenance'!I103</f>
        <v>1795.5137999999997</v>
      </c>
      <c r="H749" s="496">
        <f>'Renewals &amp; Maintenance'!J103</f>
        <v>1830.759395</v>
      </c>
      <c r="I749" s="496">
        <f>'Renewals &amp; Maintenance'!K103</f>
        <v>1784.2684048749998</v>
      </c>
      <c r="J749" s="496">
        <f>'Renewals &amp; Maintenance'!L103</f>
        <v>1760.5397399968747</v>
      </c>
      <c r="K749" s="496">
        <f>'Renewals &amp; Maintenance'!M103</f>
        <v>1787.4678584967965</v>
      </c>
      <c r="L749" s="496">
        <f>'Renewals &amp; Maintenance'!N103</f>
        <v>1865.0691799592162</v>
      </c>
      <c r="M749" s="496">
        <f>'Renewals &amp; Maintenance'!O103</f>
        <v>1893.3605344581968</v>
      </c>
      <c r="N749" s="496">
        <f>'Renewals &amp; Maintenance'!P103</f>
        <v>1872.3591728196513</v>
      </c>
      <c r="O749" s="496">
        <f>'Renewals &amp; Maintenance'!Q103</f>
        <v>1952.0827771401425</v>
      </c>
      <c r="AG749" s="506"/>
      <c r="AH749" s="506"/>
      <c r="AI749" s="506"/>
      <c r="AJ749" s="506"/>
      <c r="AK749" s="506"/>
      <c r="AL749" s="506"/>
      <c r="AM749" s="506"/>
      <c r="AN749" s="506"/>
      <c r="AO749" s="506"/>
    </row>
    <row r="750" spans="2:41" ht="14.4" thickBot="1" x14ac:dyDescent="0.3">
      <c r="B750" s="478" t="s">
        <v>964</v>
      </c>
      <c r="C750" s="491">
        <f t="shared" ref="C750:O750" si="464">SUM(C748:C749)</f>
        <v>0</v>
      </c>
      <c r="D750" s="491">
        <f t="shared" si="464"/>
        <v>0</v>
      </c>
      <c r="E750" s="491">
        <f t="shared" si="464"/>
        <v>6862</v>
      </c>
      <c r="F750" s="491">
        <f t="shared" si="464"/>
        <v>7827.9979999999996</v>
      </c>
      <c r="G750" s="491">
        <f t="shared" si="464"/>
        <v>12264.567299999999</v>
      </c>
      <c r="H750" s="491">
        <f t="shared" si="464"/>
        <v>8940.2783950000012</v>
      </c>
      <c r="I750" s="491">
        <f t="shared" si="464"/>
        <v>8916.9354048749992</v>
      </c>
      <c r="J750" s="491">
        <f t="shared" si="464"/>
        <v>8981.5654399968753</v>
      </c>
      <c r="K750" s="491">
        <f t="shared" si="464"/>
        <v>9157.3862259967955</v>
      </c>
      <c r="L750" s="491">
        <f t="shared" si="464"/>
        <v>9799.045531646716</v>
      </c>
      <c r="M750" s="491">
        <f t="shared" si="464"/>
        <v>9654.5641799378845</v>
      </c>
      <c r="N750" s="491">
        <f t="shared" si="464"/>
        <v>9950.9635116363297</v>
      </c>
      <c r="O750" s="491">
        <f t="shared" si="464"/>
        <v>10148.265398171239</v>
      </c>
      <c r="AG750" s="515"/>
      <c r="AH750" s="515"/>
      <c r="AI750" s="515"/>
      <c r="AJ750" s="515"/>
      <c r="AK750" s="515"/>
      <c r="AL750" s="515"/>
      <c r="AM750" s="515"/>
      <c r="AN750" s="515"/>
      <c r="AO750" s="515"/>
    </row>
    <row r="751" spans="2:41" ht="14.4" x14ac:dyDescent="0.3">
      <c r="B751" s="428" t="s">
        <v>965</v>
      </c>
      <c r="C751" s="496">
        <f>'GF &amp; FF  Inc Exp Statement'!D195-C752</f>
        <v>0</v>
      </c>
      <c r="D751" s="496">
        <f>'GF &amp; FF  Inc Exp Statement'!E195-D752</f>
        <v>0</v>
      </c>
      <c r="E751" s="496">
        <f>'GF &amp; FF  Inc Exp Statement'!F195-E752</f>
        <v>21320.421999999999</v>
      </c>
      <c r="F751" s="496">
        <f>'GF &amp; FF  Inc Exp Statement'!G195-F752</f>
        <v>2600.8139999999999</v>
      </c>
      <c r="G751" s="496">
        <f>'GF &amp; FF  Inc Exp Statement'!H195-G752</f>
        <v>19306.5245</v>
      </c>
      <c r="H751" s="496">
        <f>'GF &amp; FF  Inc Exp Statement'!I195-H752</f>
        <v>16162.895</v>
      </c>
      <c r="I751" s="496">
        <f>'GF &amp; FF  Inc Exp Statement'!J195-I752</f>
        <v>2065.5980000000004</v>
      </c>
      <c r="J751" s="496">
        <f>'GF &amp; FF  Inc Exp Statement'!K195-J752</f>
        <v>2106.9099600000004</v>
      </c>
      <c r="K751" s="496">
        <f>'GF &amp; FF  Inc Exp Statement'!L195-K752</f>
        <v>2149.0481592000006</v>
      </c>
      <c r="L751" s="496">
        <f>'GF &amp; FF  Inc Exp Statement'!M195-L752</f>
        <v>2192.0291223840004</v>
      </c>
      <c r="M751" s="496">
        <f>'GF &amp; FF  Inc Exp Statement'!N195-M752</f>
        <v>2235.8697048316803</v>
      </c>
      <c r="N751" s="496">
        <f>'GF &amp; FF  Inc Exp Statement'!O195-N752</f>
        <v>2280.5870989283139</v>
      </c>
      <c r="O751" s="496">
        <f>'GF &amp; FF  Inc Exp Statement'!P195-O752</f>
        <v>2326.1988409068804</v>
      </c>
      <c r="AG751" s="515"/>
      <c r="AH751" s="506"/>
      <c r="AI751" s="506"/>
      <c r="AJ751" s="515"/>
      <c r="AK751" s="506"/>
      <c r="AL751" s="506"/>
      <c r="AM751" s="506"/>
      <c r="AN751" s="506"/>
      <c r="AO751" s="515"/>
    </row>
    <row r="752" spans="2:41" ht="14.4" x14ac:dyDescent="0.3">
      <c r="B752" s="428" t="s">
        <v>966</v>
      </c>
      <c r="C752" s="496"/>
      <c r="D752" s="496"/>
      <c r="E752" s="496"/>
      <c r="F752" s="496"/>
      <c r="G752" s="496"/>
      <c r="H752" s="496"/>
      <c r="I752" s="496"/>
      <c r="J752" s="496"/>
      <c r="K752" s="496"/>
      <c r="L752" s="496"/>
      <c r="M752" s="496"/>
      <c r="N752" s="496"/>
      <c r="O752" s="496"/>
      <c r="AG752" s="506"/>
      <c r="AH752" s="506"/>
      <c r="AI752" s="506"/>
      <c r="AJ752" s="506"/>
      <c r="AK752" s="506"/>
      <c r="AL752" s="506"/>
      <c r="AM752" s="506"/>
      <c r="AN752" s="506"/>
    </row>
    <row r="753" spans="2:40" ht="14.4" thickBot="1" x14ac:dyDescent="0.3">
      <c r="B753" s="478" t="s">
        <v>967</v>
      </c>
      <c r="C753" s="491"/>
      <c r="D753" s="491"/>
      <c r="E753" s="491">
        <f>SUM(E751:E752)</f>
        <v>21320.421999999999</v>
      </c>
      <c r="F753" s="491">
        <f t="shared" ref="F753" si="465">SUM(F751:F752)</f>
        <v>2600.8139999999999</v>
      </c>
      <c r="G753" s="491">
        <f t="shared" ref="G753" si="466">SUM(G751:G752)</f>
        <v>19306.5245</v>
      </c>
      <c r="H753" s="491">
        <f t="shared" ref="H753" si="467">SUM(H751:H752)</f>
        <v>16162.895</v>
      </c>
      <c r="I753" s="491">
        <f t="shared" ref="I753" si="468">SUM(I751:I752)</f>
        <v>2065.5980000000004</v>
      </c>
      <c r="J753" s="491">
        <f t="shared" ref="J753" si="469">SUM(J751:J752)</f>
        <v>2106.9099600000004</v>
      </c>
      <c r="K753" s="491">
        <f t="shared" ref="K753" si="470">SUM(K751:K752)</f>
        <v>2149.0481592000006</v>
      </c>
      <c r="L753" s="491">
        <f t="shared" ref="L753" si="471">SUM(L751:L752)</f>
        <v>2192.0291223840004</v>
      </c>
      <c r="M753" s="491">
        <f t="shared" ref="M753" si="472">SUM(M751:M752)</f>
        <v>2235.8697048316803</v>
      </c>
      <c r="N753" s="491">
        <f t="shared" ref="N753" si="473">SUM(N751:N752)</f>
        <v>2280.5870989283139</v>
      </c>
      <c r="O753" s="491">
        <f t="shared" ref="O753" si="474">SUM(O751:O752)</f>
        <v>2326.1988409068804</v>
      </c>
      <c r="AG753" s="515"/>
      <c r="AH753" s="515"/>
      <c r="AI753" s="515"/>
      <c r="AJ753" s="515"/>
      <c r="AK753" s="515"/>
      <c r="AL753" s="515"/>
      <c r="AM753" s="515"/>
      <c r="AN753" s="515"/>
    </row>
    <row r="754" spans="2:40" ht="14.4" thickBot="1" x14ac:dyDescent="0.3">
      <c r="B754" s="498" t="s">
        <v>910</v>
      </c>
      <c r="C754" s="491">
        <f t="shared" ref="C754:L754" si="475">C750+C753</f>
        <v>0</v>
      </c>
      <c r="D754" s="491">
        <f t="shared" si="475"/>
        <v>0</v>
      </c>
      <c r="E754" s="491">
        <f t="shared" si="475"/>
        <v>28182.421999999999</v>
      </c>
      <c r="F754" s="491">
        <f t="shared" si="475"/>
        <v>10428.812</v>
      </c>
      <c r="G754" s="491">
        <f t="shared" si="475"/>
        <v>31571.091799999998</v>
      </c>
      <c r="H754" s="491">
        <f t="shared" si="475"/>
        <v>25103.173395000002</v>
      </c>
      <c r="I754" s="491">
        <f t="shared" si="475"/>
        <v>10982.533404874999</v>
      </c>
      <c r="J754" s="491">
        <f t="shared" si="475"/>
        <v>11088.475399996876</v>
      </c>
      <c r="K754" s="491">
        <f t="shared" si="475"/>
        <v>11306.434385196797</v>
      </c>
      <c r="L754" s="491">
        <f t="shared" si="475"/>
        <v>11991.074654030715</v>
      </c>
      <c r="M754" s="491">
        <f>M750+M753</f>
        <v>11890.433884769565</v>
      </c>
      <c r="N754" s="491">
        <f>N750+N753</f>
        <v>12231.550610564644</v>
      </c>
      <c r="O754" s="491">
        <f>O750+O753</f>
        <v>12474.464239078119</v>
      </c>
      <c r="AG754" s="506"/>
      <c r="AH754" s="506"/>
      <c r="AI754" s="515"/>
      <c r="AJ754" s="506"/>
      <c r="AK754" s="515"/>
      <c r="AL754" s="506"/>
      <c r="AM754" s="506"/>
      <c r="AN754" s="515"/>
    </row>
    <row r="755" spans="2:40" ht="14.4" thickBot="1" x14ac:dyDescent="0.3"/>
    <row r="756" spans="2:40" ht="27.6" x14ac:dyDescent="0.25">
      <c r="B756" s="422" t="s">
        <v>1114</v>
      </c>
      <c r="C756" s="474">
        <f>C644</f>
        <v>2015</v>
      </c>
      <c r="D756" s="474">
        <f t="shared" ref="D756:O756" si="476">D644</f>
        <v>2016</v>
      </c>
      <c r="E756" s="474">
        <f t="shared" si="476"/>
        <v>2017</v>
      </c>
      <c r="F756" s="474">
        <f t="shared" si="476"/>
        <v>2018</v>
      </c>
      <c r="G756" s="474">
        <f t="shared" si="476"/>
        <v>2019</v>
      </c>
      <c r="H756" s="474">
        <f t="shared" si="476"/>
        <v>2020</v>
      </c>
      <c r="I756" s="474">
        <f t="shared" si="476"/>
        <v>2021</v>
      </c>
      <c r="J756" s="474">
        <f t="shared" si="476"/>
        <v>2022</v>
      </c>
      <c r="K756" s="474">
        <f t="shared" si="476"/>
        <v>2023</v>
      </c>
      <c r="L756" s="474">
        <f t="shared" si="476"/>
        <v>2024</v>
      </c>
      <c r="M756" s="474">
        <f t="shared" si="476"/>
        <v>2025</v>
      </c>
      <c r="N756" s="474">
        <f t="shared" si="476"/>
        <v>2026</v>
      </c>
      <c r="O756" s="474">
        <f t="shared" si="476"/>
        <v>2027</v>
      </c>
    </row>
    <row r="757" spans="2:40" ht="15" thickBot="1" x14ac:dyDescent="0.35">
      <c r="B757" s="517" t="str">
        <f>B726</f>
        <v>Statement of Cashflows</v>
      </c>
      <c r="C757" s="475" t="s">
        <v>875</v>
      </c>
      <c r="D757" s="475" t="s">
        <v>875</v>
      </c>
      <c r="E757" s="475" t="s">
        <v>875</v>
      </c>
      <c r="F757" s="475" t="s">
        <v>875</v>
      </c>
      <c r="G757" s="475" t="s">
        <v>875</v>
      </c>
      <c r="H757" s="475" t="s">
        <v>875</v>
      </c>
      <c r="I757" s="475" t="s">
        <v>875</v>
      </c>
      <c r="J757" s="475" t="s">
        <v>875</v>
      </c>
      <c r="K757" s="475" t="s">
        <v>875</v>
      </c>
      <c r="L757" s="475" t="s">
        <v>875</v>
      </c>
      <c r="M757" s="475" t="s">
        <v>875</v>
      </c>
      <c r="N757" s="475" t="s">
        <v>875</v>
      </c>
      <c r="O757" s="475" t="s">
        <v>875</v>
      </c>
    </row>
    <row r="758" spans="2:40" ht="15" customHeight="1" x14ac:dyDescent="0.25">
      <c r="B758" s="518" t="s">
        <v>968</v>
      </c>
      <c r="C758" s="450"/>
      <c r="D758" s="450">
        <f>D667-SUM(D759:D765)</f>
        <v>0</v>
      </c>
      <c r="E758" s="450">
        <f t="shared" ref="E758:O758" si="477">E667-SUM(E759:E765)</f>
        <v>0</v>
      </c>
      <c r="F758" s="450">
        <f t="shared" si="477"/>
        <v>0</v>
      </c>
      <c r="G758" s="450">
        <f t="shared" si="477"/>
        <v>0</v>
      </c>
      <c r="H758" s="450">
        <f t="shared" si="477"/>
        <v>0</v>
      </c>
      <c r="I758" s="450">
        <f t="shared" si="477"/>
        <v>0</v>
      </c>
      <c r="J758" s="450">
        <f t="shared" si="477"/>
        <v>0</v>
      </c>
      <c r="K758" s="450">
        <f t="shared" si="477"/>
        <v>0</v>
      </c>
      <c r="L758" s="450">
        <f t="shared" si="477"/>
        <v>0</v>
      </c>
      <c r="M758" s="450">
        <f t="shared" si="477"/>
        <v>0</v>
      </c>
      <c r="N758" s="450">
        <f t="shared" si="477"/>
        <v>0</v>
      </c>
      <c r="O758" s="450">
        <f t="shared" si="477"/>
        <v>0</v>
      </c>
    </row>
    <row r="759" spans="2:40" x14ac:dyDescent="0.25">
      <c r="B759" s="428" t="s">
        <v>969</v>
      </c>
      <c r="C759" s="519"/>
      <c r="D759" s="519"/>
      <c r="E759" s="519"/>
      <c r="F759" s="519"/>
      <c r="G759" s="519"/>
      <c r="H759" s="519"/>
      <c r="I759" s="519"/>
      <c r="J759" s="519"/>
      <c r="K759" s="519"/>
      <c r="L759" s="519"/>
      <c r="M759" s="519"/>
      <c r="N759" s="519"/>
      <c r="O759" s="519"/>
    </row>
    <row r="760" spans="2:40" x14ac:dyDescent="0.25">
      <c r="B760" s="428" t="s">
        <v>970</v>
      </c>
      <c r="C760" s="450"/>
      <c r="D760" s="450"/>
      <c r="E760" s="450"/>
      <c r="F760" s="450"/>
      <c r="G760" s="450"/>
      <c r="H760" s="450"/>
      <c r="I760" s="450"/>
      <c r="J760" s="450"/>
      <c r="K760" s="450"/>
      <c r="L760" s="450"/>
      <c r="M760" s="450"/>
      <c r="N760" s="450"/>
      <c r="O760" s="450"/>
    </row>
    <row r="761" spans="2:40" x14ac:dyDescent="0.25">
      <c r="B761" s="428" t="s">
        <v>971</v>
      </c>
      <c r="C761" s="450"/>
      <c r="D761" s="450"/>
      <c r="E761" s="450"/>
      <c r="F761" s="450"/>
      <c r="G761" s="450"/>
      <c r="H761" s="450"/>
      <c r="I761" s="450"/>
      <c r="J761" s="450"/>
      <c r="K761" s="450"/>
      <c r="L761" s="450"/>
      <c r="M761" s="450"/>
      <c r="N761" s="450"/>
      <c r="O761" s="450"/>
    </row>
    <row r="762" spans="2:40" x14ac:dyDescent="0.25">
      <c r="B762" s="428" t="s">
        <v>972</v>
      </c>
      <c r="C762" s="450"/>
      <c r="D762" s="450"/>
      <c r="E762" s="450"/>
      <c r="F762" s="450"/>
      <c r="G762" s="450"/>
      <c r="H762" s="450"/>
      <c r="I762" s="450"/>
      <c r="J762" s="450"/>
      <c r="K762" s="450"/>
      <c r="L762" s="450"/>
      <c r="M762" s="450"/>
      <c r="N762" s="450"/>
      <c r="O762" s="450"/>
    </row>
    <row r="763" spans="2:40" x14ac:dyDescent="0.25">
      <c r="B763" s="428" t="s">
        <v>973</v>
      </c>
      <c r="C763" s="450"/>
      <c r="D763" s="450">
        <f>'Renewals &amp; Maintenance'!F110</f>
        <v>5616</v>
      </c>
      <c r="E763" s="450">
        <f>'Renewals &amp; Maintenance'!G110</f>
        <v>6905.496000000001</v>
      </c>
      <c r="F763" s="450">
        <f>'Renewals &amp; Maintenance'!H110</f>
        <v>6136.0370000000003</v>
      </c>
      <c r="G763" s="450">
        <f>'Renewals &amp; Maintenance'!I110</f>
        <v>6230.1202999999996</v>
      </c>
      <c r="H763" s="450">
        <f>'Renewals &amp; Maintenance'!J110</f>
        <v>6509.9427075000003</v>
      </c>
      <c r="I763" s="450">
        <f>'Renewals &amp; Maintenance'!K110</f>
        <v>7027.1279501874997</v>
      </c>
      <c r="J763" s="450">
        <f>'Renewals &amp; Maintenance'!L110</f>
        <v>7202.8061489421862</v>
      </c>
      <c r="K763" s="450">
        <f>'Renewals &amp; Maintenance'!M110</f>
        <v>7382.8763026657416</v>
      </c>
      <c r="L763" s="450">
        <f>'Renewals &amp; Maintenance'!N110</f>
        <v>7567.4482102323836</v>
      </c>
      <c r="M763" s="450">
        <f>'Renewals &amp; Maintenance'!O110</f>
        <v>7756.6344154881936</v>
      </c>
      <c r="N763" s="450">
        <f>'Renewals &amp; Maintenance'!P110</f>
        <v>7950.5502758753973</v>
      </c>
      <c r="O763" s="450">
        <f>'Renewals &amp; Maintenance'!Q110</f>
        <v>8149.3140327722822</v>
      </c>
    </row>
    <row r="764" spans="2:40" x14ac:dyDescent="0.25">
      <c r="B764" s="428" t="s">
        <v>974</v>
      </c>
      <c r="C764" s="450"/>
      <c r="D764" s="450"/>
      <c r="E764" s="450"/>
      <c r="F764" s="450"/>
      <c r="G764" s="450"/>
      <c r="H764" s="450"/>
      <c r="I764" s="450"/>
      <c r="J764" s="450"/>
      <c r="K764" s="450"/>
      <c r="L764" s="450"/>
      <c r="M764" s="450"/>
      <c r="N764" s="450"/>
      <c r="O764" s="450"/>
    </row>
    <row r="765" spans="2:40" ht="15" thickBot="1" x14ac:dyDescent="0.35">
      <c r="B765" s="428" t="s">
        <v>975</v>
      </c>
      <c r="C765" s="520">
        <f>'Renewals &amp; Maintenance'!E656</f>
        <v>0</v>
      </c>
      <c r="D765" s="520">
        <f>'Renewals &amp; Maintenance'!F111</f>
        <v>1566</v>
      </c>
      <c r="E765" s="520">
        <f>'Renewals &amp; Maintenance'!G111</f>
        <v>1605.1499999999999</v>
      </c>
      <c r="F765" s="520">
        <f>'Renewals &amp; Maintenance'!H111</f>
        <v>1489.4280000000001</v>
      </c>
      <c r="G765" s="520">
        <f>'Renewals &amp; Maintenance'!I111</f>
        <v>1526.6637000000001</v>
      </c>
      <c r="H765" s="520">
        <f>'Renewals &amp; Maintenance'!J111</f>
        <v>1564.8302925</v>
      </c>
      <c r="I765" s="520">
        <f>'Renewals &amp; Maintenance'!K111</f>
        <v>1603.9510498124998</v>
      </c>
      <c r="J765" s="520">
        <f>'Renewals &amp; Maintenance'!L111</f>
        <v>1644.0498260578122</v>
      </c>
      <c r="K765" s="520">
        <f>'Renewals &amp; Maintenance'!M111</f>
        <v>1685.1510717092574</v>
      </c>
      <c r="L765" s="520">
        <f>'Renewals &amp; Maintenance'!N111</f>
        <v>1727.2798485019887</v>
      </c>
      <c r="M765" s="520">
        <f>'Renewals &amp; Maintenance'!O111</f>
        <v>1770.4618447145383</v>
      </c>
      <c r="N765" s="520">
        <f>'Renewals &amp; Maintenance'!P111</f>
        <v>1814.7233908324015</v>
      </c>
      <c r="O765" s="520">
        <f>'Renewals &amp; Maintenance'!Q111</f>
        <v>1860.0914756032114</v>
      </c>
    </row>
    <row r="766" spans="2:40" ht="14.4" thickBot="1" x14ac:dyDescent="0.3">
      <c r="B766" s="521" t="s">
        <v>614</v>
      </c>
      <c r="C766" s="491">
        <f>SUM(C758:C765)</f>
        <v>0</v>
      </c>
      <c r="D766" s="491">
        <f>SUM(D758:D765)</f>
        <v>7182</v>
      </c>
      <c r="E766" s="491">
        <f t="shared" ref="E766" si="478">SUM(E758:E765)</f>
        <v>8510.6460000000006</v>
      </c>
      <c r="F766" s="491">
        <f t="shared" ref="F766" si="479">SUM(F758:F765)</f>
        <v>7625.4650000000001</v>
      </c>
      <c r="G766" s="491">
        <f t="shared" ref="G766" si="480">SUM(G758:G765)</f>
        <v>7756.7839999999997</v>
      </c>
      <c r="H766" s="491">
        <f t="shared" ref="H766" si="481">SUM(H758:H765)</f>
        <v>8074.7730000000001</v>
      </c>
      <c r="I766" s="491">
        <f t="shared" ref="I766" si="482">SUM(I758:I765)</f>
        <v>8631.0789999999997</v>
      </c>
      <c r="J766" s="491">
        <f t="shared" ref="J766" si="483">SUM(J758:J765)</f>
        <v>8846.8559749999986</v>
      </c>
      <c r="K766" s="491">
        <f t="shared" ref="K766" si="484">SUM(K758:K765)</f>
        <v>9068.0273743749985</v>
      </c>
      <c r="L766" s="491">
        <f t="shared" ref="L766" si="485">SUM(L758:L765)</f>
        <v>9294.7280587343721</v>
      </c>
      <c r="M766" s="491">
        <f t="shared" ref="M766" si="486">SUM(M758:M765)</f>
        <v>9527.0962602027321</v>
      </c>
      <c r="N766" s="491">
        <f t="shared" ref="N766" si="487">SUM(N758:N765)</f>
        <v>9765.2736667077988</v>
      </c>
      <c r="O766" s="491">
        <f t="shared" ref="O766" si="488">SUM(O758:O765)</f>
        <v>10009.405508375494</v>
      </c>
    </row>
    <row r="767" spans="2:40" ht="14.4" thickBot="1" x14ac:dyDescent="0.3">
      <c r="B767" s="493" t="s">
        <v>976</v>
      </c>
      <c r="C767" s="522"/>
      <c r="D767" s="522">
        <f>SUM(D760:D764)</f>
        <v>5616</v>
      </c>
      <c r="E767" s="522">
        <f t="shared" ref="E767:O767" si="489">SUM(E760:E764)</f>
        <v>6905.496000000001</v>
      </c>
      <c r="F767" s="522">
        <f t="shared" si="489"/>
        <v>6136.0370000000003</v>
      </c>
      <c r="G767" s="522">
        <f t="shared" si="489"/>
        <v>6230.1202999999996</v>
      </c>
      <c r="H767" s="522">
        <f t="shared" si="489"/>
        <v>6509.9427075000003</v>
      </c>
      <c r="I767" s="522">
        <f t="shared" si="489"/>
        <v>7027.1279501874997</v>
      </c>
      <c r="J767" s="522">
        <f t="shared" si="489"/>
        <v>7202.8061489421862</v>
      </c>
      <c r="K767" s="522">
        <f t="shared" si="489"/>
        <v>7382.8763026657416</v>
      </c>
      <c r="L767" s="522">
        <f t="shared" si="489"/>
        <v>7567.4482102323836</v>
      </c>
      <c r="M767" s="522">
        <f t="shared" si="489"/>
        <v>7756.6344154881936</v>
      </c>
      <c r="N767" s="522">
        <f t="shared" si="489"/>
        <v>7950.5502758753973</v>
      </c>
      <c r="O767" s="522">
        <f t="shared" si="489"/>
        <v>8149.3140327722822</v>
      </c>
    </row>
    <row r="768" spans="2:40" ht="14.4" thickBot="1" x14ac:dyDescent="0.3"/>
    <row r="769" spans="2:15" x14ac:dyDescent="0.25">
      <c r="B769" s="422" t="s">
        <v>977</v>
      </c>
      <c r="C769" s="474">
        <f t="shared" ref="C769:L769" si="490">C644</f>
        <v>2015</v>
      </c>
      <c r="D769" s="474">
        <f t="shared" si="490"/>
        <v>2016</v>
      </c>
      <c r="E769" s="474">
        <f t="shared" si="490"/>
        <v>2017</v>
      </c>
      <c r="F769" s="474">
        <f t="shared" si="490"/>
        <v>2018</v>
      </c>
      <c r="G769" s="474">
        <f t="shared" si="490"/>
        <v>2019</v>
      </c>
      <c r="H769" s="474">
        <f t="shared" si="490"/>
        <v>2020</v>
      </c>
      <c r="I769" s="474">
        <f t="shared" si="490"/>
        <v>2021</v>
      </c>
      <c r="J769" s="474">
        <f t="shared" si="490"/>
        <v>2022</v>
      </c>
      <c r="K769" s="474">
        <f t="shared" si="490"/>
        <v>2023</v>
      </c>
      <c r="L769" s="474">
        <f t="shared" si="490"/>
        <v>2024</v>
      </c>
      <c r="M769" s="474">
        <f>M644</f>
        <v>2025</v>
      </c>
      <c r="N769" s="474">
        <f>N644</f>
        <v>2026</v>
      </c>
      <c r="O769" s="474">
        <f>O644</f>
        <v>2027</v>
      </c>
    </row>
    <row r="770" spans="2:15" ht="15" thickBot="1" x14ac:dyDescent="0.35">
      <c r="B770" s="517" t="s">
        <v>978</v>
      </c>
      <c r="C770" s="475" t="s">
        <v>875</v>
      </c>
      <c r="D770" s="475" t="s">
        <v>875</v>
      </c>
      <c r="E770" s="475" t="s">
        <v>875</v>
      </c>
      <c r="F770" s="475" t="s">
        <v>875</v>
      </c>
      <c r="G770" s="475" t="s">
        <v>875</v>
      </c>
      <c r="H770" s="475" t="s">
        <v>875</v>
      </c>
      <c r="I770" s="475" t="s">
        <v>875</v>
      </c>
      <c r="J770" s="475" t="s">
        <v>875</v>
      </c>
      <c r="K770" s="475" t="s">
        <v>875</v>
      </c>
      <c r="L770" s="475" t="s">
        <v>875</v>
      </c>
      <c r="M770" s="475" t="s">
        <v>875</v>
      </c>
      <c r="N770" s="475" t="s">
        <v>875</v>
      </c>
      <c r="O770" s="475" t="s">
        <v>875</v>
      </c>
    </row>
    <row r="771" spans="2:15" x14ac:dyDescent="0.25">
      <c r="B771" s="523" t="s">
        <v>909</v>
      </c>
      <c r="C771" s="442"/>
      <c r="D771" s="442"/>
      <c r="E771" s="442"/>
      <c r="F771" s="442"/>
      <c r="G771" s="442"/>
      <c r="H771" s="442"/>
      <c r="I771" s="442"/>
      <c r="J771" s="442"/>
      <c r="K771" s="442"/>
      <c r="L771" s="442"/>
      <c r="M771" s="442"/>
      <c r="N771" s="442"/>
      <c r="O771" s="442"/>
    </row>
    <row r="772" spans="2:15" x14ac:dyDescent="0.25">
      <c r="B772" s="442" t="s">
        <v>979</v>
      </c>
      <c r="C772" s="442"/>
      <c r="D772" s="442">
        <v>373</v>
      </c>
      <c r="E772" s="442"/>
      <c r="F772" s="442"/>
      <c r="G772" s="442"/>
      <c r="H772" s="442"/>
      <c r="I772" s="442"/>
      <c r="J772" s="442"/>
      <c r="K772" s="442"/>
      <c r="L772" s="442"/>
      <c r="M772" s="442"/>
      <c r="N772" s="442"/>
      <c r="O772" s="442"/>
    </row>
    <row r="773" spans="2:15" x14ac:dyDescent="0.25">
      <c r="B773" s="442" t="s">
        <v>980</v>
      </c>
      <c r="C773" s="442"/>
      <c r="D773" s="442">
        <v>350</v>
      </c>
      <c r="E773" s="442"/>
      <c r="F773" s="442"/>
      <c r="G773" s="442"/>
      <c r="H773" s="442"/>
      <c r="I773" s="442"/>
      <c r="J773" s="442"/>
      <c r="K773" s="442"/>
      <c r="L773" s="442"/>
      <c r="M773" s="442"/>
      <c r="N773" s="442"/>
      <c r="O773" s="442"/>
    </row>
    <row r="774" spans="2:15" x14ac:dyDescent="0.25">
      <c r="B774" s="442" t="s">
        <v>981</v>
      </c>
      <c r="C774" s="442"/>
      <c r="D774" s="442">
        <v>208</v>
      </c>
      <c r="E774" s="442"/>
      <c r="F774" s="442"/>
      <c r="G774" s="442"/>
      <c r="H774" s="442"/>
      <c r="I774" s="442"/>
      <c r="J774" s="442"/>
      <c r="K774" s="442"/>
      <c r="L774" s="442"/>
      <c r="M774" s="442"/>
      <c r="N774" s="442"/>
      <c r="O774" s="442"/>
    </row>
    <row r="775" spans="2:15" x14ac:dyDescent="0.25">
      <c r="B775" s="442" t="s">
        <v>982</v>
      </c>
      <c r="C775" s="442"/>
      <c r="D775" s="442"/>
      <c r="E775" s="442"/>
      <c r="F775" s="442"/>
      <c r="G775" s="442"/>
      <c r="H775" s="442"/>
      <c r="I775" s="442"/>
      <c r="J775" s="442"/>
      <c r="K775" s="442"/>
      <c r="L775" s="442"/>
      <c r="M775" s="442"/>
      <c r="N775" s="442"/>
      <c r="O775" s="442"/>
    </row>
    <row r="776" spans="2:15" x14ac:dyDescent="0.25">
      <c r="B776" s="442" t="s">
        <v>983</v>
      </c>
      <c r="C776" s="442"/>
      <c r="D776" s="442">
        <v>51016</v>
      </c>
      <c r="E776" s="442"/>
      <c r="F776" s="442"/>
      <c r="G776" s="442"/>
      <c r="H776" s="442"/>
      <c r="I776" s="442"/>
      <c r="J776" s="442"/>
      <c r="K776" s="442"/>
      <c r="L776" s="442"/>
      <c r="M776" s="442"/>
      <c r="N776" s="442"/>
      <c r="O776" s="442"/>
    </row>
    <row r="777" spans="2:15" x14ac:dyDescent="0.25">
      <c r="B777" s="442" t="s">
        <v>984</v>
      </c>
      <c r="C777" s="552"/>
      <c r="D777" s="552">
        <f>1+277</f>
        <v>278</v>
      </c>
      <c r="E777" s="442"/>
      <c r="F777" s="442"/>
      <c r="G777" s="442"/>
      <c r="H777" s="442"/>
      <c r="I777" s="442"/>
      <c r="J777" s="442"/>
      <c r="K777" s="442"/>
      <c r="L777" s="442"/>
      <c r="M777" s="442"/>
      <c r="N777" s="442"/>
      <c r="O777" s="442"/>
    </row>
    <row r="778" spans="2:15" x14ac:dyDescent="0.25">
      <c r="B778" s="523" t="s">
        <v>972</v>
      </c>
      <c r="C778" s="442"/>
      <c r="D778" s="442"/>
      <c r="E778" s="442"/>
      <c r="F778" s="442"/>
      <c r="G778" s="442"/>
      <c r="H778" s="442"/>
      <c r="I778" s="442"/>
      <c r="J778" s="442"/>
      <c r="K778" s="442"/>
      <c r="L778" s="442"/>
      <c r="M778" s="442"/>
      <c r="N778" s="442"/>
      <c r="O778" s="442"/>
    </row>
    <row r="779" spans="2:15" x14ac:dyDescent="0.25">
      <c r="B779" s="442" t="s">
        <v>979</v>
      </c>
      <c r="C779" s="442"/>
      <c r="D779" s="442"/>
      <c r="E779" s="442"/>
      <c r="F779" s="442"/>
      <c r="G779" s="442"/>
      <c r="H779" s="442"/>
      <c r="I779" s="442"/>
      <c r="J779" s="442"/>
      <c r="K779" s="442"/>
      <c r="L779" s="442"/>
      <c r="M779" s="442"/>
      <c r="N779" s="442"/>
      <c r="O779" s="442"/>
    </row>
    <row r="780" spans="2:15" x14ac:dyDescent="0.25">
      <c r="B780" s="442" t="s">
        <v>980</v>
      </c>
      <c r="C780" s="442"/>
      <c r="D780" s="442"/>
      <c r="E780" s="442"/>
      <c r="F780" s="442"/>
      <c r="G780" s="442"/>
      <c r="H780" s="442"/>
      <c r="I780" s="442"/>
      <c r="J780" s="442"/>
      <c r="K780" s="442"/>
      <c r="L780" s="442"/>
      <c r="M780" s="442"/>
      <c r="N780" s="442"/>
      <c r="O780" s="442"/>
    </row>
    <row r="781" spans="2:15" x14ac:dyDescent="0.25">
      <c r="B781" s="442" t="s">
        <v>981</v>
      </c>
      <c r="C781" s="442"/>
      <c r="D781" s="442"/>
      <c r="E781" s="442"/>
      <c r="F781" s="442"/>
      <c r="G781" s="442"/>
      <c r="H781" s="442"/>
      <c r="I781" s="442"/>
      <c r="J781" s="442"/>
      <c r="K781" s="442"/>
      <c r="L781" s="442"/>
      <c r="M781" s="442"/>
      <c r="N781" s="442"/>
      <c r="O781" s="442"/>
    </row>
    <row r="782" spans="2:15" x14ac:dyDescent="0.25">
      <c r="B782" s="442" t="s">
        <v>982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</row>
    <row r="783" spans="2:15" x14ac:dyDescent="0.25">
      <c r="B783" s="442" t="s">
        <v>983</v>
      </c>
      <c r="C783" s="442"/>
      <c r="D783" s="442"/>
      <c r="E783" s="442"/>
      <c r="F783" s="442"/>
      <c r="G783" s="442"/>
      <c r="H783" s="442"/>
      <c r="I783" s="442"/>
      <c r="J783" s="442"/>
      <c r="K783" s="442"/>
      <c r="L783" s="442"/>
      <c r="M783" s="442"/>
      <c r="N783" s="442"/>
      <c r="O783" s="442"/>
    </row>
    <row r="784" spans="2:15" x14ac:dyDescent="0.25">
      <c r="B784" s="442" t="s">
        <v>984</v>
      </c>
      <c r="C784" s="442"/>
      <c r="D784" s="442"/>
      <c r="E784" s="442"/>
      <c r="F784" s="442"/>
      <c r="G784" s="442"/>
      <c r="H784" s="442"/>
      <c r="I784" s="442"/>
      <c r="J784" s="442"/>
      <c r="K784" s="442"/>
      <c r="L784" s="442"/>
      <c r="M784" s="442"/>
      <c r="N784" s="442"/>
      <c r="O784" s="442"/>
    </row>
    <row r="785" spans="2:15" x14ac:dyDescent="0.25">
      <c r="B785" s="523" t="s">
        <v>985</v>
      </c>
      <c r="C785" s="442"/>
      <c r="D785" s="442"/>
      <c r="E785" s="442"/>
      <c r="F785" s="442"/>
      <c r="G785" s="442"/>
      <c r="H785" s="442"/>
      <c r="I785" s="442"/>
      <c r="J785" s="442"/>
      <c r="K785" s="442"/>
      <c r="L785" s="442"/>
      <c r="M785" s="442"/>
      <c r="N785" s="442"/>
      <c r="O785" s="442"/>
    </row>
    <row r="786" spans="2:15" x14ac:dyDescent="0.25">
      <c r="B786" s="442" t="s">
        <v>979</v>
      </c>
      <c r="C786" s="442"/>
      <c r="D786" s="442">
        <v>5379</v>
      </c>
      <c r="E786" s="442"/>
      <c r="F786" s="442"/>
      <c r="G786" s="442"/>
      <c r="H786" s="442"/>
      <c r="I786" s="442"/>
      <c r="J786" s="442"/>
      <c r="K786" s="442"/>
      <c r="L786" s="442"/>
      <c r="M786" s="442"/>
      <c r="N786" s="442"/>
      <c r="O786" s="442"/>
    </row>
    <row r="787" spans="2:15" x14ac:dyDescent="0.25">
      <c r="B787" s="442" t="s">
        <v>980</v>
      </c>
      <c r="C787" s="442"/>
      <c r="D787" s="442">
        <v>2622</v>
      </c>
      <c r="E787" s="442"/>
      <c r="F787" s="442"/>
      <c r="G787" s="442"/>
      <c r="H787" s="442"/>
      <c r="I787" s="442"/>
      <c r="J787" s="442"/>
      <c r="K787" s="442"/>
      <c r="L787" s="442"/>
      <c r="M787" s="442"/>
      <c r="N787" s="442"/>
      <c r="O787" s="442"/>
    </row>
    <row r="788" spans="2:15" x14ac:dyDescent="0.25">
      <c r="B788" s="442" t="s">
        <v>981</v>
      </c>
      <c r="C788" s="442"/>
      <c r="D788" s="442">
        <v>2229</v>
      </c>
      <c r="E788" s="442"/>
      <c r="F788" s="442"/>
      <c r="G788" s="442"/>
      <c r="H788" s="442"/>
      <c r="I788" s="442"/>
      <c r="J788" s="442"/>
      <c r="K788" s="442"/>
      <c r="L788" s="442"/>
      <c r="M788" s="442"/>
      <c r="N788" s="442"/>
      <c r="O788" s="442"/>
    </row>
    <row r="789" spans="2:15" x14ac:dyDescent="0.25">
      <c r="B789" s="442" t="s">
        <v>982</v>
      </c>
      <c r="C789" s="442"/>
      <c r="D789" s="442"/>
      <c r="E789" s="442"/>
      <c r="F789" s="442"/>
      <c r="G789" s="442"/>
      <c r="H789" s="442"/>
      <c r="I789" s="442"/>
      <c r="J789" s="442"/>
      <c r="K789" s="442"/>
      <c r="L789" s="442"/>
      <c r="M789" s="442"/>
      <c r="N789" s="442"/>
      <c r="O789" s="442"/>
    </row>
    <row r="790" spans="2:15" x14ac:dyDescent="0.25">
      <c r="B790" s="442" t="s">
        <v>983</v>
      </c>
      <c r="C790" s="442"/>
      <c r="D790" s="442">
        <v>324724</v>
      </c>
      <c r="E790" s="442"/>
      <c r="F790" s="442"/>
      <c r="G790" s="442"/>
      <c r="H790" s="442"/>
      <c r="I790" s="442"/>
      <c r="J790" s="442"/>
      <c r="K790" s="442"/>
      <c r="L790" s="442"/>
      <c r="M790" s="442"/>
      <c r="N790" s="442"/>
      <c r="O790" s="442"/>
    </row>
    <row r="791" spans="2:15" x14ac:dyDescent="0.25">
      <c r="B791" s="442" t="s">
        <v>984</v>
      </c>
      <c r="C791" s="552"/>
      <c r="D791" s="552">
        <f>3522+605+281</f>
        <v>4408</v>
      </c>
      <c r="E791" s="442"/>
      <c r="F791" s="442"/>
      <c r="G791" s="442"/>
      <c r="H791" s="442"/>
      <c r="I791" s="442"/>
      <c r="J791" s="442"/>
      <c r="K791" s="442"/>
      <c r="L791" s="442"/>
      <c r="M791" s="442"/>
      <c r="N791" s="442"/>
      <c r="O791" s="442"/>
    </row>
    <row r="792" spans="2:15" x14ac:dyDescent="0.25">
      <c r="B792" s="523" t="s">
        <v>974</v>
      </c>
      <c r="C792" s="442"/>
      <c r="D792" s="442"/>
      <c r="E792" s="442"/>
      <c r="F792" s="442"/>
      <c r="G792" s="442"/>
      <c r="H792" s="442"/>
      <c r="I792" s="442"/>
      <c r="J792" s="442"/>
      <c r="K792" s="442"/>
      <c r="L792" s="442"/>
      <c r="M792" s="442"/>
      <c r="N792" s="442"/>
      <c r="O792" s="442"/>
    </row>
    <row r="793" spans="2:15" x14ac:dyDescent="0.25">
      <c r="B793" s="442" t="s">
        <v>979</v>
      </c>
      <c r="C793" s="442"/>
      <c r="D793" s="442">
        <v>511</v>
      </c>
      <c r="E793" s="442"/>
      <c r="F793" s="442"/>
      <c r="G793" s="442"/>
      <c r="H793" s="442"/>
      <c r="I793" s="442"/>
      <c r="J793" s="442"/>
      <c r="K793" s="442"/>
      <c r="L793" s="442"/>
      <c r="M793" s="442"/>
      <c r="N793" s="442"/>
      <c r="O793" s="442"/>
    </row>
    <row r="794" spans="2:15" x14ac:dyDescent="0.25">
      <c r="B794" s="442" t="s">
        <v>980</v>
      </c>
      <c r="C794" s="442"/>
      <c r="D794" s="442">
        <v>77</v>
      </c>
      <c r="E794" s="442"/>
      <c r="F794" s="442"/>
      <c r="G794" s="442"/>
      <c r="H794" s="442"/>
      <c r="I794" s="442"/>
      <c r="J794" s="442"/>
      <c r="K794" s="442"/>
      <c r="L794" s="442"/>
      <c r="M794" s="442"/>
      <c r="N794" s="442"/>
      <c r="O794" s="442"/>
    </row>
    <row r="795" spans="2:15" x14ac:dyDescent="0.25">
      <c r="B795" s="442" t="s">
        <v>981</v>
      </c>
      <c r="C795" s="442"/>
      <c r="D795" s="442">
        <v>65</v>
      </c>
      <c r="E795" s="442"/>
      <c r="F795" s="442"/>
      <c r="G795" s="442"/>
      <c r="H795" s="442"/>
      <c r="I795" s="442"/>
      <c r="J795" s="442"/>
      <c r="K795" s="442"/>
      <c r="L795" s="442"/>
      <c r="M795" s="442"/>
      <c r="N795" s="442"/>
      <c r="O795" s="442"/>
    </row>
    <row r="796" spans="2:15" x14ac:dyDescent="0.25">
      <c r="B796" s="442" t="s">
        <v>982</v>
      </c>
      <c r="C796" s="442"/>
      <c r="D796" s="442"/>
      <c r="E796" s="442"/>
      <c r="F796" s="442"/>
      <c r="G796" s="442"/>
      <c r="H796" s="442"/>
      <c r="I796" s="442"/>
      <c r="J796" s="442"/>
      <c r="K796" s="442"/>
      <c r="L796" s="442"/>
      <c r="M796" s="442"/>
      <c r="N796" s="442"/>
      <c r="O796" s="442"/>
    </row>
    <row r="797" spans="2:15" x14ac:dyDescent="0.25">
      <c r="B797" s="442" t="s">
        <v>983</v>
      </c>
      <c r="C797" s="442"/>
      <c r="D797" s="442">
        <v>38284</v>
      </c>
      <c r="E797" s="442"/>
      <c r="F797" s="442"/>
      <c r="G797" s="442"/>
      <c r="H797" s="442"/>
      <c r="I797" s="442"/>
      <c r="J797" s="442"/>
      <c r="K797" s="442"/>
      <c r="L797" s="442"/>
      <c r="M797" s="442"/>
      <c r="N797" s="442"/>
      <c r="O797" s="442"/>
    </row>
    <row r="798" spans="2:15" x14ac:dyDescent="0.25">
      <c r="B798" s="442" t="s">
        <v>984</v>
      </c>
      <c r="C798" s="552"/>
      <c r="D798" s="552">
        <v>593</v>
      </c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</row>
    <row r="799" spans="2:15" x14ac:dyDescent="0.25">
      <c r="B799" s="523" t="s">
        <v>986</v>
      </c>
      <c r="C799" s="442"/>
      <c r="D799" s="442"/>
      <c r="E799" s="442"/>
      <c r="F799" s="442"/>
      <c r="G799" s="442"/>
      <c r="H799" s="442"/>
      <c r="I799" s="442"/>
      <c r="J799" s="442"/>
      <c r="K799" s="442"/>
      <c r="L799" s="442"/>
      <c r="M799" s="442"/>
      <c r="N799" s="442"/>
      <c r="O799" s="442"/>
    </row>
    <row r="800" spans="2:15" x14ac:dyDescent="0.25">
      <c r="B800" s="442" t="s">
        <v>979</v>
      </c>
      <c r="C800" s="442"/>
      <c r="D800" s="442">
        <f>2256+356</f>
        <v>2612</v>
      </c>
      <c r="E800" s="442"/>
      <c r="F800" s="442"/>
      <c r="G800" s="442"/>
      <c r="H800" s="442"/>
      <c r="I800" s="442"/>
      <c r="J800" s="442"/>
      <c r="K800" s="442"/>
      <c r="L800" s="442"/>
      <c r="M800" s="442"/>
      <c r="N800" s="442"/>
      <c r="O800" s="442"/>
    </row>
    <row r="801" spans="2:16" x14ac:dyDescent="0.25">
      <c r="B801" s="442" t="s">
        <v>980</v>
      </c>
      <c r="C801" s="442"/>
      <c r="D801" s="442">
        <f>209+617</f>
        <v>826</v>
      </c>
      <c r="E801" s="442"/>
      <c r="F801" s="442"/>
      <c r="G801" s="442"/>
      <c r="H801" s="442"/>
      <c r="I801" s="442"/>
      <c r="J801" s="442"/>
      <c r="K801" s="442"/>
      <c r="L801" s="442"/>
      <c r="M801" s="442"/>
      <c r="N801" s="442"/>
      <c r="O801" s="442"/>
    </row>
    <row r="802" spans="2:16" x14ac:dyDescent="0.25">
      <c r="B802" s="442" t="s">
        <v>981</v>
      </c>
      <c r="C802" s="442"/>
      <c r="D802" s="442">
        <f>82+617</f>
        <v>699</v>
      </c>
      <c r="E802" s="442"/>
      <c r="F802" s="442"/>
      <c r="G802" s="442"/>
      <c r="H802" s="442"/>
      <c r="I802" s="442"/>
      <c r="J802" s="442"/>
      <c r="K802" s="442"/>
      <c r="L802" s="442"/>
      <c r="M802" s="442"/>
      <c r="N802" s="442"/>
      <c r="O802" s="442"/>
    </row>
    <row r="803" spans="2:16" x14ac:dyDescent="0.25">
      <c r="B803" s="442" t="s">
        <v>982</v>
      </c>
      <c r="C803" s="442"/>
      <c r="D803" s="442"/>
      <c r="E803" s="442"/>
      <c r="F803" s="442"/>
      <c r="G803" s="442"/>
      <c r="H803" s="442"/>
      <c r="I803" s="442"/>
      <c r="J803" s="442"/>
      <c r="K803" s="442"/>
      <c r="L803" s="442"/>
      <c r="M803" s="442"/>
      <c r="N803" s="442"/>
      <c r="O803" s="442"/>
    </row>
    <row r="804" spans="2:16" x14ac:dyDescent="0.25">
      <c r="B804" s="442" t="s">
        <v>983</v>
      </c>
      <c r="C804" s="442"/>
      <c r="D804" s="442">
        <f>4291+5887</f>
        <v>10178</v>
      </c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</row>
    <row r="805" spans="2:16" x14ac:dyDescent="0.25">
      <c r="B805" s="442" t="s">
        <v>984</v>
      </c>
      <c r="C805" s="553"/>
      <c r="D805" s="552">
        <f>112+283</f>
        <v>395</v>
      </c>
      <c r="E805" s="442"/>
      <c r="F805" s="442"/>
      <c r="G805" s="442"/>
      <c r="H805" s="442"/>
      <c r="I805" s="442"/>
      <c r="J805" s="442"/>
      <c r="K805" s="442"/>
      <c r="L805" s="442"/>
      <c r="M805" s="442"/>
      <c r="N805" s="442"/>
      <c r="O805" s="442"/>
    </row>
    <row r="806" spans="2:16" x14ac:dyDescent="0.25">
      <c r="B806" s="523" t="s">
        <v>987</v>
      </c>
      <c r="C806" s="442"/>
      <c r="D806" s="442"/>
      <c r="E806" s="442"/>
      <c r="F806" s="442"/>
      <c r="G806" s="442"/>
      <c r="H806" s="442"/>
      <c r="I806" s="442"/>
      <c r="J806" s="442"/>
      <c r="K806" s="442"/>
      <c r="L806" s="442"/>
      <c r="M806" s="442"/>
      <c r="N806" s="442"/>
      <c r="O806" s="442"/>
    </row>
    <row r="807" spans="2:16" x14ac:dyDescent="0.25">
      <c r="B807" s="442" t="s">
        <v>979</v>
      </c>
      <c r="C807" s="442"/>
      <c r="D807" s="442"/>
      <c r="E807" s="442"/>
      <c r="F807" s="442"/>
      <c r="G807" s="442"/>
      <c r="H807" s="442"/>
      <c r="I807" s="442"/>
      <c r="J807" s="442"/>
      <c r="K807" s="442"/>
      <c r="L807" s="442"/>
      <c r="M807" s="442"/>
      <c r="N807" s="442"/>
      <c r="O807" s="442"/>
    </row>
    <row r="808" spans="2:16" x14ac:dyDescent="0.25">
      <c r="B808" s="442" t="s">
        <v>980</v>
      </c>
      <c r="C808" s="442"/>
      <c r="D808" s="442"/>
      <c r="E808" s="442"/>
      <c r="F808" s="442"/>
      <c r="G808" s="442"/>
      <c r="H808" s="442"/>
      <c r="I808" s="442"/>
      <c r="J808" s="442"/>
      <c r="K808" s="442"/>
      <c r="L808" s="442"/>
      <c r="M808" s="442"/>
      <c r="N808" s="442"/>
      <c r="O808" s="442"/>
    </row>
    <row r="809" spans="2:16" x14ac:dyDescent="0.25">
      <c r="B809" s="442" t="s">
        <v>981</v>
      </c>
      <c r="C809" s="442"/>
      <c r="D809" s="442"/>
      <c r="E809" s="442"/>
      <c r="F809" s="442"/>
      <c r="G809" s="442"/>
      <c r="H809" s="442"/>
      <c r="I809" s="442"/>
      <c r="J809" s="442"/>
      <c r="K809" s="442"/>
      <c r="L809" s="442"/>
      <c r="M809" s="442"/>
      <c r="N809" s="442"/>
      <c r="O809" s="442"/>
    </row>
    <row r="810" spans="2:16" x14ac:dyDescent="0.25">
      <c r="B810" s="442" t="s">
        <v>982</v>
      </c>
      <c r="C810" s="442"/>
      <c r="D810" s="442"/>
      <c r="E810" s="442"/>
      <c r="F810" s="442"/>
      <c r="G810" s="442"/>
      <c r="H810" s="442"/>
      <c r="I810" s="442"/>
      <c r="J810" s="442"/>
      <c r="K810" s="442"/>
      <c r="L810" s="442"/>
      <c r="M810" s="442"/>
      <c r="N810" s="442"/>
      <c r="O810" s="442"/>
    </row>
    <row r="811" spans="2:16" x14ac:dyDescent="0.25">
      <c r="B811" s="442" t="s">
        <v>983</v>
      </c>
      <c r="C811" s="442"/>
      <c r="D811" s="442"/>
      <c r="E811" s="442"/>
      <c r="F811" s="442"/>
      <c r="G811" s="442"/>
      <c r="H811" s="442"/>
      <c r="I811" s="442"/>
      <c r="J811" s="442"/>
      <c r="K811" s="442"/>
      <c r="L811" s="442"/>
      <c r="M811" s="442"/>
      <c r="N811" s="442"/>
      <c r="O811" s="442"/>
    </row>
    <row r="812" spans="2:16" x14ac:dyDescent="0.25">
      <c r="B812" s="442" t="s">
        <v>984</v>
      </c>
      <c r="C812" s="442"/>
      <c r="D812" s="442"/>
      <c r="E812" s="442"/>
      <c r="F812" s="442"/>
      <c r="G812" s="442"/>
      <c r="H812" s="442"/>
      <c r="I812" s="442"/>
      <c r="J812" s="442"/>
      <c r="K812" s="442"/>
      <c r="L812" s="442"/>
      <c r="M812" s="442"/>
      <c r="N812" s="442"/>
      <c r="O812" s="442"/>
    </row>
    <row r="813" spans="2:16" x14ac:dyDescent="0.25">
      <c r="B813" s="523" t="s">
        <v>988</v>
      </c>
      <c r="C813" s="442"/>
      <c r="D813" s="442"/>
    </row>
    <row r="814" spans="2:16" x14ac:dyDescent="0.25">
      <c r="B814" s="524" t="s">
        <v>979</v>
      </c>
      <c r="C814" s="525">
        <f t="shared" ref="C814:D814" si="491">C807+C800+C793+C786+C779+C772</f>
        <v>0</v>
      </c>
      <c r="D814" s="525">
        <f t="shared" si="491"/>
        <v>8875</v>
      </c>
      <c r="E814" s="526">
        <f>D814</f>
        <v>8875</v>
      </c>
      <c r="F814" s="526">
        <f t="shared" ref="F814" si="492">IF((E748-E767)&gt;E814,0,IF(E748&gt;E767,E814-(E748-E767),E814-E748+E767))</f>
        <v>8918.496000000001</v>
      </c>
      <c r="G814" s="526">
        <f t="shared" ref="G814" si="493">IF((F748-F767)&gt;F814,0,IF(F748&gt;F767,F814-(F748-F767),F814-F748+F767))</f>
        <v>8961.2070000000022</v>
      </c>
      <c r="H814" s="526">
        <f t="shared" ref="H814" si="494">IF((G748-G767)&gt;G814,0,IF(G748&gt;G767,G814-(G748-G767),G814-G748+G767))</f>
        <v>4722.2738000000018</v>
      </c>
      <c r="I814" s="526">
        <f t="shared" ref="I814" si="495">IF((H748-H767)&gt;H814,0,IF(H748&gt;H767,H814-(H748-H767),H814-H748+H767))</f>
        <v>4122.6975075000018</v>
      </c>
      <c r="J814" s="526">
        <f t="shared" ref="J814" si="496">IF((I748-I767)&gt;I814,0,IF(I748&gt;I767,I814-(I748-I767),I814-I748+I767))</f>
        <v>4017.1584576875011</v>
      </c>
      <c r="K814" s="526">
        <f t="shared" ref="K814" si="497">IF((J748-J767)&gt;J814,0,IF(J748&gt;J767,J814-(J748-J767),J814-J748+J767))</f>
        <v>3998.9389066296872</v>
      </c>
      <c r="L814" s="526">
        <f t="shared" ref="L814" si="498">IF((K748-K767)&gt;K814,0,IF(K748&gt;K767,K814-(K748-K767),K814-K748+K767))</f>
        <v>4011.8968417954293</v>
      </c>
      <c r="M814" s="526">
        <f t="shared" ref="M814" si="499">IF((L748-L767)&gt;L814,0,IF(L748&gt;L767,L814-(L748-L767),L814-L748+L767))</f>
        <v>3645.3687003403129</v>
      </c>
      <c r="N814" s="526">
        <f t="shared" ref="N814" si="500">IF((M748-M767)&gt;M814,0,IF(M748&gt;M767,M814-(M748-M767),M814-M748+M767))</f>
        <v>3640.7994703488193</v>
      </c>
      <c r="O814" s="526">
        <f t="shared" ref="O814" si="501">IF((N748-N767)&gt;N814,0,IF(N748&gt;N767,N814-(N748-N767),N814-N748+N767))</f>
        <v>3512.7454074075376</v>
      </c>
    </row>
    <row r="815" spans="2:16" x14ac:dyDescent="0.25">
      <c r="B815" s="524" t="s">
        <v>980</v>
      </c>
      <c r="C815" s="525">
        <f t="shared" ref="C815:D815" si="502">C808+C801+C794+C787+C780+C773</f>
        <v>0</v>
      </c>
      <c r="D815" s="525">
        <f t="shared" si="502"/>
        <v>3875</v>
      </c>
      <c r="E815" s="743">
        <f>D815*(1+'LTFP Assumptions'!B$130)</f>
        <v>3875</v>
      </c>
      <c r="F815" s="743">
        <f>E815*(1+'LTFP Assumptions'!$B$30)</f>
        <v>3952.5</v>
      </c>
      <c r="G815" s="743">
        <f>F815*(1+'LTFP Assumptions'!$B$30)</f>
        <v>4031.55</v>
      </c>
      <c r="H815" s="743">
        <f>G815*(1+'LTFP Assumptions'!$B$30)</f>
        <v>4112.1810000000005</v>
      </c>
      <c r="I815" s="743">
        <f>H815*(1+'LTFP Assumptions'!$H$13)</f>
        <v>4194.4246200000007</v>
      </c>
      <c r="J815" s="743">
        <f>I815*(1+'LTFP Assumptions'!$H$13)</f>
        <v>4278.313112400001</v>
      </c>
      <c r="K815" s="743">
        <f>J815*(1+'LTFP Assumptions'!$H$13)</f>
        <v>4363.8793746480014</v>
      </c>
      <c r="L815" s="743">
        <f>K815*(1+'LTFP Assumptions'!$H$13)</f>
        <v>4451.1569621409617</v>
      </c>
      <c r="M815" s="743">
        <f>L815*(1+'LTFP Assumptions'!$H$13)</f>
        <v>4540.1801013837812</v>
      </c>
      <c r="N815" s="743">
        <f>M815*(1+'LTFP Assumptions'!$H$13)</f>
        <v>4630.9837034114571</v>
      </c>
      <c r="O815" s="743">
        <f>N815*(1+'LTFP Assumptions'!$H$13)</f>
        <v>4723.6033774796861</v>
      </c>
    </row>
    <row r="816" spans="2:16" x14ac:dyDescent="0.25">
      <c r="B816" s="524" t="s">
        <v>981</v>
      </c>
      <c r="C816" s="525">
        <f t="shared" ref="C816:D816" si="503">C809+C802+C795+C788+C781+C774</f>
        <v>0</v>
      </c>
      <c r="D816" s="525">
        <f t="shared" si="503"/>
        <v>3201</v>
      </c>
      <c r="E816" s="743">
        <f>E815</f>
        <v>3875</v>
      </c>
      <c r="F816" s="743">
        <f>F815</f>
        <v>3952.5</v>
      </c>
      <c r="G816" s="743">
        <f>F816*(1+'LTFP Assumptions'!$B$30)</f>
        <v>4031.55</v>
      </c>
      <c r="H816" s="743">
        <f>G816*(1+'LTFP Assumptions'!$B$30)</f>
        <v>4112.1810000000005</v>
      </c>
      <c r="I816" s="743">
        <f>H816*(1+'LTFP Assumptions'!$H$13)</f>
        <v>4194.4246200000007</v>
      </c>
      <c r="J816" s="743">
        <f>I816*(1+'LTFP Assumptions'!$H$13)</f>
        <v>4278.313112400001</v>
      </c>
      <c r="K816" s="743">
        <f>J816*(1+'LTFP Assumptions'!$H$13)</f>
        <v>4363.8793746480014</v>
      </c>
      <c r="L816" s="743">
        <f>K816*(1+'LTFP Assumptions'!$H$13)</f>
        <v>4451.1569621409617</v>
      </c>
      <c r="M816" s="743">
        <f>L816*(1+'LTFP Assumptions'!$H$13)</f>
        <v>4540.1801013837812</v>
      </c>
      <c r="N816" s="743">
        <f>M816*(1+'LTFP Assumptions'!$H$13)</f>
        <v>4630.9837034114571</v>
      </c>
      <c r="O816" s="743">
        <f>N816*(1+'LTFP Assumptions'!$H$13)</f>
        <v>4723.6033774796861</v>
      </c>
      <c r="P816" s="527"/>
    </row>
    <row r="817" spans="2:16" x14ac:dyDescent="0.25">
      <c r="B817" s="524" t="s">
        <v>982</v>
      </c>
      <c r="C817" s="526"/>
      <c r="D817" s="526"/>
      <c r="E817" s="526"/>
      <c r="F817" s="526"/>
      <c r="G817" s="526"/>
      <c r="H817" s="526"/>
      <c r="I817" s="526"/>
      <c r="J817" s="526"/>
      <c r="K817" s="526"/>
      <c r="L817" s="526"/>
      <c r="M817" s="526"/>
      <c r="N817" s="526"/>
      <c r="O817" s="526"/>
      <c r="P817" s="526">
        <f t="shared" ref="P817" si="504">(O817*1.02)+O738-O731</f>
        <v>0</v>
      </c>
    </row>
    <row r="818" spans="2:16" x14ac:dyDescent="0.25">
      <c r="B818" s="524" t="s">
        <v>983</v>
      </c>
      <c r="C818" s="525">
        <f>C811+C804+C797+C790+C783+C776</f>
        <v>0</v>
      </c>
      <c r="D818" s="525">
        <f>D811+D804+D797+D790+D783+D776</f>
        <v>424202</v>
      </c>
      <c r="E818" s="526">
        <f>D818-D767+D738-D731+D748</f>
        <v>418586</v>
      </c>
      <c r="F818" s="526">
        <f t="shared" ref="F818" si="505">E818-E767+E738-E731+E748</f>
        <v>418542.50400000002</v>
      </c>
      <c r="G818" s="526">
        <f t="shared" ref="G818" si="506">F818-F767+F738-F731+F748</f>
        <v>418499.79300000001</v>
      </c>
      <c r="H818" s="526">
        <f t="shared" ref="H818" si="507">G818-G767+G738-G731+G748</f>
        <v>422738.72619999998</v>
      </c>
      <c r="I818" s="526">
        <f t="shared" ref="I818" si="508">H818-H767+H738-H731+H748</f>
        <v>423338.30249249993</v>
      </c>
      <c r="J818" s="526">
        <f t="shared" ref="J818" si="509">I818-I767+I738-I731+I748</f>
        <v>423443.84154231247</v>
      </c>
      <c r="K818" s="526">
        <f t="shared" ref="K818" si="510">J818-J767+J738-J731+J748</f>
        <v>423462.06109337026</v>
      </c>
      <c r="L818" s="526">
        <f t="shared" ref="L818" si="511">K818-K767+K738-K731+K748</f>
        <v>423449.10315820453</v>
      </c>
      <c r="M818" s="526">
        <f t="shared" ref="M818" si="512">L818-L767+L738-L731+L748</f>
        <v>423815.63129965967</v>
      </c>
      <c r="N818" s="526">
        <f t="shared" ref="N818" si="513">M818-M767+M738-M731+M748</f>
        <v>423820.20052965119</v>
      </c>
      <c r="O818" s="526">
        <f t="shared" ref="O818" si="514">N818-N767+N738-N731+N748</f>
        <v>423948.25459259248</v>
      </c>
    </row>
    <row r="819" spans="2:16" ht="14.4" thickBot="1" x14ac:dyDescent="0.3">
      <c r="B819" s="528" t="s">
        <v>984</v>
      </c>
      <c r="C819" s="529">
        <f t="shared" ref="C819:D819" si="515">C812+C805+C798+C791+C784+C777</f>
        <v>0</v>
      </c>
      <c r="D819" s="529">
        <f t="shared" si="515"/>
        <v>5674</v>
      </c>
      <c r="E819" s="530">
        <f t="shared" ref="E819:O819" si="516">E767</f>
        <v>6905.496000000001</v>
      </c>
      <c r="F819" s="530">
        <f t="shared" si="516"/>
        <v>6136.0370000000003</v>
      </c>
      <c r="G819" s="530">
        <f t="shared" si="516"/>
        <v>6230.1202999999996</v>
      </c>
      <c r="H819" s="530">
        <f t="shared" si="516"/>
        <v>6509.9427075000003</v>
      </c>
      <c r="I819" s="530">
        <f t="shared" si="516"/>
        <v>7027.1279501874997</v>
      </c>
      <c r="J819" s="530">
        <f t="shared" si="516"/>
        <v>7202.8061489421862</v>
      </c>
      <c r="K819" s="530">
        <f t="shared" si="516"/>
        <v>7382.8763026657416</v>
      </c>
      <c r="L819" s="530">
        <f t="shared" si="516"/>
        <v>7567.4482102323836</v>
      </c>
      <c r="M819" s="530">
        <f t="shared" si="516"/>
        <v>7756.6344154881936</v>
      </c>
      <c r="N819" s="530">
        <f t="shared" si="516"/>
        <v>7950.5502758753973</v>
      </c>
      <c r="O819" s="530">
        <f t="shared" si="516"/>
        <v>8149.3140327722822</v>
      </c>
    </row>
    <row r="820" spans="2:16" ht="14.4" thickBot="1" x14ac:dyDescent="0.3">
      <c r="B820" s="531"/>
      <c r="C820" s="532"/>
      <c r="D820" s="532"/>
      <c r="E820" s="532"/>
      <c r="F820" s="532"/>
      <c r="G820" s="532"/>
      <c r="H820" s="532"/>
      <c r="I820" s="532"/>
      <c r="J820" s="532"/>
      <c r="K820" s="532"/>
      <c r="L820" s="532"/>
      <c r="M820" s="532"/>
      <c r="N820" s="532"/>
      <c r="O820" s="532"/>
    </row>
    <row r="821" spans="2:16" ht="15.75" hidden="1" outlineLevel="1" thickBot="1" x14ac:dyDescent="0.3">
      <c r="B821" s="422" t="s">
        <v>404</v>
      </c>
      <c r="C821" s="474">
        <v>2015</v>
      </c>
      <c r="D821" s="474">
        <v>2015</v>
      </c>
      <c r="E821" s="474">
        <v>2015</v>
      </c>
      <c r="F821" s="474">
        <v>2017</v>
      </c>
      <c r="G821" s="474">
        <v>2016</v>
      </c>
      <c r="H821" s="474">
        <v>2019</v>
      </c>
      <c r="I821" s="474">
        <v>2017</v>
      </c>
      <c r="J821" s="474">
        <v>2021</v>
      </c>
      <c r="K821" s="474">
        <v>2018</v>
      </c>
      <c r="L821" s="474">
        <v>2023</v>
      </c>
      <c r="M821" s="474"/>
      <c r="N821" s="474"/>
      <c r="O821" s="474"/>
    </row>
    <row r="822" spans="2:16" ht="15.75" hidden="1" outlineLevel="1" thickBot="1" x14ac:dyDescent="0.3">
      <c r="B822" s="517"/>
      <c r="C822" s="475" t="s">
        <v>875</v>
      </c>
      <c r="D822" s="475" t="s">
        <v>875</v>
      </c>
      <c r="E822" s="475" t="s">
        <v>875</v>
      </c>
      <c r="F822" s="475" t="s">
        <v>875</v>
      </c>
      <c r="G822" s="475" t="s">
        <v>875</v>
      </c>
      <c r="H822" s="475" t="s">
        <v>875</v>
      </c>
      <c r="I822" s="475" t="s">
        <v>875</v>
      </c>
      <c r="J822" s="475" t="s">
        <v>875</v>
      </c>
      <c r="K822" s="475" t="s">
        <v>875</v>
      </c>
      <c r="L822" s="475" t="s">
        <v>875</v>
      </c>
      <c r="M822" s="475"/>
      <c r="N822" s="475"/>
      <c r="O822" s="475"/>
    </row>
    <row r="823" spans="2:16" ht="15" hidden="1" outlineLevel="1" thickBot="1" x14ac:dyDescent="0.25">
      <c r="B823" s="442" t="s">
        <v>989</v>
      </c>
      <c r="C823" s="442"/>
      <c r="D823" s="442"/>
      <c r="E823" s="442"/>
      <c r="F823" s="442"/>
      <c r="G823" s="442"/>
      <c r="H823" s="442"/>
      <c r="I823" s="442"/>
      <c r="J823" s="442"/>
      <c r="K823" s="442"/>
      <c r="L823" s="442"/>
      <c r="M823" s="442"/>
      <c r="N823" s="442"/>
      <c r="O823" s="442"/>
    </row>
    <row r="824" spans="2:16" ht="15" hidden="1" outlineLevel="1" thickBot="1" x14ac:dyDescent="0.25">
      <c r="B824" s="442" t="s">
        <v>990</v>
      </c>
      <c r="C824" s="442"/>
      <c r="D824" s="442"/>
      <c r="E824" s="442"/>
      <c r="F824" s="442"/>
      <c r="G824" s="442"/>
      <c r="H824" s="442"/>
      <c r="I824" s="442"/>
      <c r="J824" s="442"/>
      <c r="K824" s="442"/>
      <c r="L824" s="442"/>
      <c r="M824" s="442"/>
      <c r="N824" s="442"/>
      <c r="O824" s="442"/>
    </row>
    <row r="825" spans="2:16" ht="15" hidden="1" customHeight="1" outlineLevel="1" x14ac:dyDescent="0.2">
      <c r="B825" s="442" t="s">
        <v>991</v>
      </c>
      <c r="C825" s="442"/>
      <c r="D825" s="442"/>
      <c r="E825" s="442"/>
      <c r="F825" s="442"/>
      <c r="G825" s="442"/>
      <c r="H825" s="442"/>
      <c r="I825" s="442"/>
      <c r="J825" s="442"/>
      <c r="K825" s="442"/>
      <c r="L825" s="442"/>
      <c r="M825" s="442"/>
      <c r="N825" s="442"/>
      <c r="O825" s="442"/>
    </row>
    <row r="826" spans="2:16" ht="15" hidden="1" outlineLevel="1" thickBot="1" x14ac:dyDescent="0.25">
      <c r="B826" s="442" t="s">
        <v>992</v>
      </c>
      <c r="C826" s="442"/>
      <c r="D826" s="442"/>
      <c r="E826" s="442"/>
      <c r="F826" s="442"/>
      <c r="G826" s="442"/>
      <c r="H826" s="442"/>
      <c r="I826" s="442"/>
      <c r="J826" s="442"/>
      <c r="K826" s="442"/>
      <c r="L826" s="442"/>
      <c r="M826" s="442"/>
      <c r="N826" s="442"/>
      <c r="O826" s="442"/>
    </row>
    <row r="827" spans="2:16" ht="15" hidden="1" outlineLevel="1" thickBot="1" x14ac:dyDescent="0.25">
      <c r="B827" s="442" t="s">
        <v>993</v>
      </c>
      <c r="C827" s="442"/>
      <c r="D827" s="442"/>
      <c r="E827" s="442"/>
      <c r="F827" s="442"/>
      <c r="G827" s="442"/>
      <c r="H827" s="442"/>
      <c r="I827" s="442"/>
      <c r="J827" s="442"/>
      <c r="K827" s="442"/>
      <c r="L827" s="442"/>
      <c r="M827" s="442"/>
      <c r="N827" s="442"/>
      <c r="O827" s="442"/>
    </row>
    <row r="828" spans="2:16" ht="15" hidden="1" outlineLevel="1" thickBot="1" x14ac:dyDescent="0.25">
      <c r="B828" s="442" t="s">
        <v>994</v>
      </c>
      <c r="C828" s="442"/>
      <c r="D828" s="442"/>
      <c r="E828" s="442"/>
      <c r="F828" s="442"/>
      <c r="G828" s="442"/>
      <c r="H828" s="442"/>
      <c r="I828" s="442"/>
      <c r="J828" s="442"/>
      <c r="K828" s="442"/>
      <c r="L828" s="442"/>
      <c r="M828" s="442"/>
      <c r="N828" s="442"/>
      <c r="O828" s="442"/>
    </row>
    <row r="829" spans="2:16" ht="15" hidden="1" outlineLevel="1" thickBot="1" x14ac:dyDescent="0.25">
      <c r="B829" s="442" t="s">
        <v>995</v>
      </c>
      <c r="C829" s="442"/>
      <c r="D829" s="442"/>
      <c r="E829" s="442"/>
      <c r="F829" s="442"/>
      <c r="G829" s="442"/>
      <c r="H829" s="442"/>
      <c r="I829" s="442"/>
      <c r="J829" s="442"/>
      <c r="K829" s="442"/>
      <c r="L829" s="442"/>
      <c r="M829" s="442"/>
      <c r="N829" s="442"/>
      <c r="O829" s="442"/>
    </row>
    <row r="830" spans="2:16" ht="15" hidden="1" outlineLevel="1" thickBot="1" x14ac:dyDescent="0.25">
      <c r="B830" s="442" t="s">
        <v>996</v>
      </c>
      <c r="C830" s="442"/>
      <c r="D830" s="442"/>
      <c r="E830" s="442"/>
      <c r="F830" s="442"/>
      <c r="G830" s="442"/>
      <c r="H830" s="442"/>
      <c r="I830" s="442"/>
      <c r="J830" s="442"/>
      <c r="K830" s="442"/>
      <c r="L830" s="442"/>
      <c r="M830" s="442"/>
      <c r="N830" s="442"/>
      <c r="O830" s="442"/>
    </row>
    <row r="831" spans="2:16" ht="15" hidden="1" outlineLevel="1" thickBot="1" x14ac:dyDescent="0.25">
      <c r="B831" s="428"/>
      <c r="C831" s="442"/>
      <c r="D831" s="442"/>
      <c r="E831" s="442"/>
      <c r="F831" s="442"/>
      <c r="G831" s="442"/>
      <c r="H831" s="442"/>
      <c r="I831" s="442"/>
      <c r="J831" s="442"/>
      <c r="K831" s="442"/>
      <c r="L831" s="442"/>
      <c r="M831" s="442"/>
      <c r="N831" s="442"/>
      <c r="O831" s="442"/>
    </row>
    <row r="832" spans="2:16" ht="15" hidden="1" customHeight="1" outlineLevel="1" x14ac:dyDescent="0.2">
      <c r="B832" s="442" t="s">
        <v>472</v>
      </c>
      <c r="C832" s="442"/>
      <c r="D832" s="442"/>
      <c r="E832" s="442"/>
      <c r="F832" s="442"/>
      <c r="G832" s="442"/>
      <c r="H832" s="442"/>
      <c r="I832" s="442"/>
      <c r="J832" s="442"/>
      <c r="K832" s="442"/>
      <c r="L832" s="442"/>
      <c r="M832" s="442"/>
      <c r="N832" s="442"/>
      <c r="O832" s="442"/>
    </row>
    <row r="833" spans="2:29" ht="15" hidden="1" outlineLevel="1" thickBot="1" x14ac:dyDescent="0.25">
      <c r="B833" s="442" t="s">
        <v>990</v>
      </c>
      <c r="C833" s="442"/>
      <c r="D833" s="442"/>
      <c r="E833" s="442"/>
      <c r="F833" s="442"/>
      <c r="G833" s="442"/>
      <c r="H833" s="442"/>
      <c r="I833" s="442"/>
      <c r="J833" s="442"/>
      <c r="K833" s="442"/>
      <c r="L833" s="442"/>
      <c r="M833" s="442"/>
      <c r="N833" s="442"/>
      <c r="O833" s="442"/>
    </row>
    <row r="834" spans="2:29" ht="15" hidden="1" outlineLevel="1" thickBot="1" x14ac:dyDescent="0.25">
      <c r="B834" s="442" t="s">
        <v>991</v>
      </c>
      <c r="C834" s="442"/>
      <c r="D834" s="442"/>
      <c r="E834" s="442"/>
      <c r="F834" s="442"/>
      <c r="G834" s="442"/>
      <c r="H834" s="442"/>
      <c r="I834" s="442"/>
      <c r="J834" s="442"/>
      <c r="K834" s="442"/>
      <c r="L834" s="442"/>
      <c r="M834" s="442"/>
      <c r="N834" s="442"/>
      <c r="O834" s="442"/>
    </row>
    <row r="835" spans="2:29" ht="15" hidden="1" outlineLevel="1" thickBot="1" x14ac:dyDescent="0.25">
      <c r="B835" s="442" t="s">
        <v>992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</row>
    <row r="836" spans="2:29" ht="15" hidden="1" outlineLevel="1" thickBot="1" x14ac:dyDescent="0.25">
      <c r="B836" s="442" t="s">
        <v>993</v>
      </c>
      <c r="C836" s="442"/>
      <c r="D836" s="442"/>
      <c r="E836" s="442"/>
      <c r="F836" s="442"/>
      <c r="G836" s="442"/>
      <c r="H836" s="442"/>
      <c r="I836" s="442"/>
      <c r="J836" s="442"/>
      <c r="K836" s="442"/>
      <c r="L836" s="442"/>
      <c r="M836" s="442"/>
      <c r="N836" s="442"/>
      <c r="O836" s="442"/>
    </row>
    <row r="837" spans="2:29" ht="15" hidden="1" outlineLevel="1" thickBot="1" x14ac:dyDescent="0.25">
      <c r="B837" s="442" t="s">
        <v>994</v>
      </c>
      <c r="C837" s="442"/>
      <c r="D837" s="442"/>
      <c r="E837" s="442"/>
      <c r="F837" s="442"/>
      <c r="G837" s="442"/>
      <c r="H837" s="442"/>
      <c r="I837" s="442"/>
      <c r="J837" s="442"/>
      <c r="K837" s="442"/>
      <c r="L837" s="442"/>
      <c r="M837" s="442"/>
      <c r="N837" s="442"/>
      <c r="O837" s="442"/>
    </row>
    <row r="838" spans="2:29" ht="15" hidden="1" outlineLevel="1" thickBot="1" x14ac:dyDescent="0.25">
      <c r="B838" s="442" t="s">
        <v>995</v>
      </c>
      <c r="C838" s="442"/>
      <c r="D838" s="442"/>
      <c r="E838" s="442"/>
      <c r="F838" s="442"/>
      <c r="G838" s="442"/>
      <c r="H838" s="442"/>
      <c r="I838" s="442"/>
      <c r="J838" s="442"/>
      <c r="K838" s="442"/>
      <c r="L838" s="442"/>
      <c r="M838" s="442"/>
      <c r="N838" s="442"/>
      <c r="O838" s="442"/>
    </row>
    <row r="839" spans="2:29" ht="15" hidden="1" outlineLevel="1" thickBot="1" x14ac:dyDescent="0.25">
      <c r="B839" s="442" t="s">
        <v>996</v>
      </c>
      <c r="C839" s="442"/>
      <c r="D839" s="442"/>
      <c r="E839" s="442"/>
      <c r="F839" s="442"/>
      <c r="G839" s="442"/>
      <c r="H839" s="442"/>
      <c r="I839" s="442"/>
      <c r="J839" s="442"/>
      <c r="K839" s="442"/>
      <c r="L839" s="442"/>
      <c r="M839" s="442"/>
      <c r="N839" s="442"/>
      <c r="O839" s="442"/>
    </row>
    <row r="840" spans="2:29" ht="15" hidden="1" outlineLevel="1" thickBot="1" x14ac:dyDescent="0.25">
      <c r="B840" s="524"/>
      <c r="C840" s="442"/>
      <c r="D840" s="442"/>
      <c r="E840" s="442"/>
      <c r="F840" s="442"/>
      <c r="G840" s="442"/>
      <c r="H840" s="442"/>
      <c r="I840" s="442"/>
      <c r="J840" s="442"/>
      <c r="K840" s="442"/>
      <c r="L840" s="442"/>
      <c r="M840" s="442"/>
      <c r="N840" s="442"/>
      <c r="O840" s="442"/>
    </row>
    <row r="841" spans="2:29" ht="15" hidden="1" outlineLevel="1" thickBot="1" x14ac:dyDescent="0.25">
      <c r="B841" s="510"/>
      <c r="C841" s="510"/>
      <c r="D841" s="510"/>
      <c r="E841" s="510"/>
      <c r="F841" s="510"/>
      <c r="G841" s="510"/>
      <c r="H841" s="510"/>
      <c r="I841" s="510"/>
      <c r="J841" s="510"/>
      <c r="K841" s="510"/>
      <c r="L841" s="510"/>
      <c r="M841" s="510"/>
      <c r="N841" s="510"/>
      <c r="O841" s="510"/>
    </row>
    <row r="842" spans="2:29" ht="15.75" hidden="1" outlineLevel="1" thickBot="1" x14ac:dyDescent="0.3">
      <c r="B842" s="533" t="s">
        <v>997</v>
      </c>
      <c r="C842" s="534"/>
      <c r="D842" s="534"/>
      <c r="E842" s="534"/>
      <c r="F842" s="534"/>
      <c r="G842" s="534"/>
      <c r="H842" s="534"/>
      <c r="I842" s="534"/>
      <c r="J842" s="534"/>
      <c r="K842" s="534"/>
      <c r="L842" s="534"/>
      <c r="M842" s="534"/>
      <c r="N842" s="534"/>
      <c r="O842" s="534"/>
    </row>
    <row r="843" spans="2:29" collapsed="1" x14ac:dyDescent="0.25">
      <c r="B843" s="422" t="s">
        <v>873</v>
      </c>
      <c r="C843" s="423">
        <f t="shared" ref="C843:O843" si="517">C644</f>
        <v>2015</v>
      </c>
      <c r="D843" s="423">
        <f t="shared" si="517"/>
        <v>2016</v>
      </c>
      <c r="E843" s="423">
        <f t="shared" si="517"/>
        <v>2017</v>
      </c>
      <c r="F843" s="423">
        <f t="shared" si="517"/>
        <v>2018</v>
      </c>
      <c r="G843" s="423">
        <f t="shared" si="517"/>
        <v>2019</v>
      </c>
      <c r="H843" s="423">
        <f t="shared" si="517"/>
        <v>2020</v>
      </c>
      <c r="I843" s="423">
        <f t="shared" si="517"/>
        <v>2021</v>
      </c>
      <c r="J843" s="423">
        <f t="shared" si="517"/>
        <v>2022</v>
      </c>
      <c r="K843" s="423">
        <f t="shared" si="517"/>
        <v>2023</v>
      </c>
      <c r="L843" s="423">
        <f t="shared" si="517"/>
        <v>2024</v>
      </c>
      <c r="M843" s="423">
        <f t="shared" si="517"/>
        <v>2025</v>
      </c>
      <c r="N843" s="423">
        <f t="shared" si="517"/>
        <v>2026</v>
      </c>
      <c r="O843" s="423">
        <f t="shared" si="517"/>
        <v>2027</v>
      </c>
    </row>
    <row r="844" spans="2:29" ht="14.4" thickBot="1" x14ac:dyDescent="0.3">
      <c r="B844" s="425" t="s">
        <v>874</v>
      </c>
      <c r="C844" s="427" t="s">
        <v>875</v>
      </c>
      <c r="D844" s="427" t="s">
        <v>875</v>
      </c>
      <c r="E844" s="427" t="s">
        <v>875</v>
      </c>
      <c r="F844" s="427" t="s">
        <v>875</v>
      </c>
      <c r="G844" s="427" t="s">
        <v>875</v>
      </c>
      <c r="H844" s="427" t="s">
        <v>875</v>
      </c>
      <c r="I844" s="427" t="s">
        <v>875</v>
      </c>
      <c r="J844" s="427" t="s">
        <v>875</v>
      </c>
      <c r="K844" s="427" t="s">
        <v>875</v>
      </c>
      <c r="L844" s="427" t="s">
        <v>875</v>
      </c>
      <c r="M844" s="427" t="s">
        <v>875</v>
      </c>
      <c r="N844" s="427" t="s">
        <v>875</v>
      </c>
      <c r="O844" s="427" t="s">
        <v>875</v>
      </c>
    </row>
    <row r="845" spans="2:29" x14ac:dyDescent="0.25">
      <c r="B845" s="428"/>
      <c r="C845" s="429"/>
      <c r="D845" s="429"/>
      <c r="E845" s="430"/>
      <c r="F845" s="430"/>
      <c r="G845" s="430"/>
      <c r="H845" s="430"/>
      <c r="I845" s="430"/>
      <c r="J845" s="430"/>
      <c r="K845" s="430"/>
      <c r="L845" s="430"/>
      <c r="M845" s="430"/>
      <c r="N845" s="430"/>
      <c r="O845" s="430"/>
    </row>
    <row r="846" spans="2:29" ht="28.5" customHeight="1" x14ac:dyDescent="0.25">
      <c r="B846" s="431" t="s">
        <v>876</v>
      </c>
      <c r="C846" s="440" t="e">
        <f t="shared" ref="C846:O846" si="518">C848/C849</f>
        <v>#DIV/0!</v>
      </c>
      <c r="D846" s="440">
        <f t="shared" si="518"/>
        <v>-6.3232067249745033E-2</v>
      </c>
      <c r="E846" s="440">
        <f t="shared" si="518"/>
        <v>7.8428465057164679E-4</v>
      </c>
      <c r="F846" s="440">
        <f t="shared" si="518"/>
        <v>3.7371467846350717E-2</v>
      </c>
      <c r="G846" s="440">
        <f t="shared" si="518"/>
        <v>3.082106785975107E-2</v>
      </c>
      <c r="H846" s="440">
        <f t="shared" si="518"/>
        <v>3.6241334674047131E-2</v>
      </c>
      <c r="I846" s="440">
        <f t="shared" si="518"/>
        <v>1.2290372717523283E-2</v>
      </c>
      <c r="J846" s="440">
        <f t="shared" si="518"/>
        <v>-1.7557590356481337E-3</v>
      </c>
      <c r="K846" s="440">
        <f t="shared" si="518"/>
        <v>-7.9943824941374549E-4</v>
      </c>
      <c r="L846" s="440">
        <f t="shared" si="518"/>
        <v>-8.5049605617907309E-3</v>
      </c>
      <c r="M846" s="440">
        <f t="shared" si="518"/>
        <v>-7.8574988117066456E-3</v>
      </c>
      <c r="N846" s="440">
        <f t="shared" si="518"/>
        <v>-3.5106474056186374E-2</v>
      </c>
      <c r="O846" s="440">
        <f t="shared" si="518"/>
        <v>-8.0915242473375559E-2</v>
      </c>
      <c r="P846" s="433"/>
      <c r="Q846" s="433"/>
      <c r="R846" s="433"/>
      <c r="S846" s="433"/>
      <c r="T846" s="433"/>
      <c r="U846" s="433"/>
      <c r="V846" s="433"/>
      <c r="W846" s="433"/>
      <c r="X846" s="433"/>
      <c r="Y846" s="433"/>
      <c r="Z846" s="433"/>
      <c r="AA846" s="433"/>
      <c r="AB846" s="433"/>
      <c r="AC846" s="433"/>
    </row>
    <row r="847" spans="2:29" ht="22.5" customHeight="1" x14ac:dyDescent="0.3">
      <c r="B847" s="431" t="s">
        <v>877</v>
      </c>
      <c r="C847" s="554" t="str">
        <f>IF(ISERR(AVERAGE(SUM(#REF!,#REF!,C848)/SUM(#REF!,#REF!,C849))),"",AVERAGE(SUM(#REF!,#REF!,C848)/SUM(#REF!,#REF!,C849)))</f>
        <v/>
      </c>
      <c r="D847" s="554" t="str">
        <f>IF(ISERR(AVERAGE(SUM(#REF!,#REF!,D848)/SUM(#REF!,#REF!,D849))),"",AVERAGE(SUM(#REF!,#REF!,D848)/SUM(#REF!,#REF!,D849)))</f>
        <v/>
      </c>
      <c r="E847" s="554" t="str">
        <f>IF(ISERR(AVERAGE(SUM(#REF!,D848,E848)/SUM(#REF!,D849,E849))),"",AVERAGE(SUM(#REF!,D848,E848)/SUM(#REF!,D849,E849)))</f>
        <v/>
      </c>
      <c r="F847" s="554">
        <f t="shared" ref="F847" si="519">IF(ISERR(AVERAGE(SUM(D848,E848,F848)/SUM(D849,E849,F849))),"",AVERAGE(SUM(D848,E848,F848)/SUM(D849,E849,F849)))</f>
        <v>-4.7578308289717482E-3</v>
      </c>
      <c r="G847" s="554">
        <f t="shared" ref="G847" si="520">IF(ISERR(AVERAGE(SUM(E848,F848,G848)/SUM(E849,F849,G849))),"",AVERAGE(SUM(E848,F848,G848)/SUM(E849,F849,G849)))</f>
        <v>2.3334406315395691E-2</v>
      </c>
      <c r="H847" s="554">
        <f t="shared" ref="H847" si="521">IF(ISERR(AVERAGE(SUM(F848,G848,H848)/SUM(F849,G849,H849))),"",AVERAGE(SUM(F848,G848,H848)/SUM(F849,G849,H849)))</f>
        <v>3.4823703661392216E-2</v>
      </c>
      <c r="I847" s="554">
        <f t="shared" ref="I847" si="522">IF(ISERR(AVERAGE(SUM(G848,H848,I848)/SUM(G849,H849,I849))),"",AVERAGE(SUM(G848,H848,I848)/SUM(G849,H849,I849)))</f>
        <v>2.6212829693609292E-2</v>
      </c>
      <c r="J847" s="554">
        <f t="shared" ref="J847" si="523">IF(ISERR(AVERAGE(SUM(H848,I848,J848)/SUM(H849,I849,J849))),"",AVERAGE(SUM(H848,I848,J848)/SUM(H849,I849,J849)))</f>
        <v>1.531177613184184E-2</v>
      </c>
      <c r="K847" s="554">
        <f t="shared" ref="K847" si="524">IF(ISERR(AVERAGE(SUM(I848,J848,K848)/SUM(I849,J849,K849))),"",AVERAGE(SUM(I848,J848,K848)/SUM(I849,J849,K849)))</f>
        <v>3.1913936256155895E-3</v>
      </c>
      <c r="L847" s="554">
        <f t="shared" ref="L847" si="525">IF(ISERR(AVERAGE(SUM(J848,K848,L848)/SUM(J849,K849,L849))),"",AVERAGE(SUM(J848,K848,L848)/SUM(J849,K849,L849)))</f>
        <v>-3.7242921720550492E-3</v>
      </c>
      <c r="M847" s="554">
        <f t="shared" ref="M847" si="526">IF(ISERR(AVERAGE(SUM(K848,L848,M848)/SUM(K849,L849,M849))),"",AVERAGE(SUM(K848,L848,M848)/SUM(K849,L849,M849)))</f>
        <v>-5.7599310263255418E-3</v>
      </c>
      <c r="N847" s="554">
        <f t="shared" ref="N847" si="527">IF(ISERR(AVERAGE(SUM(L848,M848,N848)/SUM(L849,M849,N849))),"",AVERAGE(SUM(L848,M848,N848)/SUM(L849,M849,N849)))</f>
        <v>-1.7193177187658018E-2</v>
      </c>
      <c r="O847" s="554">
        <f t="shared" ref="O847" si="528">IF(ISERR(AVERAGE(SUM(M848,N848,O848)/SUM(M849,N849,O849))),"",AVERAGE(SUM(M848,N848,O848)/SUM(M849,N849,O849)))</f>
        <v>-4.0961668003924118E-2</v>
      </c>
      <c r="P847" s="433"/>
      <c r="Q847" s="433"/>
      <c r="R847" s="433"/>
      <c r="S847" s="433"/>
      <c r="T847" s="433"/>
      <c r="U847" s="433"/>
      <c r="V847" s="433"/>
      <c r="W847" s="433"/>
      <c r="X847" s="433"/>
      <c r="Y847" s="433"/>
      <c r="Z847" s="433"/>
      <c r="AA847" s="433"/>
      <c r="AB847" s="433"/>
      <c r="AC847" s="433"/>
    </row>
    <row r="848" spans="2:29" s="433" customFormat="1" ht="27.6" x14ac:dyDescent="0.25">
      <c r="B848" s="436" t="s">
        <v>878</v>
      </c>
      <c r="C848" s="437">
        <f t="shared" ref="C848:O848" si="529">(C659-C654-C656)-(C670-C666)</f>
        <v>0</v>
      </c>
      <c r="D848" s="437">
        <f t="shared" si="529"/>
        <v>-2046</v>
      </c>
      <c r="E848" s="437">
        <f t="shared" si="529"/>
        <v>30</v>
      </c>
      <c r="F848" s="437">
        <f t="shared" si="529"/>
        <v>1490.3215000000055</v>
      </c>
      <c r="G848" s="437">
        <f t="shared" si="529"/>
        <v>1246.5492834999968</v>
      </c>
      <c r="H848" s="437">
        <f t="shared" si="529"/>
        <v>1541.1488343375095</v>
      </c>
      <c r="I848" s="437">
        <f t="shared" si="529"/>
        <v>540.99629019592976</v>
      </c>
      <c r="J848" s="437">
        <f t="shared" si="529"/>
        <v>-77.876188697642647</v>
      </c>
      <c r="K848" s="437">
        <f t="shared" si="529"/>
        <v>-36.275379572529346</v>
      </c>
      <c r="L848" s="437">
        <f t="shared" si="529"/>
        <v>-391.44416585250292</v>
      </c>
      <c r="M848" s="437">
        <f t="shared" si="529"/>
        <v>-369.90554512446397</v>
      </c>
      <c r="N848" s="437">
        <f t="shared" si="529"/>
        <v>-1645.0010839571332</v>
      </c>
      <c r="O848" s="437">
        <f t="shared" si="529"/>
        <v>-3711.8374708079209</v>
      </c>
      <c r="P848" s="424"/>
      <c r="Q848" s="424"/>
      <c r="R848" s="424"/>
      <c r="S848" s="424"/>
      <c r="T848" s="424"/>
      <c r="U848" s="424"/>
      <c r="V848" s="424"/>
      <c r="W848" s="424"/>
      <c r="X848" s="424"/>
      <c r="Y848" s="424"/>
      <c r="Z848" s="424"/>
      <c r="AA848" s="424"/>
      <c r="AB848" s="424"/>
      <c r="AC848" s="424"/>
    </row>
    <row r="849" spans="2:29" s="433" customFormat="1" ht="30" customHeight="1" x14ac:dyDescent="0.25">
      <c r="B849" s="436" t="s">
        <v>879</v>
      </c>
      <c r="C849" s="437">
        <f t="shared" ref="C849:O849" si="530">C659-C654-C656</f>
        <v>0</v>
      </c>
      <c r="D849" s="437">
        <f t="shared" si="530"/>
        <v>32357</v>
      </c>
      <c r="E849" s="437">
        <f t="shared" si="530"/>
        <v>38251.417999999998</v>
      </c>
      <c r="F849" s="437">
        <f t="shared" si="530"/>
        <v>39878.59150000001</v>
      </c>
      <c r="G849" s="437">
        <f t="shared" si="530"/>
        <v>40444.714283499998</v>
      </c>
      <c r="H849" s="437">
        <f t="shared" si="530"/>
        <v>42524.615834337506</v>
      </c>
      <c r="I849" s="437">
        <f t="shared" si="530"/>
        <v>44017.891290195927</v>
      </c>
      <c r="J849" s="437">
        <f t="shared" si="530"/>
        <v>44354.713327102349</v>
      </c>
      <c r="K849" s="437">
        <f t="shared" si="530"/>
        <v>45376.087020018473</v>
      </c>
      <c r="L849" s="437">
        <f t="shared" si="530"/>
        <v>46025.394592786193</v>
      </c>
      <c r="M849" s="437">
        <f t="shared" si="530"/>
        <v>47076.754828566191</v>
      </c>
      <c r="N849" s="437">
        <f t="shared" si="530"/>
        <v>46857.48507025744</v>
      </c>
      <c r="O849" s="437">
        <f t="shared" si="530"/>
        <v>45873.155135502042</v>
      </c>
      <c r="P849" s="424"/>
      <c r="Q849" s="424"/>
      <c r="R849" s="424"/>
      <c r="S849" s="424"/>
      <c r="T849" s="424"/>
      <c r="U849" s="424"/>
      <c r="V849" s="424"/>
      <c r="W849" s="424"/>
      <c r="X849" s="424"/>
      <c r="Y849" s="424"/>
      <c r="Z849" s="424"/>
      <c r="AA849" s="424"/>
      <c r="AB849" s="424"/>
      <c r="AC849" s="424"/>
    </row>
    <row r="850" spans="2:29" ht="27.6" x14ac:dyDescent="0.25">
      <c r="B850" s="431" t="s">
        <v>880</v>
      </c>
      <c r="C850" s="438" t="e">
        <f t="shared" ref="C850:O850" si="531">C852/C853</f>
        <v>#DIV/0!</v>
      </c>
      <c r="D850" s="438">
        <f t="shared" si="531"/>
        <v>0.66866028708133973</v>
      </c>
      <c r="E850" s="438">
        <f t="shared" si="531"/>
        <v>0.77951694343238087</v>
      </c>
      <c r="F850" s="438">
        <f t="shared" si="531"/>
        <v>0.78842262094000382</v>
      </c>
      <c r="G850" s="438">
        <f t="shared" si="531"/>
        <v>0.78794499936582885</v>
      </c>
      <c r="H850" s="438">
        <f t="shared" si="531"/>
        <v>0.73869792983886928</v>
      </c>
      <c r="I850" s="438">
        <f t="shared" si="531"/>
        <v>0.79774880826467431</v>
      </c>
      <c r="J850" s="438">
        <f t="shared" si="531"/>
        <v>0.79488413140062641</v>
      </c>
      <c r="K850" s="438">
        <f t="shared" si="531"/>
        <v>0.79484607549073716</v>
      </c>
      <c r="L850" s="438">
        <f t="shared" si="531"/>
        <v>0.79319097827098528</v>
      </c>
      <c r="M850" s="438">
        <f t="shared" si="531"/>
        <v>0.79311593156304894</v>
      </c>
      <c r="N850" s="438">
        <f t="shared" si="531"/>
        <v>0.787809866270477</v>
      </c>
      <c r="O850" s="438">
        <f t="shared" si="531"/>
        <v>0.77906450892812085</v>
      </c>
      <c r="P850" s="433"/>
      <c r="Q850" s="433"/>
      <c r="R850" s="433"/>
      <c r="S850" s="433"/>
      <c r="T850" s="433"/>
      <c r="U850" s="433"/>
      <c r="V850" s="433"/>
      <c r="W850" s="433"/>
      <c r="X850" s="433"/>
      <c r="Y850" s="433"/>
      <c r="Z850" s="433"/>
      <c r="AA850" s="433"/>
      <c r="AB850" s="433"/>
      <c r="AC850" s="433"/>
    </row>
    <row r="851" spans="2:29" ht="15.6" x14ac:dyDescent="0.3">
      <c r="B851" s="431"/>
      <c r="C851" s="439" t="str">
        <f>IF(ISERR(AVERAGE(SUM(#REF!,#REF!,C852)/SUM(#REF!,#REF!,C853))),"",AVERAGE(SUM(#REF!,#REF!,C852)/SUM(#REF!,#REF!,C853)))</f>
        <v/>
      </c>
      <c r="D851" s="439" t="str">
        <f>IF(ISERR(AVERAGE(SUM(#REF!,#REF!,D852)/SUM(#REF!,#REF!,D853))),"",AVERAGE(SUM(#REF!,#REF!,D852)/SUM(#REF!,#REF!,D853)))</f>
        <v/>
      </c>
      <c r="E851" s="439" t="str">
        <f>IF(ISERR(AVERAGE(SUM(#REF!,D852,E852)/SUM(#REF!,D853,E853))),"",AVERAGE(SUM(#REF!,D852,E852)/SUM(#REF!,D853,E853)))</f>
        <v/>
      </c>
      <c r="F851" s="439">
        <f t="shared" ref="F851" si="532">IF(ISERR(AVERAGE(SUM(D852,E852,F852)/SUM(D853,E853,F853))),"",AVERAGE(SUM(D852,E852,F852)/SUM(D853,E853,F853)))</f>
        <v>0.74304415917275923</v>
      </c>
      <c r="G851" s="439">
        <f t="shared" ref="G851" si="533">IF(ISERR(AVERAGE(SUM(E852,F852,G852)/SUM(E853,F853,G853))),"",AVERAGE(SUM(E852,F852,G852)/SUM(E853,F853,G853)))</f>
        <v>0.78542028389055185</v>
      </c>
      <c r="H851" s="439">
        <f t="shared" ref="H851" si="534">IF(ISERR(AVERAGE(SUM(F852,G852,H852)/SUM(F853,G853,H853))),"",AVERAGE(SUM(F852,G852,H852)/SUM(F853,G853,H853)))</f>
        <v>0.77026398712601418</v>
      </c>
      <c r="I851" s="439">
        <f t="shared" ref="I851" si="535">IF(ISERR(AVERAGE(SUM(G852,H852,I852)/SUM(G853,H853,I853))),"",AVERAGE(SUM(G852,H852,I852)/SUM(G853,H853,I853)))</f>
        <v>0.77396170145376153</v>
      </c>
      <c r="J851" s="439">
        <f t="shared" ref="J851" si="536">IF(ISERR(AVERAGE(SUM(H852,I852,J852)/SUM(H853,I853,J853))),"",AVERAGE(SUM(H852,I852,J852)/SUM(H853,I853,J853)))</f>
        <v>0.77664967204964952</v>
      </c>
      <c r="K851" s="439">
        <f t="shared" ref="K851" si="537">IF(ISERR(AVERAGE(SUM(I852,J852,K852)/SUM(I853,J853,K853))),"",AVERAGE(SUM(I852,J852,K852)/SUM(I853,J853,K853)))</f>
        <v>0.79581344838157753</v>
      </c>
      <c r="L851" s="439">
        <f t="shared" ref="L851" si="538">IF(ISERR(AVERAGE(SUM(J852,K852,L852)/SUM(J853,K853,L853))),"",AVERAGE(SUM(J852,K852,L852)/SUM(J853,K853,L853)))</f>
        <v>0.79429725413181462</v>
      </c>
      <c r="M851" s="439">
        <f t="shared" ref="M851" si="539">IF(ISERR(AVERAGE(SUM(K852,L852,M852)/SUM(K853,L853,M853))),"",AVERAGE(SUM(K852,L852,M852)/SUM(K853,L853,M853)))</f>
        <v>0.79370767489620175</v>
      </c>
      <c r="N851" s="439">
        <f t="shared" ref="N851" si="540">IF(ISERR(AVERAGE(SUM(L852,M852,N852)/SUM(L853,M853,N853))),"",AVERAGE(SUM(L852,M852,N852)/SUM(L853,M853,N853)))</f>
        <v>0.79136185794722469</v>
      </c>
      <c r="O851" s="439">
        <f t="shared" ref="O851" si="541">IF(ISERR(AVERAGE(SUM(M852,N852,O852)/SUM(M853,N853,O853))),"",AVERAGE(SUM(M852,N852,O852)/SUM(M853,N853,O853)))</f>
        <v>0.78671362973293946</v>
      </c>
      <c r="P851" s="433"/>
      <c r="Q851" s="433"/>
      <c r="R851" s="433"/>
      <c r="S851" s="433"/>
      <c r="T851" s="433"/>
      <c r="U851" s="433"/>
      <c r="V851" s="433"/>
      <c r="W851" s="433"/>
      <c r="X851" s="433"/>
      <c r="Y851" s="433"/>
      <c r="Z851" s="433"/>
      <c r="AA851" s="433"/>
      <c r="AB851" s="433"/>
      <c r="AC851" s="433"/>
    </row>
    <row r="852" spans="2:29" s="433" customFormat="1" ht="16.5" customHeight="1" x14ac:dyDescent="0.25">
      <c r="B852" s="436" t="s">
        <v>881</v>
      </c>
      <c r="C852" s="437">
        <f>C659-C655-C654-C656</f>
        <v>0</v>
      </c>
      <c r="D852" s="437">
        <f>D659-D655-D654-D656</f>
        <v>31304</v>
      </c>
      <c r="E852" s="437">
        <f t="shared" ref="E852:O852" si="542">E659-E653-E654-E656</f>
        <v>32076.673999999995</v>
      </c>
      <c r="F852" s="437">
        <f t="shared" si="542"/>
        <v>34427.702500000007</v>
      </c>
      <c r="G852" s="437">
        <f t="shared" si="542"/>
        <v>34897.363283499995</v>
      </c>
      <c r="H852" s="437">
        <f t="shared" si="542"/>
        <v>36881.026834337506</v>
      </c>
      <c r="I852" s="437">
        <f t="shared" si="542"/>
        <v>38276.125530195932</v>
      </c>
      <c r="J852" s="437">
        <f t="shared" si="542"/>
        <v>38469.403423102347</v>
      </c>
      <c r="K852" s="437">
        <f t="shared" si="542"/>
        <v>39343.644368418471</v>
      </c>
      <c r="L852" s="437">
        <f t="shared" si="542"/>
        <v>39842.140874896184</v>
      </c>
      <c r="M852" s="437">
        <f t="shared" si="542"/>
        <v>40738.919767728934</v>
      </c>
      <c r="N852" s="437">
        <f t="shared" si="542"/>
        <v>40361.204132899264</v>
      </c>
      <c r="O852" s="437">
        <f t="shared" si="542"/>
        <v>39214.467174709906</v>
      </c>
      <c r="P852" s="424"/>
      <c r="Q852" s="424"/>
      <c r="R852" s="424"/>
      <c r="S852" s="424"/>
      <c r="T852" s="424"/>
      <c r="U852" s="424"/>
      <c r="V852" s="424"/>
      <c r="W852" s="424"/>
      <c r="X852" s="424"/>
      <c r="Y852" s="424"/>
      <c r="Z852" s="424"/>
      <c r="AA852" s="424"/>
      <c r="AB852" s="424"/>
      <c r="AC852" s="424"/>
    </row>
    <row r="853" spans="2:29" s="433" customFormat="1" ht="32.25" customHeight="1" x14ac:dyDescent="0.25">
      <c r="B853" s="436" t="s">
        <v>882</v>
      </c>
      <c r="C853" s="437">
        <f t="shared" ref="C853:O853" si="543">C659-C656</f>
        <v>0</v>
      </c>
      <c r="D853" s="437">
        <f t="shared" si="543"/>
        <v>46816</v>
      </c>
      <c r="E853" s="437">
        <f t="shared" si="543"/>
        <v>41149.424999999996</v>
      </c>
      <c r="F853" s="437">
        <f t="shared" si="543"/>
        <v>43666.558500000006</v>
      </c>
      <c r="G853" s="437">
        <f t="shared" si="543"/>
        <v>44289.0852935</v>
      </c>
      <c r="H853" s="437">
        <f t="shared" si="543"/>
        <v>49927.074849637509</v>
      </c>
      <c r="I853" s="437">
        <f t="shared" si="543"/>
        <v>47980.17262282993</v>
      </c>
      <c r="J853" s="437">
        <f t="shared" si="543"/>
        <v>48396.240286389031</v>
      </c>
      <c r="K853" s="437">
        <f t="shared" si="543"/>
        <v>49498.444518490884</v>
      </c>
      <c r="L853" s="437">
        <f t="shared" si="543"/>
        <v>50230.199241228052</v>
      </c>
      <c r="M853" s="437">
        <f t="shared" si="543"/>
        <v>51365.655569976887</v>
      </c>
      <c r="N853" s="437">
        <f t="shared" si="543"/>
        <v>51232.163826496355</v>
      </c>
      <c r="O853" s="437">
        <f t="shared" si="543"/>
        <v>50335.327466865732</v>
      </c>
      <c r="P853" s="424"/>
      <c r="Q853" s="424"/>
      <c r="R853" s="424"/>
      <c r="S853" s="424"/>
      <c r="T853" s="424"/>
      <c r="U853" s="424"/>
      <c r="V853" s="424"/>
      <c r="W853" s="424"/>
      <c r="X853" s="424"/>
      <c r="Y853" s="424"/>
      <c r="Z853" s="424"/>
      <c r="AA853" s="424"/>
      <c r="AB853" s="424"/>
      <c r="AC853" s="424"/>
    </row>
    <row r="854" spans="2:29" ht="30" customHeight="1" x14ac:dyDescent="0.25">
      <c r="B854" s="431" t="s">
        <v>883</v>
      </c>
      <c r="C854" s="440" t="e">
        <f t="shared" ref="C854:O854" si="544">C856/C857</f>
        <v>#DIV/0!</v>
      </c>
      <c r="D854" s="440">
        <f t="shared" si="544"/>
        <v>2.2962573786197732E-2</v>
      </c>
      <c r="E854" s="440">
        <f t="shared" si="544"/>
        <v>3.9223696230032572E-2</v>
      </c>
      <c r="F854" s="440">
        <f t="shared" si="544"/>
        <v>3.7543251746993113E-2</v>
      </c>
      <c r="G854" s="440">
        <f t="shared" si="544"/>
        <v>3.6947275471534986E-2</v>
      </c>
      <c r="H854" s="440">
        <f t="shared" si="544"/>
        <v>4.494410972330834E-2</v>
      </c>
      <c r="I854" s="440">
        <f t="shared" si="544"/>
        <v>5.3197028103014729E-2</v>
      </c>
      <c r="J854" s="440">
        <f t="shared" si="544"/>
        <v>5.1898314928200288E-2</v>
      </c>
      <c r="K854" s="440">
        <f t="shared" si="544"/>
        <v>4.9838035576278722E-2</v>
      </c>
      <c r="L854" s="440">
        <f t="shared" si="544"/>
        <v>4.8237839576247728E-2</v>
      </c>
      <c r="M854" s="440">
        <f t="shared" si="544"/>
        <v>4.6265941260137257E-2</v>
      </c>
      <c r="N854" s="440">
        <f t="shared" si="544"/>
        <v>4.5565672990928244E-2</v>
      </c>
      <c r="O854" s="440">
        <f t="shared" si="544"/>
        <v>4.5588234629798781E-2</v>
      </c>
    </row>
    <row r="855" spans="2:29" ht="30" customHeight="1" x14ac:dyDescent="0.3">
      <c r="B855" s="431" t="s">
        <v>884</v>
      </c>
      <c r="C855" s="439" t="str">
        <f>IF(ISERR(AVERAGE(SUM(#REF!,#REF!,C856)/SUM(#REF!,#REF!,C857))),"",AVERAGE(SUM(#REF!,#REF!,C856)/SUM(#REF!,#REF!,C857)))</f>
        <v/>
      </c>
      <c r="D855" s="439" t="str">
        <f>IF(ISERR(AVERAGE(SUM(#REF!,#REF!,D856)/SUM(#REF!,#REF!,D857))),"",AVERAGE(SUM(#REF!,#REF!,D856)/SUM(#REF!,#REF!,D857)))</f>
        <v/>
      </c>
      <c r="E855" s="439" t="str">
        <f>IF(ISERR(AVERAGE(SUM(#REF!,D856,E856)/SUM(#REF!,D857,E857))),"",AVERAGE(SUM(#REF!,D856,E856)/SUM(#REF!,D857,E857)))</f>
        <v/>
      </c>
      <c r="F855" s="439">
        <f>IF(ISERR(AVERAGE(SUM(D856,E856,F856)/SUM(D857,E857,F857))),"",AVERAGE(SUM(D856,E856,F856)/SUM(D857,E857,F857)))</f>
        <v>3.3854966451961031E-2</v>
      </c>
      <c r="G855" s="439">
        <f t="shared" ref="G855" si="545">IF(ISERR(AVERAGE(SUM(E856,F856,G856)/SUM(E857,F857,G857))),"",AVERAGE(SUM(E856,F856,G856)/SUM(E857,F857,G857)))</f>
        <v>3.7882070113032414E-2</v>
      </c>
      <c r="H855" s="439">
        <f t="shared" ref="H855" si="546">IF(ISERR(AVERAGE(SUM(F856,G856,H856)/SUM(F857,G857,H857))),"",AVERAGE(SUM(F856,G856,H856)/SUM(F857,G857,H857)))</f>
        <v>3.990889658883838E-2</v>
      </c>
      <c r="I855" s="439">
        <f t="shared" ref="I855" si="547">IF(ISERR(AVERAGE(SUM(G856,H856,I856)/SUM(G857,H857,I857))),"",AVERAGE(SUM(G856,H856,I856)/SUM(G857,H857,I857)))</f>
        <v>4.5257892379054955E-2</v>
      </c>
      <c r="J855" s="439">
        <f t="shared" ref="J855" si="548">IF(ISERR(AVERAGE(SUM(H856,I856,J856)/SUM(H857,I857,J857))),"",AVERAGE(SUM(H856,I856,J856)/SUM(H857,I857,J857)))</f>
        <v>5.0075829404046653E-2</v>
      </c>
      <c r="K855" s="439">
        <f t="shared" ref="K855" si="549">IF(ISERR(AVERAGE(SUM(I856,J856,K856)/SUM(I857,J857,K857))),"",AVERAGE(SUM(I856,J856,K856)/SUM(I857,J857,K857)))</f>
        <v>5.1626754889985464E-2</v>
      </c>
      <c r="L855" s="439">
        <f t="shared" ref="L855" si="550">IF(ISERR(AVERAGE(SUM(J856,K856,L856)/SUM(J857,K857,L857))),"",AVERAGE(SUM(J856,K856,L856)/SUM(J857,K857,L857)))</f>
        <v>4.9968662747354453E-2</v>
      </c>
      <c r="M855" s="439">
        <f t="shared" ref="M855" si="551">IF(ISERR(AVERAGE(SUM(K856,L856,M856)/SUM(K857,L857,M857))),"",AVERAGE(SUM(K856,L856,M856)/SUM(K857,L857,M857)))</f>
        <v>4.8091824280649537E-2</v>
      </c>
      <c r="N855" s="439">
        <f t="shared" ref="N855" si="552">IF(ISERR(AVERAGE(SUM(L856,M856,N856)/SUM(L857,M857,N857))),"",AVERAGE(SUM(L856,M856,N856)/SUM(L857,M857,N857)))</f>
        <v>4.6679950544576146E-2</v>
      </c>
      <c r="O855" s="439">
        <f t="shared" ref="O855" si="553">IF(ISERR(AVERAGE(SUM(M856,N856,O856)/SUM(M857,N857,O857))),"",AVERAGE(SUM(M856,N856,O856)/SUM(M857,N857,O857)))</f>
        <v>4.5808874226280973E-2</v>
      </c>
      <c r="P855" s="433"/>
      <c r="Q855" s="433"/>
      <c r="R855" s="433"/>
      <c r="S855" s="433"/>
      <c r="T855" s="433"/>
      <c r="U855" s="433"/>
      <c r="V855" s="433"/>
      <c r="W855" s="433"/>
      <c r="X855" s="433"/>
      <c r="Y855" s="433"/>
      <c r="Z855" s="433"/>
      <c r="AA855" s="433"/>
      <c r="AB855" s="433"/>
      <c r="AC855" s="433"/>
    </row>
    <row r="856" spans="2:29" x14ac:dyDescent="0.25">
      <c r="B856" s="442" t="s">
        <v>885</v>
      </c>
      <c r="C856" s="437">
        <f t="shared" ref="C856:E856" si="554">C858+C859</f>
        <v>0</v>
      </c>
      <c r="D856" s="437">
        <f t="shared" si="554"/>
        <v>743</v>
      </c>
      <c r="E856" s="437">
        <f t="shared" si="554"/>
        <v>1500.3620000000001</v>
      </c>
      <c r="F856" s="437">
        <f>F858+F859</f>
        <v>1497.172</v>
      </c>
      <c r="G856" s="437">
        <f t="shared" ref="G856:O856" si="555">G858+G859</f>
        <v>1494.3220000000001</v>
      </c>
      <c r="H856" s="437">
        <f t="shared" si="555"/>
        <v>1911.231</v>
      </c>
      <c r="I856" s="437">
        <f t="shared" si="555"/>
        <v>2341.6210000000001</v>
      </c>
      <c r="J856" s="437">
        <f t="shared" si="555"/>
        <v>2301.9348808</v>
      </c>
      <c r="K856" s="437">
        <f t="shared" si="555"/>
        <v>2261.4550392159999</v>
      </c>
      <c r="L856" s="437">
        <f t="shared" si="555"/>
        <v>2220.1656008003201</v>
      </c>
      <c r="M856" s="437">
        <f t="shared" si="555"/>
        <v>2178.0503736163264</v>
      </c>
      <c r="N856" s="437">
        <f t="shared" si="555"/>
        <v>2135.0928418886529</v>
      </c>
      <c r="O856" s="437">
        <f t="shared" si="555"/>
        <v>2091.276159526426</v>
      </c>
      <c r="P856" s="433"/>
      <c r="Q856" s="433"/>
      <c r="R856" s="433"/>
      <c r="S856" s="433"/>
      <c r="T856" s="433"/>
      <c r="U856" s="433"/>
      <c r="V856" s="433"/>
      <c r="W856" s="433"/>
      <c r="X856" s="433"/>
      <c r="Y856" s="433"/>
      <c r="Z856" s="433"/>
      <c r="AA856" s="433"/>
      <c r="AB856" s="433"/>
      <c r="AC856" s="433"/>
    </row>
    <row r="857" spans="2:29" s="433" customFormat="1" ht="29.25" customHeight="1" x14ac:dyDescent="0.25">
      <c r="B857" s="436" t="s">
        <v>879</v>
      </c>
      <c r="C857" s="437">
        <f t="shared" ref="C857:O857" si="556">C659-C654-C656</f>
        <v>0</v>
      </c>
      <c r="D857" s="437">
        <f t="shared" si="556"/>
        <v>32357</v>
      </c>
      <c r="E857" s="437">
        <f t="shared" si="556"/>
        <v>38251.417999999998</v>
      </c>
      <c r="F857" s="437">
        <f t="shared" si="556"/>
        <v>39878.59150000001</v>
      </c>
      <c r="G857" s="437">
        <f t="shared" si="556"/>
        <v>40444.714283499998</v>
      </c>
      <c r="H857" s="437">
        <f t="shared" si="556"/>
        <v>42524.615834337506</v>
      </c>
      <c r="I857" s="437">
        <f t="shared" si="556"/>
        <v>44017.891290195927</v>
      </c>
      <c r="J857" s="437">
        <f t="shared" si="556"/>
        <v>44354.713327102349</v>
      </c>
      <c r="K857" s="437">
        <f t="shared" si="556"/>
        <v>45376.087020018473</v>
      </c>
      <c r="L857" s="437">
        <f t="shared" si="556"/>
        <v>46025.394592786193</v>
      </c>
      <c r="M857" s="437">
        <f t="shared" si="556"/>
        <v>47076.754828566191</v>
      </c>
      <c r="N857" s="437">
        <f t="shared" si="556"/>
        <v>46857.48507025744</v>
      </c>
      <c r="O857" s="437">
        <f t="shared" si="556"/>
        <v>45873.155135502042</v>
      </c>
    </row>
    <row r="858" spans="2:29" s="433" customFormat="1" x14ac:dyDescent="0.25">
      <c r="B858" s="436" t="s">
        <v>886</v>
      </c>
      <c r="C858" s="437">
        <f t="shared" ref="C858:O858" si="557">C664</f>
        <v>0</v>
      </c>
      <c r="D858" s="437">
        <f t="shared" si="557"/>
        <v>743</v>
      </c>
      <c r="E858" s="437">
        <f t="shared" si="557"/>
        <v>1500.3620000000001</v>
      </c>
      <c r="F858" s="437">
        <f t="shared" si="557"/>
        <v>1497.172</v>
      </c>
      <c r="G858" s="437">
        <f t="shared" si="557"/>
        <v>1494.3220000000001</v>
      </c>
      <c r="H858" s="437">
        <f t="shared" si="557"/>
        <v>1911.231</v>
      </c>
      <c r="I858" s="437">
        <f t="shared" si="557"/>
        <v>2341.6210000000001</v>
      </c>
      <c r="J858" s="437">
        <f t="shared" si="557"/>
        <v>2301.9348808</v>
      </c>
      <c r="K858" s="437">
        <f t="shared" si="557"/>
        <v>2261.4550392159999</v>
      </c>
      <c r="L858" s="437">
        <f t="shared" si="557"/>
        <v>2220.1656008003201</v>
      </c>
      <c r="M858" s="437">
        <f t="shared" si="557"/>
        <v>2178.0503736163264</v>
      </c>
      <c r="N858" s="437">
        <f t="shared" si="557"/>
        <v>2135.0928418886529</v>
      </c>
      <c r="O858" s="437">
        <f t="shared" si="557"/>
        <v>2091.276159526426</v>
      </c>
    </row>
    <row r="859" spans="2:29" s="433" customFormat="1" ht="27.6" x14ac:dyDescent="0.25">
      <c r="B859" s="436" t="s">
        <v>887</v>
      </c>
      <c r="C859" s="437">
        <f t="shared" ref="C859:O859" si="558">C733</f>
        <v>0</v>
      </c>
      <c r="D859" s="437">
        <f t="shared" si="558"/>
        <v>0</v>
      </c>
      <c r="E859" s="437">
        <f t="shared" si="558"/>
        <v>0</v>
      </c>
      <c r="F859" s="437">
        <f t="shared" si="558"/>
        <v>0</v>
      </c>
      <c r="G859" s="437">
        <f t="shared" si="558"/>
        <v>0</v>
      </c>
      <c r="H859" s="437">
        <f t="shared" si="558"/>
        <v>0</v>
      </c>
      <c r="I859" s="437">
        <f t="shared" si="558"/>
        <v>0</v>
      </c>
      <c r="J859" s="437">
        <f t="shared" si="558"/>
        <v>0</v>
      </c>
      <c r="K859" s="437">
        <f t="shared" si="558"/>
        <v>0</v>
      </c>
      <c r="L859" s="437">
        <f t="shared" si="558"/>
        <v>0</v>
      </c>
      <c r="M859" s="437">
        <f t="shared" si="558"/>
        <v>0</v>
      </c>
      <c r="N859" s="437">
        <f t="shared" si="558"/>
        <v>0</v>
      </c>
      <c r="O859" s="437">
        <f t="shared" si="558"/>
        <v>0</v>
      </c>
      <c r="P859" s="424"/>
      <c r="Q859" s="424"/>
      <c r="R859" s="424"/>
      <c r="S859" s="424"/>
      <c r="T859" s="424"/>
      <c r="U859" s="424"/>
      <c r="V859" s="424"/>
      <c r="W859" s="424"/>
      <c r="X859" s="424"/>
      <c r="Y859" s="424"/>
      <c r="Z859" s="424"/>
      <c r="AA859" s="424"/>
      <c r="AB859" s="424"/>
      <c r="AC859" s="424"/>
    </row>
    <row r="860" spans="2:29" s="433" customFormat="1" ht="14.4" thickBot="1" x14ac:dyDescent="0.3">
      <c r="B860" s="436"/>
      <c r="C860" s="437"/>
      <c r="D860" s="437"/>
      <c r="E860" s="437"/>
      <c r="F860" s="437"/>
      <c r="G860" s="437"/>
      <c r="H860" s="437"/>
      <c r="I860" s="437"/>
      <c r="J860" s="437"/>
      <c r="K860" s="437"/>
      <c r="L860" s="437"/>
      <c r="M860" s="437"/>
      <c r="N860" s="437"/>
      <c r="O860" s="437"/>
      <c r="P860" s="424"/>
      <c r="Q860" s="424"/>
      <c r="R860" s="424"/>
      <c r="S860" s="424"/>
      <c r="T860" s="424"/>
      <c r="U860" s="424"/>
      <c r="V860" s="424"/>
      <c r="W860" s="424"/>
      <c r="X860" s="424"/>
      <c r="Y860" s="424"/>
      <c r="Z860" s="424"/>
      <c r="AA860" s="424"/>
      <c r="AB860" s="424"/>
      <c r="AC860" s="424"/>
    </row>
    <row r="861" spans="2:29" ht="42" thickBot="1" x14ac:dyDescent="0.3">
      <c r="B861" s="443" t="s">
        <v>888</v>
      </c>
      <c r="C861" s="445">
        <f t="shared" ref="C861:O861" si="559">C872/C863*1000</f>
        <v>0</v>
      </c>
      <c r="D861" s="445">
        <f t="shared" si="559"/>
        <v>1948.3505592524425</v>
      </c>
      <c r="E861" s="445">
        <f t="shared" si="559"/>
        <v>2093.0326906360388</v>
      </c>
      <c r="F861" s="445">
        <f t="shared" si="559"/>
        <v>2032.6667745911852</v>
      </c>
      <c r="G861" s="445">
        <f t="shared" si="559"/>
        <v>2006.9281086090677</v>
      </c>
      <c r="H861" s="445">
        <f t="shared" si="559"/>
        <v>2028.9586911233114</v>
      </c>
      <c r="I861" s="445">
        <f t="shared" si="559"/>
        <v>2092.9887724471214</v>
      </c>
      <c r="J861" s="445">
        <f t="shared" si="559"/>
        <v>2068.7845016372289</v>
      </c>
      <c r="K861" s="445">
        <f t="shared" si="559"/>
        <v>2044.998415029022</v>
      </c>
      <c r="L861" s="445">
        <f t="shared" si="559"/>
        <v>2021.620772420388</v>
      </c>
      <c r="M861" s="445">
        <f t="shared" si="559"/>
        <v>1998.6421057549014</v>
      </c>
      <c r="N861" s="445">
        <f t="shared" si="559"/>
        <v>1978.6506498615445</v>
      </c>
      <c r="O861" s="445">
        <f t="shared" si="559"/>
        <v>1956.4133865185797</v>
      </c>
    </row>
    <row r="862" spans="2:29" ht="15.6" x14ac:dyDescent="0.3">
      <c r="B862" s="443" t="s">
        <v>889</v>
      </c>
      <c r="C862" s="448" t="str">
        <f>IF(ISERR(AVERAGE(SUM(#REF!,#REF!,C861)/3)),"",AVERAGE(SUM(#REF!,#REF!,C861)/3))</f>
        <v/>
      </c>
      <c r="D862" s="448" t="str">
        <f>IF(ISERR(AVERAGE(SUM(#REF!,#REF!,D861)/3)),"",AVERAGE(SUM(#REF!,#REF!,D861)/3))</f>
        <v/>
      </c>
      <c r="E862" s="448" t="str">
        <f>IF(ISERR(AVERAGE(SUM(#REF!,D861,E861)/3)),"",AVERAGE(SUM(#REF!,D861,E861)/3))</f>
        <v/>
      </c>
      <c r="F862" s="448">
        <f t="shared" ref="F862" si="560">IF(ISERR(AVERAGE(SUM(D861,E861,F861)/3)),"",AVERAGE(SUM(D861,E861,F861)/3))</f>
        <v>2024.6833414932223</v>
      </c>
      <c r="G862" s="448">
        <f t="shared" ref="G862" si="561">IF(ISERR(AVERAGE(SUM(E861,F861,G861)/3)),"",AVERAGE(SUM(E861,F861,G861)/3))</f>
        <v>2044.2091912787639</v>
      </c>
      <c r="H862" s="448">
        <f t="shared" ref="H862" si="562">IF(ISERR(AVERAGE(SUM(F861,G861,H861)/3)),"",AVERAGE(SUM(F861,G861,H861)/3))</f>
        <v>2022.8511914411883</v>
      </c>
      <c r="I862" s="448">
        <f t="shared" ref="I862" si="563">IF(ISERR(AVERAGE(SUM(G861,H861,I861)/3)),"",AVERAGE(SUM(G861,H861,I861)/3))</f>
        <v>2042.9585240598335</v>
      </c>
      <c r="J862" s="448">
        <f t="shared" ref="J862" si="564">IF(ISERR(AVERAGE(SUM(H861,I861,J861)/3)),"",AVERAGE(SUM(H861,I861,J861)/3))</f>
        <v>2063.5773217358874</v>
      </c>
      <c r="K862" s="448">
        <f t="shared" ref="K862" si="565">IF(ISERR(AVERAGE(SUM(I861,J861,K861)/3)),"",AVERAGE(SUM(I861,J861,K861)/3))</f>
        <v>2068.9238963711241</v>
      </c>
      <c r="L862" s="448">
        <f t="shared" ref="L862" si="566">IF(ISERR(AVERAGE(SUM(J861,K861,L861)/3)),"",AVERAGE(SUM(J861,K861,L861)/3))</f>
        <v>2045.1345630288795</v>
      </c>
      <c r="M862" s="448">
        <f t="shared" ref="M862" si="567">IF(ISERR(AVERAGE(SUM(K861,L861,M861)/3)),"",AVERAGE(SUM(K861,L861,M861)/3))</f>
        <v>2021.7537644014371</v>
      </c>
      <c r="N862" s="448">
        <f t="shared" ref="N862" si="568">IF(ISERR(AVERAGE(SUM(L861,M861,N861)/3)),"",AVERAGE(SUM(L861,M861,N861)/3))</f>
        <v>1999.6378426789445</v>
      </c>
      <c r="O862" s="448">
        <f t="shared" ref="O862" si="569">IF(ISERR(AVERAGE(SUM(M861,N861,O861)/3)),"",AVERAGE(SUM(M861,N861,O861)/3))</f>
        <v>1977.9020473783419</v>
      </c>
    </row>
    <row r="863" spans="2:29" x14ac:dyDescent="0.25">
      <c r="B863" s="449" t="s">
        <v>890</v>
      </c>
      <c r="C863" s="450">
        <f t="shared" ref="C863:O863" si="570">C744</f>
        <v>17150</v>
      </c>
      <c r="D863" s="450">
        <f t="shared" si="570"/>
        <v>17304.349999999999</v>
      </c>
      <c r="E863" s="450">
        <f t="shared" si="570"/>
        <v>17460.089149999996</v>
      </c>
      <c r="F863" s="450">
        <f t="shared" si="570"/>
        <v>17617.229952349993</v>
      </c>
      <c r="G863" s="450">
        <f t="shared" si="570"/>
        <v>17775.78502192114</v>
      </c>
      <c r="H863" s="450">
        <f t="shared" si="570"/>
        <v>17935.767087118427</v>
      </c>
      <c r="I863" s="450">
        <f t="shared" si="570"/>
        <v>18000</v>
      </c>
      <c r="J863" s="450">
        <f t="shared" si="570"/>
        <v>18161.999999999996</v>
      </c>
      <c r="K863" s="450">
        <f t="shared" si="570"/>
        <v>18325.457999999995</v>
      </c>
      <c r="L863" s="450">
        <f t="shared" si="570"/>
        <v>18490.387121999993</v>
      </c>
      <c r="M863" s="450">
        <f t="shared" si="570"/>
        <v>18656.80060609799</v>
      </c>
      <c r="N863" s="450">
        <f t="shared" si="570"/>
        <v>18800</v>
      </c>
      <c r="O863" s="450">
        <f t="shared" si="570"/>
        <v>18969.199999999997</v>
      </c>
    </row>
    <row r="864" spans="2:29" ht="14.4" thickBot="1" x14ac:dyDescent="0.3">
      <c r="B864" s="451" t="s">
        <v>891</v>
      </c>
      <c r="C864" s="450">
        <f t="shared" ref="C864:O864" si="571">C872</f>
        <v>0</v>
      </c>
      <c r="D864" s="450">
        <f t="shared" si="571"/>
        <v>33714.94</v>
      </c>
      <c r="E864" s="450">
        <f t="shared" si="571"/>
        <v>36544.537372369596</v>
      </c>
      <c r="F864" s="450">
        <f t="shared" si="571"/>
        <v>35809.95798447448</v>
      </c>
      <c r="G864" s="450">
        <f t="shared" si="571"/>
        <v>35674.722613085592</v>
      </c>
      <c r="H864" s="450">
        <f t="shared" si="571"/>
        <v>36390.930513372368</v>
      </c>
      <c r="I864" s="450">
        <f t="shared" si="571"/>
        <v>37673.797904048188</v>
      </c>
      <c r="J864" s="450">
        <f t="shared" si="571"/>
        <v>37573.264118735344</v>
      </c>
      <c r="K864" s="450">
        <f t="shared" si="571"/>
        <v>37475.5325646809</v>
      </c>
      <c r="L864" s="450">
        <f t="shared" si="571"/>
        <v>37380.550695929618</v>
      </c>
      <c r="M864" s="450">
        <f t="shared" si="571"/>
        <v>37288.26725002101</v>
      </c>
      <c r="N864" s="450">
        <f t="shared" si="571"/>
        <v>37198.632217397033</v>
      </c>
      <c r="O864" s="450">
        <f t="shared" si="571"/>
        <v>37111.596811548239</v>
      </c>
    </row>
    <row r="865" spans="2:29" x14ac:dyDescent="0.25">
      <c r="B865" s="449" t="s">
        <v>892</v>
      </c>
      <c r="C865" s="454">
        <v>0</v>
      </c>
      <c r="D865" s="454">
        <v>0.02</v>
      </c>
      <c r="E865" s="454">
        <f>'CPI &amp; IPART calc'!C13</f>
        <v>2.436E-2</v>
      </c>
      <c r="F865" s="454">
        <f>E865</f>
        <v>2.436E-2</v>
      </c>
      <c r="G865" s="454">
        <f t="shared" ref="G865" si="572">F865</f>
        <v>2.436E-2</v>
      </c>
      <c r="H865" s="454">
        <f t="shared" ref="H865" si="573">G865</f>
        <v>2.436E-2</v>
      </c>
      <c r="I865" s="454">
        <f>'CPI &amp; IPART calc'!I13</f>
        <v>2.4120000000000003E-2</v>
      </c>
      <c r="J865" s="454">
        <f t="shared" ref="J865" si="574">I865</f>
        <v>2.4120000000000003E-2</v>
      </c>
      <c r="K865" s="454">
        <f t="shared" ref="K865" si="575">J865</f>
        <v>2.4120000000000003E-2</v>
      </c>
      <c r="L865" s="454">
        <f t="shared" ref="L865" si="576">K865</f>
        <v>2.4120000000000003E-2</v>
      </c>
      <c r="M865" s="454">
        <f t="shared" ref="M865" si="577">L865</f>
        <v>2.4120000000000003E-2</v>
      </c>
      <c r="N865" s="454">
        <f t="shared" ref="N865" si="578">M865</f>
        <v>2.4120000000000003E-2</v>
      </c>
      <c r="O865" s="454">
        <f t="shared" ref="O865" si="579">N865</f>
        <v>2.4120000000000003E-2</v>
      </c>
    </row>
    <row r="866" spans="2:29" x14ac:dyDescent="0.25">
      <c r="B866" s="449" t="s">
        <v>893</v>
      </c>
      <c r="C866" s="454">
        <f>(1-C865)</f>
        <v>1</v>
      </c>
      <c r="D866" s="454">
        <f>C866*(1-D865)</f>
        <v>0.98</v>
      </c>
      <c r="E866" s="454">
        <f t="shared" ref="E866" si="580">D866*(1-E865)</f>
        <v>0.95612719999999995</v>
      </c>
      <c r="F866" s="454">
        <f t="shared" ref="F866" si="581">E866*(1-F865)</f>
        <v>0.93283594140799986</v>
      </c>
      <c r="G866" s="454">
        <f t="shared" ref="G866" si="582">F866*(1-G865)</f>
        <v>0.91011205787530092</v>
      </c>
      <c r="H866" s="454">
        <f t="shared" ref="H866" si="583">G866*(1-H865)</f>
        <v>0.88794172814545858</v>
      </c>
      <c r="I866" s="454">
        <f t="shared" ref="I866" si="584">H866*(1-I865)</f>
        <v>0.86652457366259006</v>
      </c>
      <c r="J866" s="454">
        <f t="shared" ref="J866" si="585">I866*(1-J865)</f>
        <v>0.84562400094584833</v>
      </c>
      <c r="K866" s="454">
        <f t="shared" ref="K866" si="586">J866*(1-K865)</f>
        <v>0.8252275500430345</v>
      </c>
      <c r="L866" s="454">
        <f t="shared" ref="L866" si="587">K866*(1-L865)</f>
        <v>0.80532306153599653</v>
      </c>
      <c r="M866" s="454">
        <f t="shared" ref="M866" si="588">L866*(1-M865)</f>
        <v>0.78589866929174823</v>
      </c>
      <c r="N866" s="454">
        <f t="shared" ref="N866" si="589">M866*(1-N865)</f>
        <v>0.76694279338843119</v>
      </c>
      <c r="O866" s="454">
        <f t="shared" ref="O866" si="590">N866*(1-O865)</f>
        <v>0.74844413321190217</v>
      </c>
    </row>
    <row r="867" spans="2:29" x14ac:dyDescent="0.25">
      <c r="B867" s="449" t="s">
        <v>894</v>
      </c>
      <c r="C867" s="450">
        <f t="shared" ref="C867:O867" si="591">C670</f>
        <v>0</v>
      </c>
      <c r="D867" s="450">
        <f t="shared" si="591"/>
        <v>35003</v>
      </c>
      <c r="E867" s="450">
        <f t="shared" si="591"/>
        <v>38221.417999999998</v>
      </c>
      <c r="F867" s="450">
        <f t="shared" si="591"/>
        <v>38388.270000000004</v>
      </c>
      <c r="G867" s="450">
        <f t="shared" si="591"/>
        <v>39198.165000000001</v>
      </c>
      <c r="H867" s="450">
        <f t="shared" si="591"/>
        <v>40983.466999999997</v>
      </c>
      <c r="I867" s="450">
        <f t="shared" si="591"/>
        <v>43476.894999999997</v>
      </c>
      <c r="J867" s="450">
        <f t="shared" si="591"/>
        <v>44432.589515799991</v>
      </c>
      <c r="K867" s="450">
        <f t="shared" si="591"/>
        <v>45412.362399591002</v>
      </c>
      <c r="L867" s="450">
        <f t="shared" si="591"/>
        <v>46416.838758638696</v>
      </c>
      <c r="M867" s="450">
        <f t="shared" si="591"/>
        <v>47446.660373690655</v>
      </c>
      <c r="N867" s="450">
        <f t="shared" si="591"/>
        <v>48502.486154214574</v>
      </c>
      <c r="O867" s="450">
        <f t="shared" si="591"/>
        <v>49584.992606309963</v>
      </c>
    </row>
    <row r="868" spans="2:29" x14ac:dyDescent="0.25">
      <c r="B868" s="449" t="s">
        <v>895</v>
      </c>
      <c r="C868" s="450">
        <f t="shared" ref="C868:O868" si="592">C666</f>
        <v>0</v>
      </c>
      <c r="D868" s="450">
        <f t="shared" si="592"/>
        <v>600</v>
      </c>
      <c r="E868" s="450">
        <f t="shared" si="592"/>
        <v>0</v>
      </c>
      <c r="F868" s="450">
        <f t="shared" si="592"/>
        <v>0</v>
      </c>
      <c r="G868" s="450">
        <f t="shared" si="592"/>
        <v>0</v>
      </c>
      <c r="H868" s="450">
        <f t="shared" si="592"/>
        <v>0</v>
      </c>
      <c r="I868" s="450">
        <f t="shared" si="592"/>
        <v>0</v>
      </c>
      <c r="J868" s="450">
        <f t="shared" si="592"/>
        <v>0</v>
      </c>
      <c r="K868" s="450">
        <f t="shared" si="592"/>
        <v>0</v>
      </c>
      <c r="L868" s="450">
        <f t="shared" si="592"/>
        <v>0</v>
      </c>
      <c r="M868" s="450">
        <f t="shared" si="592"/>
        <v>0</v>
      </c>
      <c r="N868" s="450">
        <f t="shared" si="592"/>
        <v>0</v>
      </c>
      <c r="O868" s="450">
        <f t="shared" si="592"/>
        <v>0</v>
      </c>
    </row>
    <row r="869" spans="2:29" x14ac:dyDescent="0.25">
      <c r="B869" s="449" t="s">
        <v>896</v>
      </c>
      <c r="C869" s="450">
        <f>0</f>
        <v>0</v>
      </c>
      <c r="D869" s="450">
        <f>0</f>
        <v>0</v>
      </c>
      <c r="E869" s="450">
        <f>0</f>
        <v>0</v>
      </c>
      <c r="F869" s="450">
        <f>0</f>
        <v>0</v>
      </c>
      <c r="G869" s="450">
        <f>0</f>
        <v>0</v>
      </c>
      <c r="H869" s="450">
        <f>0</f>
        <v>0</v>
      </c>
      <c r="I869" s="450">
        <f>0</f>
        <v>0</v>
      </c>
      <c r="J869" s="450">
        <f>0</f>
        <v>0</v>
      </c>
      <c r="K869" s="450">
        <f>0</f>
        <v>0</v>
      </c>
      <c r="L869" s="450">
        <f>0</f>
        <v>0</v>
      </c>
      <c r="M869" s="450">
        <f>0</f>
        <v>0</v>
      </c>
      <c r="N869" s="450">
        <f>0</f>
        <v>0</v>
      </c>
      <c r="O869" s="450">
        <f>0</f>
        <v>0</v>
      </c>
    </row>
    <row r="870" spans="2:29" x14ac:dyDescent="0.25">
      <c r="B870" s="449" t="s">
        <v>897</v>
      </c>
      <c r="C870" s="450">
        <f>0</f>
        <v>0</v>
      </c>
      <c r="D870" s="450">
        <f>0</f>
        <v>0</v>
      </c>
      <c r="E870" s="450">
        <f>0</f>
        <v>0</v>
      </c>
      <c r="F870" s="450">
        <f>0</f>
        <v>0</v>
      </c>
      <c r="G870" s="450">
        <f>0</f>
        <v>0</v>
      </c>
      <c r="H870" s="450">
        <f>0</f>
        <v>0</v>
      </c>
      <c r="I870" s="450">
        <f>0</f>
        <v>0</v>
      </c>
      <c r="J870" s="450">
        <f>0</f>
        <v>0</v>
      </c>
      <c r="K870" s="450">
        <f>0</f>
        <v>0</v>
      </c>
      <c r="L870" s="450">
        <f>0</f>
        <v>0</v>
      </c>
      <c r="M870" s="450">
        <f>0</f>
        <v>0</v>
      </c>
      <c r="N870" s="450">
        <f>0</f>
        <v>0</v>
      </c>
      <c r="O870" s="450">
        <f>0</f>
        <v>0</v>
      </c>
    </row>
    <row r="871" spans="2:29" ht="14.4" thickBot="1" x14ac:dyDescent="0.3">
      <c r="B871" s="455" t="s">
        <v>898</v>
      </c>
      <c r="C871" s="456">
        <f t="shared" ref="C871:O871" si="593">C867-C868-C869-C870</f>
        <v>0</v>
      </c>
      <c r="D871" s="456">
        <f t="shared" si="593"/>
        <v>34403</v>
      </c>
      <c r="E871" s="456">
        <f t="shared" si="593"/>
        <v>38221.417999999998</v>
      </c>
      <c r="F871" s="456">
        <f t="shared" si="593"/>
        <v>38388.270000000004</v>
      </c>
      <c r="G871" s="456">
        <f t="shared" si="593"/>
        <v>39198.165000000001</v>
      </c>
      <c r="H871" s="456">
        <f t="shared" si="593"/>
        <v>40983.466999999997</v>
      </c>
      <c r="I871" s="456">
        <f t="shared" si="593"/>
        <v>43476.894999999997</v>
      </c>
      <c r="J871" s="456">
        <f t="shared" si="593"/>
        <v>44432.589515799991</v>
      </c>
      <c r="K871" s="456">
        <f t="shared" si="593"/>
        <v>45412.362399591002</v>
      </c>
      <c r="L871" s="456">
        <f t="shared" si="593"/>
        <v>46416.838758638696</v>
      </c>
      <c r="M871" s="456">
        <f t="shared" si="593"/>
        <v>47446.660373690655</v>
      </c>
      <c r="N871" s="456">
        <f t="shared" si="593"/>
        <v>48502.486154214574</v>
      </c>
      <c r="O871" s="456">
        <f t="shared" si="593"/>
        <v>49584.992606309963</v>
      </c>
    </row>
    <row r="872" spans="2:29" ht="14.4" thickBot="1" x14ac:dyDescent="0.3">
      <c r="B872" s="457" t="s">
        <v>891</v>
      </c>
      <c r="C872" s="458">
        <f t="shared" ref="C872:E872" si="594">C871*C866</f>
        <v>0</v>
      </c>
      <c r="D872" s="458">
        <f t="shared" si="594"/>
        <v>33714.94</v>
      </c>
      <c r="E872" s="458">
        <f t="shared" si="594"/>
        <v>36544.537372369596</v>
      </c>
      <c r="F872" s="458">
        <f>F871*F866</f>
        <v>35809.95798447448</v>
      </c>
      <c r="G872" s="458">
        <f t="shared" ref="G872:O872" si="595">G871*G866</f>
        <v>35674.722613085592</v>
      </c>
      <c r="H872" s="458">
        <f t="shared" si="595"/>
        <v>36390.930513372368</v>
      </c>
      <c r="I872" s="458">
        <f t="shared" si="595"/>
        <v>37673.797904048188</v>
      </c>
      <c r="J872" s="458">
        <f t="shared" si="595"/>
        <v>37573.264118735344</v>
      </c>
      <c r="K872" s="458">
        <f t="shared" si="595"/>
        <v>37475.5325646809</v>
      </c>
      <c r="L872" s="458">
        <f t="shared" si="595"/>
        <v>37380.550695929618</v>
      </c>
      <c r="M872" s="458">
        <f t="shared" si="595"/>
        <v>37288.26725002101</v>
      </c>
      <c r="N872" s="458">
        <f t="shared" si="595"/>
        <v>37198.632217397033</v>
      </c>
      <c r="O872" s="458">
        <f t="shared" si="595"/>
        <v>37111.596811548239</v>
      </c>
    </row>
    <row r="873" spans="2:29" ht="41.4" x14ac:dyDescent="0.25">
      <c r="B873" s="444" t="s">
        <v>899</v>
      </c>
      <c r="C873" s="459" t="e">
        <f>C875/C876</f>
        <v>#DIV/0!</v>
      </c>
      <c r="D873" s="459">
        <f>D875/D876</f>
        <v>0</v>
      </c>
      <c r="E873" s="459">
        <f t="shared" ref="E873:O873" si="596">E875/E876</f>
        <v>0.99370124897617762</v>
      </c>
      <c r="F873" s="459">
        <f t="shared" si="596"/>
        <v>0.99303931837438397</v>
      </c>
      <c r="G873" s="459">
        <f t="shared" si="596"/>
        <v>1.6803934749060947</v>
      </c>
      <c r="H873" s="459">
        <f t="shared" si="596"/>
        <v>1.0921016235379826</v>
      </c>
      <c r="I873" s="459">
        <f t="shared" si="596"/>
        <v>1.0150188029249823</v>
      </c>
      <c r="J873" s="459">
        <f t="shared" si="596"/>
        <v>1.0025295073449241</v>
      </c>
      <c r="K873" s="459">
        <f t="shared" si="596"/>
        <v>0.99824486627778619</v>
      </c>
      <c r="L873" s="459">
        <f t="shared" si="596"/>
        <v>1.0484348397600545</v>
      </c>
      <c r="M873" s="459">
        <f t="shared" si="596"/>
        <v>1.0005890737846779</v>
      </c>
      <c r="N873" s="459">
        <f t="shared" si="596"/>
        <v>1.016106314468552</v>
      </c>
      <c r="O873" s="459">
        <f t="shared" si="596"/>
        <v>1.0057512310938483</v>
      </c>
      <c r="P873" s="433"/>
      <c r="Q873" s="433"/>
      <c r="R873" s="433"/>
      <c r="S873" s="433"/>
      <c r="T873" s="433"/>
      <c r="U873" s="433"/>
      <c r="V873" s="433"/>
      <c r="W873" s="433"/>
      <c r="X873" s="433"/>
      <c r="Y873" s="433"/>
      <c r="Z873" s="433"/>
      <c r="AA873" s="433"/>
      <c r="AB873" s="433"/>
      <c r="AC873" s="433"/>
    </row>
    <row r="874" spans="2:29" ht="15.6" x14ac:dyDescent="0.3">
      <c r="B874" s="446"/>
      <c r="C874" s="461" t="str">
        <f>IF(ISERR(AVERAGE(SUM(#REF!,#REF!,C875)/SUM(#REF!,#REF!,C876))),"",AVERAGE(SUM(#REF!,#REF!,C875)/SUM(#REF!,#REF!,C876)))</f>
        <v/>
      </c>
      <c r="D874" s="461" t="str">
        <f>IF(ISERR(AVERAGE(SUM(#REF!,#REF!,D875)/SUM(#REF!,#REF!,D876))),"",AVERAGE(SUM(#REF!,#REF!,D875)/SUM(#REF!,#REF!,D876)))</f>
        <v/>
      </c>
      <c r="E874" s="461" t="str">
        <f>IF(ISERR(AVERAGE(SUM(#REF!,D875,E875)/SUM(#REF!,D876,E876))),"",AVERAGE(SUM(#REF!,D875,E875)/SUM(#REF!,D876,E876)))</f>
        <v/>
      </c>
      <c r="F874" s="461">
        <f t="shared" ref="F874" si="597">IF(ISERR(AVERAGE(SUM(D875,E875,F875)/SUM(D876,E876,F876))),"",AVERAGE(SUM(D875,E875,F875)/SUM(D876,E876,F876)))</f>
        <v>0.69437508163592687</v>
      </c>
      <c r="G874" s="461">
        <f t="shared" ref="G874" si="598">IF(ISERR(AVERAGE(SUM(E875,F875,G875)/SUM(E876,F876,G876))),"",AVERAGE(SUM(E875,F875,G875)/SUM(E876,F876,G876)))</f>
        <v>1.2154836502792421</v>
      </c>
      <c r="H874" s="461">
        <f t="shared" ref="H874" si="599">IF(ISERR(AVERAGE(SUM(F875,G875,H875)/SUM(F876,G876,H876))),"",AVERAGE(SUM(F875,G875,H875)/SUM(F876,G876,H876)))</f>
        <v>1.2540672326695927</v>
      </c>
      <c r="I874" s="461">
        <f t="shared" ref="I874" si="600">IF(ISERR(AVERAGE(SUM(G875,H875,I875)/SUM(G876,H876,I876))),"",AVERAGE(SUM(G875,H875,I875)/SUM(G876,H876,I876)))</f>
        <v>1.2501138655914967</v>
      </c>
      <c r="J874" s="461">
        <f t="shared" ref="J874" si="601">IF(ISERR(AVERAGE(SUM(H875,I875,J875)/SUM(H876,I876,J876))),"",AVERAGE(SUM(H875,I875,J875)/SUM(H876,I876,J876)))</f>
        <v>1.0348765279617809</v>
      </c>
      <c r="K874" s="461">
        <f t="shared" ref="K874" si="602">IF(ISERR(AVERAGE(SUM(I875,J875,K875)/SUM(I876,J876,K876))),"",AVERAGE(SUM(I875,J875,K875)/SUM(I876,J876,K876)))</f>
        <v>1.0051266199834599</v>
      </c>
      <c r="L874" s="461">
        <f t="shared" ref="L874" si="603">IF(ISERR(AVERAGE(SUM(J875,K875,L875)/SUM(J876,K876,L876))),"",AVERAGE(SUM(J875,K875,L875)/SUM(J876,K876,L876)))</f>
        <v>1.0167827185702296</v>
      </c>
      <c r="M874" s="461">
        <f t="shared" ref="M874" si="604">IF(ISERR(AVERAGE(SUM(K875,L875,M875)/SUM(K876,L876,M876))),"",AVERAGE(SUM(K875,L875,M875)/SUM(K876,L876,M876)))</f>
        <v>1.0157722325305814</v>
      </c>
      <c r="N874" s="461">
        <f t="shared" ref="N874" si="605">IF(ISERR(AVERAGE(SUM(L875,M875,N875)/SUM(L876,M876,N876))),"",AVERAGE(SUM(L875,M875,N875)/SUM(L876,M876,N876)))</f>
        <v>1.0214461571315983</v>
      </c>
      <c r="O874" s="461">
        <f t="shared" ref="O874" si="606">IF(ISERR(AVERAGE(SUM(M875,N875,O875)/SUM(M876,N876,O876))),"",AVERAGE(SUM(M875,N875,O875)/SUM(M876,N876,O876)))</f>
        <v>1.0075238149263706</v>
      </c>
      <c r="P874" s="433"/>
      <c r="Q874" s="433"/>
      <c r="R874" s="433"/>
      <c r="S874" s="433"/>
      <c r="T874" s="433"/>
      <c r="U874" s="433"/>
      <c r="V874" s="433"/>
      <c r="W874" s="433"/>
      <c r="X874" s="433"/>
      <c r="Y874" s="433"/>
      <c r="Z874" s="433"/>
      <c r="AA874" s="433"/>
      <c r="AB874" s="433"/>
      <c r="AC874" s="433"/>
    </row>
    <row r="875" spans="2:29" s="433" customFormat="1" x14ac:dyDescent="0.25">
      <c r="B875" s="449" t="s">
        <v>900</v>
      </c>
      <c r="C875" s="437">
        <f>C748</f>
        <v>0</v>
      </c>
      <c r="D875" s="437">
        <f>D748</f>
        <v>0</v>
      </c>
      <c r="E875" s="437">
        <f t="shared" ref="E875:F875" si="607">E748</f>
        <v>6862</v>
      </c>
      <c r="F875" s="437">
        <f t="shared" si="607"/>
        <v>6093.326</v>
      </c>
      <c r="G875" s="437">
        <f>G748</f>
        <v>10469.0535</v>
      </c>
      <c r="H875" s="437">
        <f t="shared" ref="H875:O875" si="608">H748</f>
        <v>7109.5190000000002</v>
      </c>
      <c r="I875" s="437">
        <f t="shared" si="608"/>
        <v>7132.6670000000004</v>
      </c>
      <c r="J875" s="437">
        <f t="shared" si="608"/>
        <v>7221.0257000000001</v>
      </c>
      <c r="K875" s="437">
        <f t="shared" si="608"/>
        <v>7369.9183674999995</v>
      </c>
      <c r="L875" s="437">
        <f t="shared" si="608"/>
        <v>7933.9763516875</v>
      </c>
      <c r="M875" s="437">
        <f t="shared" si="608"/>
        <v>7761.2036454796871</v>
      </c>
      <c r="N875" s="437">
        <f t="shared" si="608"/>
        <v>8078.604338816679</v>
      </c>
      <c r="O875" s="437">
        <f t="shared" si="608"/>
        <v>8196.1826210310974</v>
      </c>
    </row>
    <row r="876" spans="2:29" s="433" customFormat="1" ht="14.4" thickBot="1" x14ac:dyDescent="0.3">
      <c r="B876" s="451" t="s">
        <v>901</v>
      </c>
      <c r="C876" s="437">
        <f t="shared" ref="C876:O876" si="609">C767</f>
        <v>0</v>
      </c>
      <c r="D876" s="437">
        <f t="shared" si="609"/>
        <v>5616</v>
      </c>
      <c r="E876" s="437">
        <f t="shared" si="609"/>
        <v>6905.496000000001</v>
      </c>
      <c r="F876" s="437">
        <f t="shared" si="609"/>
        <v>6136.0370000000003</v>
      </c>
      <c r="G876" s="437">
        <f t="shared" si="609"/>
        <v>6230.1202999999996</v>
      </c>
      <c r="H876" s="437">
        <f t="shared" si="609"/>
        <v>6509.9427075000003</v>
      </c>
      <c r="I876" s="437">
        <f t="shared" si="609"/>
        <v>7027.1279501874997</v>
      </c>
      <c r="J876" s="437">
        <f t="shared" si="609"/>
        <v>7202.8061489421862</v>
      </c>
      <c r="K876" s="437">
        <f t="shared" si="609"/>
        <v>7382.8763026657416</v>
      </c>
      <c r="L876" s="437">
        <f t="shared" si="609"/>
        <v>7567.4482102323836</v>
      </c>
      <c r="M876" s="437">
        <f t="shared" si="609"/>
        <v>7756.6344154881936</v>
      </c>
      <c r="N876" s="437">
        <f t="shared" si="609"/>
        <v>7950.5502758753973</v>
      </c>
      <c r="O876" s="437">
        <f t="shared" si="609"/>
        <v>8149.3140327722822</v>
      </c>
    </row>
    <row r="877" spans="2:29" s="433" customFormat="1" x14ac:dyDescent="0.25">
      <c r="B877" s="446" t="s">
        <v>902</v>
      </c>
      <c r="C877" s="462" t="e">
        <f>C816/C815</f>
        <v>#DIV/0!</v>
      </c>
      <c r="D877" s="462">
        <f>D816/D815</f>
        <v>0.82606451612903231</v>
      </c>
      <c r="E877" s="462">
        <f t="shared" ref="E877:O877" si="610">E816/E815</f>
        <v>1</v>
      </c>
      <c r="F877" s="462">
        <f t="shared" si="610"/>
        <v>1</v>
      </c>
      <c r="G877" s="462">
        <f t="shared" si="610"/>
        <v>1</v>
      </c>
      <c r="H877" s="462">
        <f t="shared" si="610"/>
        <v>1</v>
      </c>
      <c r="I877" s="462">
        <f t="shared" si="610"/>
        <v>1</v>
      </c>
      <c r="J877" s="462">
        <f t="shared" si="610"/>
        <v>1</v>
      </c>
      <c r="K877" s="462">
        <f t="shared" si="610"/>
        <v>1</v>
      </c>
      <c r="L877" s="462">
        <f t="shared" si="610"/>
        <v>1</v>
      </c>
      <c r="M877" s="462">
        <f t="shared" si="610"/>
        <v>1</v>
      </c>
      <c r="N877" s="462">
        <f t="shared" si="610"/>
        <v>1</v>
      </c>
      <c r="O877" s="462">
        <f t="shared" si="610"/>
        <v>1</v>
      </c>
      <c r="P877" s="424"/>
      <c r="Q877" s="424"/>
      <c r="R877" s="424"/>
      <c r="S877" s="424"/>
      <c r="T877" s="424"/>
      <c r="U877" s="424"/>
      <c r="V877" s="424"/>
      <c r="W877" s="424"/>
      <c r="X877" s="424"/>
      <c r="Y877" s="424"/>
      <c r="Z877" s="424"/>
      <c r="AA877" s="424"/>
      <c r="AB877" s="424"/>
      <c r="AC877" s="424"/>
    </row>
    <row r="878" spans="2:29" s="433" customFormat="1" ht="14.4" thickBot="1" x14ac:dyDescent="0.3">
      <c r="B878" s="463" t="s">
        <v>903</v>
      </c>
      <c r="C878" s="464" t="e">
        <f>C814/C818</f>
        <v>#DIV/0!</v>
      </c>
      <c r="D878" s="464">
        <f>D814/D818</f>
        <v>2.0921636390210323E-2</v>
      </c>
      <c r="E878" s="464">
        <f t="shared" ref="E878:O878" si="611">E814/E818</f>
        <v>2.1202333570640202E-2</v>
      </c>
      <c r="F878" s="464">
        <f t="shared" si="611"/>
        <v>2.1308459510721522E-2</v>
      </c>
      <c r="G878" s="464">
        <f t="shared" si="611"/>
        <v>2.1412691594808034E-2</v>
      </c>
      <c r="H878" s="464">
        <f t="shared" si="611"/>
        <v>1.1170667618858909E-2</v>
      </c>
      <c r="I878" s="464">
        <f t="shared" si="611"/>
        <v>9.7385412168629407E-3</v>
      </c>
      <c r="J878" s="464">
        <f t="shared" si="611"/>
        <v>9.4868742052211137E-3</v>
      </c>
      <c r="K878" s="464">
        <f t="shared" si="611"/>
        <v>9.4434408038928212E-3</v>
      </c>
      <c r="L878" s="464">
        <f t="shared" si="611"/>
        <v>9.4743307091066081E-3</v>
      </c>
      <c r="M878" s="464">
        <f t="shared" si="611"/>
        <v>8.6013078119878215E-3</v>
      </c>
      <c r="N878" s="464">
        <f t="shared" si="611"/>
        <v>8.5904340231987182E-3</v>
      </c>
      <c r="O878" s="464">
        <f t="shared" si="611"/>
        <v>8.2857881105872933E-3</v>
      </c>
      <c r="P878" s="424"/>
      <c r="Q878" s="424"/>
      <c r="R878" s="424"/>
      <c r="S878" s="424"/>
      <c r="T878" s="424"/>
      <c r="U878" s="424"/>
      <c r="V878" s="424"/>
      <c r="W878" s="424"/>
      <c r="X878" s="424"/>
      <c r="Y878" s="424"/>
      <c r="Z878" s="424"/>
      <c r="AA878" s="424"/>
      <c r="AB878" s="424"/>
      <c r="AC878" s="424"/>
    </row>
    <row r="879" spans="2:29" ht="17.25" customHeight="1" x14ac:dyDescent="0.5">
      <c r="B879" s="535"/>
      <c r="C879" s="535"/>
      <c r="D879" s="535"/>
      <c r="E879" s="535"/>
      <c r="F879" s="535"/>
      <c r="G879" s="535"/>
      <c r="H879" s="535"/>
      <c r="I879" s="535"/>
      <c r="J879" s="535"/>
      <c r="K879" s="535"/>
      <c r="L879" s="535"/>
      <c r="M879" s="535"/>
      <c r="N879" s="535"/>
      <c r="O879" s="535"/>
    </row>
    <row r="880" spans="2:29" ht="14.4" thickBot="1" x14ac:dyDescent="0.3"/>
    <row r="881" spans="2:15" ht="14.4" thickBot="1" x14ac:dyDescent="0.3">
      <c r="B881" s="536"/>
      <c r="C881" s="537">
        <f>C644</f>
        <v>2015</v>
      </c>
      <c r="D881" s="537">
        <f t="shared" ref="D881" si="612">C881+1</f>
        <v>2016</v>
      </c>
      <c r="E881" s="537">
        <f t="shared" ref="E881" si="613">D881+1</f>
        <v>2017</v>
      </c>
      <c r="F881" s="537">
        <f t="shared" ref="F881" si="614">E881+1</f>
        <v>2018</v>
      </c>
      <c r="G881" s="537">
        <f t="shared" ref="G881" si="615">F881+1</f>
        <v>2019</v>
      </c>
      <c r="H881" s="537">
        <f t="shared" ref="H881" si="616">G881+1</f>
        <v>2020</v>
      </c>
      <c r="I881" s="537">
        <f t="shared" ref="I881" si="617">H881+1</f>
        <v>2021</v>
      </c>
      <c r="J881" s="537">
        <f t="shared" ref="J881" si="618">I881+1</f>
        <v>2022</v>
      </c>
      <c r="K881" s="537">
        <f t="shared" ref="K881" si="619">J881+1</f>
        <v>2023</v>
      </c>
      <c r="L881" s="537">
        <f t="shared" ref="L881" si="620">K881+1</f>
        <v>2024</v>
      </c>
      <c r="M881" s="537">
        <f t="shared" ref="M881" si="621">L881+1</f>
        <v>2025</v>
      </c>
      <c r="N881" s="537">
        <f t="shared" ref="N881" si="622">M881+1</f>
        <v>2026</v>
      </c>
      <c r="O881" s="537">
        <f t="shared" ref="O881" si="623">N881+1</f>
        <v>2027</v>
      </c>
    </row>
    <row r="882" spans="2:15" x14ac:dyDescent="0.25">
      <c r="B882" s="455"/>
      <c r="C882" s="476"/>
      <c r="D882" s="476"/>
      <c r="E882" s="476"/>
      <c r="F882" s="476"/>
      <c r="G882" s="476"/>
      <c r="H882" s="476"/>
      <c r="I882" s="476"/>
      <c r="J882" s="476"/>
      <c r="K882" s="476"/>
      <c r="L882" s="476"/>
      <c r="M882" s="476"/>
      <c r="N882" s="476"/>
      <c r="O882" s="476"/>
    </row>
    <row r="883" spans="2:15" x14ac:dyDescent="0.25">
      <c r="B883" s="455"/>
      <c r="C883" s="476"/>
      <c r="D883" s="476"/>
      <c r="E883" s="476"/>
      <c r="F883" s="476"/>
      <c r="G883" s="476"/>
      <c r="H883" s="476"/>
      <c r="I883" s="476"/>
      <c r="J883" s="476"/>
      <c r="K883" s="476"/>
      <c r="L883" s="476"/>
      <c r="M883" s="476"/>
      <c r="N883" s="476"/>
      <c r="O883" s="476"/>
    </row>
    <row r="884" spans="2:15" x14ac:dyDescent="0.25">
      <c r="B884" s="455"/>
      <c r="C884" s="476"/>
      <c r="D884" s="476"/>
      <c r="E884" s="476"/>
      <c r="F884" s="476"/>
      <c r="G884" s="476"/>
      <c r="H884" s="476"/>
      <c r="I884" s="476"/>
      <c r="J884" s="476"/>
      <c r="K884" s="476"/>
      <c r="L884" s="476"/>
      <c r="M884" s="476"/>
      <c r="N884" s="476"/>
      <c r="O884" s="476"/>
    </row>
    <row r="885" spans="2:15" x14ac:dyDescent="0.25">
      <c r="B885" s="455"/>
      <c r="C885" s="476"/>
      <c r="D885" s="476"/>
      <c r="E885" s="476"/>
      <c r="F885" s="476"/>
      <c r="G885" s="476"/>
      <c r="H885" s="476"/>
      <c r="I885" s="476"/>
      <c r="J885" s="476"/>
      <c r="K885" s="476"/>
      <c r="L885" s="476"/>
      <c r="M885" s="476"/>
      <c r="N885" s="476"/>
      <c r="O885" s="476"/>
    </row>
    <row r="886" spans="2:15" ht="21" x14ac:dyDescent="0.4">
      <c r="B886" s="538" t="s">
        <v>998</v>
      </c>
      <c r="C886" s="476"/>
      <c r="D886" s="476"/>
      <c r="E886" s="476"/>
      <c r="F886" s="476"/>
      <c r="G886" s="476"/>
      <c r="H886" s="476"/>
      <c r="I886" s="476"/>
      <c r="J886" s="476"/>
      <c r="K886" s="476"/>
      <c r="L886" s="476"/>
      <c r="M886" s="476"/>
      <c r="N886" s="476"/>
      <c r="O886" s="476"/>
    </row>
    <row r="887" spans="2:15" ht="26.4" x14ac:dyDescent="0.25">
      <c r="B887" s="539" t="s">
        <v>999</v>
      </c>
      <c r="C887" s="540" t="str">
        <f t="shared" ref="C887:O887" si="624">C847</f>
        <v/>
      </c>
      <c r="D887" s="540" t="str">
        <f t="shared" si="624"/>
        <v/>
      </c>
      <c r="E887" s="540" t="str">
        <f t="shared" si="624"/>
        <v/>
      </c>
      <c r="F887" s="540">
        <f t="shared" si="624"/>
        <v>-4.7578308289717482E-3</v>
      </c>
      <c r="G887" s="540">
        <f t="shared" si="624"/>
        <v>2.3334406315395691E-2</v>
      </c>
      <c r="H887" s="540">
        <f t="shared" si="624"/>
        <v>3.4823703661392216E-2</v>
      </c>
      <c r="I887" s="540">
        <f t="shared" si="624"/>
        <v>2.6212829693609292E-2</v>
      </c>
      <c r="J887" s="540">
        <f t="shared" si="624"/>
        <v>1.531177613184184E-2</v>
      </c>
      <c r="K887" s="540">
        <f t="shared" si="624"/>
        <v>3.1913936256155895E-3</v>
      </c>
      <c r="L887" s="540">
        <f t="shared" si="624"/>
        <v>-3.7242921720550492E-3</v>
      </c>
      <c r="M887" s="540">
        <f t="shared" si="624"/>
        <v>-5.7599310263255418E-3</v>
      </c>
      <c r="N887" s="540">
        <f t="shared" si="624"/>
        <v>-1.7193177187658018E-2</v>
      </c>
      <c r="O887" s="540">
        <f t="shared" si="624"/>
        <v>-4.0961668003924118E-2</v>
      </c>
    </row>
    <row r="888" spans="2:15" ht="26.4" x14ac:dyDescent="0.25">
      <c r="B888" s="539" t="s">
        <v>1000</v>
      </c>
      <c r="C888" s="541" t="str">
        <f t="shared" ref="C888:O888" si="625">C851</f>
        <v/>
      </c>
      <c r="D888" s="541" t="str">
        <f t="shared" si="625"/>
        <v/>
      </c>
      <c r="E888" s="541" t="str">
        <f t="shared" si="625"/>
        <v/>
      </c>
      <c r="F888" s="541">
        <f t="shared" si="625"/>
        <v>0.74304415917275923</v>
      </c>
      <c r="G888" s="541">
        <f t="shared" si="625"/>
        <v>0.78542028389055185</v>
      </c>
      <c r="H888" s="541">
        <f t="shared" si="625"/>
        <v>0.77026398712601418</v>
      </c>
      <c r="I888" s="541">
        <f t="shared" si="625"/>
        <v>0.77396170145376153</v>
      </c>
      <c r="J888" s="541">
        <f t="shared" si="625"/>
        <v>0.77664967204964952</v>
      </c>
      <c r="K888" s="541">
        <f t="shared" si="625"/>
        <v>0.79581344838157753</v>
      </c>
      <c r="L888" s="541">
        <f t="shared" si="625"/>
        <v>0.79429725413181462</v>
      </c>
      <c r="M888" s="541">
        <f t="shared" si="625"/>
        <v>0.79370767489620175</v>
      </c>
      <c r="N888" s="541">
        <f t="shared" si="625"/>
        <v>0.79136185794722469</v>
      </c>
      <c r="O888" s="541">
        <f t="shared" si="625"/>
        <v>0.78671362973293946</v>
      </c>
    </row>
    <row r="889" spans="2:15" ht="26.4" x14ac:dyDescent="0.25">
      <c r="B889" s="539" t="s">
        <v>1001</v>
      </c>
      <c r="C889" s="541" t="str">
        <f>C874</f>
        <v/>
      </c>
      <c r="D889" s="541" t="str">
        <f>D874</f>
        <v/>
      </c>
      <c r="E889" s="541" t="str">
        <f>E874</f>
        <v/>
      </c>
      <c r="F889" s="541">
        <f t="shared" ref="F889:G889" si="626">F874</f>
        <v>0.69437508163592687</v>
      </c>
      <c r="G889" s="541">
        <f t="shared" si="626"/>
        <v>1.2154836502792421</v>
      </c>
      <c r="H889" s="541">
        <f>H874</f>
        <v>1.2540672326695927</v>
      </c>
      <c r="I889" s="541">
        <f t="shared" ref="I889:O889" si="627">I874</f>
        <v>1.2501138655914967</v>
      </c>
      <c r="J889" s="541">
        <f t="shared" si="627"/>
        <v>1.0348765279617809</v>
      </c>
      <c r="K889" s="541">
        <f t="shared" si="627"/>
        <v>1.0051266199834599</v>
      </c>
      <c r="L889" s="541">
        <f t="shared" si="627"/>
        <v>1.0167827185702296</v>
      </c>
      <c r="M889" s="541">
        <f t="shared" si="627"/>
        <v>1.0157722325305814</v>
      </c>
      <c r="N889" s="541">
        <f t="shared" si="627"/>
        <v>1.0214461571315983</v>
      </c>
      <c r="O889" s="541">
        <f t="shared" si="627"/>
        <v>1.0075238149263706</v>
      </c>
    </row>
    <row r="890" spans="2:15" x14ac:dyDescent="0.25">
      <c r="B890" s="539" t="s">
        <v>1002</v>
      </c>
      <c r="C890" s="540" t="e">
        <f t="shared" ref="C890:O890" si="628">C878</f>
        <v>#DIV/0!</v>
      </c>
      <c r="D890" s="540">
        <f t="shared" si="628"/>
        <v>2.0921636390210323E-2</v>
      </c>
      <c r="E890" s="540">
        <f t="shared" si="628"/>
        <v>2.1202333570640202E-2</v>
      </c>
      <c r="F890" s="540">
        <f t="shared" si="628"/>
        <v>2.1308459510721522E-2</v>
      </c>
      <c r="G890" s="540">
        <f t="shared" si="628"/>
        <v>2.1412691594808034E-2</v>
      </c>
      <c r="H890" s="540">
        <f t="shared" si="628"/>
        <v>1.1170667618858909E-2</v>
      </c>
      <c r="I890" s="540">
        <f t="shared" si="628"/>
        <v>9.7385412168629407E-3</v>
      </c>
      <c r="J890" s="540">
        <f t="shared" si="628"/>
        <v>9.4868742052211137E-3</v>
      </c>
      <c r="K890" s="540">
        <f t="shared" si="628"/>
        <v>9.4434408038928212E-3</v>
      </c>
      <c r="L890" s="540">
        <f t="shared" si="628"/>
        <v>9.4743307091066081E-3</v>
      </c>
      <c r="M890" s="540">
        <f t="shared" si="628"/>
        <v>8.6013078119878215E-3</v>
      </c>
      <c r="N890" s="540">
        <f t="shared" si="628"/>
        <v>8.5904340231987182E-3</v>
      </c>
      <c r="O890" s="540">
        <f t="shared" si="628"/>
        <v>8.2857881105872933E-3</v>
      </c>
    </row>
    <row r="891" spans="2:15" ht="26.4" x14ac:dyDescent="0.25">
      <c r="B891" s="539" t="s">
        <v>1003</v>
      </c>
      <c r="C891" s="542" t="e">
        <f>AVERAGE(C877:C877)</f>
        <v>#DIV/0!</v>
      </c>
      <c r="D891" s="542">
        <f>AVERAGE(D877:D877)</f>
        <v>0.82606451612903231</v>
      </c>
      <c r="E891" s="542">
        <f>AVERAGE(D877:E877)</f>
        <v>0.91303225806451616</v>
      </c>
      <c r="F891" s="542">
        <f t="shared" ref="F891" si="629">AVERAGE(D877:F877)</f>
        <v>0.94202150537634421</v>
      </c>
      <c r="G891" s="542">
        <f t="shared" ref="G891" si="630">AVERAGE(E877:G877)</f>
        <v>1</v>
      </c>
      <c r="H891" s="542">
        <f t="shared" ref="H891" si="631">AVERAGE(F877:H877)</f>
        <v>1</v>
      </c>
      <c r="I891" s="542">
        <f t="shared" ref="I891" si="632">AVERAGE(G877:I877)</f>
        <v>1</v>
      </c>
      <c r="J891" s="542">
        <f t="shared" ref="J891" si="633">AVERAGE(H877:J877)</f>
        <v>1</v>
      </c>
      <c r="K891" s="542">
        <f t="shared" ref="K891" si="634">AVERAGE(I877:K877)</f>
        <v>1</v>
      </c>
      <c r="L891" s="542">
        <f>AVERAGE(J877:L877)</f>
        <v>1</v>
      </c>
      <c r="M891" s="542">
        <f t="shared" ref="M891" si="635">AVERAGE(K877:M877)</f>
        <v>1</v>
      </c>
      <c r="N891" s="542">
        <f t="shared" ref="N891" si="636">AVERAGE(L877:N877)</f>
        <v>1</v>
      </c>
      <c r="O891" s="542">
        <f t="shared" ref="O891" si="637">AVERAGE(M877:O877)</f>
        <v>1</v>
      </c>
    </row>
    <row r="892" spans="2:15" ht="26.4" collapsed="1" x14ac:dyDescent="0.25">
      <c r="B892" s="539" t="s">
        <v>1004</v>
      </c>
      <c r="C892" s="541" t="str">
        <f t="shared" ref="C892:O892" si="638">C855</f>
        <v/>
      </c>
      <c r="D892" s="541" t="str">
        <f t="shared" si="638"/>
        <v/>
      </c>
      <c r="E892" s="541" t="str">
        <f t="shared" si="638"/>
        <v/>
      </c>
      <c r="F892" s="541">
        <f t="shared" si="638"/>
        <v>3.3854966451961031E-2</v>
      </c>
      <c r="G892" s="541">
        <f t="shared" si="638"/>
        <v>3.7882070113032414E-2</v>
      </c>
      <c r="H892" s="541">
        <f t="shared" si="638"/>
        <v>3.990889658883838E-2</v>
      </c>
      <c r="I892" s="541">
        <f t="shared" si="638"/>
        <v>4.5257892379054955E-2</v>
      </c>
      <c r="J892" s="541">
        <f t="shared" si="638"/>
        <v>5.0075829404046653E-2</v>
      </c>
      <c r="K892" s="541">
        <f t="shared" si="638"/>
        <v>5.1626754889985464E-2</v>
      </c>
      <c r="L892" s="541">
        <f t="shared" si="638"/>
        <v>4.9968662747354453E-2</v>
      </c>
      <c r="M892" s="541">
        <f t="shared" si="638"/>
        <v>4.8091824280649537E-2</v>
      </c>
      <c r="N892" s="541">
        <f t="shared" si="638"/>
        <v>4.6679950544576146E-2</v>
      </c>
      <c r="O892" s="541">
        <f t="shared" si="638"/>
        <v>4.5808874226280973E-2</v>
      </c>
    </row>
    <row r="893" spans="2:15" x14ac:dyDescent="0.25">
      <c r="B893" s="539"/>
      <c r="C893" s="476"/>
      <c r="D893" s="476"/>
      <c r="E893" s="476"/>
      <c r="F893" s="476"/>
      <c r="G893" s="476"/>
      <c r="H893" s="476"/>
      <c r="I893" s="476"/>
      <c r="J893" s="476"/>
      <c r="K893" s="476"/>
      <c r="L893" s="476"/>
      <c r="M893" s="476"/>
      <c r="N893" s="476"/>
      <c r="O893" s="476"/>
    </row>
    <row r="894" spans="2:15" ht="26.4" x14ac:dyDescent="0.25">
      <c r="B894" s="539" t="s">
        <v>1005</v>
      </c>
      <c r="C894" s="543">
        <f t="shared" ref="C894:O894" si="639">C872/C744*1000</f>
        <v>0</v>
      </c>
      <c r="D894" s="543">
        <f t="shared" si="639"/>
        <v>1948.3505592524425</v>
      </c>
      <c r="E894" s="543">
        <f t="shared" si="639"/>
        <v>2093.0326906360388</v>
      </c>
      <c r="F894" s="543">
        <f t="shared" si="639"/>
        <v>2032.6667745911852</v>
      </c>
      <c r="G894" s="543">
        <f t="shared" si="639"/>
        <v>2006.9281086090677</v>
      </c>
      <c r="H894" s="543">
        <f t="shared" si="639"/>
        <v>2028.9586911233114</v>
      </c>
      <c r="I894" s="543">
        <f t="shared" si="639"/>
        <v>2092.9887724471214</v>
      </c>
      <c r="J894" s="543">
        <f t="shared" si="639"/>
        <v>2068.7845016372289</v>
      </c>
      <c r="K894" s="543">
        <f t="shared" si="639"/>
        <v>2044.998415029022</v>
      </c>
      <c r="L894" s="543">
        <f t="shared" si="639"/>
        <v>2021.620772420388</v>
      </c>
      <c r="M894" s="543">
        <f t="shared" si="639"/>
        <v>1998.6421057549014</v>
      </c>
      <c r="N894" s="543">
        <f t="shared" si="639"/>
        <v>1978.6506498615445</v>
      </c>
      <c r="O894" s="543">
        <f t="shared" si="639"/>
        <v>1956.4133865185797</v>
      </c>
    </row>
    <row r="895" spans="2:15" ht="14.4" thickBot="1" x14ac:dyDescent="0.3">
      <c r="B895" s="457"/>
      <c r="C895" s="544"/>
      <c r="D895" s="544"/>
      <c r="E895" s="544"/>
      <c r="F895" s="544"/>
      <c r="G895" s="544"/>
      <c r="H895" s="544"/>
      <c r="I895" s="544"/>
      <c r="J895" s="544"/>
      <c r="K895" s="544"/>
      <c r="L895" s="544"/>
      <c r="M895" s="544"/>
      <c r="N895" s="544"/>
      <c r="O895" s="544"/>
    </row>
    <row r="897" spans="3:15" x14ac:dyDescent="0.25">
      <c r="C897" s="545">
        <v>1</v>
      </c>
      <c r="D897" s="545">
        <v>1</v>
      </c>
      <c r="E897" s="545">
        <v>1</v>
      </c>
      <c r="F897" s="545">
        <v>1</v>
      </c>
      <c r="G897" s="545">
        <v>1</v>
      </c>
      <c r="H897" s="545">
        <v>1</v>
      </c>
      <c r="I897" s="545">
        <v>1</v>
      </c>
      <c r="J897" s="545">
        <v>1</v>
      </c>
      <c r="K897" s="545">
        <v>1</v>
      </c>
      <c r="L897" s="545">
        <v>1</v>
      </c>
      <c r="M897" s="545">
        <v>1</v>
      </c>
      <c r="N897" s="545">
        <v>1</v>
      </c>
      <c r="O897" s="545">
        <v>1</v>
      </c>
    </row>
    <row r="898" spans="3:15" x14ac:dyDescent="0.25">
      <c r="C898" s="545">
        <v>0.6</v>
      </c>
      <c r="D898" s="545">
        <v>0.6</v>
      </c>
      <c r="E898" s="545">
        <v>0.6</v>
      </c>
      <c r="F898" s="545">
        <v>0.6</v>
      </c>
      <c r="G898" s="545">
        <v>0.6</v>
      </c>
      <c r="H898" s="545">
        <v>0.6</v>
      </c>
      <c r="I898" s="545">
        <v>0.6</v>
      </c>
      <c r="J898" s="545">
        <v>0.6</v>
      </c>
      <c r="K898" s="545">
        <v>0.6</v>
      </c>
      <c r="L898" s="545">
        <v>0.6</v>
      </c>
      <c r="M898" s="545">
        <v>0.6</v>
      </c>
      <c r="N898" s="545">
        <v>0.6</v>
      </c>
      <c r="O898" s="545">
        <v>0.6</v>
      </c>
    </row>
    <row r="899" spans="3:15" x14ac:dyDescent="0.25">
      <c r="C899" s="545">
        <v>0</v>
      </c>
      <c r="D899" s="545">
        <v>0</v>
      </c>
      <c r="E899" s="545">
        <v>0</v>
      </c>
      <c r="F899" s="545">
        <v>0</v>
      </c>
      <c r="G899" s="545">
        <v>0</v>
      </c>
      <c r="H899" s="545">
        <v>0</v>
      </c>
      <c r="I899" s="545">
        <v>0</v>
      </c>
      <c r="J899" s="545">
        <v>0</v>
      </c>
      <c r="K899" s="545">
        <v>0</v>
      </c>
      <c r="L899" s="545">
        <v>0</v>
      </c>
      <c r="M899" s="545">
        <v>0</v>
      </c>
      <c r="N899" s="545">
        <v>0</v>
      </c>
      <c r="O899" s="545">
        <v>0</v>
      </c>
    </row>
    <row r="900" spans="3:15" x14ac:dyDescent="0.25">
      <c r="C900" s="546">
        <v>0.2</v>
      </c>
      <c r="D900" s="546">
        <v>0.2</v>
      </c>
      <c r="E900" s="546">
        <v>0.2</v>
      </c>
      <c r="F900" s="546">
        <v>0.2</v>
      </c>
      <c r="G900" s="546">
        <v>0.2</v>
      </c>
      <c r="H900" s="546">
        <v>0.2</v>
      </c>
      <c r="I900" s="546">
        <v>0.2</v>
      </c>
      <c r="J900" s="546">
        <v>0.2</v>
      </c>
      <c r="K900" s="546">
        <v>0.2</v>
      </c>
      <c r="L900" s="546">
        <v>0.2</v>
      </c>
      <c r="M900" s="546">
        <v>0.2</v>
      </c>
      <c r="N900" s="546">
        <v>0.2</v>
      </c>
      <c r="O900" s="546">
        <v>0.2</v>
      </c>
    </row>
    <row r="901" spans="3:15" x14ac:dyDescent="0.25">
      <c r="C901" s="545">
        <v>0.02</v>
      </c>
      <c r="D901" s="545">
        <v>0.02</v>
      </c>
      <c r="E901" s="545">
        <v>0.02</v>
      </c>
      <c r="F901" s="545">
        <v>0.02</v>
      </c>
      <c r="G901" s="545">
        <v>0.02</v>
      </c>
      <c r="H901" s="545">
        <v>0.02</v>
      </c>
      <c r="I901" s="545">
        <v>0.02</v>
      </c>
      <c r="J901" s="545">
        <v>0.02</v>
      </c>
      <c r="K901" s="545">
        <v>0.02</v>
      </c>
      <c r="L901" s="545">
        <v>0.02</v>
      </c>
      <c r="M901" s="545">
        <v>0.02</v>
      </c>
      <c r="N901" s="545">
        <v>0.02</v>
      </c>
      <c r="O901" s="545">
        <v>0.02</v>
      </c>
    </row>
  </sheetData>
  <sheetProtection selectLockedCells="1"/>
  <conditionalFormatting sqref="D248:O248">
    <cfRule type="iconSet" priority="38">
      <iconSet iconSet="3Symbols2">
        <cfvo type="percent" val="0"/>
        <cfvo type="num" val="0" gte="0"/>
        <cfvo type="num" val="0" gte="0"/>
      </iconSet>
    </cfRule>
  </conditionalFormatting>
  <conditionalFormatting sqref="D251:O251">
    <cfRule type="iconSet" priority="39">
      <iconSet iconSet="3Symbols2" reverse="1">
        <cfvo type="percent" val="0"/>
        <cfvo type="num" val="0.02" gte="0"/>
        <cfvo type="num" val="0.02"/>
      </iconSet>
    </cfRule>
  </conditionalFormatting>
  <conditionalFormatting sqref="C248">
    <cfRule type="iconSet" priority="25">
      <iconSet iconSet="3Symbols2">
        <cfvo type="percent" val="0"/>
        <cfvo type="num" val="0" gte="0"/>
        <cfvo type="num" val="0" gte="0"/>
      </iconSet>
    </cfRule>
  </conditionalFormatting>
  <conditionalFormatting sqref="C251">
    <cfRule type="iconSet" priority="26">
      <iconSet iconSet="3Symbols2" reverse="1">
        <cfvo type="percent" val="0"/>
        <cfvo type="num" val="0.02" gte="0"/>
        <cfvo type="num" val="0.02"/>
      </iconSet>
    </cfRule>
  </conditionalFormatting>
  <conditionalFormatting sqref="D567:O567">
    <cfRule type="iconSet" priority="19">
      <iconSet iconSet="3Symbols2">
        <cfvo type="percent" val="0"/>
        <cfvo type="num" val="0" gte="0"/>
        <cfvo type="num" val="0" gte="0"/>
      </iconSet>
    </cfRule>
  </conditionalFormatting>
  <conditionalFormatting sqref="D570:O570">
    <cfRule type="iconSet" priority="20">
      <iconSet iconSet="3Symbols2" reverse="1">
        <cfvo type="percent" val="0"/>
        <cfvo type="num" val="0.02" gte="0"/>
        <cfvo type="num" val="0.02"/>
      </iconSet>
    </cfRule>
  </conditionalFormatting>
  <conditionalFormatting sqref="C567">
    <cfRule type="iconSet" priority="13">
      <iconSet iconSet="3Symbols2">
        <cfvo type="percent" val="0"/>
        <cfvo type="num" val="0" gte="0"/>
        <cfvo type="num" val="0" gte="0"/>
      </iconSet>
    </cfRule>
  </conditionalFormatting>
  <conditionalFormatting sqref="C570">
    <cfRule type="iconSet" priority="14">
      <iconSet iconSet="3Symbols2" reverse="1">
        <cfvo type="percent" val="0"/>
        <cfvo type="num" val="0.02" gte="0"/>
        <cfvo type="num" val="0.02"/>
      </iconSet>
    </cfRule>
  </conditionalFormatting>
  <conditionalFormatting sqref="D887:O887">
    <cfRule type="iconSet" priority="7">
      <iconSet iconSet="3Symbols2">
        <cfvo type="percent" val="0"/>
        <cfvo type="num" val="0" gte="0"/>
        <cfvo type="num" val="0" gte="0"/>
      </iconSet>
    </cfRule>
  </conditionalFormatting>
  <conditionalFormatting sqref="D890:O890">
    <cfRule type="iconSet" priority="8">
      <iconSet iconSet="3Symbols2" reverse="1">
        <cfvo type="percent" val="0"/>
        <cfvo type="num" val="0.02" gte="0"/>
        <cfvo type="num" val="0.02"/>
      </iconSet>
    </cfRule>
  </conditionalFormatting>
  <conditionalFormatting sqref="C887">
    <cfRule type="iconSet" priority="1">
      <iconSet iconSet="3Symbols2">
        <cfvo type="percent" val="0"/>
        <cfvo type="num" val="0" gte="0"/>
        <cfvo type="num" val="0" gte="0"/>
      </iconSet>
    </cfRule>
  </conditionalFormatting>
  <conditionalFormatting sqref="C890">
    <cfRule type="iconSet" priority="2">
      <iconSet iconSet="3Symbols2" reverse="1">
        <cfvo type="percent" val="0"/>
        <cfvo type="num" val="0.02" gte="0"/>
        <cfvo type="num" val="0.02"/>
      </iconSet>
    </cfRule>
  </conditionalFormatting>
  <pageMargins left="0.70000000000000007" right="0.70000000000000007" top="0.75000000000000011" bottom="0.75000000000000011" header="0.30000000000000004" footer="0.30000000000000004"/>
  <pageSetup paperSize="8" scale="26" fitToHeight="4" orientation="landscape" horizontalDpi="4294967292" verticalDpi="4294967292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0" id="{DAC53466-449A-4007-BF64-7313C3BB1A00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D252:O252</xm:sqref>
        </x14:conditionalFormatting>
        <x14:conditionalFormatting xmlns:xm="http://schemas.microsoft.com/office/excel/2006/main">
          <x14:cfRule type="iconSet" priority="41" id="{0BCF87D5-4D5B-49C0-A4E0-19CB99324ADC}">
            <x14:iconSet iconSet="3Symbols2" custom="1">
              <x14:cfvo type="percent">
                <xm:f>0</xm:f>
              </x14:cfvo>
              <x14:cfvo type="num">
                <xm:f>0.6</xm:f>
              </x14:cfvo>
              <x14:cfvo type="num">
                <xm:f>0.6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D249:O249</xm:sqref>
        </x14:conditionalFormatting>
        <x14:conditionalFormatting xmlns:xm="http://schemas.microsoft.com/office/excel/2006/main">
          <x14:cfRule type="iconSet" priority="42" id="{05EC4700-9E26-4849-ACC5-BE403EB285B9}">
            <x14:iconSet iconSet="3Symbols2" custom="1">
              <x14:cfvo type="percent">
                <xm:f>0</xm:f>
              </x14:cfvo>
              <x14:cfvo type="num">
                <xm:f>1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D250:O250</xm:sqref>
        </x14:conditionalFormatting>
        <x14:conditionalFormatting xmlns:xm="http://schemas.microsoft.com/office/excel/2006/main">
          <x14:cfRule type="iconSet" priority="43" id="{9C8CBBDC-1AA5-476D-ABF5-08964F4C3EBC}">
            <x14:iconSet iconSet="3Symbols2" custom="1">
              <x14:cfvo type="percent">
                <xm:f>0</xm:f>
              </x14:cfvo>
              <x14:cfvo type="num">
                <xm:f>0.2</xm:f>
              </x14:cfvo>
              <x14:cfvo type="num">
                <xm:f>0.2</xm:f>
              </x14:cfvo>
              <x14:cfIcon iconSet="3Symbols2" iconId="2"/>
              <x14:cfIcon iconSet="3Symbols2" iconId="2"/>
              <x14:cfIcon iconSet="3Symbols2" iconId="0"/>
            </x14:iconSet>
          </x14:cfRule>
          <xm:sqref>D253:O253</xm:sqref>
        </x14:conditionalFormatting>
        <x14:conditionalFormatting xmlns:xm="http://schemas.microsoft.com/office/excel/2006/main">
          <x14:cfRule type="iconSet" priority="27" id="{0D2E1A3F-FBCC-415F-BC66-20FB386E2D86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C252</xm:sqref>
        </x14:conditionalFormatting>
        <x14:conditionalFormatting xmlns:xm="http://schemas.microsoft.com/office/excel/2006/main">
          <x14:cfRule type="iconSet" priority="28" id="{8844F35F-FD5A-4C9A-BEEF-B8CFB6A3A8B2}">
            <x14:iconSet iconSet="3Symbols2" custom="1">
              <x14:cfvo type="percent">
                <xm:f>0</xm:f>
              </x14:cfvo>
              <x14:cfvo type="num">
                <xm:f>0.6</xm:f>
              </x14:cfvo>
              <x14:cfvo type="num">
                <xm:f>0.6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C249</xm:sqref>
        </x14:conditionalFormatting>
        <x14:conditionalFormatting xmlns:xm="http://schemas.microsoft.com/office/excel/2006/main">
          <x14:cfRule type="iconSet" priority="29" id="{E760AA78-6983-4184-A45E-C52AA8AAF276}">
            <x14:iconSet iconSet="3Symbols2" custom="1">
              <x14:cfvo type="percent">
                <xm:f>0</xm:f>
              </x14:cfvo>
              <x14:cfvo type="num">
                <xm:f>1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C250</xm:sqref>
        </x14:conditionalFormatting>
        <x14:conditionalFormatting xmlns:xm="http://schemas.microsoft.com/office/excel/2006/main">
          <x14:cfRule type="iconSet" priority="30" id="{E17496D2-34BE-4EB6-94F5-14B5298BEC9F}">
            <x14:iconSet iconSet="3Symbols2" custom="1">
              <x14:cfvo type="percent">
                <xm:f>0</xm:f>
              </x14:cfvo>
              <x14:cfvo type="num">
                <xm:f>0.2</xm:f>
              </x14:cfvo>
              <x14:cfvo type="num">
                <xm:f>0.2</xm:f>
              </x14:cfvo>
              <x14:cfIcon iconSet="3Symbols2" iconId="2"/>
              <x14:cfIcon iconSet="3Symbols2" iconId="2"/>
              <x14:cfIcon iconSet="3Symbols2" iconId="0"/>
            </x14:iconSet>
          </x14:cfRule>
          <xm:sqref>C253</xm:sqref>
        </x14:conditionalFormatting>
        <x14:conditionalFormatting xmlns:xm="http://schemas.microsoft.com/office/excel/2006/main">
          <x14:cfRule type="iconSet" priority="21" id="{917655F3-1FF4-47A6-9146-A5DFCDBF6E1D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D571:O571</xm:sqref>
        </x14:conditionalFormatting>
        <x14:conditionalFormatting xmlns:xm="http://schemas.microsoft.com/office/excel/2006/main">
          <x14:cfRule type="iconSet" priority="22" id="{0D686F32-0E4E-4279-962A-CB5A64E90966}">
            <x14:iconSet iconSet="3Symbols2" custom="1">
              <x14:cfvo type="percent">
                <xm:f>0</xm:f>
              </x14:cfvo>
              <x14:cfvo type="num">
                <xm:f>0.6</xm:f>
              </x14:cfvo>
              <x14:cfvo type="num">
                <xm:f>0.6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D568:O568</xm:sqref>
        </x14:conditionalFormatting>
        <x14:conditionalFormatting xmlns:xm="http://schemas.microsoft.com/office/excel/2006/main">
          <x14:cfRule type="iconSet" priority="23" id="{B8376610-8D49-48FD-928A-0D7F32E9D625}">
            <x14:iconSet iconSet="3Symbols2" custom="1">
              <x14:cfvo type="percent">
                <xm:f>0</xm:f>
              </x14:cfvo>
              <x14:cfvo type="num">
                <xm:f>1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D569:O569</xm:sqref>
        </x14:conditionalFormatting>
        <x14:conditionalFormatting xmlns:xm="http://schemas.microsoft.com/office/excel/2006/main">
          <x14:cfRule type="iconSet" priority="24" id="{AFED7531-6661-48C9-B073-58A8621008C1}">
            <x14:iconSet iconSet="3Symbols2" custom="1">
              <x14:cfvo type="percent">
                <xm:f>0</xm:f>
              </x14:cfvo>
              <x14:cfvo type="num">
                <xm:f>0.2</xm:f>
              </x14:cfvo>
              <x14:cfvo type="num">
                <xm:f>0.2</xm:f>
              </x14:cfvo>
              <x14:cfIcon iconSet="3Symbols2" iconId="2"/>
              <x14:cfIcon iconSet="3Symbols2" iconId="2"/>
              <x14:cfIcon iconSet="3Symbols2" iconId="0"/>
            </x14:iconSet>
          </x14:cfRule>
          <xm:sqref>D572:O572</xm:sqref>
        </x14:conditionalFormatting>
        <x14:conditionalFormatting xmlns:xm="http://schemas.microsoft.com/office/excel/2006/main">
          <x14:cfRule type="iconSet" priority="15" id="{E8334325-FA51-48D3-B622-30C599856E5B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C571</xm:sqref>
        </x14:conditionalFormatting>
        <x14:conditionalFormatting xmlns:xm="http://schemas.microsoft.com/office/excel/2006/main">
          <x14:cfRule type="iconSet" priority="16" id="{3B99992E-2F7B-4184-9013-3BF9DD1A0322}">
            <x14:iconSet iconSet="3Symbols2" custom="1">
              <x14:cfvo type="percent">
                <xm:f>0</xm:f>
              </x14:cfvo>
              <x14:cfvo type="num">
                <xm:f>0.6</xm:f>
              </x14:cfvo>
              <x14:cfvo type="num">
                <xm:f>0.6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C568</xm:sqref>
        </x14:conditionalFormatting>
        <x14:conditionalFormatting xmlns:xm="http://schemas.microsoft.com/office/excel/2006/main">
          <x14:cfRule type="iconSet" priority="17" id="{DF7AB38B-7B08-4A70-94C7-AB4305CD0A25}">
            <x14:iconSet iconSet="3Symbols2" custom="1">
              <x14:cfvo type="percent">
                <xm:f>0</xm:f>
              </x14:cfvo>
              <x14:cfvo type="num">
                <xm:f>1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C569</xm:sqref>
        </x14:conditionalFormatting>
        <x14:conditionalFormatting xmlns:xm="http://schemas.microsoft.com/office/excel/2006/main">
          <x14:cfRule type="iconSet" priority="18" id="{4FF869F3-AD62-4B3A-A0EB-43AF1FEC2002}">
            <x14:iconSet iconSet="3Symbols2" custom="1">
              <x14:cfvo type="percent">
                <xm:f>0</xm:f>
              </x14:cfvo>
              <x14:cfvo type="num">
                <xm:f>0.2</xm:f>
              </x14:cfvo>
              <x14:cfvo type="num">
                <xm:f>0.2</xm:f>
              </x14:cfvo>
              <x14:cfIcon iconSet="3Symbols2" iconId="2"/>
              <x14:cfIcon iconSet="3Symbols2" iconId="2"/>
              <x14:cfIcon iconSet="3Symbols2" iconId="0"/>
            </x14:iconSet>
          </x14:cfRule>
          <xm:sqref>C572</xm:sqref>
        </x14:conditionalFormatting>
        <x14:conditionalFormatting xmlns:xm="http://schemas.microsoft.com/office/excel/2006/main">
          <x14:cfRule type="iconSet" priority="9" id="{F9DAC57D-79E9-4A90-B0B4-9E60C423A8FD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D891:O891</xm:sqref>
        </x14:conditionalFormatting>
        <x14:conditionalFormatting xmlns:xm="http://schemas.microsoft.com/office/excel/2006/main">
          <x14:cfRule type="iconSet" priority="10" id="{5B7FE222-9F0A-4688-B5F7-8E148F5BCD83}">
            <x14:iconSet iconSet="3Symbols2" custom="1">
              <x14:cfvo type="percent">
                <xm:f>0</xm:f>
              </x14:cfvo>
              <x14:cfvo type="num">
                <xm:f>0.6</xm:f>
              </x14:cfvo>
              <x14:cfvo type="num">
                <xm:f>0.6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D888:O888</xm:sqref>
        </x14:conditionalFormatting>
        <x14:conditionalFormatting xmlns:xm="http://schemas.microsoft.com/office/excel/2006/main">
          <x14:cfRule type="iconSet" priority="11" id="{A626A1EC-D062-458B-8AF7-091A5CB49357}">
            <x14:iconSet iconSet="3Symbols2" custom="1">
              <x14:cfvo type="percent">
                <xm:f>0</xm:f>
              </x14:cfvo>
              <x14:cfvo type="num">
                <xm:f>1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D889:O889</xm:sqref>
        </x14:conditionalFormatting>
        <x14:conditionalFormatting xmlns:xm="http://schemas.microsoft.com/office/excel/2006/main">
          <x14:cfRule type="iconSet" priority="12" id="{71176230-6B26-43A9-9908-A7C870001238}">
            <x14:iconSet iconSet="3Symbols2" custom="1">
              <x14:cfvo type="percent">
                <xm:f>0</xm:f>
              </x14:cfvo>
              <x14:cfvo type="num">
                <xm:f>0.2</xm:f>
              </x14:cfvo>
              <x14:cfvo type="num">
                <xm:f>0.2</xm:f>
              </x14:cfvo>
              <x14:cfIcon iconSet="3Symbols2" iconId="2"/>
              <x14:cfIcon iconSet="3Symbols2" iconId="2"/>
              <x14:cfIcon iconSet="3Symbols2" iconId="0"/>
            </x14:iconSet>
          </x14:cfRule>
          <xm:sqref>D892:O892</xm:sqref>
        </x14:conditionalFormatting>
        <x14:conditionalFormatting xmlns:xm="http://schemas.microsoft.com/office/excel/2006/main">
          <x14:cfRule type="iconSet" priority="3" id="{B8A1D3DC-CA8B-484F-BABA-55CAFC0DECC3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C891</xm:sqref>
        </x14:conditionalFormatting>
        <x14:conditionalFormatting xmlns:xm="http://schemas.microsoft.com/office/excel/2006/main">
          <x14:cfRule type="iconSet" priority="4" id="{5FA786B1-C9F4-4C94-BA0B-83D0FD825246}">
            <x14:iconSet iconSet="3Symbols2" custom="1">
              <x14:cfvo type="percent">
                <xm:f>0</xm:f>
              </x14:cfvo>
              <x14:cfvo type="num">
                <xm:f>0.6</xm:f>
              </x14:cfvo>
              <x14:cfvo type="num">
                <xm:f>0.6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C888</xm:sqref>
        </x14:conditionalFormatting>
        <x14:conditionalFormatting xmlns:xm="http://schemas.microsoft.com/office/excel/2006/main">
          <x14:cfRule type="iconSet" priority="5" id="{A1395EA2-16DC-466B-94E4-98006F723E79}">
            <x14:iconSet iconSet="3Symbols2" custom="1">
              <x14:cfvo type="percent">
                <xm:f>0</xm:f>
              </x14:cfvo>
              <x14:cfvo type="num">
                <xm:f>1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C889</xm:sqref>
        </x14:conditionalFormatting>
        <x14:conditionalFormatting xmlns:xm="http://schemas.microsoft.com/office/excel/2006/main">
          <x14:cfRule type="iconSet" priority="6" id="{1A32F27A-C0DE-425E-8217-C938BE48F749}">
            <x14:iconSet iconSet="3Symbols2" custom="1">
              <x14:cfvo type="percent">
                <xm:f>0</xm:f>
              </x14:cfvo>
              <x14:cfvo type="num">
                <xm:f>0.2</xm:f>
              </x14:cfvo>
              <x14:cfvo type="num">
                <xm:f>0.2</xm:f>
              </x14:cfvo>
              <x14:cfIcon iconSet="3Symbols2" iconId="2"/>
              <x14:cfIcon iconSet="3Symbols2" iconId="2"/>
              <x14:cfIcon iconSet="3Symbols2" iconId="0"/>
            </x14:iconSet>
          </x14:cfRule>
          <xm:sqref>C892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159"/>
  <sheetViews>
    <sheetView zoomScaleNormal="100" workbookViewId="0">
      <pane xSplit="3" ySplit="3" topLeftCell="F4" activePane="bottomRight" state="frozen"/>
      <selection pane="topRight" activeCell="D1" sqref="D1"/>
      <selection pane="bottomLeft" activeCell="A3" sqref="A3"/>
      <selection pane="bottomRight" activeCell="A117" sqref="A117:XFD117"/>
    </sheetView>
  </sheetViews>
  <sheetFormatPr defaultColWidth="9.109375" defaultRowHeight="12" outlineLevelRow="1" outlineLevelCol="1" x14ac:dyDescent="0.25"/>
  <cols>
    <col min="1" max="1" width="38.88671875" style="639" customWidth="1"/>
    <col min="2" max="2" width="16.44140625" style="639" hidden="1" customWidth="1" outlineLevel="1"/>
    <col min="3" max="3" width="12.109375" style="639" hidden="1" customWidth="1" outlineLevel="1"/>
    <col min="4" max="4" width="13.109375" style="639" hidden="1" customWidth="1" outlineLevel="1" collapsed="1"/>
    <col min="5" max="5" width="10.33203125" style="639" hidden="1" customWidth="1" outlineLevel="1"/>
    <col min="6" max="6" width="9.88671875" style="639" bestFit="1" customWidth="1" collapsed="1"/>
    <col min="7" max="16" width="9.88671875" style="639" bestFit="1" customWidth="1"/>
    <col min="17" max="16384" width="9.109375" style="639"/>
  </cols>
  <sheetData>
    <row r="1" spans="1:16" ht="12.75" x14ac:dyDescent="0.2">
      <c r="A1" s="1091" t="s">
        <v>1363</v>
      </c>
    </row>
    <row r="2" spans="1:16" s="637" customFormat="1" x14ac:dyDescent="0.2">
      <c r="A2" s="585" t="s">
        <v>1110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16" x14ac:dyDescent="0.2">
      <c r="A3" s="585" t="s">
        <v>73</v>
      </c>
      <c r="B3" s="638" t="s">
        <v>68</v>
      </c>
      <c r="C3" s="586" t="s">
        <v>0</v>
      </c>
      <c r="D3" s="586" t="s">
        <v>1</v>
      </c>
      <c r="E3" s="586" t="s">
        <v>2</v>
      </c>
      <c r="F3" s="586" t="s">
        <v>3</v>
      </c>
      <c r="G3" s="586" t="s">
        <v>4</v>
      </c>
      <c r="H3" s="586" t="s">
        <v>5</v>
      </c>
      <c r="I3" s="586" t="s">
        <v>6</v>
      </c>
      <c r="J3" s="586" t="s">
        <v>7</v>
      </c>
      <c r="K3" s="586" t="s">
        <v>8</v>
      </c>
      <c r="L3" s="586" t="s">
        <v>9</v>
      </c>
      <c r="M3" s="586" t="s">
        <v>514</v>
      </c>
      <c r="N3" s="586" t="s">
        <v>515</v>
      </c>
      <c r="O3" s="586" t="s">
        <v>904</v>
      </c>
      <c r="P3" s="586" t="s">
        <v>1046</v>
      </c>
    </row>
    <row r="5" spans="1:16" x14ac:dyDescent="0.2">
      <c r="A5" s="592" t="s">
        <v>82</v>
      </c>
    </row>
    <row r="6" spans="1:16" x14ac:dyDescent="0.2">
      <c r="A6" s="640" t="s">
        <v>83</v>
      </c>
      <c r="B6" s="590"/>
      <c r="C6" s="590"/>
      <c r="D6" s="590" t="s">
        <v>516</v>
      </c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</row>
    <row r="7" spans="1:16" x14ac:dyDescent="0.2">
      <c r="A7" s="639" t="s">
        <v>11</v>
      </c>
      <c r="B7" s="594"/>
      <c r="C7" s="594"/>
      <c r="D7" s="594">
        <v>18724</v>
      </c>
      <c r="E7" s="590"/>
      <c r="F7" s="594">
        <f>'Water  Fund  Inc Exp Statement '!F11</f>
        <v>1580</v>
      </c>
      <c r="G7" s="594">
        <f>'Water  Fund  Inc Exp Statement '!G11</f>
        <v>1485</v>
      </c>
      <c r="H7" s="594">
        <f>'Water  Fund  Inc Exp Statement '!H11</f>
        <v>1498.365</v>
      </c>
      <c r="I7" s="594">
        <f>'Water  Fund  Inc Exp Statement '!I11</f>
        <v>1511.85</v>
      </c>
      <c r="J7" s="594">
        <f>'Water  Fund  Inc Exp Statement '!J11</f>
        <v>1525.4559999999999</v>
      </c>
      <c r="K7" s="594">
        <f>'Water  Fund  Inc Exp Statement '!K11</f>
        <v>1563.5923999999998</v>
      </c>
      <c r="L7" s="594">
        <f>'Water  Fund  Inc Exp Statement '!L11</f>
        <v>1602.6822099999997</v>
      </c>
      <c r="M7" s="594">
        <f>'Water  Fund  Inc Exp Statement '!M11</f>
        <v>1642.7492652499996</v>
      </c>
      <c r="N7" s="594">
        <f>'Water  Fund  Inc Exp Statement '!N11</f>
        <v>1683.8179968812494</v>
      </c>
      <c r="O7" s="594">
        <f>'Water  Fund  Inc Exp Statement '!O11</f>
        <v>1725.9134468032805</v>
      </c>
      <c r="P7" s="594">
        <f>'Water  Fund  Inc Exp Statement '!P11</f>
        <v>1769.0612829733625</v>
      </c>
    </row>
    <row r="8" spans="1:16" x14ac:dyDescent="0.2">
      <c r="A8" s="639" t="s">
        <v>12</v>
      </c>
      <c r="B8" s="594"/>
      <c r="C8" s="594"/>
      <c r="D8" s="594">
        <v>11585</v>
      </c>
      <c r="E8" s="590"/>
      <c r="F8" s="594">
        <f>'Water  Fund  Inc Exp Statement '!F12</f>
        <v>3719.15</v>
      </c>
      <c r="G8" s="594">
        <f>'Water  Fund  Inc Exp Statement '!G12</f>
        <v>3922.375</v>
      </c>
      <c r="H8" s="594">
        <f>'Water  Fund  Inc Exp Statement '!H12</f>
        <v>4115.482</v>
      </c>
      <c r="I8" s="594">
        <f>'Water  Fund  Inc Exp Statement '!I12</f>
        <v>4318.1729999999998</v>
      </c>
      <c r="J8" s="594">
        <f>'Water  Fund  Inc Exp Statement '!J12</f>
        <v>4530.9430000000002</v>
      </c>
      <c r="K8" s="594">
        <f>'Water  Fund  Inc Exp Statement '!K12</f>
        <v>4621.5618600000007</v>
      </c>
      <c r="L8" s="594">
        <f>'Water  Fund  Inc Exp Statement '!L12</f>
        <v>4713.9930972000011</v>
      </c>
      <c r="M8" s="594">
        <f>'Water  Fund  Inc Exp Statement '!M12</f>
        <v>4808.2729591440011</v>
      </c>
      <c r="N8" s="594">
        <f>'Water  Fund  Inc Exp Statement '!N12</f>
        <v>4904.4384183268812</v>
      </c>
      <c r="O8" s="594">
        <f>'Water  Fund  Inc Exp Statement '!O12</f>
        <v>5002.527186693419</v>
      </c>
      <c r="P8" s="594">
        <f>'Water  Fund  Inc Exp Statement '!P12</f>
        <v>5102.5777304272879</v>
      </c>
    </row>
    <row r="9" spans="1:16" x14ac:dyDescent="0.2">
      <c r="A9" s="639" t="s">
        <v>84</v>
      </c>
      <c r="B9" s="594"/>
      <c r="C9" s="594"/>
      <c r="D9" s="594">
        <v>2499</v>
      </c>
      <c r="E9" s="590"/>
      <c r="F9" s="594">
        <f>'Water  Fund  Inc Exp Statement '!F13</f>
        <v>868</v>
      </c>
      <c r="G9" s="594">
        <f>'Water  Fund  Inc Exp Statement '!G13</f>
        <v>819</v>
      </c>
      <c r="H9" s="594">
        <f>'Water  Fund  Inc Exp Statement '!H13</f>
        <v>739.62</v>
      </c>
      <c r="I9" s="594">
        <f>'Water  Fund  Inc Exp Statement '!I13</f>
        <v>740.55200000000002</v>
      </c>
      <c r="J9" s="594">
        <f>'Water  Fund  Inc Exp Statement '!J13</f>
        <v>740.89700000000005</v>
      </c>
      <c r="K9" s="594">
        <f>'Water  Fund  Inc Exp Statement '!K13</f>
        <v>724.10723999999993</v>
      </c>
      <c r="L9" s="594">
        <f>'Water  Fund  Inc Exp Statement '!L13</f>
        <v>750.46889224799986</v>
      </c>
      <c r="M9" s="594">
        <f>'Water  Fund  Inc Exp Statement '!M13</f>
        <v>778.23808375787985</v>
      </c>
      <c r="N9" s="594">
        <f>'Water  Fund  Inc Exp Statement '!N13</f>
        <v>808.50414508100937</v>
      </c>
      <c r="O9" s="594">
        <f>'Water  Fund  Inc Exp Statement '!O13</f>
        <v>852.9443987130843</v>
      </c>
      <c r="P9" s="594">
        <f>'Water  Fund  Inc Exp Statement '!P13</f>
        <v>899.17107631696911</v>
      </c>
    </row>
    <row r="10" spans="1:16" x14ac:dyDescent="0.2">
      <c r="A10" s="639" t="s">
        <v>85</v>
      </c>
      <c r="B10" s="594"/>
      <c r="C10" s="594"/>
      <c r="D10" s="594">
        <v>26703</v>
      </c>
      <c r="E10" s="590"/>
      <c r="F10" s="594">
        <f>'Water  Fund  Inc Exp Statement '!F15+'Water  Fund  Inc Exp Statement '!F16</f>
        <v>88.5</v>
      </c>
      <c r="G10" s="594">
        <f>'Water  Fund  Inc Exp Statement '!G15+'Water  Fund  Inc Exp Statement '!G16</f>
        <v>84.5</v>
      </c>
      <c r="H10" s="594">
        <f>'Water  Fund  Inc Exp Statement '!H15+'Water  Fund  Inc Exp Statement '!H16</f>
        <v>85.19</v>
      </c>
      <c r="I10" s="594">
        <f>'Water  Fund  Inc Exp Statement '!I15+'Water  Fund  Inc Exp Statement '!I16</f>
        <v>85.893000000000001</v>
      </c>
      <c r="J10" s="594">
        <f>'Water  Fund  Inc Exp Statement '!J15+'Water  Fund  Inc Exp Statement '!J16</f>
        <v>86.61099999999999</v>
      </c>
      <c r="K10" s="594">
        <f>'Water  Fund  Inc Exp Statement '!K15+'Water  Fund  Inc Exp Statement '!K16</f>
        <v>88.526274999999998</v>
      </c>
      <c r="L10" s="594">
        <f>'Water  Fund  Inc Exp Statement '!L15+'Water  Fund  Inc Exp Statement '!L16</f>
        <v>89.464431874999988</v>
      </c>
      <c r="M10" s="594">
        <f>'Water  Fund  Inc Exp Statement '!M15+'Water  Fund  Inc Exp Statement '!M16</f>
        <v>91.446042671874977</v>
      </c>
      <c r="N10" s="594">
        <f>'Water  Fund  Inc Exp Statement '!N15+'Water  Fund  Inc Exp Statement '!N16</f>
        <v>93.472093738671845</v>
      </c>
      <c r="O10" s="594">
        <f>'Water  Fund  Inc Exp Statement '!O15+'Water  Fund  Inc Exp Statement '!O16</f>
        <v>94.482386082138646</v>
      </c>
      <c r="P10" s="594">
        <f>'Water  Fund  Inc Exp Statement '!P15+'Water  Fund  Inc Exp Statement '!P16</f>
        <v>95.517935734192108</v>
      </c>
    </row>
    <row r="11" spans="1:16" hidden="1" outlineLevel="1" x14ac:dyDescent="0.2">
      <c r="A11" s="639" t="s">
        <v>86</v>
      </c>
      <c r="B11" s="594"/>
      <c r="C11" s="594"/>
      <c r="D11" s="594">
        <v>97</v>
      </c>
      <c r="E11" s="590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</row>
    <row r="12" spans="1:16" collapsed="1" x14ac:dyDescent="0.2">
      <c r="A12" s="639" t="s">
        <v>41</v>
      </c>
      <c r="B12" s="594"/>
      <c r="C12" s="594"/>
      <c r="D12" s="594">
        <v>5309</v>
      </c>
      <c r="E12" s="590"/>
      <c r="F12" s="594">
        <f>'Water  Fund  Inc Exp Statement '!F14+'Water  Fund  Inc Exp Statement '!F17</f>
        <v>0</v>
      </c>
      <c r="G12" s="594">
        <f>'Water  Fund  Inc Exp Statement '!G14+'Water  Fund  Inc Exp Statement '!G17</f>
        <v>0</v>
      </c>
      <c r="H12" s="594">
        <f>'Water  Fund  Inc Exp Statement '!H14+'Water  Fund  Inc Exp Statement '!H17</f>
        <v>0</v>
      </c>
      <c r="I12" s="594">
        <f>'Water  Fund  Inc Exp Statement '!I14+'Water  Fund  Inc Exp Statement '!I17</f>
        <v>0</v>
      </c>
      <c r="J12" s="594">
        <f>'Water  Fund  Inc Exp Statement '!J14+'Water  Fund  Inc Exp Statement '!J17</f>
        <v>0</v>
      </c>
      <c r="K12" s="594">
        <f>'Water  Fund  Inc Exp Statement '!K14+'Water  Fund  Inc Exp Statement '!K17</f>
        <v>0</v>
      </c>
      <c r="L12" s="594">
        <f>'Water  Fund  Inc Exp Statement '!L14+'Water  Fund  Inc Exp Statement '!L17</f>
        <v>0</v>
      </c>
      <c r="M12" s="594">
        <f>'Water  Fund  Inc Exp Statement '!M14+'Water  Fund  Inc Exp Statement '!M17</f>
        <v>0</v>
      </c>
      <c r="N12" s="594">
        <f>'Water  Fund  Inc Exp Statement '!N14+'Water  Fund  Inc Exp Statement '!N17</f>
        <v>0</v>
      </c>
      <c r="O12" s="594">
        <f>'Water  Fund  Inc Exp Statement '!O14+'Water  Fund  Inc Exp Statement '!O17</f>
        <v>0</v>
      </c>
      <c r="P12" s="594">
        <f>'Water  Fund  Inc Exp Statement '!P14+'Water  Fund  Inc Exp Statement '!P17</f>
        <v>0</v>
      </c>
    </row>
    <row r="13" spans="1:16" ht="6" customHeight="1" x14ac:dyDescent="0.2">
      <c r="B13" s="594"/>
      <c r="C13" s="594"/>
      <c r="D13" s="594"/>
      <c r="E13" s="590"/>
      <c r="F13" s="594"/>
      <c r="G13" s="594"/>
      <c r="H13" s="594"/>
      <c r="I13" s="594"/>
      <c r="J13" s="594"/>
      <c r="K13" s="594"/>
      <c r="L13" s="594"/>
      <c r="M13" s="594"/>
      <c r="N13" s="594"/>
      <c r="O13" s="594"/>
      <c r="P13" s="594"/>
    </row>
    <row r="14" spans="1:16" x14ac:dyDescent="0.2">
      <c r="A14" s="640" t="s">
        <v>87</v>
      </c>
      <c r="B14" s="594"/>
      <c r="C14" s="594"/>
      <c r="D14" s="594"/>
      <c r="E14" s="590"/>
      <c r="F14" s="594"/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">
      <c r="A15" s="639" t="s">
        <v>25</v>
      </c>
      <c r="B15" s="594"/>
      <c r="C15" s="594"/>
      <c r="D15" s="594">
        <v>-12900</v>
      </c>
      <c r="E15" s="590"/>
      <c r="F15" s="594">
        <f>-'Water  Fund  Inc Exp Statement '!F23</f>
        <v>-977.89</v>
      </c>
      <c r="G15" s="594">
        <f>-'Water  Fund  Inc Exp Statement '!G23</f>
        <v>-1129.55</v>
      </c>
      <c r="H15" s="594">
        <f>-'Water  Fund  Inc Exp Statement '!H23</f>
        <v>-1172.491</v>
      </c>
      <c r="I15" s="594">
        <f>-'Water  Fund  Inc Exp Statement '!I23</f>
        <v>-1217.242</v>
      </c>
      <c r="J15" s="594">
        <f>-'Water  Fund  Inc Exp Statement '!J23</f>
        <v>-1263.922</v>
      </c>
      <c r="K15" s="594">
        <f>-'Water  Fund  Inc Exp Statement '!K23</f>
        <v>-1301.8396600000001</v>
      </c>
      <c r="L15" s="594">
        <f>-'Water  Fund  Inc Exp Statement '!L23</f>
        <v>-1340.8948498000002</v>
      </c>
      <c r="M15" s="594">
        <f>-'Water  Fund  Inc Exp Statement '!M23</f>
        <v>-1381.1216952940003</v>
      </c>
      <c r="N15" s="594">
        <f>-'Water  Fund  Inc Exp Statement '!N23</f>
        <v>-1422.5553461528204</v>
      </c>
      <c r="O15" s="594">
        <f>-'Water  Fund  Inc Exp Statement '!O23</f>
        <v>-1465.2320065374051</v>
      </c>
      <c r="P15" s="594">
        <f>-'Water  Fund  Inc Exp Statement '!P23</f>
        <v>-1509.1889667335274</v>
      </c>
    </row>
    <row r="16" spans="1:16" x14ac:dyDescent="0.2">
      <c r="A16" s="639" t="s">
        <v>27</v>
      </c>
      <c r="B16" s="594"/>
      <c r="C16" s="594"/>
      <c r="D16" s="594">
        <v>-9702</v>
      </c>
      <c r="E16" s="590"/>
      <c r="F16" s="594">
        <f>-'Water  Fund  Inc Exp Statement '!F25-'Water  Fund  Inc Exp Statement '!F26</f>
        <v>-3013.2</v>
      </c>
      <c r="G16" s="594">
        <f>-'Water  Fund  Inc Exp Statement '!G25-'Water  Fund  Inc Exp Statement '!G26</f>
        <v>-2844.3</v>
      </c>
      <c r="H16" s="594">
        <f>-'Water  Fund  Inc Exp Statement '!H25-'Water  Fund  Inc Exp Statement '!H26</f>
        <v>-2914.2190000000001</v>
      </c>
      <c r="I16" s="594">
        <f>-'Water  Fund  Inc Exp Statement '!I25-'Water  Fund  Inc Exp Statement '!I26</f>
        <v>-2986.4229999999998</v>
      </c>
      <c r="J16" s="594">
        <f>-'Water  Fund  Inc Exp Statement '!J25-'Water  Fund  Inc Exp Statement '!J26</f>
        <v>-3061.0330000000004</v>
      </c>
      <c r="K16" s="594">
        <f>-'Water  Fund  Inc Exp Statement '!K25-'Water  Fund  Inc Exp Statement '!K26</f>
        <v>-3122.2536600000003</v>
      </c>
      <c r="L16" s="594">
        <f>-'Water  Fund  Inc Exp Statement '!L25-'Water  Fund  Inc Exp Statement '!L26</f>
        <v>-3184.6987332000003</v>
      </c>
      <c r="M16" s="594">
        <f>-'Water  Fund  Inc Exp Statement '!M25-'Water  Fund  Inc Exp Statement '!M26</f>
        <v>-3248.3927078640004</v>
      </c>
      <c r="N16" s="594">
        <f>-'Water  Fund  Inc Exp Statement '!N25-'Water  Fund  Inc Exp Statement '!N26</f>
        <v>-3313.3605620212802</v>
      </c>
      <c r="O16" s="594">
        <f>-'Water  Fund  Inc Exp Statement '!O25-'Water  Fund  Inc Exp Statement '!O26</f>
        <v>-3379.6277732617064</v>
      </c>
      <c r="P16" s="594">
        <f>-'Water  Fund  Inc Exp Statement '!P25-'Water  Fund  Inc Exp Statement '!P26</f>
        <v>-3447.2203287269404</v>
      </c>
    </row>
    <row r="17" spans="1:18" x14ac:dyDescent="0.2">
      <c r="A17" s="639" t="s">
        <v>926</v>
      </c>
      <c r="B17" s="594"/>
      <c r="C17" s="594"/>
      <c r="D17" s="594">
        <v>-639</v>
      </c>
      <c r="E17" s="590"/>
      <c r="F17" s="594">
        <f>-'Water  Fund  Inc Exp Statement '!F24</f>
        <v>-161.286</v>
      </c>
      <c r="G17" s="594">
        <f>-'Water  Fund  Inc Exp Statement '!G24</f>
        <v>-144.54</v>
      </c>
      <c r="H17" s="594">
        <f>-'Water  Fund  Inc Exp Statement '!H24</f>
        <v>-120.66</v>
      </c>
      <c r="I17" s="594">
        <f>-'Water  Fund  Inc Exp Statement '!I24</f>
        <v>-102.289</v>
      </c>
      <c r="J17" s="594">
        <f>-'Water  Fund  Inc Exp Statement '!J24</f>
        <v>-81.013999999999996</v>
      </c>
      <c r="K17" s="594">
        <f>-'Water  Fund  Inc Exp Statement '!K24</f>
        <v>-67.4933288</v>
      </c>
      <c r="L17" s="594">
        <f>-'Water  Fund  Inc Exp Statement '!L24</f>
        <v>-53.702244175999994</v>
      </c>
      <c r="M17" s="594">
        <f>-'Water  Fund  Inc Exp Statement '!M24</f>
        <v>-40.755337859519997</v>
      </c>
      <c r="N17" s="594">
        <f>-'Water  Fund  Inc Exp Statement '!N24</f>
        <v>-40.755337859519997</v>
      </c>
      <c r="O17" s="594">
        <f>-'Water  Fund  Inc Exp Statement '!O24</f>
        <v>-40.755337859519997</v>
      </c>
      <c r="P17" s="594">
        <f>-'Water  Fund  Inc Exp Statement '!P24</f>
        <v>-40.755337859519997</v>
      </c>
    </row>
    <row r="18" spans="1:18" hidden="1" outlineLevel="1" x14ac:dyDescent="0.2">
      <c r="A18" s="639" t="s">
        <v>88</v>
      </c>
      <c r="B18" s="594"/>
      <c r="C18" s="594"/>
      <c r="D18" s="594">
        <v>-79</v>
      </c>
      <c r="E18" s="590"/>
      <c r="F18" s="594">
        <f>0</f>
        <v>0</v>
      </c>
      <c r="G18" s="594">
        <f>0</f>
        <v>0</v>
      </c>
      <c r="H18" s="594">
        <f>0</f>
        <v>0</v>
      </c>
      <c r="I18" s="594">
        <f>0</f>
        <v>0</v>
      </c>
      <c r="J18" s="594">
        <f>0</f>
        <v>0</v>
      </c>
      <c r="K18" s="594">
        <f>0</f>
        <v>0</v>
      </c>
      <c r="L18" s="594">
        <f>0</f>
        <v>0</v>
      </c>
      <c r="M18" s="594">
        <f>0</f>
        <v>0</v>
      </c>
      <c r="N18" s="594">
        <f>0</f>
        <v>0</v>
      </c>
      <c r="O18" s="594">
        <f>0</f>
        <v>0</v>
      </c>
      <c r="P18" s="594">
        <f>0</f>
        <v>0</v>
      </c>
    </row>
    <row r="19" spans="1:18" collapsed="1" x14ac:dyDescent="0.2">
      <c r="A19" s="641" t="s">
        <v>41</v>
      </c>
      <c r="B19" s="591"/>
      <c r="C19" s="591"/>
      <c r="D19" s="591">
        <v>-7816</v>
      </c>
      <c r="E19" s="590"/>
      <c r="F19" s="591">
        <f>-'Water  Fund  Inc Exp Statement '!F30</f>
        <v>-348</v>
      </c>
      <c r="G19" s="591">
        <f>-'Water  Fund  Inc Exp Statement '!G30</f>
        <v>-302.5</v>
      </c>
      <c r="H19" s="591">
        <f>-'Water  Fund  Inc Exp Statement '!H30</f>
        <v>-315.81</v>
      </c>
      <c r="I19" s="591">
        <f>-'Water  Fund  Inc Exp Statement '!I30</f>
        <v>-329.81099999999998</v>
      </c>
      <c r="J19" s="591">
        <f>-'Water  Fund  Inc Exp Statement '!J30</f>
        <v>-344.55200000000002</v>
      </c>
      <c r="K19" s="591">
        <f>-'Water  Fund  Inc Exp Statement '!K30</f>
        <v>-351.44304000000005</v>
      </c>
      <c r="L19" s="591">
        <f>-'Water  Fund  Inc Exp Statement '!L30</f>
        <v>-358.47190080000007</v>
      </c>
      <c r="M19" s="591">
        <f>-'Water  Fund  Inc Exp Statement '!M30</f>
        <v>-365.64133881600009</v>
      </c>
      <c r="N19" s="591">
        <f>-'Water  Fund  Inc Exp Statement '!N30</f>
        <v>-372.95416559232007</v>
      </c>
      <c r="O19" s="591">
        <f>-'Water  Fund  Inc Exp Statement '!O30</f>
        <v>-380.41324890416649</v>
      </c>
      <c r="P19" s="591">
        <f>-'Water  Fund  Inc Exp Statement '!P30</f>
        <v>-388.02151388224985</v>
      </c>
    </row>
    <row r="20" spans="1:18" s="644" customFormat="1" x14ac:dyDescent="0.2">
      <c r="A20" s="642" t="s">
        <v>89</v>
      </c>
      <c r="B20" s="643">
        <f>SUM(B7:B19)</f>
        <v>0</v>
      </c>
      <c r="C20" s="643">
        <f t="shared" ref="C20:P20" si="0">SUM(C7:C19)</f>
        <v>0</v>
      </c>
      <c r="D20" s="643">
        <f t="shared" si="0"/>
        <v>33781</v>
      </c>
      <c r="E20" s="643">
        <f t="shared" si="0"/>
        <v>0</v>
      </c>
      <c r="F20" s="643">
        <f t="shared" si="0"/>
        <v>1755.2739999999994</v>
      </c>
      <c r="G20" s="643">
        <f t="shared" si="0"/>
        <v>1889.9849999999997</v>
      </c>
      <c r="H20" s="643">
        <f t="shared" si="0"/>
        <v>1915.4769999999994</v>
      </c>
      <c r="I20" s="643">
        <f t="shared" si="0"/>
        <v>2020.7029999999988</v>
      </c>
      <c r="J20" s="643">
        <f t="shared" si="0"/>
        <v>2133.386</v>
      </c>
      <c r="K20" s="643">
        <f t="shared" si="0"/>
        <v>2154.7580862000004</v>
      </c>
      <c r="L20" s="643">
        <f t="shared" si="0"/>
        <v>2218.8409033470002</v>
      </c>
      <c r="M20" s="643">
        <f t="shared" si="0"/>
        <v>2284.7952709902356</v>
      </c>
      <c r="N20" s="643">
        <f t="shared" si="0"/>
        <v>2340.6072424018712</v>
      </c>
      <c r="O20" s="643">
        <f t="shared" si="0"/>
        <v>2409.8390517291255</v>
      </c>
      <c r="P20" s="643">
        <f t="shared" si="0"/>
        <v>2481.1418782495748</v>
      </c>
    </row>
    <row r="21" spans="1:18" x14ac:dyDescent="0.2">
      <c r="B21" s="590"/>
      <c r="C21" s="590"/>
      <c r="D21" s="590"/>
      <c r="E21" s="590"/>
      <c r="F21" s="590"/>
      <c r="G21" s="590"/>
      <c r="H21" s="590"/>
      <c r="I21" s="590"/>
      <c r="J21" s="590"/>
      <c r="K21" s="590"/>
      <c r="L21" s="590"/>
      <c r="M21" s="590"/>
      <c r="N21" s="590"/>
      <c r="O21" s="590"/>
      <c r="P21" s="590"/>
    </row>
    <row r="22" spans="1:18" x14ac:dyDescent="0.2">
      <c r="A22" s="592" t="s">
        <v>90</v>
      </c>
      <c r="B22" s="590"/>
      <c r="C22" s="590"/>
      <c r="D22" s="590"/>
      <c r="E22" s="590"/>
      <c r="F22" s="590"/>
      <c r="G22" s="590"/>
      <c r="H22" s="590"/>
      <c r="I22" s="590"/>
      <c r="J22" s="590"/>
      <c r="K22" s="590"/>
      <c r="L22" s="590"/>
      <c r="M22" s="590"/>
      <c r="N22" s="590"/>
      <c r="O22" s="590"/>
      <c r="P22" s="590"/>
    </row>
    <row r="23" spans="1:18" x14ac:dyDescent="0.2">
      <c r="A23" s="640" t="s">
        <v>83</v>
      </c>
      <c r="B23" s="590"/>
      <c r="C23" s="590"/>
      <c r="D23" s="590"/>
      <c r="E23" s="590"/>
      <c r="F23" s="590"/>
      <c r="G23" s="590"/>
      <c r="H23" s="590"/>
      <c r="I23" s="590"/>
      <c r="J23" s="590"/>
      <c r="K23" s="590"/>
      <c r="L23" s="590"/>
      <c r="M23" s="590"/>
      <c r="N23" s="590"/>
      <c r="O23" s="590"/>
      <c r="P23" s="590"/>
    </row>
    <row r="24" spans="1:18" x14ac:dyDescent="0.2">
      <c r="A24" s="639" t="s">
        <v>431</v>
      </c>
      <c r="B24" s="594"/>
      <c r="C24" s="594"/>
      <c r="D24" s="594">
        <v>7491</v>
      </c>
      <c r="E24" s="594">
        <f>'Water  Fund  Inc Exp Statement '!E63</f>
        <v>0</v>
      </c>
      <c r="F24" s="594">
        <f>'Water  Fund  Inc Exp Statement '!F63</f>
        <v>1856.777</v>
      </c>
      <c r="G24" s="594">
        <f>'Water  Fund  Inc Exp Statement '!G63</f>
        <v>952.26199999999994</v>
      </c>
      <c r="H24" s="594">
        <f>'Water  Fund  Inc Exp Statement '!H63</f>
        <v>15.14</v>
      </c>
      <c r="I24" s="594">
        <f>'Water  Fund  Inc Exp Statement '!I63</f>
        <v>0</v>
      </c>
      <c r="J24" s="594">
        <f>'Water  Fund  Inc Exp Statement '!J63</f>
        <v>0</v>
      </c>
      <c r="K24" s="1540">
        <f>'Water  Fund  Inc Exp Statement '!K63</f>
        <v>0</v>
      </c>
      <c r="L24" s="1540">
        <f>'Water  Fund  Inc Exp Statement '!L63</f>
        <v>0</v>
      </c>
      <c r="M24" s="1540">
        <f>'Water  Fund  Inc Exp Statement '!M63</f>
        <v>0</v>
      </c>
      <c r="N24" s="1540">
        <f>'Water  Fund  Inc Exp Statement '!N63</f>
        <v>0</v>
      </c>
      <c r="O24" s="1540">
        <f>'Water  Fund  Inc Exp Statement '!O63</f>
        <v>0</v>
      </c>
      <c r="P24" s="1540">
        <f>'Water  Fund  Inc Exp Statement '!P63</f>
        <v>0</v>
      </c>
      <c r="Q24" s="933"/>
      <c r="R24" s="933" t="s">
        <v>1036</v>
      </c>
    </row>
    <row r="25" spans="1:18" x14ac:dyDescent="0.2">
      <c r="A25" s="639" t="s">
        <v>1052</v>
      </c>
      <c r="B25" s="594"/>
      <c r="C25" s="594"/>
      <c r="D25" s="594"/>
      <c r="E25" s="594"/>
      <c r="F25" s="594"/>
      <c r="G25" s="594"/>
      <c r="H25" s="594"/>
      <c r="I25" s="594"/>
      <c r="J25" s="594"/>
      <c r="K25" s="594"/>
      <c r="L25" s="594"/>
      <c r="M25" s="594"/>
      <c r="N25" s="594"/>
      <c r="O25" s="594"/>
      <c r="P25" s="594"/>
    </row>
    <row r="26" spans="1:18" x14ac:dyDescent="0.2">
      <c r="A26" s="639" t="s">
        <v>91</v>
      </c>
      <c r="B26" s="594"/>
      <c r="C26" s="594"/>
      <c r="D26" s="594"/>
      <c r="E26" s="594"/>
      <c r="F26" s="594"/>
      <c r="G26" s="594"/>
      <c r="H26" s="594"/>
      <c r="I26" s="594"/>
      <c r="J26" s="594"/>
      <c r="K26" s="594"/>
      <c r="L26" s="594"/>
      <c r="M26" s="594"/>
      <c r="N26" s="594"/>
      <c r="O26" s="594"/>
      <c r="P26" s="594"/>
    </row>
    <row r="27" spans="1:18" x14ac:dyDescent="0.2">
      <c r="A27" s="639" t="s">
        <v>92</v>
      </c>
      <c r="B27" s="594"/>
      <c r="C27" s="594"/>
      <c r="D27" s="594">
        <v>167</v>
      </c>
      <c r="E27" s="594">
        <f>'Water  Fund  Inc Exp Statement '!E65</f>
        <v>0</v>
      </c>
      <c r="F27" s="594">
        <f>'Water  Fund  Inc Exp Statement '!F65</f>
        <v>0</v>
      </c>
      <c r="G27" s="594">
        <f>'Water  Fund  Inc Exp Statement '!G65</f>
        <v>0</v>
      </c>
      <c r="H27" s="594">
        <f>'Water  Fund  Inc Exp Statement '!H65</f>
        <v>0</v>
      </c>
      <c r="I27" s="594">
        <f>'Water  Fund  Inc Exp Statement '!I65</f>
        <v>0</v>
      </c>
      <c r="J27" s="594">
        <f>'Water  Fund  Inc Exp Statement '!J65</f>
        <v>0</v>
      </c>
      <c r="K27" s="594">
        <f>'Water  Fund  Inc Exp Statement '!K65</f>
        <v>0</v>
      </c>
      <c r="L27" s="594">
        <f>'Water  Fund  Inc Exp Statement '!L65</f>
        <v>0</v>
      </c>
      <c r="M27" s="594">
        <f>'Water  Fund  Inc Exp Statement '!M65</f>
        <v>0</v>
      </c>
      <c r="N27" s="594">
        <f>'Water  Fund  Inc Exp Statement '!N65</f>
        <v>0</v>
      </c>
      <c r="O27" s="594">
        <f>'Water  Fund  Inc Exp Statement '!O65</f>
        <v>0</v>
      </c>
      <c r="P27" s="594">
        <f>'Water  Fund  Inc Exp Statement '!P65</f>
        <v>0</v>
      </c>
    </row>
    <row r="28" spans="1:18" ht="5.25" customHeight="1" x14ac:dyDescent="0.2"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594"/>
    </row>
    <row r="29" spans="1:18" x14ac:dyDescent="0.2">
      <c r="A29" s="640" t="s">
        <v>87</v>
      </c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P29" s="594"/>
    </row>
    <row r="30" spans="1:18" x14ac:dyDescent="0.2">
      <c r="A30" s="639" t="s">
        <v>93</v>
      </c>
      <c r="B30" s="594"/>
      <c r="C30" s="594"/>
      <c r="D30" s="594">
        <v>-10303</v>
      </c>
      <c r="E30" s="594">
        <f>-'Water  Fund  Inc Exp Statement '!E55</f>
        <v>0</v>
      </c>
      <c r="F30" s="594">
        <f>-'Water  Fund  Inc Exp Statement '!F55</f>
        <v>-50</v>
      </c>
      <c r="G30" s="594">
        <f>-'Water  Fund  Inc Exp Statement '!G55</f>
        <v>-50</v>
      </c>
      <c r="H30" s="594">
        <f>-'Water  Fund  Inc Exp Statement '!H55</f>
        <v>-50</v>
      </c>
      <c r="I30" s="594">
        <f>-'Water  Fund  Inc Exp Statement '!I55</f>
        <v>-290.86</v>
      </c>
      <c r="J30" s="594">
        <f>-'Water  Fund  Inc Exp Statement '!J55</f>
        <v>-371.15</v>
      </c>
      <c r="K30" s="594">
        <f>-'Water  Fund  Inc Exp Statement '!K55</f>
        <v>-378.57299999999998</v>
      </c>
      <c r="L30" s="594">
        <f>-'Water  Fund  Inc Exp Statement '!L55</f>
        <v>-386.14445999999998</v>
      </c>
      <c r="M30" s="594">
        <f>-'Water  Fund  Inc Exp Statement '!M55</f>
        <v>-393.86734919999998</v>
      </c>
      <c r="N30" s="594">
        <f>-'Water  Fund  Inc Exp Statement '!N55</f>
        <v>-401.74469618399996</v>
      </c>
      <c r="O30" s="594">
        <f>-'Water  Fund  Inc Exp Statement '!O55</f>
        <v>-409.77959010767995</v>
      </c>
      <c r="P30" s="594">
        <f>-'Water  Fund  Inc Exp Statement '!P55</f>
        <v>-417.97518190983357</v>
      </c>
      <c r="R30" s="639" t="s">
        <v>1036</v>
      </c>
    </row>
    <row r="31" spans="1:18" x14ac:dyDescent="0.2">
      <c r="A31" s="639" t="s">
        <v>1053</v>
      </c>
      <c r="B31" s="594"/>
      <c r="C31" s="594"/>
      <c r="D31" s="594">
        <v>-2531</v>
      </c>
      <c r="E31" s="594">
        <f>-'Water  Fund  Inc Exp Statement '!E52</f>
        <v>0</v>
      </c>
      <c r="F31" s="594">
        <f>-'Water  Fund  Inc Exp Statement '!F52</f>
        <v>0</v>
      </c>
      <c r="G31" s="594">
        <f>-'Water  Fund  Inc Exp Statement '!G52</f>
        <v>0</v>
      </c>
      <c r="H31" s="594">
        <f>-'Water  Fund  Inc Exp Statement '!H52</f>
        <v>0</v>
      </c>
      <c r="I31" s="594">
        <f>-'Water  Fund  Inc Exp Statement '!I52</f>
        <v>0</v>
      </c>
      <c r="J31" s="594">
        <f>-'Water  Fund  Inc Exp Statement '!J52</f>
        <v>0</v>
      </c>
      <c r="K31" s="594">
        <f>-'Water  Fund  Inc Exp Statement '!K52</f>
        <v>0</v>
      </c>
      <c r="L31" s="594">
        <f>-'Water  Fund  Inc Exp Statement '!L52</f>
        <v>0</v>
      </c>
      <c r="M31" s="594">
        <f>-'Water  Fund  Inc Exp Statement '!M52</f>
        <v>0</v>
      </c>
      <c r="N31" s="594">
        <f>-'Water  Fund  Inc Exp Statement '!N52</f>
        <v>0</v>
      </c>
      <c r="O31" s="594">
        <f>-'Water  Fund  Inc Exp Statement '!O52</f>
        <v>0</v>
      </c>
      <c r="P31" s="594">
        <f>-'Water  Fund  Inc Exp Statement '!P52</f>
        <v>0</v>
      </c>
    </row>
    <row r="32" spans="1:18" x14ac:dyDescent="0.2">
      <c r="A32" s="639" t="s">
        <v>94</v>
      </c>
      <c r="B32" s="594"/>
      <c r="C32" s="594"/>
      <c r="D32" s="594">
        <v>-26369</v>
      </c>
      <c r="E32" s="594">
        <f>-SUM('Water  Fund  Inc Exp Statement '!E51:E53)+'Water  Fund  Inc Exp Statement '!E52</f>
        <v>0</v>
      </c>
      <c r="F32" s="594">
        <f>-SUM('Water  Fund  Inc Exp Statement '!F51:F53)+'Water  Fund  Inc Exp Statement '!F52</f>
        <v>-3305</v>
      </c>
      <c r="G32" s="594">
        <f>-SUM('Water  Fund  Inc Exp Statement '!G51:G53)+'Water  Fund  Inc Exp Statement '!G52</f>
        <v>-2255</v>
      </c>
      <c r="H32" s="594">
        <f>-SUM('Water  Fund  Inc Exp Statement '!H51:H53)+'Water  Fund  Inc Exp Statement '!H52</f>
        <v>-1315</v>
      </c>
      <c r="I32" s="594">
        <f>-SUM('Water  Fund  Inc Exp Statement '!I51:I53)+'Water  Fund  Inc Exp Statement '!I52</f>
        <v>-1135</v>
      </c>
      <c r="J32" s="594">
        <f>-SUM('Water  Fund  Inc Exp Statement '!J51:J53)+'Water  Fund  Inc Exp Statement '!J52</f>
        <v>-1135</v>
      </c>
      <c r="K32" s="594">
        <f>-SUM('Water  Fund  Inc Exp Statement '!K51:K53)+'Water  Fund  Inc Exp Statement '!K52</f>
        <v>-1157.7</v>
      </c>
      <c r="L32" s="594">
        <f>-SUM('Water  Fund  Inc Exp Statement '!L51:L53)+'Water  Fund  Inc Exp Statement '!L52</f>
        <v>-1180.854</v>
      </c>
      <c r="M32" s="594">
        <f>-SUM('Water  Fund  Inc Exp Statement '!M51:M53)+'Water  Fund  Inc Exp Statement '!M52</f>
        <v>-1204.47108</v>
      </c>
      <c r="N32" s="594">
        <f>-SUM('Water  Fund  Inc Exp Statement '!N51:N53)+'Water  Fund  Inc Exp Statement '!N52</f>
        <v>-1228.5605016</v>
      </c>
      <c r="O32" s="594">
        <f>-SUM('Water  Fund  Inc Exp Statement '!O51:O53)+'Water  Fund  Inc Exp Statement '!O52</f>
        <v>-1253.1317116319999</v>
      </c>
      <c r="P32" s="594">
        <f>-SUM('Water  Fund  Inc Exp Statement '!P51:P53)+'Water  Fund  Inc Exp Statement '!P52</f>
        <v>-1278.1943458646399</v>
      </c>
    </row>
    <row r="33" spans="1:16" x14ac:dyDescent="0.2">
      <c r="A33" s="641" t="s">
        <v>95</v>
      </c>
      <c r="B33" s="591"/>
      <c r="C33" s="591"/>
      <c r="D33" s="591">
        <v>-26</v>
      </c>
      <c r="E33" s="591">
        <f>0</f>
        <v>0</v>
      </c>
      <c r="F33" s="591">
        <f>0</f>
        <v>0</v>
      </c>
      <c r="G33" s="591">
        <f>0</f>
        <v>0</v>
      </c>
      <c r="H33" s="591">
        <f>0</f>
        <v>0</v>
      </c>
      <c r="I33" s="591">
        <f>0</f>
        <v>0</v>
      </c>
      <c r="J33" s="591">
        <f>0</f>
        <v>0</v>
      </c>
      <c r="K33" s="591">
        <f>0</f>
        <v>0</v>
      </c>
      <c r="L33" s="591">
        <f>0</f>
        <v>0</v>
      </c>
      <c r="M33" s="591">
        <f>0</f>
        <v>0</v>
      </c>
      <c r="N33" s="591">
        <f>0</f>
        <v>0</v>
      </c>
      <c r="O33" s="591">
        <f>0</f>
        <v>0</v>
      </c>
      <c r="P33" s="591">
        <f>0</f>
        <v>0</v>
      </c>
    </row>
    <row r="34" spans="1:16" s="644" customFormat="1" x14ac:dyDescent="0.2">
      <c r="A34" s="642" t="s">
        <v>110</v>
      </c>
      <c r="B34" s="593">
        <f>SUM(B24:B33)</f>
        <v>0</v>
      </c>
      <c r="C34" s="593">
        <f t="shared" ref="C34:P34" si="1">SUM(C24:C33)</f>
        <v>0</v>
      </c>
      <c r="D34" s="593">
        <f t="shared" si="1"/>
        <v>-31571</v>
      </c>
      <c r="E34" s="593">
        <f t="shared" si="1"/>
        <v>0</v>
      </c>
      <c r="F34" s="593">
        <f t="shared" si="1"/>
        <v>-1498.223</v>
      </c>
      <c r="G34" s="593">
        <f t="shared" si="1"/>
        <v>-1352.7380000000001</v>
      </c>
      <c r="H34" s="593">
        <f t="shared" si="1"/>
        <v>-1349.86</v>
      </c>
      <c r="I34" s="593">
        <f t="shared" si="1"/>
        <v>-1425.8600000000001</v>
      </c>
      <c r="J34" s="593">
        <f t="shared" si="1"/>
        <v>-1506.15</v>
      </c>
      <c r="K34" s="593">
        <f t="shared" si="1"/>
        <v>-1536.2730000000001</v>
      </c>
      <c r="L34" s="593">
        <f t="shared" si="1"/>
        <v>-1566.99846</v>
      </c>
      <c r="M34" s="593">
        <f t="shared" si="1"/>
        <v>-1598.3384292000001</v>
      </c>
      <c r="N34" s="593">
        <f t="shared" si="1"/>
        <v>-1630.305197784</v>
      </c>
      <c r="O34" s="593">
        <f t="shared" si="1"/>
        <v>-1662.9113017396799</v>
      </c>
      <c r="P34" s="593">
        <f t="shared" si="1"/>
        <v>-1696.1695277744734</v>
      </c>
    </row>
    <row r="35" spans="1:16" ht="9" customHeight="1" x14ac:dyDescent="0.2">
      <c r="B35" s="594"/>
      <c r="C35" s="594"/>
      <c r="D35" s="594"/>
      <c r="E35" s="594"/>
      <c r="F35" s="594"/>
      <c r="G35" s="594"/>
      <c r="H35" s="594"/>
      <c r="I35" s="594"/>
      <c r="J35" s="594"/>
      <c r="K35" s="594"/>
      <c r="L35" s="594"/>
      <c r="M35" s="594"/>
      <c r="N35" s="594"/>
      <c r="O35" s="594"/>
      <c r="P35" s="594"/>
    </row>
    <row r="36" spans="1:16" x14ac:dyDescent="0.2">
      <c r="A36" s="592" t="s">
        <v>1054</v>
      </c>
      <c r="B36" s="590"/>
      <c r="C36" s="590"/>
      <c r="D36" s="590"/>
      <c r="E36" s="590"/>
      <c r="F36" s="590"/>
      <c r="G36" s="590"/>
      <c r="H36" s="590"/>
      <c r="I36" s="590"/>
      <c r="J36" s="590"/>
      <c r="K36" s="590"/>
      <c r="L36" s="590"/>
      <c r="M36" s="590"/>
      <c r="N36" s="590"/>
      <c r="O36" s="590"/>
      <c r="P36" s="590"/>
    </row>
    <row r="37" spans="1:16" x14ac:dyDescent="0.2">
      <c r="A37" s="640" t="s">
        <v>83</v>
      </c>
      <c r="B37" s="590"/>
      <c r="C37" s="590"/>
      <c r="D37" s="590"/>
      <c r="E37" s="590"/>
      <c r="F37" s="590"/>
      <c r="G37" s="590"/>
      <c r="H37" s="590"/>
      <c r="I37" s="590"/>
      <c r="J37" s="590"/>
      <c r="K37" s="590"/>
      <c r="L37" s="590"/>
      <c r="M37" s="590"/>
      <c r="N37" s="590"/>
      <c r="O37" s="590"/>
      <c r="P37" s="590"/>
    </row>
    <row r="38" spans="1:16" x14ac:dyDescent="0.2">
      <c r="A38" s="639" t="s">
        <v>1055</v>
      </c>
      <c r="B38" s="594"/>
      <c r="C38" s="594"/>
      <c r="D38" s="594">
        <v>5350</v>
      </c>
      <c r="E38" s="594">
        <f>'Water  Fund  Inc Exp Statement '!E64</f>
        <v>0</v>
      </c>
      <c r="F38" s="594">
        <f>'Water  Fund  Inc Exp Statement '!F64</f>
        <v>0</v>
      </c>
      <c r="G38" s="594">
        <f>'Water  Fund  Inc Exp Statement '!G64</f>
        <v>0</v>
      </c>
      <c r="H38" s="594">
        <f>'Water  Fund  Inc Exp Statement '!H64</f>
        <v>0</v>
      </c>
      <c r="I38" s="594">
        <f>'Water  Fund  Inc Exp Statement '!I64</f>
        <v>0</v>
      </c>
      <c r="J38" s="594">
        <f>'Water  Fund  Inc Exp Statement '!J64</f>
        <v>0</v>
      </c>
      <c r="K38" s="594">
        <f>'Water  Fund  Inc Exp Statement '!K64</f>
        <v>0</v>
      </c>
      <c r="L38" s="594">
        <f>'Water  Fund  Inc Exp Statement '!L64</f>
        <v>0</v>
      </c>
      <c r="M38" s="594">
        <f>'Water  Fund  Inc Exp Statement '!M64</f>
        <v>0</v>
      </c>
      <c r="N38" s="594">
        <f>'Water  Fund  Inc Exp Statement '!N64</f>
        <v>0</v>
      </c>
      <c r="O38" s="594">
        <f>'Water  Fund  Inc Exp Statement '!O64</f>
        <v>0</v>
      </c>
      <c r="P38" s="594">
        <f>'Water  Fund  Inc Exp Statement '!P64</f>
        <v>0</v>
      </c>
    </row>
    <row r="39" spans="1:16" ht="5.25" customHeight="1" x14ac:dyDescent="0.2">
      <c r="B39" s="594"/>
      <c r="C39" s="594"/>
      <c r="D39" s="594"/>
      <c r="E39" s="594"/>
      <c r="F39" s="594"/>
      <c r="G39" s="594"/>
      <c r="H39" s="594"/>
      <c r="I39" s="594"/>
      <c r="J39" s="594"/>
      <c r="K39" s="594"/>
      <c r="L39" s="594"/>
      <c r="M39" s="594"/>
      <c r="N39" s="594"/>
      <c r="O39" s="594"/>
      <c r="P39" s="594"/>
    </row>
    <row r="40" spans="1:16" x14ac:dyDescent="0.2">
      <c r="A40" s="640" t="s">
        <v>87</v>
      </c>
      <c r="B40" s="594"/>
      <c r="C40" s="594"/>
      <c r="D40" s="594"/>
      <c r="E40" s="594"/>
      <c r="F40" s="594"/>
      <c r="G40" s="594"/>
      <c r="H40" s="594"/>
      <c r="I40" s="594"/>
      <c r="J40" s="594"/>
      <c r="K40" s="594"/>
      <c r="L40" s="594"/>
      <c r="M40" s="594"/>
      <c r="N40" s="594"/>
      <c r="O40" s="594"/>
      <c r="P40" s="594"/>
    </row>
    <row r="41" spans="1:16" x14ac:dyDescent="0.2">
      <c r="A41" s="639" t="s">
        <v>1056</v>
      </c>
      <c r="B41" s="594"/>
      <c r="C41" s="594"/>
      <c r="D41" s="594">
        <v>-1616</v>
      </c>
      <c r="E41" s="594">
        <f>-'Water  Fund  Inc Exp Statement '!E54</f>
        <v>0</v>
      </c>
      <c r="F41" s="594">
        <f>-'Water  Fund  Inc Exp Statement '!F54</f>
        <v>-257.05099999999999</v>
      </c>
      <c r="G41" s="594">
        <f>-'Water  Fund  Inc Exp Statement '!G54</f>
        <v>-273.84699999999998</v>
      </c>
      <c r="H41" s="594">
        <f>-'Water  Fund  Inc Exp Statement '!H54</f>
        <v>-291.74400000000003</v>
      </c>
      <c r="I41" s="594">
        <f>-'Water  Fund  Inc Exp Statement '!I54</f>
        <v>-310.113</v>
      </c>
      <c r="J41" s="594">
        <f>-'Water  Fund  Inc Exp Statement '!J54</f>
        <v>-331.38900000000001</v>
      </c>
      <c r="K41" s="594">
        <f>-'Water  Fund  Inc Exp Statement '!K54</f>
        <v>-338.01678000000004</v>
      </c>
      <c r="L41" s="594">
        <f>-'Water  Fund  Inc Exp Statement '!L54</f>
        <v>-344.77711560000006</v>
      </c>
      <c r="M41" s="594">
        <f>-'Water  Fund  Inc Exp Statement '!M54</f>
        <v>-323.67265791199998</v>
      </c>
      <c r="N41" s="594">
        <f>-'Water  Fund  Inc Exp Statement '!N54</f>
        <v>0</v>
      </c>
      <c r="O41" s="594">
        <f>-'Water  Fund  Inc Exp Statement '!O54</f>
        <v>0</v>
      </c>
      <c r="P41" s="594">
        <f>-'Water  Fund  Inc Exp Statement '!P54</f>
        <v>0</v>
      </c>
    </row>
    <row r="42" spans="1:16" s="644" customFormat="1" x14ac:dyDescent="0.2">
      <c r="A42" s="770" t="s">
        <v>110</v>
      </c>
      <c r="B42" s="772">
        <f t="shared" ref="B42:P42" si="2">SUM(B38:B41)</f>
        <v>0</v>
      </c>
      <c r="C42" s="772">
        <f t="shared" si="2"/>
        <v>0</v>
      </c>
      <c r="D42" s="772">
        <f t="shared" si="2"/>
        <v>3734</v>
      </c>
      <c r="E42" s="772">
        <f t="shared" si="2"/>
        <v>0</v>
      </c>
      <c r="F42" s="772">
        <f t="shared" si="2"/>
        <v>-257.05099999999999</v>
      </c>
      <c r="G42" s="772">
        <f t="shared" si="2"/>
        <v>-273.84699999999998</v>
      </c>
      <c r="H42" s="772">
        <f t="shared" si="2"/>
        <v>-291.74400000000003</v>
      </c>
      <c r="I42" s="772">
        <f t="shared" si="2"/>
        <v>-310.113</v>
      </c>
      <c r="J42" s="772">
        <f t="shared" si="2"/>
        <v>-331.38900000000001</v>
      </c>
      <c r="K42" s="772">
        <f t="shared" si="2"/>
        <v>-338.01678000000004</v>
      </c>
      <c r="L42" s="772">
        <f t="shared" si="2"/>
        <v>-344.77711560000006</v>
      </c>
      <c r="M42" s="772">
        <f t="shared" si="2"/>
        <v>-323.67265791199998</v>
      </c>
      <c r="N42" s="772">
        <f t="shared" si="2"/>
        <v>0</v>
      </c>
      <c r="O42" s="772">
        <f t="shared" si="2"/>
        <v>0</v>
      </c>
      <c r="P42" s="772">
        <f t="shared" si="2"/>
        <v>0</v>
      </c>
    </row>
    <row r="43" spans="1:16" ht="3.75" customHeight="1" x14ac:dyDescent="0.2">
      <c r="B43" s="594"/>
      <c r="C43" s="594"/>
      <c r="D43" s="594"/>
      <c r="E43" s="594"/>
      <c r="F43" s="594"/>
      <c r="G43" s="594"/>
      <c r="H43" s="594"/>
      <c r="I43" s="594"/>
      <c r="J43" s="594"/>
      <c r="K43" s="594"/>
      <c r="L43" s="594"/>
      <c r="M43" s="594"/>
      <c r="N43" s="594"/>
      <c r="O43" s="594"/>
      <c r="P43" s="594"/>
    </row>
    <row r="44" spans="1:16" x14ac:dyDescent="0.2">
      <c r="A44" s="592" t="s">
        <v>321</v>
      </c>
      <c r="B44" s="594">
        <f>+B20+B34</f>
        <v>0</v>
      </c>
      <c r="C44" s="594">
        <f>+C20+C34</f>
        <v>0</v>
      </c>
      <c r="D44" s="594">
        <f>+D20+D34+D42</f>
        <v>5944</v>
      </c>
      <c r="E44" s="594">
        <f t="shared" ref="E44:P44" si="3">+E20+E34+E42</f>
        <v>0</v>
      </c>
      <c r="F44" s="594">
        <f t="shared" si="3"/>
        <v>-5.1159076974727213E-13</v>
      </c>
      <c r="G44" s="594">
        <f t="shared" si="3"/>
        <v>263.39999999999964</v>
      </c>
      <c r="H44" s="594">
        <f t="shared" si="3"/>
        <v>273.87299999999948</v>
      </c>
      <c r="I44" s="594">
        <f t="shared" si="3"/>
        <v>284.72999999999871</v>
      </c>
      <c r="J44" s="594">
        <f t="shared" si="3"/>
        <v>295.84699999999987</v>
      </c>
      <c r="K44" s="594">
        <f t="shared" si="3"/>
        <v>280.46830620000026</v>
      </c>
      <c r="L44" s="594">
        <f t="shared" si="3"/>
        <v>307.06532774700014</v>
      </c>
      <c r="M44" s="594">
        <f t="shared" si="3"/>
        <v>362.78418387823558</v>
      </c>
      <c r="N44" s="594">
        <f t="shared" si="3"/>
        <v>710.30204461787116</v>
      </c>
      <c r="O44" s="594">
        <f t="shared" si="3"/>
        <v>746.9277499894456</v>
      </c>
      <c r="P44" s="594">
        <f t="shared" si="3"/>
        <v>784.97235047510139</v>
      </c>
    </row>
    <row r="45" spans="1:16" ht="3.75" customHeight="1" x14ac:dyDescent="0.2">
      <c r="A45" s="644"/>
      <c r="B45" s="594"/>
      <c r="C45" s="594"/>
      <c r="D45" s="594"/>
      <c r="E45" s="594"/>
      <c r="F45" s="594"/>
      <c r="G45" s="594"/>
      <c r="H45" s="594"/>
      <c r="I45" s="594"/>
      <c r="J45" s="594"/>
      <c r="K45" s="594"/>
      <c r="L45" s="594"/>
      <c r="M45" s="594"/>
      <c r="N45" s="594"/>
      <c r="O45" s="594"/>
      <c r="P45" s="594"/>
    </row>
    <row r="46" spans="1:16" x14ac:dyDescent="0.2">
      <c r="A46" s="592" t="s">
        <v>96</v>
      </c>
      <c r="B46" s="594"/>
      <c r="C46" s="594">
        <f>+B48</f>
        <v>0</v>
      </c>
      <c r="D46" s="594">
        <v>3352</v>
      </c>
      <c r="E46" s="594">
        <v>0</v>
      </c>
      <c r="F46" s="594">
        <f t="shared" ref="F46:P46" si="4">+E48</f>
        <v>0</v>
      </c>
      <c r="G46" s="594">
        <f t="shared" si="4"/>
        <v>-5.1159076974727213E-13</v>
      </c>
      <c r="H46" s="594">
        <f t="shared" si="4"/>
        <v>263.39999999999912</v>
      </c>
      <c r="I46" s="594">
        <f t="shared" si="4"/>
        <v>537.27299999999855</v>
      </c>
      <c r="J46" s="594">
        <f t="shared" si="4"/>
        <v>822.0029999999972</v>
      </c>
      <c r="K46" s="594">
        <f t="shared" si="4"/>
        <v>1117.8499999999972</v>
      </c>
      <c r="L46" s="594">
        <f t="shared" si="4"/>
        <v>1398.3183061999976</v>
      </c>
      <c r="M46" s="594">
        <f t="shared" si="4"/>
        <v>1705.3836339469976</v>
      </c>
      <c r="N46" s="594">
        <f t="shared" si="4"/>
        <v>2068.1678178252332</v>
      </c>
      <c r="O46" s="594">
        <f t="shared" si="4"/>
        <v>2778.4698624431044</v>
      </c>
      <c r="P46" s="594">
        <f t="shared" si="4"/>
        <v>3525.39761243255</v>
      </c>
    </row>
    <row r="47" spans="1:16" ht="4.5" customHeight="1" x14ac:dyDescent="0.2">
      <c r="B47" s="594"/>
      <c r="C47" s="594"/>
      <c r="D47" s="594"/>
      <c r="E47" s="594"/>
      <c r="F47" s="594"/>
      <c r="G47" s="594"/>
      <c r="H47" s="594"/>
      <c r="I47" s="594"/>
      <c r="J47" s="594"/>
      <c r="K47" s="594"/>
      <c r="L47" s="594"/>
      <c r="M47" s="594"/>
      <c r="N47" s="594"/>
      <c r="O47" s="594"/>
      <c r="P47" s="594"/>
    </row>
    <row r="48" spans="1:16" s="592" customFormat="1" ht="12.75" thickBot="1" x14ac:dyDescent="0.25">
      <c r="A48" s="592" t="s">
        <v>97</v>
      </c>
      <c r="B48" s="645">
        <f>+B44+B46</f>
        <v>0</v>
      </c>
      <c r="C48" s="645">
        <f t="shared" ref="C48:P48" si="5">+C44+C46</f>
        <v>0</v>
      </c>
      <c r="D48" s="645">
        <f t="shared" si="5"/>
        <v>9296</v>
      </c>
      <c r="E48" s="645">
        <f t="shared" si="5"/>
        <v>0</v>
      </c>
      <c r="F48" s="645">
        <f t="shared" si="5"/>
        <v>-5.1159076974727213E-13</v>
      </c>
      <c r="G48" s="645">
        <f t="shared" si="5"/>
        <v>263.39999999999912</v>
      </c>
      <c r="H48" s="645">
        <f t="shared" si="5"/>
        <v>537.27299999999855</v>
      </c>
      <c r="I48" s="645">
        <f t="shared" si="5"/>
        <v>822.0029999999972</v>
      </c>
      <c r="J48" s="645">
        <f t="shared" si="5"/>
        <v>1117.8499999999972</v>
      </c>
      <c r="K48" s="645">
        <f t="shared" si="5"/>
        <v>1398.3183061999976</v>
      </c>
      <c r="L48" s="645">
        <f t="shared" si="5"/>
        <v>1705.3836339469976</v>
      </c>
      <c r="M48" s="645">
        <f t="shared" si="5"/>
        <v>2068.1678178252332</v>
      </c>
      <c r="N48" s="645">
        <f t="shared" si="5"/>
        <v>2778.4698624431044</v>
      </c>
      <c r="O48" s="645">
        <f t="shared" si="5"/>
        <v>3525.39761243255</v>
      </c>
      <c r="P48" s="645">
        <f t="shared" si="5"/>
        <v>4310.3699629076509</v>
      </c>
    </row>
    <row r="49" spans="1:16" ht="4.5" customHeight="1" x14ac:dyDescent="0.25"/>
    <row r="50" spans="1:16" x14ac:dyDescent="0.25">
      <c r="A50" s="639" t="s">
        <v>98</v>
      </c>
      <c r="B50" s="590"/>
      <c r="C50" s="590">
        <f>B50-C30-C24</f>
        <v>0</v>
      </c>
      <c r="D50" s="590">
        <v>46112</v>
      </c>
      <c r="E50" s="590">
        <f>'Water Fund  Bal Sheet'!E8+'Water Fund  Bal Sheet'!E15</f>
        <v>18997</v>
      </c>
      <c r="F50" s="590">
        <f t="shared" ref="F50:P50" si="6">E50-F30-F24</f>
        <v>17190.222999999998</v>
      </c>
      <c r="G50" s="590">
        <f t="shared" si="6"/>
        <v>16287.960999999998</v>
      </c>
      <c r="H50" s="590">
        <f t="shared" si="6"/>
        <v>16322.820999999998</v>
      </c>
      <c r="I50" s="590">
        <f t="shared" si="6"/>
        <v>16613.680999999997</v>
      </c>
      <c r="J50" s="590">
        <f t="shared" si="6"/>
        <v>16984.830999999998</v>
      </c>
      <c r="K50" s="590">
        <f t="shared" si="6"/>
        <v>17363.403999999999</v>
      </c>
      <c r="L50" s="590">
        <f t="shared" si="6"/>
        <v>17749.548459999998</v>
      </c>
      <c r="M50" s="590">
        <f t="shared" si="6"/>
        <v>18143.4158092</v>
      </c>
      <c r="N50" s="590">
        <f t="shared" si="6"/>
        <v>18545.160505383999</v>
      </c>
      <c r="O50" s="590">
        <f t="shared" si="6"/>
        <v>18954.940095491678</v>
      </c>
      <c r="P50" s="590">
        <f t="shared" si="6"/>
        <v>19372.915277401513</v>
      </c>
    </row>
    <row r="51" spans="1:16" ht="3.75" customHeight="1" x14ac:dyDescent="0.25">
      <c r="B51" s="590"/>
      <c r="C51" s="590"/>
      <c r="D51" s="590"/>
      <c r="E51" s="590"/>
      <c r="F51" s="590"/>
      <c r="G51" s="590"/>
      <c r="H51" s="590"/>
      <c r="I51" s="590"/>
      <c r="J51" s="590"/>
      <c r="K51" s="590"/>
      <c r="L51" s="590"/>
      <c r="M51" s="590"/>
      <c r="N51" s="590"/>
      <c r="O51" s="590"/>
      <c r="P51" s="590"/>
    </row>
    <row r="52" spans="1:16" s="644" customFormat="1" ht="12.6" thickBot="1" x14ac:dyDescent="0.3">
      <c r="A52" s="592" t="s">
        <v>99</v>
      </c>
      <c r="B52" s="646">
        <f>+B48+B50</f>
        <v>0</v>
      </c>
      <c r="C52" s="646">
        <f t="shared" ref="C52:P52" si="7">+C48+C50</f>
        <v>0</v>
      </c>
      <c r="D52" s="646">
        <f t="shared" si="7"/>
        <v>55408</v>
      </c>
      <c r="E52" s="646">
        <f t="shared" si="7"/>
        <v>18997</v>
      </c>
      <c r="F52" s="646">
        <f t="shared" si="7"/>
        <v>17190.222999999998</v>
      </c>
      <c r="G52" s="646">
        <f t="shared" si="7"/>
        <v>16551.360999999997</v>
      </c>
      <c r="H52" s="646">
        <f t="shared" si="7"/>
        <v>16860.093999999997</v>
      </c>
      <c r="I52" s="646">
        <f t="shared" si="7"/>
        <v>17435.683999999994</v>
      </c>
      <c r="J52" s="646">
        <f t="shared" si="7"/>
        <v>18102.680999999997</v>
      </c>
      <c r="K52" s="646">
        <f t="shared" si="7"/>
        <v>18761.722306199998</v>
      </c>
      <c r="L52" s="646">
        <f t="shared" si="7"/>
        <v>19454.932093946994</v>
      </c>
      <c r="M52" s="646">
        <f t="shared" si="7"/>
        <v>20211.583627025233</v>
      </c>
      <c r="N52" s="646">
        <f t="shared" si="7"/>
        <v>21323.630367827103</v>
      </c>
      <c r="O52" s="646">
        <f t="shared" si="7"/>
        <v>22480.337707924227</v>
      </c>
      <c r="P52" s="646">
        <f t="shared" si="7"/>
        <v>23683.285240309164</v>
      </c>
    </row>
    <row r="53" spans="1:16" ht="12.6" thickTop="1" x14ac:dyDescent="0.25">
      <c r="B53" s="590"/>
      <c r="C53" s="590"/>
      <c r="D53" s="590"/>
      <c r="E53" s="590"/>
      <c r="F53" s="590"/>
      <c r="G53" s="590"/>
      <c r="H53" s="590"/>
      <c r="I53" s="590"/>
      <c r="J53" s="590"/>
      <c r="K53" s="590"/>
      <c r="L53" s="590"/>
      <c r="M53" s="590"/>
      <c r="N53" s="590"/>
      <c r="O53" s="590"/>
      <c r="P53" s="590"/>
    </row>
    <row r="54" spans="1:16" ht="13.8" x14ac:dyDescent="0.3">
      <c r="A54" s="1091" t="s">
        <v>1363</v>
      </c>
      <c r="B54" s="590"/>
      <c r="C54" s="590"/>
      <c r="D54" s="590"/>
      <c r="E54" s="590"/>
      <c r="F54" s="590"/>
      <c r="G54" s="590"/>
      <c r="H54" s="590"/>
      <c r="I54" s="590"/>
      <c r="J54" s="590"/>
      <c r="K54" s="590"/>
      <c r="L54" s="590"/>
      <c r="M54" s="590"/>
      <c r="N54" s="590"/>
      <c r="O54" s="590"/>
      <c r="P54" s="590"/>
    </row>
    <row r="55" spans="1:16" x14ac:dyDescent="0.25">
      <c r="A55" s="596" t="s">
        <v>1068</v>
      </c>
      <c r="B55" s="586" t="s">
        <v>69</v>
      </c>
      <c r="C55" s="586" t="s">
        <v>69</v>
      </c>
      <c r="D55" s="586" t="str">
        <f t="shared" ref="D55:P55" si="8">D2</f>
        <v>Actual</v>
      </c>
      <c r="E55" s="586" t="str">
        <f t="shared" si="8"/>
        <v>Actual</v>
      </c>
      <c r="F55" s="586" t="str">
        <f t="shared" si="8"/>
        <v>Budget</v>
      </c>
      <c r="G55" s="586" t="str">
        <f t="shared" si="8"/>
        <v>Budget</v>
      </c>
      <c r="H55" s="586" t="str">
        <f t="shared" si="8"/>
        <v>Projected</v>
      </c>
      <c r="I55" s="586" t="str">
        <f t="shared" si="8"/>
        <v>Projected</v>
      </c>
      <c r="J55" s="586" t="str">
        <f t="shared" si="8"/>
        <v>Projected</v>
      </c>
      <c r="K55" s="586" t="str">
        <f t="shared" si="8"/>
        <v>Projected</v>
      </c>
      <c r="L55" s="586" t="str">
        <f t="shared" si="8"/>
        <v>Projected</v>
      </c>
      <c r="M55" s="586" t="str">
        <f t="shared" si="8"/>
        <v>Projected</v>
      </c>
      <c r="N55" s="586" t="str">
        <f t="shared" si="8"/>
        <v>Projected</v>
      </c>
      <c r="O55" s="586" t="str">
        <f t="shared" si="8"/>
        <v>Projected</v>
      </c>
      <c r="P55" s="586" t="str">
        <f t="shared" si="8"/>
        <v>Projected</v>
      </c>
    </row>
    <row r="56" spans="1:16" x14ac:dyDescent="0.25">
      <c r="A56" s="585" t="s">
        <v>73</v>
      </c>
      <c r="B56" s="638" t="s">
        <v>68</v>
      </c>
      <c r="C56" s="586" t="s">
        <v>0</v>
      </c>
      <c r="D56" s="586" t="s">
        <v>1</v>
      </c>
      <c r="E56" s="586" t="s">
        <v>2</v>
      </c>
      <c r="F56" s="586" t="s">
        <v>3</v>
      </c>
      <c r="G56" s="586" t="s">
        <v>4</v>
      </c>
      <c r="H56" s="586" t="s">
        <v>5</v>
      </c>
      <c r="I56" s="586" t="s">
        <v>6</v>
      </c>
      <c r="J56" s="586" t="s">
        <v>7</v>
      </c>
      <c r="K56" s="586" t="s">
        <v>8</v>
      </c>
      <c r="L56" s="586" t="s">
        <v>9</v>
      </c>
      <c r="M56" s="586" t="s">
        <v>514</v>
      </c>
      <c r="N56" s="586" t="s">
        <v>515</v>
      </c>
      <c r="O56" s="586" t="s">
        <v>904</v>
      </c>
      <c r="P56" s="586" t="s">
        <v>1046</v>
      </c>
    </row>
    <row r="58" spans="1:16" x14ac:dyDescent="0.25">
      <c r="A58" s="592" t="s">
        <v>82</v>
      </c>
    </row>
    <row r="59" spans="1:16" x14ac:dyDescent="0.25">
      <c r="A59" s="640" t="s">
        <v>83</v>
      </c>
      <c r="B59" s="590"/>
      <c r="C59" s="590"/>
      <c r="D59" s="590"/>
      <c r="E59" s="590"/>
      <c r="F59" s="590"/>
      <c r="G59" s="590"/>
      <c r="H59" s="590"/>
      <c r="I59" s="590"/>
      <c r="J59" s="590"/>
      <c r="K59" s="590"/>
      <c r="L59" s="590"/>
      <c r="M59" s="590"/>
      <c r="N59" s="590"/>
      <c r="O59" s="590"/>
      <c r="P59" s="590"/>
    </row>
    <row r="60" spans="1:16" x14ac:dyDescent="0.25">
      <c r="A60" s="639" t="s">
        <v>11</v>
      </c>
      <c r="B60" s="594"/>
      <c r="C60" s="594">
        <f t="shared" ref="C60:E65" si="9">C7</f>
        <v>0</v>
      </c>
      <c r="D60" s="594">
        <f t="shared" si="9"/>
        <v>18724</v>
      </c>
      <c r="E60" s="594">
        <f t="shared" si="9"/>
        <v>0</v>
      </c>
      <c r="F60" s="594">
        <f>'Water  Fund  Inc Exp Statement '!F80</f>
        <v>1580</v>
      </c>
      <c r="G60" s="594">
        <f>'Water  Fund  Inc Exp Statement '!G80</f>
        <v>1485</v>
      </c>
      <c r="H60" s="594">
        <f>'Water  Fund  Inc Exp Statement '!H80</f>
        <v>1498.365</v>
      </c>
      <c r="I60" s="594">
        <f>'Water  Fund  Inc Exp Statement '!I80</f>
        <v>1511.85</v>
      </c>
      <c r="J60" s="594">
        <f>'Water  Fund  Inc Exp Statement '!J80</f>
        <v>1525.4559999999999</v>
      </c>
      <c r="K60" s="594">
        <f>'Water  Fund  Inc Exp Statement '!K80</f>
        <v>1563.5923999999998</v>
      </c>
      <c r="L60" s="594">
        <f>'Water  Fund  Inc Exp Statement '!L80</f>
        <v>1602.6822099999997</v>
      </c>
      <c r="M60" s="594">
        <f>'Water  Fund  Inc Exp Statement '!M80</f>
        <v>1642.7492652499996</v>
      </c>
      <c r="N60" s="594">
        <f>'Water  Fund  Inc Exp Statement '!N80</f>
        <v>1683.8179968812494</v>
      </c>
      <c r="O60" s="594">
        <f>'Water  Fund  Inc Exp Statement '!O80</f>
        <v>1725.9134468032805</v>
      </c>
      <c r="P60" s="594">
        <f>'Water  Fund  Inc Exp Statement '!P80</f>
        <v>1769.0612829733625</v>
      </c>
    </row>
    <row r="61" spans="1:16" x14ac:dyDescent="0.25">
      <c r="A61" s="639" t="s">
        <v>12</v>
      </c>
      <c r="B61" s="594"/>
      <c r="C61" s="594">
        <f t="shared" si="9"/>
        <v>0</v>
      </c>
      <c r="D61" s="594">
        <f t="shared" si="9"/>
        <v>11585</v>
      </c>
      <c r="E61" s="594">
        <f t="shared" si="9"/>
        <v>0</v>
      </c>
      <c r="F61" s="594">
        <f>'Water  Fund  Inc Exp Statement '!F81</f>
        <v>3719.15</v>
      </c>
      <c r="G61" s="594">
        <f>'Water  Fund  Inc Exp Statement '!G81</f>
        <v>3922.375</v>
      </c>
      <c r="H61" s="594">
        <f>'Water  Fund  Inc Exp Statement '!H81</f>
        <v>4115.482</v>
      </c>
      <c r="I61" s="594">
        <f>'Water  Fund  Inc Exp Statement '!I81</f>
        <v>4318.1729999999998</v>
      </c>
      <c r="J61" s="594">
        <f>'Water  Fund  Inc Exp Statement '!J81</f>
        <v>4530.9430000000002</v>
      </c>
      <c r="K61" s="594">
        <f>'Water  Fund  Inc Exp Statement '!K81</f>
        <v>4621.5618600000007</v>
      </c>
      <c r="L61" s="594">
        <f>'Water  Fund  Inc Exp Statement '!L81</f>
        <v>4713.9930972000011</v>
      </c>
      <c r="M61" s="594">
        <f>'Water  Fund  Inc Exp Statement '!M81</f>
        <v>4808.2729591440011</v>
      </c>
      <c r="N61" s="594">
        <f>'Water  Fund  Inc Exp Statement '!N81</f>
        <v>4904.4384183268812</v>
      </c>
      <c r="O61" s="594">
        <f>'Water  Fund  Inc Exp Statement '!O81</f>
        <v>5002.527186693419</v>
      </c>
      <c r="P61" s="594">
        <f>'Water  Fund  Inc Exp Statement '!P81</f>
        <v>5102.5777304272879</v>
      </c>
    </row>
    <row r="62" spans="1:16" x14ac:dyDescent="0.25">
      <c r="A62" s="639" t="s">
        <v>84</v>
      </c>
      <c r="B62" s="594"/>
      <c r="C62" s="594">
        <f t="shared" si="9"/>
        <v>0</v>
      </c>
      <c r="D62" s="594">
        <f t="shared" si="9"/>
        <v>2499</v>
      </c>
      <c r="E62" s="594">
        <f t="shared" si="9"/>
        <v>0</v>
      </c>
      <c r="F62" s="594">
        <f>'Water  Fund  Inc Exp Statement '!F82</f>
        <v>868</v>
      </c>
      <c r="G62" s="594">
        <f>'Water  Fund  Inc Exp Statement '!G82</f>
        <v>819</v>
      </c>
      <c r="H62" s="594">
        <f>'Water  Fund  Inc Exp Statement '!H82</f>
        <v>739.62</v>
      </c>
      <c r="I62" s="594">
        <f>'Water  Fund  Inc Exp Statement '!I82</f>
        <v>740.55200000000002</v>
      </c>
      <c r="J62" s="594">
        <f>'Water  Fund  Inc Exp Statement '!J82</f>
        <v>740.89700000000005</v>
      </c>
      <c r="K62" s="594">
        <f>'Water  Fund  Inc Exp Statement '!K82</f>
        <v>724.10723999999993</v>
      </c>
      <c r="L62" s="594">
        <f>'Water  Fund  Inc Exp Statement '!L82</f>
        <v>750.46889224799986</v>
      </c>
      <c r="M62" s="594">
        <f>'Water  Fund  Inc Exp Statement '!M82</f>
        <v>778.23808375787985</v>
      </c>
      <c r="N62" s="594">
        <f>'Water  Fund  Inc Exp Statement '!N82</f>
        <v>808.50414508100937</v>
      </c>
      <c r="O62" s="594">
        <f>'Water  Fund  Inc Exp Statement '!O82</f>
        <v>852.9443987130843</v>
      </c>
      <c r="P62" s="594">
        <f>'Water  Fund  Inc Exp Statement '!P82</f>
        <v>899.17107631696911</v>
      </c>
    </row>
    <row r="63" spans="1:16" x14ac:dyDescent="0.25">
      <c r="A63" s="639" t="s">
        <v>85</v>
      </c>
      <c r="B63" s="594"/>
      <c r="C63" s="594">
        <f t="shared" si="9"/>
        <v>0</v>
      </c>
      <c r="D63" s="594">
        <f t="shared" si="9"/>
        <v>26703</v>
      </c>
      <c r="E63" s="594">
        <f t="shared" si="9"/>
        <v>0</v>
      </c>
      <c r="F63" s="594">
        <f>'Water  Fund  Inc Exp Statement '!F84+'Water  Fund  Inc Exp Statement '!F85</f>
        <v>88.5</v>
      </c>
      <c r="G63" s="594">
        <f>'Water  Fund  Inc Exp Statement '!G84+'Water  Fund  Inc Exp Statement '!G85</f>
        <v>84.5</v>
      </c>
      <c r="H63" s="594">
        <f>'Water  Fund  Inc Exp Statement '!H84+'Water  Fund  Inc Exp Statement '!H85</f>
        <v>85.19</v>
      </c>
      <c r="I63" s="594">
        <f>'Water  Fund  Inc Exp Statement '!I84+'Water  Fund  Inc Exp Statement '!I85</f>
        <v>85.893000000000001</v>
      </c>
      <c r="J63" s="594">
        <f>'Water  Fund  Inc Exp Statement '!J84+'Water  Fund  Inc Exp Statement '!J85</f>
        <v>86.61099999999999</v>
      </c>
      <c r="K63" s="594">
        <f>'Water  Fund  Inc Exp Statement '!K84+'Water  Fund  Inc Exp Statement '!K85</f>
        <v>88.526274999999998</v>
      </c>
      <c r="L63" s="594">
        <f>'Water  Fund  Inc Exp Statement '!L84+'Water  Fund  Inc Exp Statement '!L85</f>
        <v>90.484431874999984</v>
      </c>
      <c r="M63" s="594">
        <f>'Water  Fund  Inc Exp Statement '!M84+'Water  Fund  Inc Exp Statement '!M85</f>
        <v>91.446042671874977</v>
      </c>
      <c r="N63" s="594">
        <f>'Water  Fund  Inc Exp Statement '!N84+'Water  Fund  Inc Exp Statement '!N85</f>
        <v>92.431693738671854</v>
      </c>
      <c r="O63" s="594">
        <f>'Water  Fund  Inc Exp Statement '!O84+'Water  Fund  Inc Exp Statement '!O85</f>
        <v>93.441986082138641</v>
      </c>
      <c r="P63" s="594">
        <f>'Water  Fund  Inc Exp Statement '!P84+'Water  Fund  Inc Exp Statement '!P85</f>
        <v>94.477535734192116</v>
      </c>
    </row>
    <row r="64" spans="1:16" hidden="1" outlineLevel="1" x14ac:dyDescent="0.2">
      <c r="A64" s="639" t="s">
        <v>86</v>
      </c>
      <c r="B64" s="594"/>
      <c r="C64" s="594">
        <f t="shared" si="9"/>
        <v>0</v>
      </c>
      <c r="D64" s="594">
        <f t="shared" si="9"/>
        <v>97</v>
      </c>
      <c r="E64" s="594">
        <f t="shared" si="9"/>
        <v>0</v>
      </c>
      <c r="F64" s="594">
        <v>0</v>
      </c>
      <c r="G64" s="594">
        <v>0</v>
      </c>
      <c r="H64" s="594">
        <v>0</v>
      </c>
      <c r="I64" s="594">
        <v>0</v>
      </c>
      <c r="J64" s="594">
        <v>0</v>
      </c>
      <c r="K64" s="594">
        <v>0</v>
      </c>
      <c r="L64" s="594">
        <v>0</v>
      </c>
      <c r="M64" s="594">
        <v>0</v>
      </c>
      <c r="N64" s="594">
        <v>0</v>
      </c>
      <c r="O64" s="594">
        <v>0</v>
      </c>
      <c r="P64" s="594">
        <v>0</v>
      </c>
    </row>
    <row r="65" spans="1:16" collapsed="1" x14ac:dyDescent="0.25">
      <c r="A65" s="639" t="s">
        <v>41</v>
      </c>
      <c r="B65" s="594"/>
      <c r="C65" s="594">
        <f t="shared" si="9"/>
        <v>0</v>
      </c>
      <c r="D65" s="594">
        <f t="shared" si="9"/>
        <v>5309</v>
      </c>
      <c r="E65" s="594">
        <f t="shared" si="9"/>
        <v>0</v>
      </c>
      <c r="F65" s="594">
        <f>'Water  Fund  Inc Exp Statement '!F83+'Water  Fund  Inc Exp Statement '!F86</f>
        <v>0</v>
      </c>
      <c r="G65" s="594">
        <f>'Water  Fund  Inc Exp Statement '!G83+'Water  Fund  Inc Exp Statement '!G86</f>
        <v>0</v>
      </c>
      <c r="H65" s="594">
        <f>'Water  Fund  Inc Exp Statement '!H83+'Water  Fund  Inc Exp Statement '!H86</f>
        <v>0</v>
      </c>
      <c r="I65" s="594">
        <f>'Water  Fund  Inc Exp Statement '!I83+'Water  Fund  Inc Exp Statement '!I86</f>
        <v>0</v>
      </c>
      <c r="J65" s="594">
        <f>'Water  Fund  Inc Exp Statement '!J83+'Water  Fund  Inc Exp Statement '!J86</f>
        <v>0</v>
      </c>
      <c r="K65" s="594">
        <f>'Water  Fund  Inc Exp Statement '!K83+'Water  Fund  Inc Exp Statement '!K86</f>
        <v>0</v>
      </c>
      <c r="L65" s="594">
        <f>'Water  Fund  Inc Exp Statement '!L83+'Water  Fund  Inc Exp Statement '!L86</f>
        <v>0</v>
      </c>
      <c r="M65" s="594">
        <f>'Water  Fund  Inc Exp Statement '!M83+'Water  Fund  Inc Exp Statement '!M86</f>
        <v>0</v>
      </c>
      <c r="N65" s="594">
        <f>'Water  Fund  Inc Exp Statement '!N83+'Water  Fund  Inc Exp Statement '!N86</f>
        <v>0</v>
      </c>
      <c r="O65" s="594">
        <f>'Water  Fund  Inc Exp Statement '!O83+'Water  Fund  Inc Exp Statement '!O86</f>
        <v>0</v>
      </c>
      <c r="P65" s="594">
        <f>'Water  Fund  Inc Exp Statement '!P83+'Water  Fund  Inc Exp Statement '!P86</f>
        <v>0</v>
      </c>
    </row>
    <row r="66" spans="1:16" x14ac:dyDescent="0.25">
      <c r="B66" s="594"/>
      <c r="C66" s="594"/>
      <c r="D66" s="594"/>
      <c r="E66" s="594"/>
      <c r="F66" s="594"/>
      <c r="G66" s="594"/>
      <c r="H66" s="594"/>
      <c r="I66" s="594"/>
      <c r="J66" s="594"/>
      <c r="K66" s="594"/>
      <c r="L66" s="594"/>
      <c r="M66" s="594"/>
      <c r="N66" s="594"/>
      <c r="O66" s="594"/>
      <c r="P66" s="594"/>
    </row>
    <row r="67" spans="1:16" x14ac:dyDescent="0.25">
      <c r="A67" s="640" t="s">
        <v>87</v>
      </c>
      <c r="B67" s="594"/>
      <c r="C67" s="594"/>
      <c r="D67" s="594"/>
      <c r="E67" s="594"/>
      <c r="F67" s="594"/>
      <c r="G67" s="594"/>
      <c r="H67" s="594"/>
      <c r="I67" s="594"/>
      <c r="J67" s="594"/>
      <c r="K67" s="594"/>
      <c r="L67" s="594"/>
      <c r="M67" s="594"/>
      <c r="N67" s="594"/>
      <c r="O67" s="594"/>
      <c r="P67" s="594"/>
    </row>
    <row r="68" spans="1:16" x14ac:dyDescent="0.25">
      <c r="A68" s="639" t="s">
        <v>25</v>
      </c>
      <c r="B68" s="594"/>
      <c r="C68" s="594">
        <f t="shared" ref="C68:E69" si="10">C15</f>
        <v>0</v>
      </c>
      <c r="D68" s="594">
        <f t="shared" si="10"/>
        <v>-12900</v>
      </c>
      <c r="E68" s="594">
        <f t="shared" si="10"/>
        <v>0</v>
      </c>
      <c r="F68" s="594">
        <f>-'Water  Fund  Inc Exp Statement '!F93</f>
        <v>-977.89</v>
      </c>
      <c r="G68" s="594">
        <f>-'Water  Fund  Inc Exp Statement '!G93</f>
        <v>-1129.55</v>
      </c>
      <c r="H68" s="594">
        <f>-'Water  Fund  Inc Exp Statement '!H93</f>
        <v>-1172.491</v>
      </c>
      <c r="I68" s="594">
        <f>-'Water  Fund  Inc Exp Statement '!I93</f>
        <v>-1217.242</v>
      </c>
      <c r="J68" s="594">
        <f>-'Water  Fund  Inc Exp Statement '!J93</f>
        <v>-1263.922</v>
      </c>
      <c r="K68" s="594">
        <f>-'Water  Fund  Inc Exp Statement '!K93</f>
        <v>-1301.8396600000001</v>
      </c>
      <c r="L68" s="594">
        <f>-'Water  Fund  Inc Exp Statement '!L93</f>
        <v>-1340.8948498000002</v>
      </c>
      <c r="M68" s="594">
        <f>-'Water  Fund  Inc Exp Statement '!M93</f>
        <v>-1381.1216952940003</v>
      </c>
      <c r="N68" s="594">
        <f>-'Water  Fund  Inc Exp Statement '!N93</f>
        <v>-1422.5553461528204</v>
      </c>
      <c r="O68" s="594">
        <f>-'Water  Fund  Inc Exp Statement '!O93</f>
        <v>-1465.2320065374051</v>
      </c>
      <c r="P68" s="594">
        <f>-'Water  Fund  Inc Exp Statement '!P93</f>
        <v>-1509.1889667335274</v>
      </c>
    </row>
    <row r="69" spans="1:16" x14ac:dyDescent="0.25">
      <c r="A69" s="639" t="s">
        <v>27</v>
      </c>
      <c r="B69" s="594"/>
      <c r="C69" s="594">
        <f t="shared" si="10"/>
        <v>0</v>
      </c>
      <c r="D69" s="594">
        <f t="shared" si="10"/>
        <v>-9702</v>
      </c>
      <c r="E69" s="594">
        <f t="shared" si="10"/>
        <v>0</v>
      </c>
      <c r="F69" s="594">
        <f>-'Water  Fund  Inc Exp Statement '!F95-'Water  Fund  Inc Exp Statement '!F96</f>
        <v>-3013.2</v>
      </c>
      <c r="G69" s="594">
        <f>-'Water  Fund  Inc Exp Statement '!G95-'Water  Fund  Inc Exp Statement '!G96</f>
        <v>-2844.3</v>
      </c>
      <c r="H69" s="594">
        <f>-'Water  Fund  Inc Exp Statement '!H95-'Water  Fund  Inc Exp Statement '!H96</f>
        <v>-2914.2190000000001</v>
      </c>
      <c r="I69" s="594">
        <f>-'Water  Fund  Inc Exp Statement '!I95-'Water  Fund  Inc Exp Statement '!I96</f>
        <v>-2986.4229999999998</v>
      </c>
      <c r="J69" s="594">
        <f>-'Water  Fund  Inc Exp Statement '!J95-'Water  Fund  Inc Exp Statement '!J96</f>
        <v>-3061.0330000000004</v>
      </c>
      <c r="K69" s="594">
        <f>-'Water  Fund  Inc Exp Statement '!K95-'Water  Fund  Inc Exp Statement '!K96</f>
        <v>-3122.2536600000003</v>
      </c>
      <c r="L69" s="594">
        <f>-'Water  Fund  Inc Exp Statement '!L95-'Water  Fund  Inc Exp Statement '!L96</f>
        <v>-3184.6987332000003</v>
      </c>
      <c r="M69" s="594">
        <f>-'Water  Fund  Inc Exp Statement '!M95-'Water  Fund  Inc Exp Statement '!M96</f>
        <v>-3248.3927078640004</v>
      </c>
      <c r="N69" s="594">
        <f>-'Water  Fund  Inc Exp Statement '!N95-'Water  Fund  Inc Exp Statement '!N96</f>
        <v>-3313.3605620212802</v>
      </c>
      <c r="O69" s="594">
        <f>-'Water  Fund  Inc Exp Statement '!O95-'Water  Fund  Inc Exp Statement '!O96</f>
        <v>-3379.6277732617064</v>
      </c>
      <c r="P69" s="594">
        <f>-'Water  Fund  Inc Exp Statement '!P95-'Water  Fund  Inc Exp Statement '!P96</f>
        <v>-3447.2203287269404</v>
      </c>
    </row>
    <row r="70" spans="1:16" x14ac:dyDescent="0.25">
      <c r="A70" s="639" t="s">
        <v>926</v>
      </c>
      <c r="B70" s="594"/>
      <c r="C70" s="594"/>
      <c r="D70" s="594">
        <f>D17</f>
        <v>-639</v>
      </c>
      <c r="E70" s="594">
        <f t="shared" ref="E70" si="11">E17</f>
        <v>0</v>
      </c>
      <c r="F70" s="594">
        <f>-'Water  Fund  Inc Exp Statement '!F94</f>
        <v>-161.286</v>
      </c>
      <c r="G70" s="594">
        <f>-'Water  Fund  Inc Exp Statement '!G94</f>
        <v>-144.54</v>
      </c>
      <c r="H70" s="594">
        <f>-'Water  Fund  Inc Exp Statement '!H94</f>
        <v>-120.66</v>
      </c>
      <c r="I70" s="594">
        <f>-'Water  Fund  Inc Exp Statement '!I94</f>
        <v>-102.289</v>
      </c>
      <c r="J70" s="594">
        <f>-'Water  Fund  Inc Exp Statement '!J94</f>
        <v>-81.013999999999996</v>
      </c>
      <c r="K70" s="594">
        <f>-'Water  Fund  Inc Exp Statement '!K94</f>
        <v>-67.4933288</v>
      </c>
      <c r="L70" s="594">
        <f>-'Water  Fund  Inc Exp Statement '!L94</f>
        <v>-53.702244175999994</v>
      </c>
      <c r="M70" s="594">
        <f>-'Water  Fund  Inc Exp Statement '!M94</f>
        <v>-40.75533785951999</v>
      </c>
      <c r="N70" s="594">
        <f>-'Water  Fund  Inc Exp Statement '!N94</f>
        <v>-40.75533785951999</v>
      </c>
      <c r="O70" s="594">
        <f>-'Water  Fund  Inc Exp Statement '!O94</f>
        <v>-40.75533785951999</v>
      </c>
      <c r="P70" s="594">
        <f>-'Water  Fund  Inc Exp Statement '!P94</f>
        <v>-40.75533785951999</v>
      </c>
    </row>
    <row r="71" spans="1:16" hidden="1" outlineLevel="1" x14ac:dyDescent="0.2">
      <c r="A71" s="639" t="s">
        <v>88</v>
      </c>
      <c r="B71" s="594"/>
      <c r="C71" s="594">
        <f>C18</f>
        <v>0</v>
      </c>
      <c r="D71" s="594">
        <f>D18</f>
        <v>-79</v>
      </c>
      <c r="E71" s="594">
        <f>E18</f>
        <v>0</v>
      </c>
      <c r="F71" s="594">
        <v>0</v>
      </c>
      <c r="G71" s="594">
        <v>0</v>
      </c>
      <c r="H71" s="594">
        <v>0</v>
      </c>
      <c r="I71" s="594">
        <v>0</v>
      </c>
      <c r="J71" s="594">
        <v>0</v>
      </c>
      <c r="K71" s="594">
        <v>0</v>
      </c>
      <c r="L71" s="594">
        <v>0</v>
      </c>
      <c r="M71" s="594">
        <v>0</v>
      </c>
      <c r="N71" s="594">
        <v>0</v>
      </c>
      <c r="O71" s="594">
        <v>0</v>
      </c>
      <c r="P71" s="594">
        <v>0</v>
      </c>
    </row>
    <row r="72" spans="1:16" collapsed="1" x14ac:dyDescent="0.25">
      <c r="A72" s="641" t="s">
        <v>41</v>
      </c>
      <c r="B72" s="591"/>
      <c r="C72" s="594">
        <f>C19</f>
        <v>0</v>
      </c>
      <c r="D72" s="594">
        <f>D19</f>
        <v>-7816</v>
      </c>
      <c r="E72" s="594">
        <f>E19</f>
        <v>0</v>
      </c>
      <c r="F72" s="591">
        <f>-'Water  Fund  Inc Exp Statement '!F100</f>
        <v>-348</v>
      </c>
      <c r="G72" s="591">
        <f>-'Water  Fund  Inc Exp Statement '!G100</f>
        <v>-302.5</v>
      </c>
      <c r="H72" s="591">
        <f>-'Water  Fund  Inc Exp Statement '!H100</f>
        <v>-315.81</v>
      </c>
      <c r="I72" s="591">
        <f>-'Water  Fund  Inc Exp Statement '!I100</f>
        <v>-329.81099999999998</v>
      </c>
      <c r="J72" s="591">
        <f>-'Water  Fund  Inc Exp Statement '!J100</f>
        <v>-344.55200000000002</v>
      </c>
      <c r="K72" s="591">
        <f>-'Water  Fund  Inc Exp Statement '!K100</f>
        <v>-351.44304000000005</v>
      </c>
      <c r="L72" s="591">
        <f>-'Water  Fund  Inc Exp Statement '!L100</f>
        <v>-358.47190080000007</v>
      </c>
      <c r="M72" s="591">
        <f>-'Water  Fund  Inc Exp Statement '!M100</f>
        <v>-365.64133881600009</v>
      </c>
      <c r="N72" s="591">
        <f>-'Water  Fund  Inc Exp Statement '!N100</f>
        <v>-372.95416559232007</v>
      </c>
      <c r="O72" s="591">
        <f>-'Water  Fund  Inc Exp Statement '!O100</f>
        <v>-380.41324890416649</v>
      </c>
      <c r="P72" s="591">
        <f>-'Water  Fund  Inc Exp Statement '!P100</f>
        <v>-388.02151388224985</v>
      </c>
    </row>
    <row r="73" spans="1:16" x14ac:dyDescent="0.25">
      <c r="A73" s="642" t="s">
        <v>89</v>
      </c>
      <c r="B73" s="643">
        <f>SUM(B60:B72)</f>
        <v>0</v>
      </c>
      <c r="C73" s="643">
        <f t="shared" ref="C73:P73" si="12">SUM(C60:C72)</f>
        <v>0</v>
      </c>
      <c r="D73" s="643">
        <f t="shared" si="12"/>
        <v>33781</v>
      </c>
      <c r="E73" s="643">
        <f t="shared" si="12"/>
        <v>0</v>
      </c>
      <c r="F73" s="643">
        <f t="shared" si="12"/>
        <v>1755.2739999999994</v>
      </c>
      <c r="G73" s="643">
        <f t="shared" si="12"/>
        <v>1889.9849999999997</v>
      </c>
      <c r="H73" s="643">
        <f t="shared" si="12"/>
        <v>1915.4769999999994</v>
      </c>
      <c r="I73" s="643">
        <f t="shared" si="12"/>
        <v>2020.7029999999988</v>
      </c>
      <c r="J73" s="643">
        <f t="shared" si="12"/>
        <v>2133.386</v>
      </c>
      <c r="K73" s="647">
        <f t="shared" si="12"/>
        <v>2154.7580862000004</v>
      </c>
      <c r="L73" s="647">
        <f t="shared" si="12"/>
        <v>2219.8609033470007</v>
      </c>
      <c r="M73" s="647">
        <f t="shared" si="12"/>
        <v>2284.7952709902356</v>
      </c>
      <c r="N73" s="647">
        <f t="shared" si="12"/>
        <v>2339.5668424018713</v>
      </c>
      <c r="O73" s="647">
        <f t="shared" si="12"/>
        <v>2408.7986517291256</v>
      </c>
      <c r="P73" s="647">
        <f t="shared" si="12"/>
        <v>2480.1014782495749</v>
      </c>
    </row>
    <row r="74" spans="1:16" ht="8.25" customHeight="1" x14ac:dyDescent="0.25">
      <c r="B74" s="590"/>
      <c r="C74" s="590"/>
      <c r="D74" s="590"/>
      <c r="E74" s="590"/>
      <c r="F74" s="590"/>
      <c r="G74" s="590"/>
      <c r="H74" s="590"/>
      <c r="I74" s="590"/>
      <c r="J74" s="590"/>
      <c r="K74" s="590"/>
      <c r="L74" s="590"/>
      <c r="M74" s="590"/>
      <c r="N74" s="590"/>
      <c r="O74" s="590"/>
      <c r="P74" s="590"/>
    </row>
    <row r="75" spans="1:16" x14ac:dyDescent="0.25">
      <c r="A75" s="592" t="s">
        <v>90</v>
      </c>
      <c r="B75" s="590"/>
      <c r="C75" s="590"/>
      <c r="D75" s="590"/>
      <c r="E75" s="590"/>
      <c r="F75" s="590"/>
      <c r="G75" s="590"/>
      <c r="H75" s="590"/>
      <c r="I75" s="590"/>
      <c r="J75" s="590"/>
      <c r="K75" s="590"/>
      <c r="L75" s="590"/>
      <c r="M75" s="590"/>
      <c r="N75" s="590"/>
      <c r="O75" s="590"/>
      <c r="P75" s="590"/>
    </row>
    <row r="76" spans="1:16" x14ac:dyDescent="0.25">
      <c r="A76" s="640" t="s">
        <v>83</v>
      </c>
      <c r="B76" s="590"/>
      <c r="C76" s="590"/>
      <c r="D76" s="590"/>
      <c r="E76" s="590"/>
      <c r="F76" s="590"/>
      <c r="G76" s="590"/>
      <c r="H76" s="590"/>
      <c r="I76" s="590"/>
      <c r="J76" s="590"/>
      <c r="K76" s="590"/>
      <c r="L76" s="590"/>
      <c r="M76" s="590"/>
      <c r="N76" s="590"/>
      <c r="O76" s="590"/>
      <c r="P76" s="590"/>
    </row>
    <row r="77" spans="1:16" x14ac:dyDescent="0.25">
      <c r="A77" s="639" t="s">
        <v>431</v>
      </c>
      <c r="B77" s="590"/>
      <c r="C77" s="590">
        <f>C24</f>
        <v>0</v>
      </c>
      <c r="D77" s="590">
        <f>D24</f>
        <v>7491</v>
      </c>
      <c r="E77" s="590">
        <f>E24</f>
        <v>0</v>
      </c>
      <c r="F77" s="590">
        <f>'Water  Fund  Inc Exp Statement '!F133</f>
        <v>1856.777</v>
      </c>
      <c r="G77" s="590">
        <f>'Water  Fund  Inc Exp Statement '!G133</f>
        <v>952.26199999999994</v>
      </c>
      <c r="H77" s="590">
        <f>'Water  Fund  Inc Exp Statement '!H133</f>
        <v>15.14</v>
      </c>
      <c r="I77" s="590">
        <f>'Water  Fund  Inc Exp Statement '!I133</f>
        <v>0</v>
      </c>
      <c r="J77" s="590">
        <f>'Water  Fund  Inc Exp Statement '!J133</f>
        <v>0</v>
      </c>
      <c r="K77" s="590">
        <f>'Water  Fund  Inc Exp Statement '!K133</f>
        <v>0</v>
      </c>
      <c r="L77" s="590">
        <f>'Water  Fund  Inc Exp Statement '!L133</f>
        <v>0</v>
      </c>
      <c r="M77" s="590">
        <f>'Water  Fund  Inc Exp Statement '!M133</f>
        <v>0</v>
      </c>
      <c r="N77" s="590">
        <f>'Water  Fund  Inc Exp Statement '!N133</f>
        <v>0</v>
      </c>
      <c r="O77" s="590">
        <f>'Water  Fund  Inc Exp Statement '!O133</f>
        <v>0</v>
      </c>
      <c r="P77" s="590">
        <f>'Water  Fund  Inc Exp Statement '!P133</f>
        <v>0</v>
      </c>
    </row>
    <row r="78" spans="1:16" x14ac:dyDescent="0.25">
      <c r="A78" s="590" t="str">
        <f>A25</f>
        <v>Sale of Investment Property</v>
      </c>
      <c r="B78" s="590"/>
      <c r="C78" s="590"/>
      <c r="D78" s="590">
        <f>D25</f>
        <v>0</v>
      </c>
      <c r="E78" s="590">
        <f t="shared" ref="E78" si="13">E25</f>
        <v>0</v>
      </c>
      <c r="F78" s="594">
        <v>0</v>
      </c>
      <c r="G78" s="594">
        <v>0</v>
      </c>
      <c r="H78" s="594">
        <v>0</v>
      </c>
      <c r="I78" s="594">
        <v>0</v>
      </c>
      <c r="J78" s="594">
        <v>0</v>
      </c>
      <c r="K78" s="594">
        <v>0</v>
      </c>
      <c r="L78" s="594">
        <v>0</v>
      </c>
      <c r="M78" s="594">
        <v>0</v>
      </c>
      <c r="N78" s="594">
        <v>0</v>
      </c>
      <c r="O78" s="594">
        <v>0</v>
      </c>
      <c r="P78" s="594">
        <v>0</v>
      </c>
    </row>
    <row r="79" spans="1:16" x14ac:dyDescent="0.25">
      <c r="A79" s="639" t="s">
        <v>91</v>
      </c>
      <c r="B79" s="594"/>
      <c r="C79" s="590">
        <f>C26</f>
        <v>0</v>
      </c>
      <c r="D79" s="590">
        <f>D26</f>
        <v>0</v>
      </c>
      <c r="E79" s="590">
        <f>E26</f>
        <v>0</v>
      </c>
      <c r="F79" s="594">
        <v>0</v>
      </c>
      <c r="G79" s="594">
        <v>0</v>
      </c>
      <c r="H79" s="594">
        <v>0</v>
      </c>
      <c r="I79" s="594">
        <v>0</v>
      </c>
      <c r="J79" s="594">
        <v>0</v>
      </c>
      <c r="K79" s="594">
        <v>0</v>
      </c>
      <c r="L79" s="594">
        <v>0</v>
      </c>
      <c r="M79" s="594">
        <v>0</v>
      </c>
      <c r="N79" s="594">
        <v>0</v>
      </c>
      <c r="O79" s="594">
        <v>0</v>
      </c>
      <c r="P79" s="594">
        <v>0</v>
      </c>
    </row>
    <row r="80" spans="1:16" x14ac:dyDescent="0.25">
      <c r="A80" s="639" t="s">
        <v>92</v>
      </c>
      <c r="B80" s="594"/>
      <c r="C80" s="590">
        <f>C27</f>
        <v>0</v>
      </c>
      <c r="D80" s="590">
        <f>D27</f>
        <v>167</v>
      </c>
      <c r="E80" s="590">
        <f>E27</f>
        <v>0</v>
      </c>
      <c r="F80" s="594">
        <f>'Water  Fund  Inc Exp Statement '!F135</f>
        <v>0</v>
      </c>
      <c r="G80" s="594">
        <f>'Water  Fund  Inc Exp Statement '!G135</f>
        <v>0</v>
      </c>
      <c r="H80" s="594">
        <f>'Water  Fund  Inc Exp Statement '!H135</f>
        <v>0</v>
      </c>
      <c r="I80" s="594">
        <f>'Water  Fund  Inc Exp Statement '!I135</f>
        <v>0</v>
      </c>
      <c r="J80" s="594">
        <f>'Water  Fund  Inc Exp Statement '!J135</f>
        <v>0</v>
      </c>
      <c r="K80" s="594">
        <f>'Water  Fund  Inc Exp Statement '!K135</f>
        <v>0</v>
      </c>
      <c r="L80" s="594">
        <f>'Water  Fund  Inc Exp Statement '!L135</f>
        <v>0</v>
      </c>
      <c r="M80" s="594">
        <f>'Water  Fund  Inc Exp Statement '!M135</f>
        <v>0</v>
      </c>
      <c r="N80" s="594">
        <f>'Water  Fund  Inc Exp Statement '!N135</f>
        <v>0</v>
      </c>
      <c r="O80" s="594">
        <f>'Water  Fund  Inc Exp Statement '!O135</f>
        <v>0</v>
      </c>
      <c r="P80" s="594">
        <f>'Water  Fund  Inc Exp Statement '!P135</f>
        <v>0</v>
      </c>
    </row>
    <row r="81" spans="1:18" ht="7.5" customHeight="1" x14ac:dyDescent="0.25">
      <c r="B81" s="594"/>
      <c r="C81" s="594"/>
      <c r="D81" s="594"/>
      <c r="E81" s="594"/>
      <c r="F81" s="594"/>
      <c r="G81" s="594"/>
      <c r="H81" s="594"/>
      <c r="I81" s="594"/>
      <c r="J81" s="594"/>
      <c r="K81" s="594"/>
      <c r="L81" s="594"/>
      <c r="M81" s="594"/>
      <c r="N81" s="594"/>
      <c r="O81" s="594"/>
      <c r="P81" s="594"/>
    </row>
    <row r="82" spans="1:18" x14ac:dyDescent="0.25">
      <c r="A82" s="640" t="s">
        <v>87</v>
      </c>
      <c r="B82" s="594"/>
      <c r="C82" s="594"/>
      <c r="D82" s="594"/>
      <c r="E82" s="594"/>
      <c r="F82" s="594"/>
      <c r="G82" s="594"/>
      <c r="H82" s="594"/>
      <c r="I82" s="594"/>
      <c r="J82" s="594"/>
      <c r="K82" s="594"/>
      <c r="L82" s="594"/>
      <c r="M82" s="594"/>
      <c r="N82" s="594"/>
      <c r="O82" s="594"/>
      <c r="P82" s="594"/>
    </row>
    <row r="83" spans="1:18" x14ac:dyDescent="0.25">
      <c r="A83" s="639" t="s">
        <v>93</v>
      </c>
      <c r="B83" s="594"/>
      <c r="C83" s="648">
        <f>C30</f>
        <v>0</v>
      </c>
      <c r="D83" s="648">
        <f>D30</f>
        <v>-10303</v>
      </c>
      <c r="E83" s="648">
        <f>E30</f>
        <v>0</v>
      </c>
      <c r="F83" s="594">
        <f>-'Water  Fund  Inc Exp Statement '!F125</f>
        <v>-50</v>
      </c>
      <c r="G83" s="594">
        <f>-'Water  Fund  Inc Exp Statement '!G125</f>
        <v>-50</v>
      </c>
      <c r="H83" s="594">
        <f>-'Water  Fund  Inc Exp Statement '!H125</f>
        <v>-50</v>
      </c>
      <c r="I83" s="594">
        <f>-'Water  Fund  Inc Exp Statement '!I125</f>
        <v>-290.86</v>
      </c>
      <c r="J83" s="594">
        <f>-'Water  Fund  Inc Exp Statement '!J125</f>
        <v>-371.15</v>
      </c>
      <c r="K83" s="594">
        <f>-'Water  Fund  Inc Exp Statement '!K125</f>
        <v>-378.57299999999998</v>
      </c>
      <c r="L83" s="594">
        <f>-'Water  Fund  Inc Exp Statement '!L125</f>
        <v>-386.14445999999998</v>
      </c>
      <c r="M83" s="594">
        <f>-'Water  Fund  Inc Exp Statement '!M125</f>
        <v>-393.86734919999998</v>
      </c>
      <c r="N83" s="594">
        <f>-'Water  Fund  Inc Exp Statement '!N125</f>
        <v>-401.74469618399996</v>
      </c>
      <c r="O83" s="594">
        <f>-'Water  Fund  Inc Exp Statement '!O125</f>
        <v>-409.77959010767995</v>
      </c>
      <c r="P83" s="594">
        <f>-'Water  Fund  Inc Exp Statement '!P125</f>
        <v>-417.97518190983357</v>
      </c>
    </row>
    <row r="84" spans="1:18" x14ac:dyDescent="0.25">
      <c r="A84" s="648" t="str">
        <f>A31</f>
        <v>Purchase of Investment Property</v>
      </c>
      <c r="B84" s="594"/>
      <c r="C84" s="648"/>
      <c r="D84" s="648">
        <f>D31</f>
        <v>-2531</v>
      </c>
      <c r="E84" s="648">
        <f t="shared" ref="E84" si="14">E31</f>
        <v>0</v>
      </c>
      <c r="F84" s="594">
        <v>0</v>
      </c>
      <c r="G84" s="594">
        <v>0</v>
      </c>
      <c r="H84" s="594">
        <v>0</v>
      </c>
      <c r="I84" s="594">
        <v>0</v>
      </c>
      <c r="J84" s="594">
        <v>0</v>
      </c>
      <c r="K84" s="594">
        <v>0</v>
      </c>
      <c r="L84" s="594">
        <v>0</v>
      </c>
      <c r="M84" s="594">
        <v>0</v>
      </c>
      <c r="N84" s="594">
        <v>0</v>
      </c>
      <c r="O84" s="594">
        <v>0</v>
      </c>
      <c r="P84" s="594">
        <v>0</v>
      </c>
    </row>
    <row r="85" spans="1:18" x14ac:dyDescent="0.25">
      <c r="A85" s="639" t="s">
        <v>94</v>
      </c>
      <c r="B85" s="594"/>
      <c r="C85" s="648">
        <f>C32</f>
        <v>0</v>
      </c>
      <c r="D85" s="648">
        <f>D32</f>
        <v>-26369</v>
      </c>
      <c r="E85" s="648">
        <f>E32</f>
        <v>0</v>
      </c>
      <c r="F85" s="594">
        <f>-SUM('Water  Fund  Inc Exp Statement '!F121:F123)+'Water  Fund  Inc Exp Statement '!F122</f>
        <v>-3305</v>
      </c>
      <c r="G85" s="594">
        <f>-SUM('Water  Fund  Inc Exp Statement '!G121:G123)+'Water  Fund  Inc Exp Statement '!G122</f>
        <v>-2255</v>
      </c>
      <c r="H85" s="594">
        <f>-SUM('Water  Fund  Inc Exp Statement '!H121:H123)+'Water  Fund  Inc Exp Statement '!H122</f>
        <v>-1315</v>
      </c>
      <c r="I85" s="594">
        <f>-SUM('Water  Fund  Inc Exp Statement '!I121:I123)+'Water  Fund  Inc Exp Statement '!I122</f>
        <v>-1135</v>
      </c>
      <c r="J85" s="594">
        <f>-SUM('Water  Fund  Inc Exp Statement '!J121:J123)+'Water  Fund  Inc Exp Statement '!J122</f>
        <v>-1135</v>
      </c>
      <c r="K85" s="594">
        <f>-SUM('Water  Fund  Inc Exp Statement '!K121:K123)+'Water  Fund  Inc Exp Statement '!K122</f>
        <v>-1157.7</v>
      </c>
      <c r="L85" s="594">
        <f>-SUM('Water  Fund  Inc Exp Statement '!L121:L123)+'Water  Fund  Inc Exp Statement '!L122</f>
        <v>-1180.854</v>
      </c>
      <c r="M85" s="594">
        <f>-SUM('Water  Fund  Inc Exp Statement '!M121:M123)+'Water  Fund  Inc Exp Statement '!M122</f>
        <v>-1204.47108</v>
      </c>
      <c r="N85" s="594">
        <f>-SUM('Water  Fund  Inc Exp Statement '!N121:N123)+'Water  Fund  Inc Exp Statement '!N122</f>
        <v>-1228.5605016</v>
      </c>
      <c r="O85" s="594">
        <f>-SUM('Water  Fund  Inc Exp Statement '!O121:O123)+'Water  Fund  Inc Exp Statement '!O122</f>
        <v>-1253.1317116319999</v>
      </c>
      <c r="P85" s="594">
        <f>-SUM('Water  Fund  Inc Exp Statement '!P121:P123)+'Water  Fund  Inc Exp Statement '!P122</f>
        <v>-1278.1943458646399</v>
      </c>
    </row>
    <row r="86" spans="1:18" x14ac:dyDescent="0.25">
      <c r="A86" s="641" t="s">
        <v>95</v>
      </c>
      <c r="B86" s="591"/>
      <c r="C86" s="649">
        <f>C33</f>
        <v>0</v>
      </c>
      <c r="D86" s="648">
        <f>D33</f>
        <v>-26</v>
      </c>
      <c r="E86" s="648">
        <f t="shared" ref="E86" si="15">E33</f>
        <v>0</v>
      </c>
      <c r="F86" s="594">
        <v>0</v>
      </c>
      <c r="G86" s="594">
        <v>0</v>
      </c>
      <c r="H86" s="594">
        <v>0</v>
      </c>
      <c r="I86" s="594">
        <v>0</v>
      </c>
      <c r="J86" s="594">
        <v>0</v>
      </c>
      <c r="K86" s="594">
        <v>0</v>
      </c>
      <c r="L86" s="594">
        <v>0</v>
      </c>
      <c r="M86" s="594">
        <v>0</v>
      </c>
      <c r="N86" s="594">
        <v>0</v>
      </c>
      <c r="O86" s="594">
        <v>0</v>
      </c>
      <c r="P86" s="594">
        <v>0</v>
      </c>
    </row>
    <row r="87" spans="1:18" x14ac:dyDescent="0.25">
      <c r="A87" s="642" t="s">
        <v>110</v>
      </c>
      <c r="B87" s="593">
        <f>SUM(B77:B86)</f>
        <v>0</v>
      </c>
      <c r="C87" s="593">
        <f t="shared" ref="C87:P87" si="16">SUM(C77:C86)</f>
        <v>0</v>
      </c>
      <c r="D87" s="772">
        <f t="shared" si="16"/>
        <v>-31571</v>
      </c>
      <c r="E87" s="772">
        <f t="shared" si="16"/>
        <v>0</v>
      </c>
      <c r="F87" s="772">
        <f t="shared" si="16"/>
        <v>-1498.223</v>
      </c>
      <c r="G87" s="772">
        <f t="shared" si="16"/>
        <v>-1352.7380000000001</v>
      </c>
      <c r="H87" s="772">
        <f t="shared" si="16"/>
        <v>-1349.86</v>
      </c>
      <c r="I87" s="772">
        <f t="shared" si="16"/>
        <v>-1425.8600000000001</v>
      </c>
      <c r="J87" s="772">
        <f t="shared" si="16"/>
        <v>-1506.15</v>
      </c>
      <c r="K87" s="772">
        <f t="shared" si="16"/>
        <v>-1536.2730000000001</v>
      </c>
      <c r="L87" s="772">
        <f t="shared" si="16"/>
        <v>-1566.99846</v>
      </c>
      <c r="M87" s="772">
        <f t="shared" si="16"/>
        <v>-1598.3384292000001</v>
      </c>
      <c r="N87" s="772">
        <f t="shared" si="16"/>
        <v>-1630.305197784</v>
      </c>
      <c r="O87" s="772">
        <f t="shared" si="16"/>
        <v>-1662.9113017396799</v>
      </c>
      <c r="P87" s="772">
        <f t="shared" si="16"/>
        <v>-1696.1695277744734</v>
      </c>
    </row>
    <row r="88" spans="1:18" ht="4.5" customHeight="1" x14ac:dyDescent="0.25">
      <c r="B88" s="594"/>
      <c r="C88" s="594"/>
      <c r="D88" s="594"/>
      <c r="E88" s="594"/>
      <c r="F88" s="594"/>
      <c r="G88" s="594"/>
      <c r="H88" s="594"/>
      <c r="I88" s="594"/>
      <c r="J88" s="594"/>
      <c r="K88" s="594"/>
      <c r="L88" s="594"/>
      <c r="M88" s="594"/>
      <c r="N88" s="594"/>
      <c r="O88" s="594"/>
      <c r="P88" s="594"/>
    </row>
    <row r="89" spans="1:18" x14ac:dyDescent="0.25">
      <c r="A89" s="592" t="s">
        <v>1054</v>
      </c>
      <c r="B89" s="590"/>
      <c r="C89" s="590"/>
      <c r="D89" s="590"/>
      <c r="E89" s="590"/>
      <c r="F89" s="590"/>
      <c r="G89" s="590"/>
      <c r="H89" s="590"/>
      <c r="I89" s="590"/>
      <c r="J89" s="590"/>
      <c r="K89" s="590"/>
      <c r="L89" s="590"/>
      <c r="M89" s="590"/>
      <c r="N89" s="590"/>
      <c r="O89" s="590"/>
      <c r="P89" s="590"/>
    </row>
    <row r="90" spans="1:18" x14ac:dyDescent="0.25">
      <c r="A90" s="640" t="s">
        <v>83</v>
      </c>
      <c r="B90" s="590"/>
      <c r="C90" s="590"/>
      <c r="D90" s="590"/>
      <c r="E90" s="590"/>
      <c r="F90" s="590"/>
      <c r="G90" s="590"/>
      <c r="H90" s="590"/>
      <c r="I90" s="590"/>
      <c r="J90" s="590"/>
      <c r="K90" s="590"/>
      <c r="L90" s="590"/>
      <c r="M90" s="590"/>
      <c r="N90" s="590"/>
      <c r="O90" s="590"/>
      <c r="P90" s="590"/>
    </row>
    <row r="91" spans="1:18" x14ac:dyDescent="0.25">
      <c r="A91" s="639" t="s">
        <v>1055</v>
      </c>
      <c r="B91" s="594"/>
      <c r="C91" s="594"/>
      <c r="D91" s="594">
        <f>D38</f>
        <v>5350</v>
      </c>
      <c r="E91" s="594">
        <f t="shared" ref="E91" si="17">E38</f>
        <v>0</v>
      </c>
      <c r="F91" s="594">
        <f>'Water  Fund  Inc Exp Statement '!F134</f>
        <v>0</v>
      </c>
      <c r="G91" s="594">
        <f>'Water  Fund  Inc Exp Statement '!G134</f>
        <v>0</v>
      </c>
      <c r="H91" s="594">
        <f>'Water  Fund  Inc Exp Statement '!H134</f>
        <v>0</v>
      </c>
      <c r="I91" s="594">
        <f>'Water  Fund  Inc Exp Statement '!I134</f>
        <v>0</v>
      </c>
      <c r="J91" s="594">
        <f>'Water  Fund  Inc Exp Statement '!J134</f>
        <v>0</v>
      </c>
      <c r="K91" s="594">
        <f>'Water  Fund  Inc Exp Statement '!K134</f>
        <v>0</v>
      </c>
      <c r="L91" s="594">
        <f>'Water  Fund  Inc Exp Statement '!L134</f>
        <v>0</v>
      </c>
      <c r="M91" s="594">
        <f>'Water  Fund  Inc Exp Statement '!M134</f>
        <v>0</v>
      </c>
      <c r="N91" s="594">
        <f>'Water  Fund  Inc Exp Statement '!N134</f>
        <v>0</v>
      </c>
      <c r="O91" s="594">
        <f>'Water  Fund  Inc Exp Statement '!O134</f>
        <v>0</v>
      </c>
      <c r="P91" s="594">
        <f>'Water  Fund  Inc Exp Statement '!P134</f>
        <v>0</v>
      </c>
    </row>
    <row r="92" spans="1:18" ht="5.25" customHeight="1" x14ac:dyDescent="0.25">
      <c r="B92" s="594"/>
      <c r="C92" s="594"/>
      <c r="D92" s="594"/>
      <c r="E92" s="594"/>
      <c r="F92" s="594"/>
      <c r="G92" s="594"/>
      <c r="H92" s="594"/>
      <c r="I92" s="594"/>
      <c r="J92" s="594"/>
      <c r="K92" s="594"/>
      <c r="L92" s="594"/>
      <c r="M92" s="594"/>
      <c r="N92" s="594"/>
      <c r="O92" s="594"/>
      <c r="P92" s="594"/>
    </row>
    <row r="93" spans="1:18" x14ac:dyDescent="0.25">
      <c r="A93" s="640" t="s">
        <v>87</v>
      </c>
      <c r="B93" s="594"/>
      <c r="C93" s="594"/>
      <c r="D93" s="594"/>
      <c r="E93" s="594"/>
      <c r="F93" s="594"/>
      <c r="G93" s="594"/>
      <c r="H93" s="594"/>
      <c r="I93" s="594"/>
      <c r="J93" s="594"/>
      <c r="K93" s="594"/>
      <c r="L93" s="594"/>
      <c r="M93" s="594"/>
      <c r="N93" s="594"/>
      <c r="O93" s="594"/>
      <c r="P93" s="594"/>
    </row>
    <row r="94" spans="1:18" x14ac:dyDescent="0.25">
      <c r="A94" s="639" t="s">
        <v>1056</v>
      </c>
      <c r="B94" s="594"/>
      <c r="C94" s="594"/>
      <c r="D94" s="594">
        <f>D41</f>
        <v>-1616</v>
      </c>
      <c r="E94" s="594">
        <f t="shared" ref="E94" si="18">E41</f>
        <v>0</v>
      </c>
      <c r="F94" s="594">
        <f>-'Water  Fund  Inc Exp Statement '!F124</f>
        <v>-257.05099999999999</v>
      </c>
      <c r="G94" s="594">
        <f>-'Water  Fund  Inc Exp Statement '!G124</f>
        <v>-273.84699999999998</v>
      </c>
      <c r="H94" s="594">
        <f>-'Water  Fund  Inc Exp Statement '!H124</f>
        <v>-291.74400000000003</v>
      </c>
      <c r="I94" s="594">
        <f>-'Water  Fund  Inc Exp Statement '!I124</f>
        <v>-310.113</v>
      </c>
      <c r="J94" s="594">
        <f>-'Water  Fund  Inc Exp Statement '!J124</f>
        <v>-331.38900000000001</v>
      </c>
      <c r="K94" s="594">
        <f>-'Water  Fund  Inc Exp Statement '!K124</f>
        <v>-338.01678000000004</v>
      </c>
      <c r="L94" s="594">
        <f>-'Water  Fund  Inc Exp Statement '!L124</f>
        <v>-344.77711560000006</v>
      </c>
      <c r="M94" s="594">
        <f>-'Water  Fund  Inc Exp Statement '!M124</f>
        <v>-323.67265791200009</v>
      </c>
      <c r="N94" s="594">
        <f>-'Water  Fund  Inc Exp Statement '!N124</f>
        <v>0</v>
      </c>
      <c r="O94" s="594">
        <f>-'Water  Fund  Inc Exp Statement '!O124</f>
        <v>0</v>
      </c>
      <c r="P94" s="594">
        <f>-'Water  Fund  Inc Exp Statement '!P124</f>
        <v>0</v>
      </c>
    </row>
    <row r="95" spans="1:18" s="644" customFormat="1" x14ac:dyDescent="0.25">
      <c r="A95" s="770" t="s">
        <v>110</v>
      </c>
      <c r="B95" s="772">
        <f t="shared" ref="B95:P95" si="19">SUM(B91:B94)</f>
        <v>0</v>
      </c>
      <c r="C95" s="772">
        <f t="shared" si="19"/>
        <v>0</v>
      </c>
      <c r="D95" s="772">
        <f t="shared" si="19"/>
        <v>3734</v>
      </c>
      <c r="E95" s="772">
        <f t="shared" si="19"/>
        <v>0</v>
      </c>
      <c r="F95" s="772">
        <f t="shared" si="19"/>
        <v>-257.05099999999999</v>
      </c>
      <c r="G95" s="772">
        <f t="shared" si="19"/>
        <v>-273.84699999999998</v>
      </c>
      <c r="H95" s="772">
        <f t="shared" si="19"/>
        <v>-291.74400000000003</v>
      </c>
      <c r="I95" s="772">
        <f t="shared" si="19"/>
        <v>-310.113</v>
      </c>
      <c r="J95" s="772">
        <f t="shared" si="19"/>
        <v>-331.38900000000001</v>
      </c>
      <c r="K95" s="772">
        <f t="shared" si="19"/>
        <v>-338.01678000000004</v>
      </c>
      <c r="L95" s="772">
        <f t="shared" si="19"/>
        <v>-344.77711560000006</v>
      </c>
      <c r="M95" s="772">
        <f t="shared" si="19"/>
        <v>-323.67265791200009</v>
      </c>
      <c r="N95" s="772">
        <f t="shared" si="19"/>
        <v>0</v>
      </c>
      <c r="O95" s="772">
        <f t="shared" si="19"/>
        <v>0</v>
      </c>
      <c r="P95" s="772">
        <f t="shared" si="19"/>
        <v>0</v>
      </c>
      <c r="R95" s="639"/>
    </row>
    <row r="96" spans="1:18" ht="3.75" customHeight="1" x14ac:dyDescent="0.25">
      <c r="B96" s="594"/>
      <c r="C96" s="594"/>
      <c r="D96" s="594"/>
      <c r="E96" s="594"/>
      <c r="F96" s="594"/>
      <c r="G96" s="594"/>
      <c r="H96" s="594"/>
      <c r="I96" s="594"/>
      <c r="J96" s="594"/>
      <c r="K96" s="594"/>
      <c r="L96" s="594"/>
      <c r="M96" s="594"/>
      <c r="N96" s="594"/>
      <c r="O96" s="594"/>
      <c r="P96" s="594"/>
    </row>
    <row r="97" spans="1:16" x14ac:dyDescent="0.25">
      <c r="A97" s="592" t="s">
        <v>321</v>
      </c>
      <c r="B97" s="594">
        <f>+B73+B87</f>
        <v>0</v>
      </c>
      <c r="C97" s="594">
        <f>+C73+C87</f>
        <v>0</v>
      </c>
      <c r="D97" s="594">
        <f>+D73+D87+D95</f>
        <v>5944</v>
      </c>
      <c r="E97" s="594">
        <f t="shared" ref="E97:P97" si="20">+E73+E87+E95</f>
        <v>0</v>
      </c>
      <c r="F97" s="594">
        <f t="shared" si="20"/>
        <v>-5.1159076974727213E-13</v>
      </c>
      <c r="G97" s="594">
        <f t="shared" si="20"/>
        <v>263.39999999999964</v>
      </c>
      <c r="H97" s="594">
        <f t="shared" si="20"/>
        <v>273.87299999999948</v>
      </c>
      <c r="I97" s="594">
        <f t="shared" si="20"/>
        <v>284.72999999999871</v>
      </c>
      <c r="J97" s="594">
        <f t="shared" si="20"/>
        <v>295.84699999999987</v>
      </c>
      <c r="K97" s="594">
        <f t="shared" si="20"/>
        <v>280.46830620000026</v>
      </c>
      <c r="L97" s="594">
        <f t="shared" si="20"/>
        <v>308.08532774700058</v>
      </c>
      <c r="M97" s="594">
        <f t="shared" si="20"/>
        <v>362.78418387823547</v>
      </c>
      <c r="N97" s="594">
        <f t="shared" si="20"/>
        <v>709.2616446178713</v>
      </c>
      <c r="O97" s="594">
        <f t="shared" si="20"/>
        <v>745.88734998944574</v>
      </c>
      <c r="P97" s="594">
        <f t="shared" si="20"/>
        <v>783.93195047510153</v>
      </c>
    </row>
    <row r="98" spans="1:16" ht="7.5" customHeight="1" x14ac:dyDescent="0.25">
      <c r="A98" s="644"/>
      <c r="B98" s="594"/>
      <c r="C98" s="594"/>
      <c r="D98" s="594"/>
      <c r="E98" s="594"/>
      <c r="F98" s="594"/>
      <c r="G98" s="594"/>
      <c r="H98" s="594"/>
      <c r="I98" s="594"/>
      <c r="J98" s="594"/>
      <c r="K98" s="594"/>
      <c r="L98" s="594"/>
      <c r="M98" s="594"/>
      <c r="N98" s="594"/>
      <c r="O98" s="594"/>
      <c r="P98" s="594"/>
    </row>
    <row r="99" spans="1:16" x14ac:dyDescent="0.25">
      <c r="A99" s="592" t="s">
        <v>96</v>
      </c>
      <c r="B99" s="594"/>
      <c r="C99" s="594">
        <f>+B101</f>
        <v>0</v>
      </c>
      <c r="D99" s="594">
        <f>D46</f>
        <v>3352</v>
      </c>
      <c r="E99" s="594">
        <v>0</v>
      </c>
      <c r="F99" s="594">
        <f t="shared" ref="F99:P99" si="21">+E101</f>
        <v>0</v>
      </c>
      <c r="G99" s="594">
        <f t="shared" si="21"/>
        <v>-5.1159076974727213E-13</v>
      </c>
      <c r="H99" s="594">
        <f t="shared" si="21"/>
        <v>263.39999999999912</v>
      </c>
      <c r="I99" s="594">
        <f t="shared" si="21"/>
        <v>537.27299999999855</v>
      </c>
      <c r="J99" s="594">
        <f t="shared" si="21"/>
        <v>822.0029999999972</v>
      </c>
      <c r="K99" s="594">
        <f t="shared" si="21"/>
        <v>1117.8499999999972</v>
      </c>
      <c r="L99" s="594">
        <f t="shared" si="21"/>
        <v>1398.3183061999976</v>
      </c>
      <c r="M99" s="594">
        <f t="shared" si="21"/>
        <v>1706.4036339469981</v>
      </c>
      <c r="N99" s="594">
        <f t="shared" si="21"/>
        <v>2069.1878178252337</v>
      </c>
      <c r="O99" s="594">
        <f t="shared" si="21"/>
        <v>2778.4494624431049</v>
      </c>
      <c r="P99" s="594">
        <f t="shared" si="21"/>
        <v>3524.3368124325507</v>
      </c>
    </row>
    <row r="100" spans="1:16" ht="6.75" customHeight="1" x14ac:dyDescent="0.25">
      <c r="B100" s="594"/>
      <c r="C100" s="594"/>
      <c r="D100" s="594"/>
      <c r="E100" s="594"/>
      <c r="F100" s="594"/>
      <c r="G100" s="594"/>
      <c r="H100" s="594"/>
      <c r="I100" s="594"/>
      <c r="J100" s="594"/>
      <c r="K100" s="594"/>
      <c r="L100" s="594"/>
      <c r="M100" s="594"/>
      <c r="N100" s="594"/>
      <c r="O100" s="594"/>
      <c r="P100" s="594"/>
    </row>
    <row r="101" spans="1:16" ht="12.6" thickBot="1" x14ac:dyDescent="0.3">
      <c r="A101" s="592" t="s">
        <v>97</v>
      </c>
      <c r="B101" s="645">
        <f>+B97+B99</f>
        <v>0</v>
      </c>
      <c r="C101" s="645">
        <f t="shared" ref="C101:P101" si="22">+C97+C99</f>
        <v>0</v>
      </c>
      <c r="D101" s="645">
        <f t="shared" si="22"/>
        <v>9296</v>
      </c>
      <c r="E101" s="650">
        <f t="shared" si="22"/>
        <v>0</v>
      </c>
      <c r="F101" s="650">
        <f t="shared" si="22"/>
        <v>-5.1159076974727213E-13</v>
      </c>
      <c r="G101" s="650">
        <f t="shared" si="22"/>
        <v>263.39999999999912</v>
      </c>
      <c r="H101" s="650">
        <f t="shared" si="22"/>
        <v>537.27299999999855</v>
      </c>
      <c r="I101" s="650">
        <f t="shared" si="22"/>
        <v>822.0029999999972</v>
      </c>
      <c r="J101" s="650">
        <f t="shared" si="22"/>
        <v>1117.8499999999972</v>
      </c>
      <c r="K101" s="650">
        <f t="shared" si="22"/>
        <v>1398.3183061999976</v>
      </c>
      <c r="L101" s="650">
        <f t="shared" si="22"/>
        <v>1706.4036339469981</v>
      </c>
      <c r="M101" s="650">
        <f t="shared" si="22"/>
        <v>2069.1878178252337</v>
      </c>
      <c r="N101" s="650">
        <f t="shared" si="22"/>
        <v>2778.4494624431049</v>
      </c>
      <c r="O101" s="650">
        <f t="shared" si="22"/>
        <v>3524.3368124325507</v>
      </c>
      <c r="P101" s="650">
        <f t="shared" si="22"/>
        <v>4308.2687629076518</v>
      </c>
    </row>
    <row r="102" spans="1:16" ht="4.5" customHeight="1" x14ac:dyDescent="0.25"/>
    <row r="103" spans="1:16" x14ac:dyDescent="0.25">
      <c r="A103" s="639" t="s">
        <v>98</v>
      </c>
      <c r="B103" s="590"/>
      <c r="C103" s="590">
        <f>B103-C83-C77</f>
        <v>0</v>
      </c>
      <c r="D103" s="590">
        <f>D50</f>
        <v>46112</v>
      </c>
      <c r="E103" s="590">
        <f>E50</f>
        <v>18997</v>
      </c>
      <c r="F103" s="590">
        <f t="shared" ref="F103:P103" si="23">E103-F83-F77</f>
        <v>17190.222999999998</v>
      </c>
      <c r="G103" s="590">
        <f t="shared" si="23"/>
        <v>16287.960999999998</v>
      </c>
      <c r="H103" s="590">
        <f t="shared" si="23"/>
        <v>16322.820999999998</v>
      </c>
      <c r="I103" s="590">
        <f t="shared" si="23"/>
        <v>16613.680999999997</v>
      </c>
      <c r="J103" s="590">
        <f t="shared" si="23"/>
        <v>16984.830999999998</v>
      </c>
      <c r="K103" s="590">
        <f t="shared" si="23"/>
        <v>17363.403999999999</v>
      </c>
      <c r="L103" s="590">
        <f t="shared" si="23"/>
        <v>17749.548459999998</v>
      </c>
      <c r="M103" s="590">
        <f t="shared" si="23"/>
        <v>18143.4158092</v>
      </c>
      <c r="N103" s="590">
        <f t="shared" si="23"/>
        <v>18545.160505383999</v>
      </c>
      <c r="O103" s="590">
        <f t="shared" si="23"/>
        <v>18954.940095491678</v>
      </c>
      <c r="P103" s="590">
        <f t="shared" si="23"/>
        <v>19372.915277401513</v>
      </c>
    </row>
    <row r="104" spans="1:16" ht="4.5" customHeight="1" x14ac:dyDescent="0.25">
      <c r="B104" s="590"/>
      <c r="C104" s="590"/>
      <c r="D104" s="590"/>
      <c r="E104" s="590"/>
      <c r="F104" s="590"/>
      <c r="G104" s="590"/>
      <c r="H104" s="590"/>
      <c r="I104" s="590"/>
      <c r="J104" s="590"/>
      <c r="K104" s="590"/>
      <c r="L104" s="590"/>
      <c r="M104" s="590"/>
      <c r="N104" s="590"/>
      <c r="O104" s="590"/>
      <c r="P104" s="590"/>
    </row>
    <row r="105" spans="1:16" ht="12.6" thickBot="1" x14ac:dyDescent="0.3">
      <c r="A105" s="592" t="s">
        <v>99</v>
      </c>
      <c r="B105" s="646">
        <f>+B101+B103</f>
        <v>0</v>
      </c>
      <c r="C105" s="646">
        <f t="shared" ref="C105:P105" si="24">+C101+C103</f>
        <v>0</v>
      </c>
      <c r="D105" s="646">
        <f t="shared" si="24"/>
        <v>55408</v>
      </c>
      <c r="E105" s="646">
        <f t="shared" si="24"/>
        <v>18997</v>
      </c>
      <c r="F105" s="646">
        <f t="shared" si="24"/>
        <v>17190.222999999998</v>
      </c>
      <c r="G105" s="646">
        <f t="shared" si="24"/>
        <v>16551.360999999997</v>
      </c>
      <c r="H105" s="646">
        <f t="shared" si="24"/>
        <v>16860.093999999997</v>
      </c>
      <c r="I105" s="646">
        <f t="shared" si="24"/>
        <v>17435.683999999994</v>
      </c>
      <c r="J105" s="595">
        <f t="shared" si="24"/>
        <v>18102.680999999997</v>
      </c>
      <c r="K105" s="595">
        <f t="shared" si="24"/>
        <v>18761.722306199998</v>
      </c>
      <c r="L105" s="595">
        <f t="shared" si="24"/>
        <v>19455.952093946995</v>
      </c>
      <c r="M105" s="595">
        <f t="shared" si="24"/>
        <v>20212.603627025233</v>
      </c>
      <c r="N105" s="595">
        <f t="shared" si="24"/>
        <v>21323.609967827106</v>
      </c>
      <c r="O105" s="595">
        <f t="shared" si="24"/>
        <v>22479.276907924228</v>
      </c>
      <c r="P105" s="595">
        <f t="shared" si="24"/>
        <v>23681.184040309163</v>
      </c>
    </row>
    <row r="106" spans="1:16" ht="12.6" thickTop="1" x14ac:dyDescent="0.25"/>
    <row r="107" spans="1:16" ht="13.8" x14ac:dyDescent="0.3">
      <c r="A107" s="1091" t="s">
        <v>1363</v>
      </c>
    </row>
    <row r="108" spans="1:16" x14ac:dyDescent="0.25">
      <c r="A108" s="597" t="s">
        <v>1067</v>
      </c>
      <c r="B108" s="586" t="s">
        <v>69</v>
      </c>
      <c r="C108" s="586" t="s">
        <v>69</v>
      </c>
      <c r="D108" s="586" t="str">
        <f t="shared" ref="D108:P108" si="25">D55</f>
        <v>Actual</v>
      </c>
      <c r="E108" s="586" t="str">
        <f t="shared" si="25"/>
        <v>Actual</v>
      </c>
      <c r="F108" s="586" t="str">
        <f t="shared" si="25"/>
        <v>Budget</v>
      </c>
      <c r="G108" s="586" t="str">
        <f t="shared" si="25"/>
        <v>Budget</v>
      </c>
      <c r="H108" s="586" t="str">
        <f t="shared" si="25"/>
        <v>Projected</v>
      </c>
      <c r="I108" s="586" t="str">
        <f t="shared" si="25"/>
        <v>Projected</v>
      </c>
      <c r="J108" s="586" t="str">
        <f t="shared" si="25"/>
        <v>Projected</v>
      </c>
      <c r="K108" s="586" t="str">
        <f t="shared" si="25"/>
        <v>Projected</v>
      </c>
      <c r="L108" s="586" t="str">
        <f t="shared" si="25"/>
        <v>Projected</v>
      </c>
      <c r="M108" s="586" t="str">
        <f t="shared" si="25"/>
        <v>Projected</v>
      </c>
      <c r="N108" s="586" t="str">
        <f t="shared" si="25"/>
        <v>Projected</v>
      </c>
      <c r="O108" s="586" t="str">
        <f t="shared" si="25"/>
        <v>Projected</v>
      </c>
      <c r="P108" s="586" t="str">
        <f t="shared" si="25"/>
        <v>Projected</v>
      </c>
    </row>
    <row r="109" spans="1:16" x14ac:dyDescent="0.25">
      <c r="A109" s="585" t="s">
        <v>73</v>
      </c>
      <c r="B109" s="638" t="s">
        <v>68</v>
      </c>
      <c r="C109" s="586" t="s">
        <v>0</v>
      </c>
      <c r="D109" s="586" t="s">
        <v>1</v>
      </c>
      <c r="E109" s="586" t="s">
        <v>2</v>
      </c>
      <c r="F109" s="586" t="s">
        <v>3</v>
      </c>
      <c r="G109" s="586" t="s">
        <v>4</v>
      </c>
      <c r="H109" s="586" t="s">
        <v>5</v>
      </c>
      <c r="I109" s="586" t="s">
        <v>6</v>
      </c>
      <c r="J109" s="586" t="s">
        <v>7</v>
      </c>
      <c r="K109" s="586" t="s">
        <v>8</v>
      </c>
      <c r="L109" s="586" t="s">
        <v>9</v>
      </c>
      <c r="M109" s="586" t="s">
        <v>514</v>
      </c>
      <c r="N109" s="586" t="s">
        <v>515</v>
      </c>
      <c r="O109" s="586" t="s">
        <v>904</v>
      </c>
      <c r="P109" s="586" t="s">
        <v>1046</v>
      </c>
    </row>
    <row r="111" spans="1:16" x14ac:dyDescent="0.25">
      <c r="A111" s="592" t="s">
        <v>82</v>
      </c>
    </row>
    <row r="112" spans="1:16" x14ac:dyDescent="0.25">
      <c r="A112" s="640" t="s">
        <v>83</v>
      </c>
      <c r="B112" s="590"/>
      <c r="C112" s="590"/>
      <c r="D112" s="590"/>
      <c r="E112" s="590"/>
      <c r="F112" s="590"/>
      <c r="G112" s="590"/>
      <c r="H112" s="590"/>
      <c r="I112" s="590"/>
      <c r="J112" s="590"/>
      <c r="K112" s="590"/>
      <c r="L112" s="590"/>
      <c r="M112" s="590"/>
      <c r="N112" s="590"/>
      <c r="O112" s="590"/>
      <c r="P112" s="590"/>
    </row>
    <row r="113" spans="1:16" x14ac:dyDescent="0.25">
      <c r="A113" s="639" t="s">
        <v>11</v>
      </c>
      <c r="B113" s="594"/>
      <c r="C113" s="594">
        <f t="shared" ref="C113:D118" si="26">C60</f>
        <v>0</v>
      </c>
      <c r="D113" s="594">
        <f t="shared" si="26"/>
        <v>18724</v>
      </c>
      <c r="E113" s="594"/>
      <c r="F113" s="594">
        <f>'Water  Fund  Inc Exp Statement '!F148</f>
        <v>1580</v>
      </c>
      <c r="G113" s="594">
        <f>'Water  Fund  Inc Exp Statement '!G148</f>
        <v>1485</v>
      </c>
      <c r="H113" s="594">
        <f>'Water  Fund  Inc Exp Statement '!H148</f>
        <v>1498.365</v>
      </c>
      <c r="I113" s="594">
        <f>'Water  Fund  Inc Exp Statement '!I148</f>
        <v>1511.85</v>
      </c>
      <c r="J113" s="594">
        <f>'Water  Fund  Inc Exp Statement '!J148</f>
        <v>1525.4559999999999</v>
      </c>
      <c r="K113" s="594">
        <f>'Water  Fund  Inc Exp Statement '!K148</f>
        <v>1563.5923999999998</v>
      </c>
      <c r="L113" s="594">
        <f>'Water  Fund  Inc Exp Statement '!L148</f>
        <v>1602.6822099999997</v>
      </c>
      <c r="M113" s="594">
        <f>'Water  Fund  Inc Exp Statement '!M148</f>
        <v>1642.7492652499996</v>
      </c>
      <c r="N113" s="594">
        <f>'Water  Fund  Inc Exp Statement '!N148</f>
        <v>1683.8179968812494</v>
      </c>
      <c r="O113" s="594">
        <f>'Water  Fund  Inc Exp Statement '!O148</f>
        <v>1725.9134468032805</v>
      </c>
      <c r="P113" s="594">
        <f>'Water  Fund  Inc Exp Statement '!P148</f>
        <v>1769.0612829733625</v>
      </c>
    </row>
    <row r="114" spans="1:16" x14ac:dyDescent="0.25">
      <c r="A114" s="639" t="s">
        <v>12</v>
      </c>
      <c r="B114" s="594"/>
      <c r="C114" s="594">
        <f t="shared" si="26"/>
        <v>0</v>
      </c>
      <c r="D114" s="594">
        <f t="shared" si="26"/>
        <v>11585</v>
      </c>
      <c r="E114" s="594"/>
      <c r="F114" s="594">
        <f>'Water  Fund  Inc Exp Statement '!F149</f>
        <v>3719.15</v>
      </c>
      <c r="G114" s="594">
        <f>'Water  Fund  Inc Exp Statement '!G149</f>
        <v>3922.375</v>
      </c>
      <c r="H114" s="594">
        <f>'Water  Fund  Inc Exp Statement '!H149</f>
        <v>4115.482</v>
      </c>
      <c r="I114" s="594">
        <f>'Water  Fund  Inc Exp Statement '!I149</f>
        <v>4318.1729999999998</v>
      </c>
      <c r="J114" s="594">
        <f>'Water  Fund  Inc Exp Statement '!J149</f>
        <v>4530.9430000000002</v>
      </c>
      <c r="K114" s="594">
        <f>'Water  Fund  Inc Exp Statement '!K149</f>
        <v>4621.5618600000007</v>
      </c>
      <c r="L114" s="594">
        <f>'Water  Fund  Inc Exp Statement '!L149</f>
        <v>4713.9930972000011</v>
      </c>
      <c r="M114" s="594">
        <f>'Water  Fund  Inc Exp Statement '!M149</f>
        <v>4808.2729591440011</v>
      </c>
      <c r="N114" s="594">
        <f>'Water  Fund  Inc Exp Statement '!N149</f>
        <v>4904.4384183268812</v>
      </c>
      <c r="O114" s="594">
        <f>'Water  Fund  Inc Exp Statement '!O149</f>
        <v>5002.527186693419</v>
      </c>
      <c r="P114" s="594">
        <f>'Water  Fund  Inc Exp Statement '!P149</f>
        <v>5102.5777304272879</v>
      </c>
    </row>
    <row r="115" spans="1:16" x14ac:dyDescent="0.25">
      <c r="A115" s="639" t="s">
        <v>84</v>
      </c>
      <c r="B115" s="594"/>
      <c r="C115" s="594">
        <f t="shared" si="26"/>
        <v>0</v>
      </c>
      <c r="D115" s="594">
        <f t="shared" si="26"/>
        <v>2499</v>
      </c>
      <c r="E115" s="594"/>
      <c r="F115" s="594">
        <f>'Water  Fund  Inc Exp Statement '!F150</f>
        <v>868</v>
      </c>
      <c r="G115" s="594">
        <f>'Water  Fund  Inc Exp Statement '!G150</f>
        <v>819</v>
      </c>
      <c r="H115" s="594">
        <f>'Water  Fund  Inc Exp Statement '!H150</f>
        <v>739.62</v>
      </c>
      <c r="I115" s="594">
        <f>'Water  Fund  Inc Exp Statement '!I150</f>
        <v>740.55200000000002</v>
      </c>
      <c r="J115" s="594">
        <f>'Water  Fund  Inc Exp Statement '!J150</f>
        <v>740.89700000000005</v>
      </c>
      <c r="K115" s="594">
        <f>'Water  Fund  Inc Exp Statement '!K150</f>
        <v>724.10723999999993</v>
      </c>
      <c r="L115" s="594">
        <f>'Water  Fund  Inc Exp Statement '!L150</f>
        <v>750.46889224799986</v>
      </c>
      <c r="M115" s="594">
        <f>'Water  Fund  Inc Exp Statement '!M150</f>
        <v>778.23808375787985</v>
      </c>
      <c r="N115" s="594">
        <f>'Water  Fund  Inc Exp Statement '!N150</f>
        <v>808.50414508100937</v>
      </c>
      <c r="O115" s="594">
        <f>'Water  Fund  Inc Exp Statement '!O150</f>
        <v>852.9443987130843</v>
      </c>
      <c r="P115" s="594">
        <f>'Water  Fund  Inc Exp Statement '!P150</f>
        <v>899.17107631696911</v>
      </c>
    </row>
    <row r="116" spans="1:16" x14ac:dyDescent="0.25">
      <c r="A116" s="639" t="s">
        <v>85</v>
      </c>
      <c r="B116" s="594"/>
      <c r="C116" s="594">
        <f t="shared" si="26"/>
        <v>0</v>
      </c>
      <c r="D116" s="594">
        <f t="shared" si="26"/>
        <v>26703</v>
      </c>
      <c r="E116" s="594"/>
      <c r="F116" s="594">
        <f>'Water  Fund  Inc Exp Statement '!F152+'Water  Fund  Inc Exp Statement '!F153</f>
        <v>88.5</v>
      </c>
      <c r="G116" s="594">
        <f>'Water  Fund  Inc Exp Statement '!G152+'Water  Fund  Inc Exp Statement '!G153</f>
        <v>84.5</v>
      </c>
      <c r="H116" s="594">
        <f>'Water  Fund  Inc Exp Statement '!H152+'Water  Fund  Inc Exp Statement '!H153</f>
        <v>85.19</v>
      </c>
      <c r="I116" s="594">
        <f>'Water  Fund  Inc Exp Statement '!I152+'Water  Fund  Inc Exp Statement '!I153</f>
        <v>85.893000000000001</v>
      </c>
      <c r="J116" s="594">
        <f>'Water  Fund  Inc Exp Statement '!J152+'Water  Fund  Inc Exp Statement '!J153</f>
        <v>86.61099999999999</v>
      </c>
      <c r="K116" s="594">
        <f>'Water  Fund  Inc Exp Statement '!K152+'Water  Fund  Inc Exp Statement '!K153</f>
        <v>88.526274999999998</v>
      </c>
      <c r="L116" s="594">
        <f>'Water  Fund  Inc Exp Statement '!L152+'Water  Fund  Inc Exp Statement '!L153</f>
        <v>90.484431874999984</v>
      </c>
      <c r="M116" s="594">
        <f>'Water  Fund  Inc Exp Statement '!M152+'Water  Fund  Inc Exp Statement '!M153</f>
        <v>91.446042671874977</v>
      </c>
      <c r="N116" s="594">
        <f>'Water  Fund  Inc Exp Statement '!N152+'Water  Fund  Inc Exp Statement '!N153</f>
        <v>92.431693738671854</v>
      </c>
      <c r="O116" s="594">
        <f>'Water  Fund  Inc Exp Statement '!O152+'Water  Fund  Inc Exp Statement '!O153</f>
        <v>93.441986082138641</v>
      </c>
      <c r="P116" s="594">
        <f>'Water  Fund  Inc Exp Statement '!P152+'Water  Fund  Inc Exp Statement '!P153</f>
        <v>94.477535734192116</v>
      </c>
    </row>
    <row r="117" spans="1:16" hidden="1" outlineLevel="1" x14ac:dyDescent="0.2">
      <c r="A117" s="639" t="s">
        <v>86</v>
      </c>
      <c r="B117" s="594"/>
      <c r="C117" s="594">
        <f t="shared" si="26"/>
        <v>0</v>
      </c>
      <c r="D117" s="594">
        <f t="shared" si="26"/>
        <v>97</v>
      </c>
      <c r="E117" s="594"/>
      <c r="F117" s="594">
        <v>0</v>
      </c>
      <c r="G117" s="594">
        <v>0</v>
      </c>
      <c r="H117" s="594">
        <v>0</v>
      </c>
      <c r="I117" s="594">
        <v>0</v>
      </c>
      <c r="J117" s="594">
        <v>0</v>
      </c>
      <c r="K117" s="594">
        <v>0</v>
      </c>
      <c r="L117" s="594">
        <v>0</v>
      </c>
      <c r="M117" s="594">
        <v>0</v>
      </c>
      <c r="N117" s="594">
        <v>0</v>
      </c>
      <c r="O117" s="594">
        <v>0</v>
      </c>
      <c r="P117" s="594">
        <v>0</v>
      </c>
    </row>
    <row r="118" spans="1:16" collapsed="1" x14ac:dyDescent="0.25">
      <c r="A118" s="639" t="s">
        <v>41</v>
      </c>
      <c r="B118" s="594"/>
      <c r="C118" s="594">
        <f t="shared" si="26"/>
        <v>0</v>
      </c>
      <c r="D118" s="594">
        <f t="shared" si="26"/>
        <v>5309</v>
      </c>
      <c r="E118" s="594"/>
      <c r="F118" s="594">
        <f>'Water  Fund  Inc Exp Statement '!F151+'Water  Fund  Inc Exp Statement '!F154</f>
        <v>0</v>
      </c>
      <c r="G118" s="594">
        <f>'Water  Fund  Inc Exp Statement '!G151+'Water  Fund  Inc Exp Statement '!G154</f>
        <v>0</v>
      </c>
      <c r="H118" s="594">
        <f>'Water  Fund  Inc Exp Statement '!H151+'Water  Fund  Inc Exp Statement '!H154</f>
        <v>0</v>
      </c>
      <c r="I118" s="594">
        <f>'Water  Fund  Inc Exp Statement '!I151+'Water  Fund  Inc Exp Statement '!I154</f>
        <v>0</v>
      </c>
      <c r="J118" s="594">
        <f>'Water  Fund  Inc Exp Statement '!J151+'Water  Fund  Inc Exp Statement '!J154</f>
        <v>0</v>
      </c>
      <c r="K118" s="594">
        <f>'Water  Fund  Inc Exp Statement '!K151+'Water  Fund  Inc Exp Statement '!K154</f>
        <v>0</v>
      </c>
      <c r="L118" s="594">
        <f>'Water  Fund  Inc Exp Statement '!L151+'Water  Fund  Inc Exp Statement '!L154</f>
        <v>0</v>
      </c>
      <c r="M118" s="594">
        <f>'Water  Fund  Inc Exp Statement '!M151+'Water  Fund  Inc Exp Statement '!M154</f>
        <v>0</v>
      </c>
      <c r="N118" s="594">
        <f>'Water  Fund  Inc Exp Statement '!N151+'Water  Fund  Inc Exp Statement '!N154</f>
        <v>0</v>
      </c>
      <c r="O118" s="594">
        <f>'Water  Fund  Inc Exp Statement '!O151+'Water  Fund  Inc Exp Statement '!O154</f>
        <v>0</v>
      </c>
      <c r="P118" s="594">
        <f>'Water  Fund  Inc Exp Statement '!P151+'Water  Fund  Inc Exp Statement '!P154</f>
        <v>0</v>
      </c>
    </row>
    <row r="119" spans="1:16" x14ac:dyDescent="0.25"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</row>
    <row r="120" spans="1:16" x14ac:dyDescent="0.25">
      <c r="A120" s="640" t="s">
        <v>87</v>
      </c>
      <c r="B120" s="594"/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</row>
    <row r="121" spans="1:16" x14ac:dyDescent="0.25">
      <c r="A121" s="639" t="s">
        <v>25</v>
      </c>
      <c r="B121" s="594"/>
      <c r="C121" s="594">
        <f>C68</f>
        <v>0</v>
      </c>
      <c r="D121" s="594">
        <f>D68</f>
        <v>-12900</v>
      </c>
      <c r="E121" s="594"/>
      <c r="F121" s="594">
        <f>-'Water  Fund  Inc Exp Statement '!F161</f>
        <v>-977.89</v>
      </c>
      <c r="G121" s="594">
        <f>-'Water  Fund  Inc Exp Statement '!G161</f>
        <v>-1129.55</v>
      </c>
      <c r="H121" s="594">
        <f>-'Water  Fund  Inc Exp Statement '!H161</f>
        <v>-1172.491</v>
      </c>
      <c r="I121" s="594">
        <f>-'Water  Fund  Inc Exp Statement '!I161</f>
        <v>-1217.242</v>
      </c>
      <c r="J121" s="594">
        <f>-'Water  Fund  Inc Exp Statement '!J161</f>
        <v>-1263.922</v>
      </c>
      <c r="K121" s="594">
        <f>-'Water  Fund  Inc Exp Statement '!K161</f>
        <v>-1301.8396600000001</v>
      </c>
      <c r="L121" s="594">
        <f>-'Water  Fund  Inc Exp Statement '!L161</f>
        <v>-1340.8948498000002</v>
      </c>
      <c r="M121" s="594">
        <f>-'Water  Fund  Inc Exp Statement '!M161</f>
        <v>-1381.1216952940003</v>
      </c>
      <c r="N121" s="594">
        <f>-'Water  Fund  Inc Exp Statement '!N161</f>
        <v>-1422.5553461528204</v>
      </c>
      <c r="O121" s="594">
        <f>-'Water  Fund  Inc Exp Statement '!O161</f>
        <v>-1465.2320065374051</v>
      </c>
      <c r="P121" s="594">
        <f>-'Water  Fund  Inc Exp Statement '!P161</f>
        <v>-1509.1889667335274</v>
      </c>
    </row>
    <row r="122" spans="1:16" x14ac:dyDescent="0.25">
      <c r="A122" s="639" t="s">
        <v>27</v>
      </c>
      <c r="B122" s="594"/>
      <c r="C122" s="594">
        <f>C69</f>
        <v>0</v>
      </c>
      <c r="D122" s="594">
        <f>D69</f>
        <v>-9702</v>
      </c>
      <c r="E122" s="594"/>
      <c r="F122" s="594">
        <f>-'Water  Fund  Inc Exp Statement '!F163-'Water  Fund  Inc Exp Statement '!F164</f>
        <v>-3013.2</v>
      </c>
      <c r="G122" s="594">
        <f>-'Water  Fund  Inc Exp Statement '!G163-'Water  Fund  Inc Exp Statement '!G164</f>
        <v>-2844.3</v>
      </c>
      <c r="H122" s="594">
        <f>-'Water  Fund  Inc Exp Statement '!H163-'Water  Fund  Inc Exp Statement '!H164</f>
        <v>-2914.2190000000001</v>
      </c>
      <c r="I122" s="594">
        <f>-'Water  Fund  Inc Exp Statement '!I163-'Water  Fund  Inc Exp Statement '!I164</f>
        <v>-2986.4229999999998</v>
      </c>
      <c r="J122" s="594">
        <f>-'Water  Fund  Inc Exp Statement '!J163-'Water  Fund  Inc Exp Statement '!J164</f>
        <v>-3061.0330000000004</v>
      </c>
      <c r="K122" s="594">
        <f>-'Water  Fund  Inc Exp Statement '!K163-'Water  Fund  Inc Exp Statement '!K164</f>
        <v>-3122.2536600000003</v>
      </c>
      <c r="L122" s="594">
        <f>-'Water  Fund  Inc Exp Statement '!L163-'Water  Fund  Inc Exp Statement '!L164</f>
        <v>-3184.6987332000003</v>
      </c>
      <c r="M122" s="594">
        <f>-'Water  Fund  Inc Exp Statement '!M163-'Water  Fund  Inc Exp Statement '!M164</f>
        <v>-3248.3927078640004</v>
      </c>
      <c r="N122" s="594">
        <f>-'Water  Fund  Inc Exp Statement '!N163-'Water  Fund  Inc Exp Statement '!N164</f>
        <v>-3313.3605620212802</v>
      </c>
      <c r="O122" s="594">
        <f>-'Water  Fund  Inc Exp Statement '!O163-'Water  Fund  Inc Exp Statement '!O164</f>
        <v>-3379.6277732617064</v>
      </c>
      <c r="P122" s="594">
        <f>-'Water  Fund  Inc Exp Statement '!P163-'Water  Fund  Inc Exp Statement '!P164</f>
        <v>-3447.2203287269404</v>
      </c>
    </row>
    <row r="123" spans="1:16" x14ac:dyDescent="0.25">
      <c r="A123" s="639" t="s">
        <v>926</v>
      </c>
      <c r="B123" s="594"/>
      <c r="C123" s="594"/>
      <c r="D123" s="594">
        <f>D70</f>
        <v>-639</v>
      </c>
      <c r="E123" s="594"/>
      <c r="F123" s="594">
        <f>-'Water  Fund  Inc Exp Statement '!F162</f>
        <v>-161.286</v>
      </c>
      <c r="G123" s="594">
        <f>-'Water  Fund  Inc Exp Statement '!G162</f>
        <v>-144.54</v>
      </c>
      <c r="H123" s="594">
        <f>-'Water  Fund  Inc Exp Statement '!H162</f>
        <v>-120.66</v>
      </c>
      <c r="I123" s="594">
        <f>-'Water  Fund  Inc Exp Statement '!I162</f>
        <v>-102.289</v>
      </c>
      <c r="J123" s="594">
        <f>-'Water  Fund  Inc Exp Statement '!J162</f>
        <v>-81.013999999999996</v>
      </c>
      <c r="K123" s="594">
        <f>-'Water  Fund  Inc Exp Statement '!K162</f>
        <v>-67.4933288</v>
      </c>
      <c r="L123" s="594">
        <f>-'Water  Fund  Inc Exp Statement '!L162</f>
        <v>-53.702244175999994</v>
      </c>
      <c r="M123" s="594">
        <f>-'Water  Fund  Inc Exp Statement '!M162</f>
        <v>-40.75533785951999</v>
      </c>
      <c r="N123" s="594">
        <f>-'Water  Fund  Inc Exp Statement '!N162</f>
        <v>-40.75533785951999</v>
      </c>
      <c r="O123" s="594">
        <f>-'Water  Fund  Inc Exp Statement '!O162</f>
        <v>-40.75533785951999</v>
      </c>
      <c r="P123" s="594">
        <f>-'Water  Fund  Inc Exp Statement '!P162</f>
        <v>-40.75533785951999</v>
      </c>
    </row>
    <row r="124" spans="1:16" hidden="1" outlineLevel="1" x14ac:dyDescent="0.2">
      <c r="A124" s="639" t="s">
        <v>88</v>
      </c>
      <c r="B124" s="594"/>
      <c r="C124" s="594">
        <f>C71</f>
        <v>0</v>
      </c>
      <c r="D124" s="594">
        <f>D71</f>
        <v>-79</v>
      </c>
      <c r="E124" s="594"/>
      <c r="F124" s="594">
        <v>0</v>
      </c>
      <c r="G124" s="594">
        <v>0</v>
      </c>
      <c r="H124" s="594">
        <v>0</v>
      </c>
      <c r="I124" s="594">
        <v>0</v>
      </c>
      <c r="J124" s="594">
        <v>0</v>
      </c>
      <c r="K124" s="594">
        <v>0</v>
      </c>
      <c r="L124" s="594">
        <v>0</v>
      </c>
      <c r="M124" s="594">
        <v>0</v>
      </c>
      <c r="N124" s="594">
        <v>0</v>
      </c>
      <c r="O124" s="594">
        <v>0</v>
      </c>
      <c r="P124" s="594">
        <v>0</v>
      </c>
    </row>
    <row r="125" spans="1:16" collapsed="1" x14ac:dyDescent="0.25">
      <c r="A125" s="641" t="s">
        <v>41</v>
      </c>
      <c r="B125" s="591"/>
      <c r="C125" s="594">
        <f>C72</f>
        <v>0</v>
      </c>
      <c r="D125" s="594">
        <f>D72</f>
        <v>-7816</v>
      </c>
      <c r="E125" s="594"/>
      <c r="F125" s="591">
        <f>-'Water  Fund  Inc Exp Statement '!F168</f>
        <v>-348</v>
      </c>
      <c r="G125" s="591">
        <f>-'Water  Fund  Inc Exp Statement '!G168</f>
        <v>-302.5</v>
      </c>
      <c r="H125" s="591">
        <f>-'Water  Fund  Inc Exp Statement '!H168</f>
        <v>-315.81</v>
      </c>
      <c r="I125" s="591">
        <f>-'Water  Fund  Inc Exp Statement '!I168</f>
        <v>-329.81099999999998</v>
      </c>
      <c r="J125" s="591">
        <f>-'Water  Fund  Inc Exp Statement '!J168</f>
        <v>-344.55200000000002</v>
      </c>
      <c r="K125" s="591">
        <f>-'Water  Fund  Inc Exp Statement '!K168</f>
        <v>-351.44304000000005</v>
      </c>
      <c r="L125" s="591">
        <f>-'Water  Fund  Inc Exp Statement '!L168</f>
        <v>-358.47190080000007</v>
      </c>
      <c r="M125" s="591">
        <f>-'Water  Fund  Inc Exp Statement '!M168</f>
        <v>-365.64133881600009</v>
      </c>
      <c r="N125" s="591">
        <f>-'Water  Fund  Inc Exp Statement '!N168</f>
        <v>-372.95416559232007</v>
      </c>
      <c r="O125" s="591">
        <f>-'Water  Fund  Inc Exp Statement '!O168</f>
        <v>-380.41324890416649</v>
      </c>
      <c r="P125" s="591">
        <f>-'Water  Fund  Inc Exp Statement '!P168</f>
        <v>-388.02151388224985</v>
      </c>
    </row>
    <row r="126" spans="1:16" x14ac:dyDescent="0.25">
      <c r="A126" s="642" t="s">
        <v>89</v>
      </c>
      <c r="B126" s="643">
        <f>SUM(B113:B125)</f>
        <v>0</v>
      </c>
      <c r="C126" s="643">
        <f t="shared" ref="C126:P126" si="27">SUM(C113:C125)</f>
        <v>0</v>
      </c>
      <c r="D126" s="643">
        <f t="shared" si="27"/>
        <v>33781</v>
      </c>
      <c r="E126" s="643">
        <f t="shared" si="27"/>
        <v>0</v>
      </c>
      <c r="F126" s="643">
        <f t="shared" si="27"/>
        <v>1755.2739999999994</v>
      </c>
      <c r="G126" s="643">
        <f t="shared" si="27"/>
        <v>1889.9849999999997</v>
      </c>
      <c r="H126" s="643">
        <f t="shared" si="27"/>
        <v>1915.4769999999994</v>
      </c>
      <c r="I126" s="643">
        <f t="shared" si="27"/>
        <v>2020.7029999999988</v>
      </c>
      <c r="J126" s="643">
        <f t="shared" si="27"/>
        <v>2133.386</v>
      </c>
      <c r="K126" s="643">
        <f t="shared" si="27"/>
        <v>2154.7580862000004</v>
      </c>
      <c r="L126" s="643">
        <f t="shared" si="27"/>
        <v>2219.8609033470007</v>
      </c>
      <c r="M126" s="643">
        <f t="shared" si="27"/>
        <v>2284.7952709902356</v>
      </c>
      <c r="N126" s="643">
        <f t="shared" si="27"/>
        <v>2339.5668424018713</v>
      </c>
      <c r="O126" s="643">
        <f t="shared" si="27"/>
        <v>2408.7986517291256</v>
      </c>
      <c r="P126" s="643">
        <f t="shared" si="27"/>
        <v>2480.1014782495749</v>
      </c>
    </row>
    <row r="127" spans="1:16" x14ac:dyDescent="0.25">
      <c r="B127" s="590"/>
      <c r="C127" s="590"/>
      <c r="D127" s="590"/>
      <c r="E127" s="590"/>
      <c r="F127" s="590"/>
      <c r="G127" s="590"/>
      <c r="H127" s="590"/>
      <c r="I127" s="590"/>
      <c r="J127" s="590"/>
      <c r="K127" s="590"/>
      <c r="L127" s="590"/>
      <c r="M127" s="590"/>
      <c r="N127" s="590"/>
      <c r="O127" s="590"/>
      <c r="P127" s="590"/>
    </row>
    <row r="128" spans="1:16" x14ac:dyDescent="0.25">
      <c r="A128" s="592" t="s">
        <v>90</v>
      </c>
      <c r="B128" s="590"/>
      <c r="C128" s="590"/>
      <c r="D128" s="590"/>
      <c r="E128" s="590"/>
      <c r="F128" s="590"/>
      <c r="G128" s="590"/>
      <c r="H128" s="590"/>
      <c r="I128" s="590"/>
      <c r="J128" s="590"/>
      <c r="K128" s="590"/>
      <c r="L128" s="590"/>
      <c r="M128" s="590"/>
      <c r="N128" s="590"/>
      <c r="O128" s="590"/>
      <c r="P128" s="590"/>
    </row>
    <row r="129" spans="1:16" x14ac:dyDescent="0.25">
      <c r="A129" s="640" t="s">
        <v>83</v>
      </c>
      <c r="B129" s="590"/>
      <c r="C129" s="590"/>
      <c r="D129" s="590"/>
      <c r="E129" s="590"/>
      <c r="F129" s="590"/>
      <c r="G129" s="590"/>
      <c r="H129" s="590"/>
      <c r="I129" s="590"/>
      <c r="J129" s="590"/>
      <c r="K129" s="590"/>
      <c r="L129" s="590"/>
      <c r="M129" s="590"/>
      <c r="N129" s="590"/>
      <c r="O129" s="590"/>
      <c r="P129" s="590"/>
    </row>
    <row r="130" spans="1:16" x14ac:dyDescent="0.25">
      <c r="A130" s="639" t="s">
        <v>431</v>
      </c>
      <c r="B130" s="590"/>
      <c r="C130" s="590">
        <f>C77</f>
        <v>0</v>
      </c>
      <c r="D130" s="594">
        <f>D77</f>
        <v>7491</v>
      </c>
      <c r="E130" s="594">
        <f>E77</f>
        <v>0</v>
      </c>
      <c r="F130" s="594">
        <f>'Water  Fund  Inc Exp Statement '!F201</f>
        <v>1856.777</v>
      </c>
      <c r="G130" s="594">
        <f>'Water  Fund  Inc Exp Statement '!G201</f>
        <v>952.26199999999994</v>
      </c>
      <c r="H130" s="594">
        <f>'Water  Fund  Inc Exp Statement '!H201</f>
        <v>15.14</v>
      </c>
      <c r="I130" s="594">
        <f>'Water  Fund  Inc Exp Statement '!I201</f>
        <v>0</v>
      </c>
      <c r="J130" s="594">
        <f>'Water  Fund  Inc Exp Statement '!J201</f>
        <v>0</v>
      </c>
      <c r="K130" s="594">
        <f>'Water  Fund  Inc Exp Statement '!K201</f>
        <v>0</v>
      </c>
      <c r="L130" s="594">
        <f>'Water  Fund  Inc Exp Statement '!L201</f>
        <v>0</v>
      </c>
      <c r="M130" s="594">
        <f>'Water  Fund  Inc Exp Statement '!M201</f>
        <v>0</v>
      </c>
      <c r="N130" s="594">
        <f>'Water  Fund  Inc Exp Statement '!N201</f>
        <v>0</v>
      </c>
      <c r="O130" s="594">
        <f>'Water  Fund  Inc Exp Statement '!O201</f>
        <v>0</v>
      </c>
      <c r="P130" s="594">
        <f>'Water  Fund  Inc Exp Statement '!P201</f>
        <v>0</v>
      </c>
    </row>
    <row r="131" spans="1:16" x14ac:dyDescent="0.25">
      <c r="A131" s="594" t="str">
        <f>A78</f>
        <v>Sale of Investment Property</v>
      </c>
      <c r="B131" s="590"/>
      <c r="C131" s="590"/>
      <c r="D131" s="594">
        <f t="shared" ref="D131:E133" si="28">D78</f>
        <v>0</v>
      </c>
      <c r="E131" s="594">
        <f t="shared" si="28"/>
        <v>0</v>
      </c>
      <c r="F131" s="594">
        <v>0</v>
      </c>
      <c r="G131" s="594">
        <v>0</v>
      </c>
      <c r="H131" s="594">
        <v>0</v>
      </c>
      <c r="I131" s="594">
        <v>0</v>
      </c>
      <c r="J131" s="594">
        <v>0</v>
      </c>
      <c r="K131" s="594">
        <v>0</v>
      </c>
      <c r="L131" s="594">
        <v>0</v>
      </c>
      <c r="M131" s="594">
        <v>0</v>
      </c>
      <c r="N131" s="594">
        <v>0</v>
      </c>
      <c r="O131" s="594">
        <v>0</v>
      </c>
      <c r="P131" s="594">
        <v>0</v>
      </c>
    </row>
    <row r="132" spans="1:16" x14ac:dyDescent="0.25">
      <c r="A132" s="639" t="s">
        <v>91</v>
      </c>
      <c r="B132" s="594"/>
      <c r="C132" s="590">
        <f>C79</f>
        <v>0</v>
      </c>
      <c r="D132" s="594">
        <f t="shared" si="28"/>
        <v>0</v>
      </c>
      <c r="E132" s="594">
        <f t="shared" si="28"/>
        <v>0</v>
      </c>
      <c r="F132" s="594">
        <v>0</v>
      </c>
      <c r="G132" s="594">
        <v>0</v>
      </c>
      <c r="H132" s="594">
        <v>0</v>
      </c>
      <c r="I132" s="594">
        <v>0</v>
      </c>
      <c r="J132" s="594">
        <v>0</v>
      </c>
      <c r="K132" s="594">
        <v>0</v>
      </c>
      <c r="L132" s="594">
        <v>0</v>
      </c>
      <c r="M132" s="594">
        <v>0</v>
      </c>
      <c r="N132" s="594">
        <v>0</v>
      </c>
      <c r="O132" s="594">
        <v>0</v>
      </c>
      <c r="P132" s="594">
        <v>0</v>
      </c>
    </row>
    <row r="133" spans="1:16" x14ac:dyDescent="0.25">
      <c r="A133" s="639" t="s">
        <v>92</v>
      </c>
      <c r="B133" s="594"/>
      <c r="C133" s="590">
        <f>C80</f>
        <v>0</v>
      </c>
      <c r="D133" s="594">
        <f t="shared" si="28"/>
        <v>167</v>
      </c>
      <c r="E133" s="594">
        <f t="shared" si="28"/>
        <v>0</v>
      </c>
      <c r="F133" s="594">
        <f>'Water  Fund  Inc Exp Statement '!F203</f>
        <v>0</v>
      </c>
      <c r="G133" s="594">
        <f>'Water  Fund  Inc Exp Statement '!G203</f>
        <v>0</v>
      </c>
      <c r="H133" s="594">
        <f>'Water  Fund  Inc Exp Statement '!H203</f>
        <v>0</v>
      </c>
      <c r="I133" s="594">
        <f>'Water  Fund  Inc Exp Statement '!I203</f>
        <v>0</v>
      </c>
      <c r="J133" s="594">
        <f>'Water  Fund  Inc Exp Statement '!J203</f>
        <v>0</v>
      </c>
      <c r="K133" s="594">
        <f>'Water  Fund  Inc Exp Statement '!K203</f>
        <v>0</v>
      </c>
      <c r="L133" s="594">
        <f>'Water  Fund  Inc Exp Statement '!L203</f>
        <v>0</v>
      </c>
      <c r="M133" s="594">
        <f>'Water  Fund  Inc Exp Statement '!M203</f>
        <v>0</v>
      </c>
      <c r="N133" s="594">
        <f>'Water  Fund  Inc Exp Statement '!N203</f>
        <v>0</v>
      </c>
      <c r="O133" s="594">
        <f>'Water  Fund  Inc Exp Statement '!O203</f>
        <v>0</v>
      </c>
      <c r="P133" s="594">
        <f>'Water  Fund  Inc Exp Statement '!P203</f>
        <v>0</v>
      </c>
    </row>
    <row r="134" spans="1:16" x14ac:dyDescent="0.25">
      <c r="B134" s="594"/>
      <c r="C134" s="594"/>
      <c r="D134" s="594"/>
      <c r="E134" s="594"/>
      <c r="F134" s="594"/>
      <c r="G134" s="594"/>
      <c r="H134" s="594"/>
      <c r="I134" s="594"/>
      <c r="J134" s="594"/>
      <c r="K134" s="594"/>
      <c r="L134" s="594"/>
      <c r="M134" s="594"/>
      <c r="N134" s="594"/>
      <c r="O134" s="594"/>
      <c r="P134" s="594"/>
    </row>
    <row r="135" spans="1:16" x14ac:dyDescent="0.25">
      <c r="A135" s="640" t="s">
        <v>87</v>
      </c>
      <c r="B135" s="594"/>
      <c r="C135" s="594"/>
      <c r="D135" s="594"/>
      <c r="E135" s="594"/>
      <c r="F135" s="594"/>
      <c r="G135" s="594"/>
      <c r="H135" s="594"/>
      <c r="I135" s="594"/>
      <c r="J135" s="594"/>
      <c r="K135" s="594"/>
      <c r="L135" s="594"/>
      <c r="M135" s="594"/>
      <c r="N135" s="594"/>
      <c r="O135" s="594"/>
      <c r="P135" s="594"/>
    </row>
    <row r="136" spans="1:16" x14ac:dyDescent="0.25">
      <c r="A136" s="639" t="s">
        <v>93</v>
      </c>
      <c r="B136" s="594"/>
      <c r="C136" s="594">
        <f>C83</f>
        <v>0</v>
      </c>
      <c r="D136" s="594">
        <f>D83</f>
        <v>-10303</v>
      </c>
      <c r="E136" s="594">
        <f>E83</f>
        <v>0</v>
      </c>
      <c r="F136" s="594">
        <f>-'Water  Fund  Inc Exp Statement '!F193</f>
        <v>-50</v>
      </c>
      <c r="G136" s="594">
        <f>-'Water  Fund  Inc Exp Statement '!G193</f>
        <v>-50</v>
      </c>
      <c r="H136" s="594">
        <f>-'Water  Fund  Inc Exp Statement '!H193</f>
        <v>-50</v>
      </c>
      <c r="I136" s="594">
        <f>-'Water  Fund  Inc Exp Statement '!I193</f>
        <v>-290.86</v>
      </c>
      <c r="J136" s="594">
        <f>-'Water  Fund  Inc Exp Statement '!J193</f>
        <v>-371.15</v>
      </c>
      <c r="K136" s="594">
        <f>-'Water  Fund  Inc Exp Statement '!K193</f>
        <v>-378.57299999999998</v>
      </c>
      <c r="L136" s="594">
        <f>-'Water  Fund  Inc Exp Statement '!L193</f>
        <v>-386.14445999999998</v>
      </c>
      <c r="M136" s="594">
        <f>-'Water  Fund  Inc Exp Statement '!M193</f>
        <v>-393.86734919999998</v>
      </c>
      <c r="N136" s="594">
        <f>-'Water  Fund  Inc Exp Statement '!N193</f>
        <v>-401.74469618399996</v>
      </c>
      <c r="O136" s="594">
        <f>-'Water  Fund  Inc Exp Statement '!O193</f>
        <v>-409.77959010767995</v>
      </c>
      <c r="P136" s="594">
        <f>-'Water  Fund  Inc Exp Statement '!P193</f>
        <v>-417.97518190983357</v>
      </c>
    </row>
    <row r="137" spans="1:16" x14ac:dyDescent="0.25">
      <c r="A137" s="594" t="str">
        <f>A84</f>
        <v>Purchase of Investment Property</v>
      </c>
      <c r="B137" s="594"/>
      <c r="C137" s="594"/>
      <c r="D137" s="594">
        <f>D84</f>
        <v>-2531</v>
      </c>
      <c r="E137" s="594">
        <f t="shared" ref="E137" si="29">E84</f>
        <v>0</v>
      </c>
      <c r="F137" s="594">
        <f>0</f>
        <v>0</v>
      </c>
      <c r="G137" s="594">
        <f>0</f>
        <v>0</v>
      </c>
      <c r="H137" s="594">
        <f>0</f>
        <v>0</v>
      </c>
      <c r="I137" s="594">
        <f>0</f>
        <v>0</v>
      </c>
      <c r="J137" s="594">
        <f>0</f>
        <v>0</v>
      </c>
      <c r="K137" s="594">
        <f>0</f>
        <v>0</v>
      </c>
      <c r="L137" s="594">
        <f>0</f>
        <v>0</v>
      </c>
      <c r="M137" s="594">
        <f>0</f>
        <v>0</v>
      </c>
      <c r="N137" s="594">
        <f>0</f>
        <v>0</v>
      </c>
      <c r="O137" s="594">
        <f>0</f>
        <v>0</v>
      </c>
      <c r="P137" s="594">
        <f>0</f>
        <v>0</v>
      </c>
    </row>
    <row r="138" spans="1:16" x14ac:dyDescent="0.25">
      <c r="A138" s="639" t="s">
        <v>94</v>
      </c>
      <c r="B138" s="594"/>
      <c r="C138" s="594">
        <f>C85</f>
        <v>0</v>
      </c>
      <c r="D138" s="594">
        <f>D85</f>
        <v>-26369</v>
      </c>
      <c r="E138" s="594">
        <f>E85</f>
        <v>0</v>
      </c>
      <c r="F138" s="594">
        <f>-SUM('Water  Fund  Inc Exp Statement '!F189:F191)</f>
        <v>-3305</v>
      </c>
      <c r="G138" s="594">
        <f>-SUM('Water  Fund  Inc Exp Statement '!G189:G191)</f>
        <v>-2255</v>
      </c>
      <c r="H138" s="594">
        <f>-SUM('Water  Fund  Inc Exp Statement '!H189:H191)</f>
        <v>-1315</v>
      </c>
      <c r="I138" s="594">
        <f>-SUM('Water  Fund  Inc Exp Statement '!I189:I191)</f>
        <v>-1135</v>
      </c>
      <c r="J138" s="594">
        <f>-SUM('Water  Fund  Inc Exp Statement '!J189:J191)</f>
        <v>-1135</v>
      </c>
      <c r="K138" s="594">
        <f>-SUM('Water  Fund  Inc Exp Statement '!K189:K191)</f>
        <v>-1157.7</v>
      </c>
      <c r="L138" s="594">
        <f>-SUM('Water  Fund  Inc Exp Statement '!L189:L191)</f>
        <v>-1180.854</v>
      </c>
      <c r="M138" s="594">
        <f>-SUM('Water  Fund  Inc Exp Statement '!M189:M191)</f>
        <v>-1204.47108</v>
      </c>
      <c r="N138" s="594">
        <f>-SUM('Water  Fund  Inc Exp Statement '!N189:N191)</f>
        <v>-1228.5605016</v>
      </c>
      <c r="O138" s="594">
        <f>-SUM('Water  Fund  Inc Exp Statement '!O189:O191)</f>
        <v>-1253.1317116319999</v>
      </c>
      <c r="P138" s="594">
        <f>-SUM('Water  Fund  Inc Exp Statement '!P189:P191)</f>
        <v>-1278.1943458646399</v>
      </c>
    </row>
    <row r="139" spans="1:16" x14ac:dyDescent="0.25">
      <c r="A139" s="641" t="s">
        <v>95</v>
      </c>
      <c r="B139" s="591"/>
      <c r="C139" s="591">
        <f>C86</f>
        <v>0</v>
      </c>
      <c r="D139" s="591">
        <f>D86</f>
        <v>-26</v>
      </c>
      <c r="E139" s="591">
        <f>E86</f>
        <v>0</v>
      </c>
      <c r="F139" s="591">
        <f t="shared" ref="F139" si="30">F86</f>
        <v>0</v>
      </c>
      <c r="G139" s="591">
        <f t="shared" ref="G139:P139" si="31">G86</f>
        <v>0</v>
      </c>
      <c r="H139" s="591">
        <f t="shared" si="31"/>
        <v>0</v>
      </c>
      <c r="I139" s="591">
        <f t="shared" si="31"/>
        <v>0</v>
      </c>
      <c r="J139" s="591">
        <f t="shared" si="31"/>
        <v>0</v>
      </c>
      <c r="K139" s="591">
        <f t="shared" si="31"/>
        <v>0</v>
      </c>
      <c r="L139" s="591">
        <f t="shared" si="31"/>
        <v>0</v>
      </c>
      <c r="M139" s="591">
        <f t="shared" si="31"/>
        <v>0</v>
      </c>
      <c r="N139" s="591">
        <f t="shared" si="31"/>
        <v>0</v>
      </c>
      <c r="O139" s="591">
        <f t="shared" si="31"/>
        <v>0</v>
      </c>
      <c r="P139" s="591">
        <f t="shared" si="31"/>
        <v>0</v>
      </c>
    </row>
    <row r="140" spans="1:16" x14ac:dyDescent="0.25">
      <c r="A140" s="642" t="s">
        <v>110</v>
      </c>
      <c r="B140" s="593">
        <f>SUM(B130:B139)</f>
        <v>0</v>
      </c>
      <c r="C140" s="593">
        <f t="shared" ref="C140:P140" si="32">SUM(C130:C139)</f>
        <v>0</v>
      </c>
      <c r="D140" s="593">
        <f t="shared" si="32"/>
        <v>-31571</v>
      </c>
      <c r="E140" s="593">
        <f t="shared" si="32"/>
        <v>0</v>
      </c>
      <c r="F140" s="593">
        <f t="shared" si="32"/>
        <v>-1498.223</v>
      </c>
      <c r="G140" s="593">
        <f t="shared" si="32"/>
        <v>-1352.7380000000001</v>
      </c>
      <c r="H140" s="593">
        <f t="shared" si="32"/>
        <v>-1349.86</v>
      </c>
      <c r="I140" s="593">
        <f t="shared" si="32"/>
        <v>-1425.8600000000001</v>
      </c>
      <c r="J140" s="593">
        <f t="shared" si="32"/>
        <v>-1506.15</v>
      </c>
      <c r="K140" s="593">
        <f t="shared" si="32"/>
        <v>-1536.2730000000001</v>
      </c>
      <c r="L140" s="593">
        <f t="shared" si="32"/>
        <v>-1566.99846</v>
      </c>
      <c r="M140" s="593">
        <f t="shared" si="32"/>
        <v>-1598.3384292000001</v>
      </c>
      <c r="N140" s="593">
        <f t="shared" si="32"/>
        <v>-1630.305197784</v>
      </c>
      <c r="O140" s="593">
        <f t="shared" si="32"/>
        <v>-1662.9113017396799</v>
      </c>
      <c r="P140" s="593">
        <f t="shared" si="32"/>
        <v>-1696.1695277744734</v>
      </c>
    </row>
    <row r="141" spans="1:16" x14ac:dyDescent="0.25">
      <c r="B141" s="594"/>
      <c r="C141" s="594"/>
      <c r="D141" s="594"/>
      <c r="E141" s="594"/>
      <c r="F141" s="594"/>
      <c r="G141" s="594"/>
      <c r="H141" s="594"/>
      <c r="I141" s="594"/>
      <c r="J141" s="594"/>
      <c r="K141" s="594"/>
      <c r="L141" s="594"/>
      <c r="M141" s="594"/>
      <c r="N141" s="594"/>
      <c r="O141" s="594"/>
      <c r="P141" s="594"/>
    </row>
    <row r="142" spans="1:16" x14ac:dyDescent="0.25">
      <c r="A142" s="592" t="s">
        <v>1054</v>
      </c>
      <c r="B142" s="590"/>
      <c r="C142" s="590"/>
      <c r="D142" s="590"/>
      <c r="E142" s="590"/>
      <c r="F142" s="590"/>
      <c r="G142" s="590"/>
      <c r="H142" s="590"/>
      <c r="I142" s="590"/>
      <c r="J142" s="590"/>
      <c r="K142" s="590"/>
      <c r="L142" s="590"/>
      <c r="M142" s="590"/>
      <c r="N142" s="590"/>
      <c r="O142" s="590"/>
      <c r="P142" s="590"/>
    </row>
    <row r="143" spans="1:16" x14ac:dyDescent="0.25">
      <c r="A143" s="640" t="s">
        <v>83</v>
      </c>
      <c r="B143" s="590"/>
      <c r="C143" s="590"/>
      <c r="D143" s="590"/>
      <c r="E143" s="590"/>
      <c r="F143" s="590"/>
      <c r="G143" s="590"/>
      <c r="H143" s="590"/>
      <c r="I143" s="590"/>
      <c r="J143" s="590"/>
      <c r="K143" s="590"/>
      <c r="L143" s="590"/>
      <c r="M143" s="590"/>
      <c r="N143" s="590"/>
      <c r="O143" s="590"/>
      <c r="P143" s="590"/>
    </row>
    <row r="144" spans="1:16" x14ac:dyDescent="0.25">
      <c r="A144" s="639" t="s">
        <v>1055</v>
      </c>
      <c r="B144" s="594"/>
      <c r="C144" s="594"/>
      <c r="D144" s="594">
        <f>D38</f>
        <v>5350</v>
      </c>
      <c r="E144" s="594">
        <f t="shared" ref="E144" si="33">E38</f>
        <v>0</v>
      </c>
      <c r="F144" s="594">
        <f>'Water  Fund  Inc Exp Statement '!F202</f>
        <v>0</v>
      </c>
      <c r="G144" s="594">
        <f>'Water  Fund  Inc Exp Statement '!G202</f>
        <v>0</v>
      </c>
      <c r="H144" s="594">
        <f>'Water  Fund  Inc Exp Statement '!H202</f>
        <v>0</v>
      </c>
      <c r="I144" s="594">
        <f>'Water  Fund  Inc Exp Statement '!I202</f>
        <v>0</v>
      </c>
      <c r="J144" s="594">
        <f>'Water  Fund  Inc Exp Statement '!J202</f>
        <v>0</v>
      </c>
      <c r="K144" s="594">
        <f>'Water  Fund  Inc Exp Statement '!K202</f>
        <v>0</v>
      </c>
      <c r="L144" s="594">
        <f>'Water  Fund  Inc Exp Statement '!L202</f>
        <v>0</v>
      </c>
      <c r="M144" s="594">
        <f>'Water  Fund  Inc Exp Statement '!M202</f>
        <v>0</v>
      </c>
      <c r="N144" s="594">
        <f>'Water  Fund  Inc Exp Statement '!N202</f>
        <v>0</v>
      </c>
      <c r="O144" s="594">
        <f>'Water  Fund  Inc Exp Statement '!O202</f>
        <v>0</v>
      </c>
      <c r="P144" s="594">
        <f>'Water  Fund  Inc Exp Statement '!P202</f>
        <v>0</v>
      </c>
    </row>
    <row r="145" spans="1:16" ht="5.25" customHeight="1" x14ac:dyDescent="0.25">
      <c r="B145" s="594"/>
      <c r="C145" s="594"/>
      <c r="D145" s="594"/>
      <c r="E145" s="594"/>
      <c r="F145" s="594"/>
      <c r="G145" s="594"/>
      <c r="H145" s="594"/>
      <c r="I145" s="594"/>
      <c r="J145" s="594"/>
      <c r="K145" s="594"/>
      <c r="L145" s="594"/>
      <c r="M145" s="594"/>
      <c r="N145" s="594"/>
      <c r="O145" s="594"/>
      <c r="P145" s="594"/>
    </row>
    <row r="146" spans="1:16" x14ac:dyDescent="0.25">
      <c r="A146" s="640" t="s">
        <v>87</v>
      </c>
      <c r="B146" s="594"/>
      <c r="C146" s="594"/>
      <c r="D146" s="594"/>
      <c r="E146" s="594"/>
      <c r="F146" s="594"/>
      <c r="G146" s="594"/>
      <c r="H146" s="594"/>
      <c r="I146" s="594"/>
      <c r="J146" s="594"/>
      <c r="K146" s="594"/>
      <c r="L146" s="594"/>
      <c r="M146" s="594"/>
      <c r="N146" s="594"/>
      <c r="O146" s="594"/>
      <c r="P146" s="594"/>
    </row>
    <row r="147" spans="1:16" x14ac:dyDescent="0.25">
      <c r="A147" s="639" t="s">
        <v>1056</v>
      </c>
      <c r="B147" s="594"/>
      <c r="C147" s="594"/>
      <c r="D147" s="594">
        <f>D41</f>
        <v>-1616</v>
      </c>
      <c r="E147" s="594">
        <f t="shared" ref="E147" si="34">E41</f>
        <v>0</v>
      </c>
      <c r="F147" s="594">
        <f>-'Water  Fund  Inc Exp Statement '!F192</f>
        <v>-257.05099999999999</v>
      </c>
      <c r="G147" s="594">
        <f>-'Water  Fund  Inc Exp Statement '!G192</f>
        <v>-273.84699999999998</v>
      </c>
      <c r="H147" s="594">
        <f>-'Water  Fund  Inc Exp Statement '!H192</f>
        <v>-291.74400000000003</v>
      </c>
      <c r="I147" s="594">
        <f>-'Water  Fund  Inc Exp Statement '!I192</f>
        <v>-310.113</v>
      </c>
      <c r="J147" s="594">
        <f>-'Water  Fund  Inc Exp Statement '!J192</f>
        <v>-331.38900000000001</v>
      </c>
      <c r="K147" s="594">
        <f>-'Water  Fund  Inc Exp Statement '!K192</f>
        <v>-338.01678000000004</v>
      </c>
      <c r="L147" s="594">
        <f>-'Water  Fund  Inc Exp Statement '!L192</f>
        <v>-344.77711560000006</v>
      </c>
      <c r="M147" s="594">
        <f>-'Water  Fund  Inc Exp Statement '!M192</f>
        <v>-323.67265791200009</v>
      </c>
      <c r="N147" s="594">
        <f>-'Water  Fund  Inc Exp Statement '!N192</f>
        <v>0</v>
      </c>
      <c r="O147" s="594">
        <f>-'Water  Fund  Inc Exp Statement '!O192</f>
        <v>0</v>
      </c>
      <c r="P147" s="594">
        <f>-'Water  Fund  Inc Exp Statement '!P192</f>
        <v>0</v>
      </c>
    </row>
    <row r="148" spans="1:16" s="644" customFormat="1" x14ac:dyDescent="0.25">
      <c r="A148" s="770" t="s">
        <v>110</v>
      </c>
      <c r="B148" s="772">
        <f t="shared" ref="B148:P148" si="35">SUM(B144:B147)</f>
        <v>0</v>
      </c>
      <c r="C148" s="772">
        <f t="shared" si="35"/>
        <v>0</v>
      </c>
      <c r="D148" s="772">
        <f t="shared" si="35"/>
        <v>3734</v>
      </c>
      <c r="E148" s="772">
        <f t="shared" si="35"/>
        <v>0</v>
      </c>
      <c r="F148" s="772">
        <f t="shared" si="35"/>
        <v>-257.05099999999999</v>
      </c>
      <c r="G148" s="772">
        <f t="shared" si="35"/>
        <v>-273.84699999999998</v>
      </c>
      <c r="H148" s="772">
        <f t="shared" si="35"/>
        <v>-291.74400000000003</v>
      </c>
      <c r="I148" s="772">
        <f t="shared" si="35"/>
        <v>-310.113</v>
      </c>
      <c r="J148" s="772">
        <f t="shared" si="35"/>
        <v>-331.38900000000001</v>
      </c>
      <c r="K148" s="772">
        <f t="shared" si="35"/>
        <v>-338.01678000000004</v>
      </c>
      <c r="L148" s="772">
        <f t="shared" si="35"/>
        <v>-344.77711560000006</v>
      </c>
      <c r="M148" s="772">
        <f t="shared" si="35"/>
        <v>-323.67265791200009</v>
      </c>
      <c r="N148" s="772">
        <f t="shared" si="35"/>
        <v>0</v>
      </c>
      <c r="O148" s="772">
        <f t="shared" si="35"/>
        <v>0</v>
      </c>
      <c r="P148" s="772">
        <f t="shared" si="35"/>
        <v>0</v>
      </c>
    </row>
    <row r="149" spans="1:16" s="644" customFormat="1" ht="5.25" customHeight="1" x14ac:dyDescent="0.25">
      <c r="A149" s="642"/>
      <c r="B149" s="593"/>
      <c r="C149" s="593"/>
      <c r="D149" s="593"/>
      <c r="E149" s="593"/>
      <c r="F149" s="593"/>
      <c r="G149" s="593"/>
      <c r="H149" s="593"/>
      <c r="I149" s="593"/>
      <c r="J149" s="593"/>
      <c r="K149" s="593"/>
      <c r="L149" s="593"/>
      <c r="M149" s="593"/>
      <c r="N149" s="593"/>
      <c r="O149" s="593"/>
      <c r="P149" s="593"/>
    </row>
    <row r="150" spans="1:16" x14ac:dyDescent="0.25">
      <c r="A150" s="592" t="s">
        <v>321</v>
      </c>
      <c r="B150" s="594">
        <f>+B126+B140</f>
        <v>0</v>
      </c>
      <c r="C150" s="594">
        <f>+C126+C140</f>
        <v>0</v>
      </c>
      <c r="D150" s="594">
        <f>+D126+D140+D148</f>
        <v>5944</v>
      </c>
      <c r="E150" s="594">
        <f t="shared" ref="E150:P150" si="36">+E126+E140+E148</f>
        <v>0</v>
      </c>
      <c r="F150" s="594">
        <f t="shared" si="36"/>
        <v>-5.1159076974727213E-13</v>
      </c>
      <c r="G150" s="594">
        <f t="shared" si="36"/>
        <v>263.39999999999964</v>
      </c>
      <c r="H150" s="594">
        <f t="shared" si="36"/>
        <v>273.87299999999948</v>
      </c>
      <c r="I150" s="594">
        <f t="shared" si="36"/>
        <v>284.72999999999871</v>
      </c>
      <c r="J150" s="594">
        <f t="shared" si="36"/>
        <v>295.84699999999987</v>
      </c>
      <c r="K150" s="594">
        <f t="shared" si="36"/>
        <v>280.46830620000026</v>
      </c>
      <c r="L150" s="594">
        <f t="shared" si="36"/>
        <v>308.08532774700058</v>
      </c>
      <c r="M150" s="594">
        <f t="shared" si="36"/>
        <v>362.78418387823547</v>
      </c>
      <c r="N150" s="594">
        <f t="shared" si="36"/>
        <v>709.2616446178713</v>
      </c>
      <c r="O150" s="594">
        <f t="shared" si="36"/>
        <v>745.88734998944574</v>
      </c>
      <c r="P150" s="594">
        <f t="shared" si="36"/>
        <v>783.93195047510153</v>
      </c>
    </row>
    <row r="151" spans="1:16" ht="5.25" customHeight="1" x14ac:dyDescent="0.25">
      <c r="A151" s="644"/>
      <c r="B151" s="594"/>
      <c r="C151" s="594"/>
      <c r="D151" s="594"/>
      <c r="E151" s="594"/>
      <c r="F151" s="594"/>
      <c r="G151" s="594"/>
      <c r="H151" s="594"/>
      <c r="I151" s="594"/>
      <c r="J151" s="594"/>
      <c r="K151" s="594"/>
      <c r="L151" s="594"/>
      <c r="M151" s="594"/>
      <c r="N151" s="594"/>
      <c r="O151" s="594"/>
      <c r="P151" s="594"/>
    </row>
    <row r="152" spans="1:16" x14ac:dyDescent="0.25">
      <c r="A152" s="592" t="s">
        <v>96</v>
      </c>
      <c r="B152" s="594"/>
      <c r="C152" s="594">
        <f>+B154</f>
        <v>0</v>
      </c>
      <c r="D152" s="594">
        <f t="shared" ref="D152" si="37">D99</f>
        <v>3352</v>
      </c>
      <c r="E152" s="594">
        <v>0</v>
      </c>
      <c r="F152" s="594">
        <f t="shared" ref="F152:P152" si="38">+E154</f>
        <v>0</v>
      </c>
      <c r="G152" s="594">
        <f t="shared" si="38"/>
        <v>-5.1159076974727213E-13</v>
      </c>
      <c r="H152" s="594">
        <f t="shared" si="38"/>
        <v>263.39999999999912</v>
      </c>
      <c r="I152" s="594">
        <f t="shared" si="38"/>
        <v>537.27299999999855</v>
      </c>
      <c r="J152" s="594">
        <f t="shared" si="38"/>
        <v>822.0029999999972</v>
      </c>
      <c r="K152" s="594">
        <f t="shared" si="38"/>
        <v>1117.8499999999972</v>
      </c>
      <c r="L152" s="594">
        <f t="shared" si="38"/>
        <v>1398.3183061999976</v>
      </c>
      <c r="M152" s="594">
        <f t="shared" si="38"/>
        <v>1706.4036339469981</v>
      </c>
      <c r="N152" s="594">
        <f t="shared" si="38"/>
        <v>2069.1878178252337</v>
      </c>
      <c r="O152" s="594">
        <f t="shared" si="38"/>
        <v>2778.4494624431049</v>
      </c>
      <c r="P152" s="594">
        <f t="shared" si="38"/>
        <v>3524.3368124325507</v>
      </c>
    </row>
    <row r="153" spans="1:16" x14ac:dyDescent="0.25">
      <c r="B153" s="594"/>
      <c r="C153" s="594"/>
      <c r="D153" s="594"/>
      <c r="E153" s="594"/>
      <c r="F153" s="594"/>
      <c r="G153" s="594"/>
      <c r="H153" s="594"/>
      <c r="I153" s="594"/>
      <c r="J153" s="594"/>
      <c r="K153" s="594"/>
      <c r="L153" s="594"/>
      <c r="M153" s="594"/>
      <c r="N153" s="594"/>
      <c r="O153" s="594"/>
      <c r="P153" s="594"/>
    </row>
    <row r="154" spans="1:16" ht="12.6" thickBot="1" x14ac:dyDescent="0.3">
      <c r="A154" s="592" t="s">
        <v>97</v>
      </c>
      <c r="B154" s="645">
        <f>+B150+B152</f>
        <v>0</v>
      </c>
      <c r="C154" s="645">
        <f t="shared" ref="C154:P154" si="39">+C150+C152</f>
        <v>0</v>
      </c>
      <c r="D154" s="645">
        <f t="shared" si="39"/>
        <v>9296</v>
      </c>
      <c r="E154" s="645">
        <f t="shared" si="39"/>
        <v>0</v>
      </c>
      <c r="F154" s="645">
        <f t="shared" si="39"/>
        <v>-5.1159076974727213E-13</v>
      </c>
      <c r="G154" s="645">
        <f t="shared" si="39"/>
        <v>263.39999999999912</v>
      </c>
      <c r="H154" s="645">
        <f t="shared" si="39"/>
        <v>537.27299999999855</v>
      </c>
      <c r="I154" s="645">
        <f t="shared" si="39"/>
        <v>822.0029999999972</v>
      </c>
      <c r="J154" s="645">
        <f t="shared" si="39"/>
        <v>1117.8499999999972</v>
      </c>
      <c r="K154" s="651">
        <f t="shared" si="39"/>
        <v>1398.3183061999976</v>
      </c>
      <c r="L154" s="645">
        <f t="shared" si="39"/>
        <v>1706.4036339469981</v>
      </c>
      <c r="M154" s="645">
        <f t="shared" si="39"/>
        <v>2069.1878178252337</v>
      </c>
      <c r="N154" s="645">
        <f t="shared" si="39"/>
        <v>2778.4494624431049</v>
      </c>
      <c r="O154" s="645">
        <f t="shared" si="39"/>
        <v>3524.3368124325507</v>
      </c>
      <c r="P154" s="645">
        <f t="shared" si="39"/>
        <v>4308.2687629076518</v>
      </c>
    </row>
    <row r="155" spans="1:16" ht="6.75" customHeight="1" x14ac:dyDescent="0.25"/>
    <row r="156" spans="1:16" x14ac:dyDescent="0.25">
      <c r="A156" s="639" t="s">
        <v>98</v>
      </c>
      <c r="B156" s="590"/>
      <c r="C156" s="590">
        <f>B156-C136-C130</f>
        <v>0</v>
      </c>
      <c r="D156" s="590">
        <f>D103</f>
        <v>46112</v>
      </c>
      <c r="E156" s="590">
        <f>E103</f>
        <v>18997</v>
      </c>
      <c r="F156" s="590">
        <f t="shared" ref="F156:P156" si="40">E156-F136-F130</f>
        <v>17190.222999999998</v>
      </c>
      <c r="G156" s="590">
        <f t="shared" si="40"/>
        <v>16287.960999999998</v>
      </c>
      <c r="H156" s="590">
        <f t="shared" si="40"/>
        <v>16322.820999999998</v>
      </c>
      <c r="I156" s="590">
        <f t="shared" si="40"/>
        <v>16613.680999999997</v>
      </c>
      <c r="J156" s="590">
        <f t="shared" si="40"/>
        <v>16984.830999999998</v>
      </c>
      <c r="K156" s="590">
        <f t="shared" si="40"/>
        <v>17363.403999999999</v>
      </c>
      <c r="L156" s="590">
        <f t="shared" si="40"/>
        <v>17749.548459999998</v>
      </c>
      <c r="M156" s="590">
        <f t="shared" si="40"/>
        <v>18143.4158092</v>
      </c>
      <c r="N156" s="590">
        <f t="shared" si="40"/>
        <v>18545.160505383999</v>
      </c>
      <c r="O156" s="590">
        <f t="shared" si="40"/>
        <v>18954.940095491678</v>
      </c>
      <c r="P156" s="590">
        <f t="shared" si="40"/>
        <v>19372.915277401513</v>
      </c>
    </row>
    <row r="157" spans="1:16" ht="4.5" customHeight="1" x14ac:dyDescent="0.25">
      <c r="B157" s="590"/>
      <c r="C157" s="590"/>
      <c r="D157" s="590"/>
      <c r="E157" s="590"/>
      <c r="F157" s="590"/>
      <c r="G157" s="590"/>
      <c r="H157" s="590"/>
      <c r="I157" s="590"/>
      <c r="J157" s="590"/>
      <c r="K157" s="590"/>
      <c r="L157" s="590"/>
      <c r="M157" s="590"/>
      <c r="N157" s="590"/>
      <c r="O157" s="590"/>
      <c r="P157" s="590"/>
    </row>
    <row r="158" spans="1:16" ht="12.6" thickBot="1" x14ac:dyDescent="0.3">
      <c r="A158" s="592" t="s">
        <v>99</v>
      </c>
      <c r="B158" s="646">
        <f>+B154+B156</f>
        <v>0</v>
      </c>
      <c r="C158" s="646">
        <f t="shared" ref="C158:P158" si="41">+C154+C156</f>
        <v>0</v>
      </c>
      <c r="D158" s="646">
        <f t="shared" si="41"/>
        <v>55408</v>
      </c>
      <c r="E158" s="646">
        <f t="shared" si="41"/>
        <v>18997</v>
      </c>
      <c r="F158" s="646">
        <f t="shared" si="41"/>
        <v>17190.222999999998</v>
      </c>
      <c r="G158" s="646">
        <f t="shared" si="41"/>
        <v>16551.360999999997</v>
      </c>
      <c r="H158" s="646">
        <f t="shared" si="41"/>
        <v>16860.093999999997</v>
      </c>
      <c r="I158" s="646">
        <f t="shared" si="41"/>
        <v>17435.683999999994</v>
      </c>
      <c r="J158" s="646">
        <f t="shared" si="41"/>
        <v>18102.680999999997</v>
      </c>
      <c r="K158" s="646">
        <f t="shared" si="41"/>
        <v>18761.722306199998</v>
      </c>
      <c r="L158" s="646">
        <f t="shared" si="41"/>
        <v>19455.952093946995</v>
      </c>
      <c r="M158" s="646">
        <f t="shared" si="41"/>
        <v>20212.603627025233</v>
      </c>
      <c r="N158" s="646">
        <f t="shared" si="41"/>
        <v>21323.609967827106</v>
      </c>
      <c r="O158" s="646">
        <f t="shared" si="41"/>
        <v>22479.276907924228</v>
      </c>
      <c r="P158" s="646">
        <f t="shared" si="41"/>
        <v>23681.184040309163</v>
      </c>
    </row>
    <row r="159" spans="1:16" ht="12.6" thickTop="1" x14ac:dyDescent="0.25"/>
  </sheetData>
  <pageMargins left="0.70866141732283472" right="0.70866141732283472" top="0.74803149606299213" bottom="0.74803149606299213" header="0.31496062992125984" footer="0.31496062992125984"/>
  <pageSetup paperSize="9" scale="88" fitToHeight="0" orientation="landscape" r:id="rId1"/>
  <rowBreaks count="2" manualBreakCount="2">
    <brk id="53" max="16383" man="1"/>
    <brk id="106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137"/>
  <sheetViews>
    <sheetView workbookViewId="0">
      <pane xSplit="3" ySplit="3" topLeftCell="F4" activePane="bottomRight" state="frozen"/>
      <selection pane="topRight" activeCell="D1" sqref="D1"/>
      <selection pane="bottomLeft" activeCell="A3" sqref="A3"/>
      <selection pane="bottomRight" activeCell="P134" sqref="A1:P134"/>
    </sheetView>
  </sheetViews>
  <sheetFormatPr defaultColWidth="9.109375" defaultRowHeight="10.199999999999999" outlineLevelRow="1" outlineLevelCol="1" x14ac:dyDescent="0.2"/>
  <cols>
    <col min="1" max="1" width="31" style="653" customWidth="1"/>
    <col min="2" max="3" width="13.109375" style="653" hidden="1" customWidth="1" outlineLevel="1"/>
    <col min="4" max="4" width="13.109375" style="653" hidden="1" customWidth="1" outlineLevel="1" collapsed="1"/>
    <col min="5" max="5" width="9.88671875" style="653" hidden="1" customWidth="1" outlineLevel="1" collapsed="1"/>
    <col min="6" max="6" width="9.88671875" style="653" bestFit="1" customWidth="1" collapsed="1"/>
    <col min="7" max="16" width="9.88671875" style="653" bestFit="1" customWidth="1"/>
    <col min="17" max="16384" width="9.109375" style="653"/>
  </cols>
  <sheetData>
    <row r="1" spans="1:16" ht="12.75" x14ac:dyDescent="0.2">
      <c r="A1" s="1091" t="s">
        <v>1363</v>
      </c>
    </row>
    <row r="2" spans="1:16" s="660" customFormat="1" ht="12" x14ac:dyDescent="0.2">
      <c r="A2" s="652" t="s">
        <v>1071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16" ht="11.25" x14ac:dyDescent="0.2">
      <c r="A3" s="652" t="s">
        <v>72</v>
      </c>
      <c r="B3" s="741" t="s">
        <v>68</v>
      </c>
      <c r="C3" s="694" t="s">
        <v>0</v>
      </c>
      <c r="D3" s="694" t="s">
        <v>1</v>
      </c>
      <c r="E3" s="694" t="s">
        <v>2</v>
      </c>
      <c r="F3" s="694" t="s">
        <v>3</v>
      </c>
      <c r="G3" s="694" t="s">
        <v>4</v>
      </c>
      <c r="H3" s="694" t="s">
        <v>5</v>
      </c>
      <c r="I3" s="694" t="s">
        <v>6</v>
      </c>
      <c r="J3" s="694" t="s">
        <v>7</v>
      </c>
      <c r="K3" s="694" t="s">
        <v>8</v>
      </c>
      <c r="L3" s="694" t="s">
        <v>9</v>
      </c>
      <c r="M3" s="694" t="s">
        <v>514</v>
      </c>
      <c r="N3" s="694" t="s">
        <v>515</v>
      </c>
      <c r="O3" s="694" t="s">
        <v>904</v>
      </c>
      <c r="P3" s="694" t="s">
        <v>1046</v>
      </c>
    </row>
    <row r="4" spans="1:16" s="664" customFormat="1" ht="11.25" x14ac:dyDescent="0.2">
      <c r="A4" s="661"/>
      <c r="B4" s="662"/>
      <c r="C4" s="662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</row>
    <row r="5" spans="1:16" ht="11.25" x14ac:dyDescent="0.2">
      <c r="A5" s="654" t="s">
        <v>35</v>
      </c>
      <c r="B5" s="608"/>
      <c r="C5" s="608"/>
      <c r="D5" s="608"/>
      <c r="E5" s="608"/>
      <c r="F5" s="608"/>
      <c r="G5" s="608"/>
      <c r="H5" s="608"/>
      <c r="I5" s="608"/>
      <c r="J5" s="608"/>
      <c r="K5" s="608"/>
      <c r="L5" s="608"/>
      <c r="M5" s="608"/>
      <c r="N5" s="608"/>
      <c r="O5" s="608"/>
      <c r="P5" s="608"/>
    </row>
    <row r="6" spans="1:16" ht="11.25" x14ac:dyDescent="0.2">
      <c r="A6" s="654" t="s">
        <v>36</v>
      </c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</row>
    <row r="7" spans="1:16" ht="11.25" x14ac:dyDescent="0.2">
      <c r="A7" s="653" t="s">
        <v>37</v>
      </c>
      <c r="B7" s="608"/>
      <c r="C7" s="608"/>
      <c r="D7" s="608"/>
      <c r="E7" s="608">
        <v>0</v>
      </c>
      <c r="F7" s="608">
        <f>'Water  Fund  Cash Flow'!F48</f>
        <v>-5.1159076974727213E-13</v>
      </c>
      <c r="G7" s="608">
        <f>'Water  Fund  Cash Flow'!G48</f>
        <v>263.39999999999912</v>
      </c>
      <c r="H7" s="608">
        <f>'Water  Fund  Cash Flow'!H48</f>
        <v>537.27299999999855</v>
      </c>
      <c r="I7" s="608">
        <f>'Water  Fund  Cash Flow'!I48</f>
        <v>822.0029999999972</v>
      </c>
      <c r="J7" s="608">
        <f>'Water  Fund  Cash Flow'!J48</f>
        <v>1117.8499999999972</v>
      </c>
      <c r="K7" s="608">
        <f>'Water  Fund  Cash Flow'!K48</f>
        <v>1398.3183061999976</v>
      </c>
      <c r="L7" s="608">
        <f>'Water  Fund  Cash Flow'!L48</f>
        <v>1705.3836339469976</v>
      </c>
      <c r="M7" s="608">
        <f>'Water  Fund  Cash Flow'!M48</f>
        <v>2068.1678178252332</v>
      </c>
      <c r="N7" s="608">
        <f>'Water  Fund  Cash Flow'!N48</f>
        <v>2778.4698624431044</v>
      </c>
      <c r="O7" s="608">
        <f>'Water  Fund  Cash Flow'!O48</f>
        <v>3525.39761243255</v>
      </c>
      <c r="P7" s="608">
        <f>'Water  Fund  Cash Flow'!P48</f>
        <v>4310.3699629076509</v>
      </c>
    </row>
    <row r="8" spans="1:16" ht="11.25" x14ac:dyDescent="0.2">
      <c r="A8" s="653" t="s">
        <v>38</v>
      </c>
      <c r="B8" s="608"/>
      <c r="C8" s="608"/>
      <c r="D8" s="608"/>
      <c r="E8" s="608">
        <f>4685</f>
        <v>4685</v>
      </c>
      <c r="F8" s="608">
        <f>E8</f>
        <v>4685</v>
      </c>
      <c r="G8" s="608">
        <f t="shared" ref="G8:P8" si="0">F8</f>
        <v>4685</v>
      </c>
      <c r="H8" s="608">
        <f t="shared" si="0"/>
        <v>4685</v>
      </c>
      <c r="I8" s="608">
        <f t="shared" si="0"/>
        <v>4685</v>
      </c>
      <c r="J8" s="608">
        <f t="shared" si="0"/>
        <v>4685</v>
      </c>
      <c r="K8" s="608">
        <f t="shared" si="0"/>
        <v>4685</v>
      </c>
      <c r="L8" s="608">
        <f t="shared" si="0"/>
        <v>4685</v>
      </c>
      <c r="M8" s="608">
        <f t="shared" si="0"/>
        <v>4685</v>
      </c>
      <c r="N8" s="608">
        <f t="shared" si="0"/>
        <v>4685</v>
      </c>
      <c r="O8" s="608">
        <f t="shared" si="0"/>
        <v>4685</v>
      </c>
      <c r="P8" s="608">
        <f t="shared" si="0"/>
        <v>4685</v>
      </c>
    </row>
    <row r="9" spans="1:16" ht="11.25" x14ac:dyDescent="0.2">
      <c r="A9" s="653" t="s">
        <v>39</v>
      </c>
      <c r="B9" s="608"/>
      <c r="C9" s="608"/>
      <c r="D9" s="608"/>
      <c r="E9" s="608">
        <f>668</f>
        <v>668</v>
      </c>
      <c r="F9" s="608">
        <f t="shared" ref="F9:P11" si="1">+E9</f>
        <v>668</v>
      </c>
      <c r="G9" s="608">
        <f t="shared" si="1"/>
        <v>668</v>
      </c>
      <c r="H9" s="608">
        <f t="shared" si="1"/>
        <v>668</v>
      </c>
      <c r="I9" s="608">
        <f t="shared" si="1"/>
        <v>668</v>
      </c>
      <c r="J9" s="608">
        <f t="shared" si="1"/>
        <v>668</v>
      </c>
      <c r="K9" s="608">
        <f t="shared" si="1"/>
        <v>668</v>
      </c>
      <c r="L9" s="608">
        <f t="shared" si="1"/>
        <v>668</v>
      </c>
      <c r="M9" s="608">
        <f t="shared" si="1"/>
        <v>668</v>
      </c>
      <c r="N9" s="608">
        <f t="shared" si="1"/>
        <v>668</v>
      </c>
      <c r="O9" s="608">
        <f t="shared" si="1"/>
        <v>668</v>
      </c>
      <c r="P9" s="608">
        <f t="shared" si="1"/>
        <v>668</v>
      </c>
    </row>
    <row r="10" spans="1:16" ht="11.25" x14ac:dyDescent="0.2">
      <c r="A10" s="653" t="s">
        <v>40</v>
      </c>
      <c r="B10" s="608"/>
      <c r="C10" s="608"/>
      <c r="D10" s="608"/>
      <c r="E10" s="608"/>
      <c r="F10" s="608">
        <f t="shared" si="1"/>
        <v>0</v>
      </c>
      <c r="G10" s="608">
        <f t="shared" si="1"/>
        <v>0</v>
      </c>
      <c r="H10" s="608">
        <f t="shared" si="1"/>
        <v>0</v>
      </c>
      <c r="I10" s="608">
        <f t="shared" si="1"/>
        <v>0</v>
      </c>
      <c r="J10" s="608">
        <f t="shared" si="1"/>
        <v>0</v>
      </c>
      <c r="K10" s="608">
        <f t="shared" si="1"/>
        <v>0</v>
      </c>
      <c r="L10" s="608">
        <f t="shared" si="1"/>
        <v>0</v>
      </c>
      <c r="M10" s="608">
        <f t="shared" si="1"/>
        <v>0</v>
      </c>
      <c r="N10" s="608">
        <f t="shared" si="1"/>
        <v>0</v>
      </c>
      <c r="O10" s="608">
        <f t="shared" si="1"/>
        <v>0</v>
      </c>
      <c r="P10" s="608">
        <f t="shared" si="1"/>
        <v>0</v>
      </c>
    </row>
    <row r="11" spans="1:16" ht="11.25" x14ac:dyDescent="0.2">
      <c r="A11" s="655" t="s">
        <v>41</v>
      </c>
      <c r="B11" s="615"/>
      <c r="C11" s="608"/>
      <c r="D11" s="608"/>
      <c r="E11" s="608"/>
      <c r="F11" s="608">
        <f t="shared" si="1"/>
        <v>0</v>
      </c>
      <c r="G11" s="608">
        <f t="shared" si="1"/>
        <v>0</v>
      </c>
      <c r="H11" s="608">
        <f t="shared" si="1"/>
        <v>0</v>
      </c>
      <c r="I11" s="608">
        <f t="shared" si="1"/>
        <v>0</v>
      </c>
      <c r="J11" s="608">
        <f t="shared" si="1"/>
        <v>0</v>
      </c>
      <c r="K11" s="608">
        <f t="shared" si="1"/>
        <v>0</v>
      </c>
      <c r="L11" s="608">
        <f t="shared" si="1"/>
        <v>0</v>
      </c>
      <c r="M11" s="608">
        <f t="shared" si="1"/>
        <v>0</v>
      </c>
      <c r="N11" s="608">
        <f t="shared" si="1"/>
        <v>0</v>
      </c>
      <c r="O11" s="608">
        <f t="shared" si="1"/>
        <v>0</v>
      </c>
      <c r="P11" s="608">
        <f t="shared" si="1"/>
        <v>0</v>
      </c>
    </row>
    <row r="12" spans="1:16" s="657" customFormat="1" ht="11.25" x14ac:dyDescent="0.2">
      <c r="A12" s="654" t="s">
        <v>42</v>
      </c>
      <c r="B12" s="656">
        <f>SUM(B7:B11)</f>
        <v>0</v>
      </c>
      <c r="C12" s="656">
        <f t="shared" ref="C12:P12" si="2">SUM(C7:C11)</f>
        <v>0</v>
      </c>
      <c r="D12" s="656">
        <f t="shared" si="2"/>
        <v>0</v>
      </c>
      <c r="E12" s="656">
        <f t="shared" si="2"/>
        <v>5353</v>
      </c>
      <c r="F12" s="656">
        <f t="shared" si="2"/>
        <v>5352.9999999999991</v>
      </c>
      <c r="G12" s="656">
        <f t="shared" si="2"/>
        <v>5616.3999999999987</v>
      </c>
      <c r="H12" s="656">
        <f t="shared" si="2"/>
        <v>5890.2729999999983</v>
      </c>
      <c r="I12" s="656">
        <f t="shared" si="2"/>
        <v>6175.002999999997</v>
      </c>
      <c r="J12" s="656">
        <f t="shared" si="2"/>
        <v>6470.8499999999967</v>
      </c>
      <c r="K12" s="656">
        <f t="shared" si="2"/>
        <v>6751.3183061999971</v>
      </c>
      <c r="L12" s="656">
        <f t="shared" si="2"/>
        <v>7058.3836339469981</v>
      </c>
      <c r="M12" s="656">
        <f t="shared" si="2"/>
        <v>7421.1678178252332</v>
      </c>
      <c r="N12" s="656">
        <f t="shared" si="2"/>
        <v>8131.4698624431039</v>
      </c>
      <c r="O12" s="656">
        <f t="shared" si="2"/>
        <v>8878.3976124325491</v>
      </c>
      <c r="P12" s="656">
        <f t="shared" si="2"/>
        <v>9663.3699629076509</v>
      </c>
    </row>
    <row r="13" spans="1:16" ht="11.25" x14ac:dyDescent="0.2">
      <c r="B13" s="608"/>
      <c r="C13" s="608"/>
      <c r="D13" s="608"/>
      <c r="E13" s="608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</row>
    <row r="14" spans="1:16" ht="11.25" x14ac:dyDescent="0.2">
      <c r="A14" s="654" t="s">
        <v>43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</row>
    <row r="15" spans="1:16" ht="11.25" x14ac:dyDescent="0.2">
      <c r="A15" s="763" t="s">
        <v>38</v>
      </c>
      <c r="B15" s="608"/>
      <c r="C15" s="608"/>
      <c r="D15" s="608"/>
      <c r="E15" s="608">
        <f>14312</f>
        <v>14312</v>
      </c>
      <c r="F15" s="608">
        <f>E8+E15+'Water  Fund  Inc Exp Statement '!F55-'Water  Fund  Inc Exp Statement '!F63-F8</f>
        <v>12505.222999999998</v>
      </c>
      <c r="G15" s="608">
        <f>F8+F15+'Water  Fund  Inc Exp Statement '!G55-'Water  Fund  Inc Exp Statement '!G63-G8</f>
        <v>11602.960999999998</v>
      </c>
      <c r="H15" s="608">
        <f>G8+G15+'Water  Fund  Inc Exp Statement '!H55-'Water  Fund  Inc Exp Statement '!H63-H8</f>
        <v>11637.820999999998</v>
      </c>
      <c r="I15" s="608">
        <f>H8+H15+'Water  Fund  Inc Exp Statement '!I55-'Water  Fund  Inc Exp Statement '!I63-I8</f>
        <v>11928.680999999997</v>
      </c>
      <c r="J15" s="608">
        <f>I8+I15+'Water  Fund  Inc Exp Statement '!J55-'Water  Fund  Inc Exp Statement '!J63-J8</f>
        <v>12299.830999999998</v>
      </c>
      <c r="K15" s="608">
        <f>J8+J15+'Water  Fund  Inc Exp Statement '!K55-'Water  Fund  Inc Exp Statement '!K63-K8</f>
        <v>12678.403999999999</v>
      </c>
      <c r="L15" s="608">
        <f>K8+K15+'Water  Fund  Inc Exp Statement '!L55-'Water  Fund  Inc Exp Statement '!L63-L8</f>
        <v>13064.548459999998</v>
      </c>
      <c r="M15" s="608">
        <f>L8+L15+'Water  Fund  Inc Exp Statement '!M55-'Water  Fund  Inc Exp Statement '!M63-M8</f>
        <v>13458.4158092</v>
      </c>
      <c r="N15" s="608">
        <f>M8+M15+'Water  Fund  Inc Exp Statement '!N55-'Water  Fund  Inc Exp Statement '!N63-N8</f>
        <v>13860.160505383999</v>
      </c>
      <c r="O15" s="608">
        <f>N8+N15+'Water  Fund  Inc Exp Statement '!O55-'Water  Fund  Inc Exp Statement '!O63-O8</f>
        <v>14269.940095491678</v>
      </c>
      <c r="P15" s="608">
        <f>O8+O15+'Water  Fund  Inc Exp Statement '!P55-'Water  Fund  Inc Exp Statement '!P63-P8</f>
        <v>14687.915277401513</v>
      </c>
    </row>
    <row r="16" spans="1:16" ht="11.25" x14ac:dyDescent="0.2">
      <c r="A16" s="760" t="s">
        <v>44</v>
      </c>
      <c r="B16" s="608"/>
      <c r="C16" s="608"/>
      <c r="D16" s="608"/>
      <c r="E16" s="608">
        <f>50834</f>
        <v>50834</v>
      </c>
      <c r="F16" s="608">
        <f>E16-'Water  Fund  Inc Exp Statement '!F27+SUM('Water  Fund  Inc Exp Statement '!F51:F53)-'Water  Fund  Inc Exp Statement '!F65</f>
        <v>52637.728000000003</v>
      </c>
      <c r="G16" s="608">
        <f>F16-'Water  Fund  Inc Exp Statement '!G27+SUM('Water  Fund  Inc Exp Statement '!G51:G53)-'Water  Fund  Inc Exp Statement '!G65</f>
        <v>53374.628000000004</v>
      </c>
      <c r="H16" s="608">
        <f>G16-'Water  Fund  Inc Exp Statement '!H27+SUM('Water  Fund  Inc Exp Statement '!H51:H53)-'Water  Fund  Inc Exp Statement '!H65</f>
        <v>53133.678000000007</v>
      </c>
      <c r="I16" s="608">
        <f>H16-'Water  Fund  Inc Exp Statement '!I27+SUM('Water  Fund  Inc Exp Statement '!I51:I53)-'Water  Fund  Inc Exp Statement '!I65</f>
        <v>52673.830000000009</v>
      </c>
      <c r="J16" s="608">
        <f>I16-'Water  Fund  Inc Exp Statement '!J27+SUM('Water  Fund  Inc Exp Statement '!J51:J53)-'Water  Fund  Inc Exp Statement '!J65</f>
        <v>52174.112000000008</v>
      </c>
      <c r="K16" s="608">
        <f>J16-'Water  Fund  Inc Exp Statement '!K27+SUM('Water  Fund  Inc Exp Statement '!K51:K53)-'Water  Fund  Inc Exp Statement '!K65</f>
        <v>51656.226050000005</v>
      </c>
      <c r="L16" s="608">
        <f>K16-'Water  Fund  Inc Exp Statement '!L27+SUM('Water  Fund  Inc Exp Statement '!L51:L53)-'Water  Fund  Inc Exp Statement '!L65</f>
        <v>51119.604451250001</v>
      </c>
      <c r="M16" s="608">
        <f>L16-'Water  Fund  Inc Exp Statement '!M27+SUM('Water  Fund  Inc Exp Statement '!M51:M53)-'Water  Fund  Inc Exp Statement '!M65</f>
        <v>50563.663042531254</v>
      </c>
      <c r="N16" s="608">
        <f>M16-'Water  Fund  Inc Exp Statement '!N27+SUM('Water  Fund  Inc Exp Statement '!N51:N53)-'Water  Fund  Inc Exp Statement '!N65</f>
        <v>49987.80074319453</v>
      </c>
      <c r="O16" s="608">
        <f>N16-'Water  Fund  Inc Exp Statement '!O27+SUM('Water  Fund  Inc Exp Statement '!O51:O53)-'Water  Fund  Inc Exp Statement '!O65</f>
        <v>49391.399083866396</v>
      </c>
      <c r="P16" s="608">
        <f>O16-'Water  Fund  Inc Exp Statement '!P27+SUM('Water  Fund  Inc Exp Statement '!P51:P53)-'Water  Fund  Inc Exp Statement '!P65</f>
        <v>48773.821724496898</v>
      </c>
    </row>
    <row r="17" spans="1:16" ht="11.25" x14ac:dyDescent="0.2">
      <c r="A17" s="760" t="s">
        <v>1050</v>
      </c>
      <c r="B17" s="608"/>
      <c r="C17" s="608"/>
      <c r="D17" s="608"/>
      <c r="E17" s="608"/>
      <c r="F17" s="608"/>
      <c r="G17" s="608"/>
      <c r="H17" s="608"/>
      <c r="I17" s="608"/>
      <c r="J17" s="608"/>
      <c r="K17" s="608"/>
      <c r="L17" s="608"/>
      <c r="M17" s="608"/>
      <c r="N17" s="608"/>
      <c r="O17" s="608"/>
      <c r="P17" s="608"/>
    </row>
    <row r="18" spans="1:16" s="760" customFormat="1" ht="11.25" x14ac:dyDescent="0.2">
      <c r="A18" s="760" t="s">
        <v>939</v>
      </c>
      <c r="B18" s="608"/>
      <c r="C18" s="608"/>
      <c r="D18" s="608"/>
      <c r="E18" s="608"/>
      <c r="F18" s="608"/>
      <c r="G18" s="608"/>
      <c r="H18" s="608"/>
      <c r="I18" s="608"/>
      <c r="J18" s="608"/>
      <c r="K18" s="608"/>
      <c r="L18" s="608"/>
      <c r="M18" s="608"/>
      <c r="N18" s="608"/>
      <c r="O18" s="608"/>
      <c r="P18" s="608"/>
    </row>
    <row r="19" spans="1:16" s="657" customFormat="1" ht="11.25" x14ac:dyDescent="0.2">
      <c r="A19" s="761" t="s">
        <v>45</v>
      </c>
      <c r="B19" s="762">
        <f>SUM(B16)</f>
        <v>0</v>
      </c>
      <c r="C19" s="762">
        <f t="shared" ref="C19" si="3">SUM(C16)</f>
        <v>0</v>
      </c>
      <c r="D19" s="762">
        <f>SUM(D14:D18)</f>
        <v>0</v>
      </c>
      <c r="E19" s="762">
        <f t="shared" ref="E19:P19" si="4">SUM(E14:E18)</f>
        <v>65146</v>
      </c>
      <c r="F19" s="762">
        <f t="shared" si="4"/>
        <v>65142.951000000001</v>
      </c>
      <c r="G19" s="762">
        <f t="shared" si="4"/>
        <v>64977.589</v>
      </c>
      <c r="H19" s="762">
        <f t="shared" si="4"/>
        <v>64771.499000000003</v>
      </c>
      <c r="I19" s="762">
        <f t="shared" si="4"/>
        <v>64602.511000000006</v>
      </c>
      <c r="J19" s="762">
        <f t="shared" si="4"/>
        <v>64473.943000000007</v>
      </c>
      <c r="K19" s="762">
        <f t="shared" si="4"/>
        <v>64334.630050000007</v>
      </c>
      <c r="L19" s="762">
        <f t="shared" si="4"/>
        <v>64184.152911249999</v>
      </c>
      <c r="M19" s="762">
        <f t="shared" si="4"/>
        <v>64022.078851731254</v>
      </c>
      <c r="N19" s="762">
        <f t="shared" si="4"/>
        <v>63847.961248578533</v>
      </c>
      <c r="O19" s="762">
        <f t="shared" si="4"/>
        <v>63661.339179358074</v>
      </c>
      <c r="P19" s="762">
        <f t="shared" si="4"/>
        <v>63461.737001898407</v>
      </c>
    </row>
    <row r="20" spans="1:16" ht="9" customHeight="1" x14ac:dyDescent="0.2">
      <c r="B20" s="608"/>
      <c r="C20" s="608"/>
      <c r="D20" s="608"/>
      <c r="E20" s="608"/>
      <c r="F20" s="608"/>
      <c r="G20" s="608"/>
      <c r="H20" s="608"/>
      <c r="I20" s="608"/>
      <c r="J20" s="608"/>
      <c r="K20" s="608"/>
      <c r="L20" s="608"/>
      <c r="M20" s="608"/>
      <c r="N20" s="608"/>
      <c r="O20" s="608"/>
      <c r="P20" s="608"/>
    </row>
    <row r="21" spans="1:16" s="657" customFormat="1" ht="12" thickBot="1" x14ac:dyDescent="0.25">
      <c r="A21" s="654" t="s">
        <v>46</v>
      </c>
      <c r="B21" s="665">
        <f>+B12+B19</f>
        <v>0</v>
      </c>
      <c r="C21" s="665">
        <f t="shared" ref="C21:P21" si="5">+C12+C19</f>
        <v>0</v>
      </c>
      <c r="D21" s="665">
        <f t="shared" si="5"/>
        <v>0</v>
      </c>
      <c r="E21" s="665">
        <f t="shared" si="5"/>
        <v>70499</v>
      </c>
      <c r="F21" s="665">
        <f t="shared" si="5"/>
        <v>70495.951000000001</v>
      </c>
      <c r="G21" s="665">
        <f t="shared" si="5"/>
        <v>70593.989000000001</v>
      </c>
      <c r="H21" s="665">
        <f t="shared" si="5"/>
        <v>70661.771999999997</v>
      </c>
      <c r="I21" s="665">
        <f t="shared" si="5"/>
        <v>70777.513999999996</v>
      </c>
      <c r="J21" s="665">
        <f t="shared" si="5"/>
        <v>70944.793000000005</v>
      </c>
      <c r="K21" s="665">
        <f t="shared" si="5"/>
        <v>71085.94835620001</v>
      </c>
      <c r="L21" s="665">
        <f t="shared" si="5"/>
        <v>71242.536545196999</v>
      </c>
      <c r="M21" s="665">
        <f t="shared" si="5"/>
        <v>71443.24666955648</v>
      </c>
      <c r="N21" s="665">
        <f t="shared" si="5"/>
        <v>71979.431111021637</v>
      </c>
      <c r="O21" s="665">
        <f t="shared" si="5"/>
        <v>72539.736791790623</v>
      </c>
      <c r="P21" s="665">
        <f t="shared" si="5"/>
        <v>73125.106964806066</v>
      </c>
    </row>
    <row r="22" spans="1:16" ht="11.25" x14ac:dyDescent="0.2">
      <c r="B22" s="608"/>
      <c r="C22" s="608"/>
      <c r="D22" s="608"/>
      <c r="E22" s="608"/>
      <c r="F22" s="608"/>
      <c r="G22" s="608"/>
      <c r="H22" s="608"/>
      <c r="I22" s="608"/>
      <c r="J22" s="608"/>
      <c r="K22" s="608"/>
      <c r="L22" s="608"/>
      <c r="M22" s="608"/>
      <c r="N22" s="608"/>
      <c r="O22" s="608"/>
      <c r="P22" s="608"/>
    </row>
    <row r="23" spans="1:16" ht="11.25" x14ac:dyDescent="0.2">
      <c r="A23" s="654" t="s">
        <v>47</v>
      </c>
      <c r="B23" s="608"/>
      <c r="C23" s="608"/>
      <c r="D23" s="608"/>
      <c r="E23" s="608"/>
      <c r="F23" s="608"/>
      <c r="G23" s="608"/>
      <c r="H23" s="608"/>
      <c r="I23" s="608"/>
      <c r="J23" s="608"/>
      <c r="K23" s="608"/>
      <c r="L23" s="608"/>
      <c r="M23" s="608"/>
      <c r="N23" s="608"/>
      <c r="O23" s="608"/>
      <c r="P23" s="608"/>
    </row>
    <row r="24" spans="1:16" ht="11.25" x14ac:dyDescent="0.2">
      <c r="A24" s="654" t="s">
        <v>48</v>
      </c>
      <c r="B24" s="608"/>
      <c r="C24" s="608"/>
      <c r="D24" s="608"/>
      <c r="E24" s="608"/>
      <c r="F24" s="608"/>
      <c r="G24" s="608"/>
      <c r="H24" s="608"/>
      <c r="I24" s="608"/>
      <c r="J24" s="608"/>
      <c r="K24" s="608"/>
      <c r="L24" s="608"/>
      <c r="M24" s="608"/>
      <c r="N24" s="608"/>
      <c r="O24" s="608"/>
      <c r="P24" s="608"/>
    </row>
    <row r="25" spans="1:16" ht="11.25" x14ac:dyDescent="0.2">
      <c r="A25" s="666" t="s">
        <v>49</v>
      </c>
      <c r="B25" s="608"/>
      <c r="C25" s="608"/>
      <c r="D25" s="608"/>
      <c r="E25" s="608">
        <f>411</f>
        <v>411</v>
      </c>
      <c r="F25" s="608">
        <f t="shared" ref="F25:P27" si="6">+E25</f>
        <v>411</v>
      </c>
      <c r="G25" s="608">
        <f t="shared" si="6"/>
        <v>411</v>
      </c>
      <c r="H25" s="608">
        <f t="shared" si="6"/>
        <v>411</v>
      </c>
      <c r="I25" s="608">
        <f t="shared" si="6"/>
        <v>411</v>
      </c>
      <c r="J25" s="608">
        <f t="shared" si="6"/>
        <v>411</v>
      </c>
      <c r="K25" s="608">
        <f t="shared" si="6"/>
        <v>411</v>
      </c>
      <c r="L25" s="608">
        <f t="shared" si="6"/>
        <v>411</v>
      </c>
      <c r="M25" s="608">
        <f t="shared" si="6"/>
        <v>411</v>
      </c>
      <c r="N25" s="608">
        <f t="shared" si="6"/>
        <v>411</v>
      </c>
      <c r="O25" s="608">
        <f t="shared" si="6"/>
        <v>411</v>
      </c>
      <c r="P25" s="608">
        <f t="shared" si="6"/>
        <v>411</v>
      </c>
    </row>
    <row r="26" spans="1:16" ht="11.25" x14ac:dyDescent="0.2">
      <c r="A26" s="666" t="s">
        <v>1051</v>
      </c>
      <c r="B26" s="608"/>
      <c r="C26" s="608"/>
      <c r="D26" s="608"/>
      <c r="E26" s="608">
        <f>257</f>
        <v>257</v>
      </c>
      <c r="F26" s="608">
        <f>'Water  Fund  Inc Exp Statement '!G54</f>
        <v>273.84699999999998</v>
      </c>
      <c r="G26" s="608">
        <f>'Water  Fund  Inc Exp Statement '!H54</f>
        <v>291.74400000000003</v>
      </c>
      <c r="H26" s="608">
        <f>'Water  Fund  Inc Exp Statement '!I54</f>
        <v>310.113</v>
      </c>
      <c r="I26" s="608">
        <f>'Water  Fund  Inc Exp Statement '!J54</f>
        <v>331.38900000000001</v>
      </c>
      <c r="J26" s="608">
        <f>'Water  Fund  Inc Exp Statement '!K54</f>
        <v>338.01678000000004</v>
      </c>
      <c r="K26" s="608">
        <f>'Water  Fund  Inc Exp Statement '!L54</f>
        <v>344.77711560000006</v>
      </c>
      <c r="L26" s="608">
        <f>'Water  Fund  Inc Exp Statement '!M54</f>
        <v>323.67265791199998</v>
      </c>
      <c r="M26" s="608">
        <f>'Water  Fund  Inc Exp Statement '!N54</f>
        <v>0</v>
      </c>
      <c r="N26" s="608">
        <f>'Water  Fund  Inc Exp Statement '!O54</f>
        <v>0</v>
      </c>
      <c r="O26" s="608">
        <f>'Water  Fund  Inc Exp Statement '!P54</f>
        <v>0</v>
      </c>
      <c r="P26" s="608">
        <f>'Water  Fund  Inc Exp Statement '!Q54</f>
        <v>0</v>
      </c>
    </row>
    <row r="27" spans="1:16" ht="11.25" x14ac:dyDescent="0.2">
      <c r="A27" s="667" t="s">
        <v>50</v>
      </c>
      <c r="B27" s="615"/>
      <c r="C27" s="608"/>
      <c r="D27" s="608"/>
      <c r="E27" s="608">
        <f>372</f>
        <v>372</v>
      </c>
      <c r="F27" s="608">
        <f t="shared" si="6"/>
        <v>372</v>
      </c>
      <c r="G27" s="608">
        <f t="shared" si="6"/>
        <v>372</v>
      </c>
      <c r="H27" s="608">
        <f t="shared" si="6"/>
        <v>372</v>
      </c>
      <c r="I27" s="608">
        <f t="shared" si="6"/>
        <v>372</v>
      </c>
      <c r="J27" s="608">
        <f t="shared" si="6"/>
        <v>372</v>
      </c>
      <c r="K27" s="608">
        <f t="shared" si="6"/>
        <v>372</v>
      </c>
      <c r="L27" s="608">
        <f t="shared" si="6"/>
        <v>372</v>
      </c>
      <c r="M27" s="608">
        <f t="shared" si="6"/>
        <v>372</v>
      </c>
      <c r="N27" s="608">
        <f t="shared" si="6"/>
        <v>372</v>
      </c>
      <c r="O27" s="608">
        <f t="shared" si="6"/>
        <v>372</v>
      </c>
      <c r="P27" s="608">
        <f t="shared" si="6"/>
        <v>372</v>
      </c>
    </row>
    <row r="28" spans="1:16" s="657" customFormat="1" ht="11.25" x14ac:dyDescent="0.2">
      <c r="A28" s="654" t="s">
        <v>51</v>
      </c>
      <c r="B28" s="656">
        <f>SUM(B25:B27)</f>
        <v>0</v>
      </c>
      <c r="C28" s="656">
        <f t="shared" ref="C28:P28" si="7">SUM(C25:C27)</f>
        <v>0</v>
      </c>
      <c r="D28" s="656">
        <f t="shared" si="7"/>
        <v>0</v>
      </c>
      <c r="E28" s="656">
        <f t="shared" si="7"/>
        <v>1040</v>
      </c>
      <c r="F28" s="656">
        <f t="shared" si="7"/>
        <v>1056.847</v>
      </c>
      <c r="G28" s="656">
        <f t="shared" si="7"/>
        <v>1074.7440000000001</v>
      </c>
      <c r="H28" s="656">
        <f t="shared" si="7"/>
        <v>1093.1130000000001</v>
      </c>
      <c r="I28" s="656">
        <f t="shared" si="7"/>
        <v>1114.3890000000001</v>
      </c>
      <c r="J28" s="656">
        <f t="shared" si="7"/>
        <v>1121.0167799999999</v>
      </c>
      <c r="K28" s="656">
        <f t="shared" si="7"/>
        <v>1127.7771156000001</v>
      </c>
      <c r="L28" s="656">
        <f t="shared" si="7"/>
        <v>1106.672657912</v>
      </c>
      <c r="M28" s="656">
        <f t="shared" si="7"/>
        <v>783</v>
      </c>
      <c r="N28" s="656">
        <f t="shared" si="7"/>
        <v>783</v>
      </c>
      <c r="O28" s="656">
        <f t="shared" si="7"/>
        <v>783</v>
      </c>
      <c r="P28" s="656">
        <f t="shared" si="7"/>
        <v>783</v>
      </c>
    </row>
    <row r="29" spans="1:16" ht="11.25" x14ac:dyDescent="0.2">
      <c r="B29" s="608"/>
      <c r="C29" s="608"/>
      <c r="D29" s="608"/>
      <c r="E29" s="608"/>
      <c r="F29" s="608"/>
      <c r="G29" s="608"/>
      <c r="H29" s="608"/>
      <c r="I29" s="608"/>
      <c r="J29" s="608"/>
      <c r="K29" s="608"/>
      <c r="L29" s="608"/>
      <c r="M29" s="608"/>
      <c r="N29" s="608"/>
      <c r="O29" s="608"/>
      <c r="P29" s="608"/>
    </row>
    <row r="30" spans="1:16" ht="11.25" x14ac:dyDescent="0.2">
      <c r="A30" s="654" t="s">
        <v>52</v>
      </c>
      <c r="B30" s="608"/>
      <c r="C30" s="608"/>
      <c r="D30" s="608"/>
      <c r="E30" s="608"/>
      <c r="F30" s="608"/>
      <c r="G30" s="608"/>
      <c r="H30" s="608"/>
      <c r="I30" s="608"/>
      <c r="J30" s="608"/>
      <c r="K30" s="608"/>
      <c r="L30" s="608"/>
      <c r="M30" s="608"/>
      <c r="N30" s="608"/>
      <c r="O30" s="608"/>
      <c r="P30" s="608"/>
    </row>
    <row r="31" spans="1:16" ht="11.25" x14ac:dyDescent="0.2">
      <c r="A31" s="653" t="s">
        <v>49</v>
      </c>
      <c r="B31" s="608"/>
      <c r="C31" s="608"/>
      <c r="D31" s="608"/>
      <c r="E31" s="608"/>
      <c r="F31" s="608">
        <f t="shared" ref="F31:P33" si="8">+E31</f>
        <v>0</v>
      </c>
      <c r="G31" s="608">
        <f t="shared" si="8"/>
        <v>0</v>
      </c>
      <c r="H31" s="608">
        <f t="shared" si="8"/>
        <v>0</v>
      </c>
      <c r="I31" s="608">
        <f t="shared" si="8"/>
        <v>0</v>
      </c>
      <c r="J31" s="608">
        <f t="shared" si="8"/>
        <v>0</v>
      </c>
      <c r="K31" s="608">
        <f t="shared" si="8"/>
        <v>0</v>
      </c>
      <c r="L31" s="608">
        <f t="shared" si="8"/>
        <v>0</v>
      </c>
      <c r="M31" s="608">
        <f t="shared" si="8"/>
        <v>0</v>
      </c>
      <c r="N31" s="608">
        <f t="shared" si="8"/>
        <v>0</v>
      </c>
      <c r="O31" s="608">
        <f t="shared" si="8"/>
        <v>0</v>
      </c>
      <c r="P31" s="608">
        <f t="shared" si="8"/>
        <v>0</v>
      </c>
    </row>
    <row r="32" spans="1:16" ht="11.25" x14ac:dyDescent="0.2">
      <c r="A32" s="653" t="s">
        <v>1051</v>
      </c>
      <c r="B32" s="608"/>
      <c r="C32" s="608"/>
      <c r="D32" s="608"/>
      <c r="E32" s="608">
        <f>2213</f>
        <v>2213</v>
      </c>
      <c r="F32" s="608">
        <f>E26+E32+'Water  Fund  Cash Flow'!F38+'Water  Fund  Cash Flow'!F41-F26</f>
        <v>1939.1020000000001</v>
      </c>
      <c r="G32" s="608">
        <f>F26+F32+'Water  Fund  Cash Flow'!G38+'Water  Fund  Cash Flow'!G41-G26</f>
        <v>1647.3580000000002</v>
      </c>
      <c r="H32" s="608">
        <f>G26+G32+'Water  Fund  Cash Flow'!H38+'Water  Fund  Cash Flow'!H41-H26</f>
        <v>1337.2450000000001</v>
      </c>
      <c r="I32" s="608">
        <f>H26+H32+'Water  Fund  Cash Flow'!I38+'Water  Fund  Cash Flow'!I41-I26</f>
        <v>1005.8560000000001</v>
      </c>
      <c r="J32" s="608">
        <f>I26+I32+'Water  Fund  Cash Flow'!J38+'Water  Fund  Cash Flow'!J41-J26</f>
        <v>667.83922000000007</v>
      </c>
      <c r="K32" s="608">
        <f>J26+J32+'Water  Fund  Cash Flow'!K38+'Water  Fund  Cash Flow'!K41-K26</f>
        <v>323.06210440000001</v>
      </c>
      <c r="L32" s="608">
        <f>K26+K32+'Water  Fund  Cash Flow'!L38+'Water  Fund  Cash Flow'!L41-L26</f>
        <v>-0.61055351199996721</v>
      </c>
      <c r="M32" s="608">
        <f>L26+L32+'Water  Fund  Cash Flow'!M38+'Water  Fund  Cash Flow'!M41-M26</f>
        <v>-0.61055351199996721</v>
      </c>
      <c r="N32" s="608">
        <f>M26+M32+'Water  Fund  Cash Flow'!N38+'Water  Fund  Cash Flow'!N41-N26</f>
        <v>-0.61055351199996721</v>
      </c>
      <c r="O32" s="608">
        <f>N26+N32+'Water  Fund  Cash Flow'!O38+'Water  Fund  Cash Flow'!O41-O26</f>
        <v>-0.61055351199996721</v>
      </c>
      <c r="P32" s="608">
        <f>O26+O32+'Water  Fund  Cash Flow'!P38+'Water  Fund  Cash Flow'!P41-P26</f>
        <v>-0.61055351199996721</v>
      </c>
    </row>
    <row r="33" spans="1:16" ht="11.25" x14ac:dyDescent="0.2">
      <c r="A33" s="655" t="s">
        <v>50</v>
      </c>
      <c r="B33" s="615"/>
      <c r="C33" s="608"/>
      <c r="D33" s="608"/>
      <c r="E33" s="608"/>
      <c r="F33" s="608">
        <f t="shared" si="8"/>
        <v>0</v>
      </c>
      <c r="G33" s="608">
        <f t="shared" si="8"/>
        <v>0</v>
      </c>
      <c r="H33" s="608">
        <f t="shared" si="8"/>
        <v>0</v>
      </c>
      <c r="I33" s="608">
        <f t="shared" si="8"/>
        <v>0</v>
      </c>
      <c r="J33" s="608">
        <f t="shared" si="8"/>
        <v>0</v>
      </c>
      <c r="K33" s="608">
        <f t="shared" si="8"/>
        <v>0</v>
      </c>
      <c r="L33" s="608">
        <f t="shared" si="8"/>
        <v>0</v>
      </c>
      <c r="M33" s="608">
        <f t="shared" si="8"/>
        <v>0</v>
      </c>
      <c r="N33" s="608">
        <f t="shared" si="8"/>
        <v>0</v>
      </c>
      <c r="O33" s="608">
        <f t="shared" si="8"/>
        <v>0</v>
      </c>
      <c r="P33" s="608">
        <f t="shared" si="8"/>
        <v>0</v>
      </c>
    </row>
    <row r="34" spans="1:16" s="657" customFormat="1" ht="11.25" x14ac:dyDescent="0.2">
      <c r="A34" s="654" t="s">
        <v>53</v>
      </c>
      <c r="B34" s="656">
        <f>SUM(B31:B33)</f>
        <v>0</v>
      </c>
      <c r="C34" s="656">
        <f t="shared" ref="C34:P34" si="9">SUM(C31:C33)</f>
        <v>0</v>
      </c>
      <c r="D34" s="656">
        <f t="shared" si="9"/>
        <v>0</v>
      </c>
      <c r="E34" s="656">
        <f t="shared" si="9"/>
        <v>2213</v>
      </c>
      <c r="F34" s="656">
        <f t="shared" si="9"/>
        <v>1939.1020000000001</v>
      </c>
      <c r="G34" s="656">
        <f t="shared" si="9"/>
        <v>1647.3580000000002</v>
      </c>
      <c r="H34" s="656">
        <f t="shared" si="9"/>
        <v>1337.2450000000001</v>
      </c>
      <c r="I34" s="656">
        <f t="shared" si="9"/>
        <v>1005.8560000000001</v>
      </c>
      <c r="J34" s="656">
        <f t="shared" si="9"/>
        <v>667.83922000000007</v>
      </c>
      <c r="K34" s="656">
        <f t="shared" si="9"/>
        <v>323.06210440000001</v>
      </c>
      <c r="L34" s="656">
        <f t="shared" si="9"/>
        <v>-0.61055351199996721</v>
      </c>
      <c r="M34" s="656">
        <f t="shared" si="9"/>
        <v>-0.61055351199996721</v>
      </c>
      <c r="N34" s="656">
        <f t="shared" si="9"/>
        <v>-0.61055351199996721</v>
      </c>
      <c r="O34" s="656">
        <f t="shared" si="9"/>
        <v>-0.61055351199996721</v>
      </c>
      <c r="P34" s="656">
        <f t="shared" si="9"/>
        <v>-0.61055351199996721</v>
      </c>
    </row>
    <row r="35" spans="1:16" ht="9" customHeight="1" x14ac:dyDescent="0.2">
      <c r="B35" s="608"/>
      <c r="C35" s="608"/>
      <c r="D35" s="608"/>
      <c r="E35" s="608"/>
      <c r="F35" s="608"/>
      <c r="G35" s="608"/>
      <c r="H35" s="608"/>
      <c r="I35" s="608"/>
      <c r="J35" s="608"/>
      <c r="K35" s="608"/>
      <c r="L35" s="608"/>
      <c r="M35" s="608"/>
      <c r="N35" s="608"/>
      <c r="O35" s="608"/>
      <c r="P35" s="608"/>
    </row>
    <row r="36" spans="1:16" s="657" customFormat="1" ht="12" thickBot="1" x14ac:dyDescent="0.25">
      <c r="A36" s="654" t="s">
        <v>54</v>
      </c>
      <c r="B36" s="665">
        <f>+B28+B34</f>
        <v>0</v>
      </c>
      <c r="C36" s="665">
        <f t="shared" ref="C36:P36" si="10">+C28+C34</f>
        <v>0</v>
      </c>
      <c r="D36" s="665">
        <f t="shared" si="10"/>
        <v>0</v>
      </c>
      <c r="E36" s="665">
        <f t="shared" si="10"/>
        <v>3253</v>
      </c>
      <c r="F36" s="665">
        <f t="shared" si="10"/>
        <v>2995.9490000000001</v>
      </c>
      <c r="G36" s="665">
        <f t="shared" si="10"/>
        <v>2722.1020000000003</v>
      </c>
      <c r="H36" s="665">
        <f t="shared" si="10"/>
        <v>2430.3580000000002</v>
      </c>
      <c r="I36" s="665">
        <f t="shared" si="10"/>
        <v>2120.2450000000003</v>
      </c>
      <c r="J36" s="665">
        <f t="shared" si="10"/>
        <v>1788.856</v>
      </c>
      <c r="K36" s="665">
        <f t="shared" si="10"/>
        <v>1450.8392200000001</v>
      </c>
      <c r="L36" s="665">
        <f t="shared" si="10"/>
        <v>1106.0621044</v>
      </c>
      <c r="M36" s="665">
        <f t="shared" si="10"/>
        <v>782.38944648799998</v>
      </c>
      <c r="N36" s="665">
        <f t="shared" si="10"/>
        <v>782.38944648799998</v>
      </c>
      <c r="O36" s="665">
        <f t="shared" si="10"/>
        <v>782.38944648799998</v>
      </c>
      <c r="P36" s="665">
        <f t="shared" si="10"/>
        <v>782.38944648799998</v>
      </c>
    </row>
    <row r="37" spans="1:16" s="657" customFormat="1" ht="12" thickBot="1" x14ac:dyDescent="0.25">
      <c r="A37" s="654" t="s">
        <v>55</v>
      </c>
      <c r="B37" s="668">
        <f>+B21-B36</f>
        <v>0</v>
      </c>
      <c r="C37" s="668">
        <f t="shared" ref="C37:P37" si="11">+C21-C36</f>
        <v>0</v>
      </c>
      <c r="D37" s="668">
        <f t="shared" si="11"/>
        <v>0</v>
      </c>
      <c r="E37" s="668">
        <f t="shared" si="11"/>
        <v>67246</v>
      </c>
      <c r="F37" s="668">
        <f t="shared" si="11"/>
        <v>67500.002000000008</v>
      </c>
      <c r="G37" s="668">
        <f t="shared" si="11"/>
        <v>67871.887000000002</v>
      </c>
      <c r="H37" s="668">
        <f t="shared" si="11"/>
        <v>68231.41399999999</v>
      </c>
      <c r="I37" s="668">
        <f t="shared" si="11"/>
        <v>68657.269</v>
      </c>
      <c r="J37" s="668">
        <f t="shared" si="11"/>
        <v>69155.937000000005</v>
      </c>
      <c r="K37" s="668">
        <f t="shared" si="11"/>
        <v>69635.109136200015</v>
      </c>
      <c r="L37" s="668">
        <f t="shared" si="11"/>
        <v>70136.474440796999</v>
      </c>
      <c r="M37" s="668">
        <f t="shared" si="11"/>
        <v>70660.85722306848</v>
      </c>
      <c r="N37" s="668">
        <f t="shared" si="11"/>
        <v>71197.041664533637</v>
      </c>
      <c r="O37" s="668">
        <f t="shared" si="11"/>
        <v>71757.347345302624</v>
      </c>
      <c r="P37" s="668">
        <f t="shared" si="11"/>
        <v>72342.717518318066</v>
      </c>
    </row>
    <row r="38" spans="1:16" ht="12" thickTop="1" x14ac:dyDescent="0.2">
      <c r="B38" s="608"/>
      <c r="C38" s="608"/>
      <c r="D38" s="608"/>
      <c r="E38" s="608"/>
      <c r="F38" s="608"/>
      <c r="G38" s="608"/>
      <c r="H38" s="608"/>
      <c r="I38" s="608"/>
      <c r="J38" s="608"/>
      <c r="K38" s="608"/>
      <c r="L38" s="608"/>
      <c r="M38" s="608"/>
      <c r="N38" s="608"/>
      <c r="O38" s="608"/>
      <c r="P38" s="608"/>
    </row>
    <row r="39" spans="1:16" ht="11.25" x14ac:dyDescent="0.2">
      <c r="A39" s="654" t="s">
        <v>56</v>
      </c>
      <c r="B39" s="608"/>
      <c r="C39" s="608"/>
      <c r="D39" s="608"/>
      <c r="E39" s="608"/>
      <c r="F39" s="608"/>
      <c r="G39" s="608"/>
      <c r="H39" s="608"/>
      <c r="I39" s="608"/>
      <c r="J39" s="608"/>
      <c r="K39" s="608"/>
      <c r="L39" s="608"/>
      <c r="M39" s="608"/>
      <c r="N39" s="608"/>
      <c r="O39" s="608"/>
      <c r="P39" s="608"/>
    </row>
    <row r="40" spans="1:16" ht="11.25" x14ac:dyDescent="0.2">
      <c r="A40" s="653" t="s">
        <v>57</v>
      </c>
      <c r="B40" s="608"/>
      <c r="C40" s="608"/>
      <c r="D40" s="608"/>
      <c r="E40" s="608">
        <f>37570</f>
        <v>37570</v>
      </c>
      <c r="F40" s="608">
        <f>'Water Fund  Equity Statement'!F13</f>
        <v>37824.002</v>
      </c>
      <c r="G40" s="608">
        <f>'Water Fund  Equity Statement'!G13</f>
        <v>38195.887000000002</v>
      </c>
      <c r="H40" s="608">
        <f>'Water Fund  Equity Statement'!H13</f>
        <v>38555.414000000004</v>
      </c>
      <c r="I40" s="608">
        <f>'Water Fund  Equity Statement'!I13</f>
        <v>38981.269</v>
      </c>
      <c r="J40" s="608">
        <f>'Water Fund  Equity Statement'!J13</f>
        <v>39479.936999999998</v>
      </c>
      <c r="K40" s="608">
        <f>'Water Fund  Equity Statement'!K13</f>
        <v>39959.109136200001</v>
      </c>
      <c r="L40" s="608">
        <f>'Water Fund  Equity Statement'!L13</f>
        <v>40460.474440796999</v>
      </c>
      <c r="M40" s="608">
        <f>'Water Fund  Equity Statement'!M13</f>
        <v>40984.857223068488</v>
      </c>
      <c r="N40" s="608">
        <f>'Water Fund  Equity Statement'!N13</f>
        <v>41521.041664533637</v>
      </c>
      <c r="O40" s="608">
        <f>'Water Fund  Equity Statement'!O13</f>
        <v>42081.347345302624</v>
      </c>
      <c r="P40" s="608">
        <f>'Water Fund  Equity Statement'!P13</f>
        <v>42666.717518318059</v>
      </c>
    </row>
    <row r="41" spans="1:16" ht="12" thickBot="1" x14ac:dyDescent="0.25">
      <c r="A41" s="653" t="s">
        <v>58</v>
      </c>
      <c r="B41" s="669"/>
      <c r="C41" s="669"/>
      <c r="D41" s="669"/>
      <c r="E41" s="669">
        <f>31173-1497</f>
        <v>29676</v>
      </c>
      <c r="F41" s="669">
        <f>'Water Fund  Equity Statement'!F22</f>
        <v>29676</v>
      </c>
      <c r="G41" s="669">
        <f>'Water Fund  Equity Statement'!G22</f>
        <v>29676</v>
      </c>
      <c r="H41" s="669">
        <f>'Water Fund  Equity Statement'!H22</f>
        <v>29676</v>
      </c>
      <c r="I41" s="669">
        <f>'Water Fund  Equity Statement'!I22</f>
        <v>29676</v>
      </c>
      <c r="J41" s="669">
        <f>'Water Fund  Equity Statement'!J22</f>
        <v>29676</v>
      </c>
      <c r="K41" s="669">
        <f>'Water Fund  Equity Statement'!K22</f>
        <v>29676</v>
      </c>
      <c r="L41" s="669">
        <f>'Water Fund  Equity Statement'!L22</f>
        <v>29676</v>
      </c>
      <c r="M41" s="669">
        <f>'Water Fund  Equity Statement'!M22</f>
        <v>29676</v>
      </c>
      <c r="N41" s="669">
        <f>'Water Fund  Equity Statement'!N22</f>
        <v>29676</v>
      </c>
      <c r="O41" s="669">
        <f>'Water Fund  Equity Statement'!O22</f>
        <v>29676</v>
      </c>
      <c r="P41" s="669">
        <f>'Water Fund  Equity Statement'!P22</f>
        <v>29676</v>
      </c>
    </row>
    <row r="42" spans="1:16" s="657" customFormat="1" ht="12" thickBot="1" x14ac:dyDescent="0.25">
      <c r="A42" s="654" t="s">
        <v>59</v>
      </c>
      <c r="B42" s="668">
        <f>SUM(B40:B41)</f>
        <v>0</v>
      </c>
      <c r="C42" s="668">
        <f t="shared" ref="C42:P42" si="12">SUM(C40:C41)</f>
        <v>0</v>
      </c>
      <c r="D42" s="668">
        <f t="shared" si="12"/>
        <v>0</v>
      </c>
      <c r="E42" s="668">
        <f t="shared" si="12"/>
        <v>67246</v>
      </c>
      <c r="F42" s="668">
        <f t="shared" si="12"/>
        <v>67500.002000000008</v>
      </c>
      <c r="G42" s="668">
        <f t="shared" si="12"/>
        <v>67871.887000000002</v>
      </c>
      <c r="H42" s="668">
        <f t="shared" si="12"/>
        <v>68231.414000000004</v>
      </c>
      <c r="I42" s="668">
        <f t="shared" si="12"/>
        <v>68657.269</v>
      </c>
      <c r="J42" s="668">
        <f t="shared" si="12"/>
        <v>69155.937000000005</v>
      </c>
      <c r="K42" s="668">
        <f t="shared" si="12"/>
        <v>69635.109136200001</v>
      </c>
      <c r="L42" s="668">
        <f t="shared" si="12"/>
        <v>70136.474440796999</v>
      </c>
      <c r="M42" s="668">
        <f t="shared" si="12"/>
        <v>70660.85722306848</v>
      </c>
      <c r="N42" s="668">
        <f t="shared" si="12"/>
        <v>71197.041664533637</v>
      </c>
      <c r="O42" s="668">
        <f t="shared" si="12"/>
        <v>71757.347345302624</v>
      </c>
      <c r="P42" s="668">
        <f t="shared" si="12"/>
        <v>72342.717518318066</v>
      </c>
    </row>
    <row r="43" spans="1:16" ht="12" thickTop="1" x14ac:dyDescent="0.2">
      <c r="B43" s="608"/>
      <c r="C43" s="608"/>
      <c r="D43" s="608"/>
      <c r="E43" s="608"/>
      <c r="F43" s="608"/>
      <c r="G43" s="608"/>
      <c r="H43" s="608"/>
      <c r="I43" s="608"/>
      <c r="J43" s="608"/>
      <c r="K43" s="608"/>
      <c r="L43" s="608"/>
      <c r="M43" s="608"/>
      <c r="N43" s="608"/>
      <c r="O43" s="608"/>
      <c r="P43" s="608"/>
    </row>
    <row r="44" spans="1:16" ht="11.25" hidden="1" outlineLevel="1" x14ac:dyDescent="0.2">
      <c r="A44" s="653" t="s">
        <v>111</v>
      </c>
      <c r="B44" s="621">
        <f>+B37-B42</f>
        <v>0</v>
      </c>
      <c r="C44" s="621">
        <f t="shared" ref="C44:P44" si="13">+C37-C42</f>
        <v>0</v>
      </c>
      <c r="D44" s="621">
        <f t="shared" si="13"/>
        <v>0</v>
      </c>
      <c r="E44" s="621">
        <f t="shared" si="13"/>
        <v>0</v>
      </c>
      <c r="F44" s="621">
        <f t="shared" si="13"/>
        <v>0</v>
      </c>
      <c r="G44" s="621">
        <f t="shared" si="13"/>
        <v>0</v>
      </c>
      <c r="H44" s="621">
        <f t="shared" si="13"/>
        <v>0</v>
      </c>
      <c r="I44" s="621">
        <f t="shared" si="13"/>
        <v>0</v>
      </c>
      <c r="J44" s="621">
        <f t="shared" si="13"/>
        <v>0</v>
      </c>
      <c r="K44" s="621">
        <f t="shared" si="13"/>
        <v>0</v>
      </c>
      <c r="L44" s="621">
        <f t="shared" si="13"/>
        <v>0</v>
      </c>
      <c r="M44" s="621">
        <f t="shared" si="13"/>
        <v>0</v>
      </c>
      <c r="N44" s="621">
        <f t="shared" si="13"/>
        <v>0</v>
      </c>
      <c r="O44" s="621">
        <f t="shared" si="13"/>
        <v>0</v>
      </c>
      <c r="P44" s="621">
        <f t="shared" si="13"/>
        <v>0</v>
      </c>
    </row>
    <row r="45" spans="1:16" ht="11.25" hidden="1" outlineLevel="1" x14ac:dyDescent="0.2">
      <c r="B45" s="621"/>
      <c r="C45" s="621"/>
      <c r="D45" s="621"/>
      <c r="E45" s="621"/>
      <c r="F45" s="621"/>
      <c r="G45" s="621"/>
      <c r="H45" s="621"/>
      <c r="I45" s="621"/>
      <c r="J45" s="621"/>
      <c r="K45" s="621"/>
      <c r="L45" s="621"/>
      <c r="M45" s="621"/>
      <c r="N45" s="621"/>
      <c r="O45" s="621"/>
      <c r="P45" s="621"/>
    </row>
    <row r="46" spans="1:16" ht="11.25" collapsed="1" x14ac:dyDescent="0.2">
      <c r="D46" s="670"/>
      <c r="E46" s="670"/>
      <c r="F46" s="670"/>
      <c r="G46" s="670"/>
      <c r="H46" s="670"/>
      <c r="I46" s="670"/>
      <c r="J46" s="670"/>
      <c r="K46" s="670"/>
      <c r="L46" s="670"/>
      <c r="M46" s="670"/>
      <c r="N46" s="670"/>
      <c r="O46" s="670"/>
      <c r="P46" s="670"/>
    </row>
    <row r="47" spans="1:16" ht="12.75" x14ac:dyDescent="0.2">
      <c r="A47" s="1091" t="s">
        <v>1363</v>
      </c>
    </row>
    <row r="48" spans="1:16" s="660" customFormat="1" ht="12" x14ac:dyDescent="0.2">
      <c r="A48" s="671" t="s">
        <v>1070</v>
      </c>
      <c r="B48" s="586" t="s">
        <v>69</v>
      </c>
      <c r="C48" s="586" t="s">
        <v>69</v>
      </c>
      <c r="D48" s="586" t="s">
        <v>69</v>
      </c>
      <c r="E48" s="586" t="s">
        <v>69</v>
      </c>
      <c r="F48" s="586" t="s">
        <v>70</v>
      </c>
      <c r="G48" s="586" t="s">
        <v>70</v>
      </c>
      <c r="H48" s="586" t="s">
        <v>71</v>
      </c>
      <c r="I48" s="586" t="s">
        <v>71</v>
      </c>
      <c r="J48" s="586" t="s">
        <v>71</v>
      </c>
      <c r="K48" s="586" t="s">
        <v>71</v>
      </c>
      <c r="L48" s="586" t="s">
        <v>71</v>
      </c>
      <c r="M48" s="586" t="s">
        <v>71</v>
      </c>
      <c r="N48" s="586" t="s">
        <v>71</v>
      </c>
      <c r="O48" s="586" t="s">
        <v>71</v>
      </c>
      <c r="P48" s="586" t="s">
        <v>71</v>
      </c>
    </row>
    <row r="49" spans="1:16" x14ac:dyDescent="0.2">
      <c r="A49" s="652" t="s">
        <v>72</v>
      </c>
      <c r="B49" s="741" t="s">
        <v>68</v>
      </c>
      <c r="C49" s="694" t="s">
        <v>0</v>
      </c>
      <c r="D49" s="694" t="s">
        <v>1</v>
      </c>
      <c r="E49" s="694" t="s">
        <v>2</v>
      </c>
      <c r="F49" s="694" t="s">
        <v>3</v>
      </c>
      <c r="G49" s="694" t="s">
        <v>4</v>
      </c>
      <c r="H49" s="694" t="s">
        <v>5</v>
      </c>
      <c r="I49" s="694" t="s">
        <v>6</v>
      </c>
      <c r="J49" s="694" t="s">
        <v>7</v>
      </c>
      <c r="K49" s="694" t="s">
        <v>8</v>
      </c>
      <c r="L49" s="694" t="s">
        <v>9</v>
      </c>
      <c r="M49" s="694" t="s">
        <v>514</v>
      </c>
      <c r="N49" s="694" t="s">
        <v>515</v>
      </c>
      <c r="O49" s="694" t="s">
        <v>904</v>
      </c>
      <c r="P49" s="694" t="s">
        <v>1046</v>
      </c>
    </row>
    <row r="50" spans="1:16" s="664" customFormat="1" x14ac:dyDescent="0.2">
      <c r="A50" s="661"/>
      <c r="B50" s="662"/>
      <c r="C50" s="662"/>
      <c r="D50" s="663"/>
      <c r="E50" s="663"/>
      <c r="F50" s="663"/>
      <c r="G50" s="663"/>
      <c r="H50" s="663"/>
      <c r="I50" s="663"/>
      <c r="J50" s="663"/>
      <c r="K50" s="663"/>
      <c r="L50" s="663"/>
      <c r="M50" s="663"/>
      <c r="N50" s="663"/>
      <c r="O50" s="663"/>
      <c r="P50" s="663"/>
    </row>
    <row r="51" spans="1:16" x14ac:dyDescent="0.2">
      <c r="A51" s="654" t="s">
        <v>35</v>
      </c>
      <c r="B51" s="608"/>
      <c r="C51" s="608"/>
      <c r="D51" s="608"/>
      <c r="E51" s="608"/>
      <c r="F51" s="608"/>
      <c r="G51" s="608"/>
      <c r="H51" s="608"/>
      <c r="I51" s="608"/>
      <c r="J51" s="608"/>
      <c r="K51" s="608"/>
      <c r="L51" s="608"/>
      <c r="M51" s="608"/>
      <c r="N51" s="608"/>
      <c r="O51" s="608"/>
      <c r="P51" s="608"/>
    </row>
    <row r="52" spans="1:16" x14ac:dyDescent="0.2">
      <c r="A52" s="654" t="s">
        <v>36</v>
      </c>
      <c r="B52" s="608"/>
      <c r="C52" s="608"/>
      <c r="D52" s="608"/>
      <c r="E52" s="608"/>
      <c r="F52" s="608"/>
      <c r="G52" s="608"/>
      <c r="H52" s="608"/>
      <c r="I52" s="608"/>
      <c r="J52" s="608"/>
      <c r="K52" s="608"/>
      <c r="L52" s="608"/>
      <c r="M52" s="608"/>
      <c r="N52" s="608"/>
      <c r="O52" s="608"/>
      <c r="P52" s="608"/>
    </row>
    <row r="53" spans="1:16" x14ac:dyDescent="0.2">
      <c r="A53" s="653" t="s">
        <v>37</v>
      </c>
      <c r="B53" s="608"/>
      <c r="C53" s="608"/>
      <c r="D53" s="608"/>
      <c r="E53" s="608">
        <f t="shared" ref="E53:E57" si="14">E7</f>
        <v>0</v>
      </c>
      <c r="F53" s="621">
        <f>'Water  Fund  Cash Flow'!F101</f>
        <v>-5.1159076974727213E-13</v>
      </c>
      <c r="G53" s="621">
        <f>'Water  Fund  Cash Flow'!G101</f>
        <v>263.39999999999912</v>
      </c>
      <c r="H53" s="621">
        <f>'Water  Fund  Cash Flow'!H101</f>
        <v>537.27299999999855</v>
      </c>
      <c r="I53" s="621">
        <f>'Water  Fund  Cash Flow'!I101</f>
        <v>822.0029999999972</v>
      </c>
      <c r="J53" s="621">
        <f>'Water  Fund  Cash Flow'!J101</f>
        <v>1117.8499999999972</v>
      </c>
      <c r="K53" s="621">
        <f>'Water  Fund  Cash Flow'!K101</f>
        <v>1398.3183061999976</v>
      </c>
      <c r="L53" s="621">
        <f>'Water  Fund  Cash Flow'!L101</f>
        <v>1706.4036339469981</v>
      </c>
      <c r="M53" s="621">
        <f>'Water  Fund  Cash Flow'!M101</f>
        <v>2069.1878178252337</v>
      </c>
      <c r="N53" s="621">
        <f>'Water  Fund  Cash Flow'!N101</f>
        <v>2778.4494624431049</v>
      </c>
      <c r="O53" s="621">
        <f>'Water  Fund  Cash Flow'!O101</f>
        <v>3524.3368124325507</v>
      </c>
      <c r="P53" s="621">
        <f>'Water  Fund  Cash Flow'!P101</f>
        <v>4308.2687629076518</v>
      </c>
    </row>
    <row r="54" spans="1:16" x14ac:dyDescent="0.2">
      <c r="A54" s="653" t="s">
        <v>38</v>
      </c>
      <c r="B54" s="608"/>
      <c r="C54" s="608"/>
      <c r="D54" s="608"/>
      <c r="E54" s="608">
        <f t="shared" si="14"/>
        <v>4685</v>
      </c>
      <c r="F54" s="608">
        <f>E54</f>
        <v>4685</v>
      </c>
      <c r="G54" s="608">
        <f t="shared" ref="G54:P54" si="15">F54</f>
        <v>4685</v>
      </c>
      <c r="H54" s="608">
        <f t="shared" si="15"/>
        <v>4685</v>
      </c>
      <c r="I54" s="608">
        <f t="shared" si="15"/>
        <v>4685</v>
      </c>
      <c r="J54" s="608">
        <f t="shared" si="15"/>
        <v>4685</v>
      </c>
      <c r="K54" s="608">
        <f t="shared" si="15"/>
        <v>4685</v>
      </c>
      <c r="L54" s="608">
        <f t="shared" si="15"/>
        <v>4685</v>
      </c>
      <c r="M54" s="608">
        <f t="shared" si="15"/>
        <v>4685</v>
      </c>
      <c r="N54" s="608">
        <f t="shared" si="15"/>
        <v>4685</v>
      </c>
      <c r="O54" s="608">
        <f t="shared" si="15"/>
        <v>4685</v>
      </c>
      <c r="P54" s="608">
        <f t="shared" si="15"/>
        <v>4685</v>
      </c>
    </row>
    <row r="55" spans="1:16" x14ac:dyDescent="0.2">
      <c r="A55" s="653" t="s">
        <v>39</v>
      </c>
      <c r="B55" s="608"/>
      <c r="C55" s="608"/>
      <c r="D55" s="608"/>
      <c r="E55" s="608">
        <f t="shared" si="14"/>
        <v>668</v>
      </c>
      <c r="F55" s="608">
        <f t="shared" ref="F55:P57" si="16">+E55</f>
        <v>668</v>
      </c>
      <c r="G55" s="608">
        <f t="shared" si="16"/>
        <v>668</v>
      </c>
      <c r="H55" s="608">
        <f t="shared" si="16"/>
        <v>668</v>
      </c>
      <c r="I55" s="608">
        <f t="shared" si="16"/>
        <v>668</v>
      </c>
      <c r="J55" s="608">
        <f t="shared" si="16"/>
        <v>668</v>
      </c>
      <c r="K55" s="608">
        <f t="shared" si="16"/>
        <v>668</v>
      </c>
      <c r="L55" s="608">
        <f t="shared" si="16"/>
        <v>668</v>
      </c>
      <c r="M55" s="608">
        <f t="shared" si="16"/>
        <v>668</v>
      </c>
      <c r="N55" s="608">
        <f t="shared" si="16"/>
        <v>668</v>
      </c>
      <c r="O55" s="608">
        <f t="shared" si="16"/>
        <v>668</v>
      </c>
      <c r="P55" s="608">
        <f t="shared" si="16"/>
        <v>668</v>
      </c>
    </row>
    <row r="56" spans="1:16" x14ac:dyDescent="0.2">
      <c r="A56" s="653" t="s">
        <v>40</v>
      </c>
      <c r="B56" s="608"/>
      <c r="C56" s="608"/>
      <c r="D56" s="608"/>
      <c r="E56" s="608">
        <f t="shared" si="14"/>
        <v>0</v>
      </c>
      <c r="F56" s="608">
        <f t="shared" si="16"/>
        <v>0</v>
      </c>
      <c r="G56" s="608">
        <f t="shared" si="16"/>
        <v>0</v>
      </c>
      <c r="H56" s="608">
        <f t="shared" si="16"/>
        <v>0</v>
      </c>
      <c r="I56" s="608">
        <f t="shared" si="16"/>
        <v>0</v>
      </c>
      <c r="J56" s="608">
        <f t="shared" si="16"/>
        <v>0</v>
      </c>
      <c r="K56" s="608">
        <f t="shared" si="16"/>
        <v>0</v>
      </c>
      <c r="L56" s="608">
        <f t="shared" si="16"/>
        <v>0</v>
      </c>
      <c r="M56" s="608">
        <f t="shared" si="16"/>
        <v>0</v>
      </c>
      <c r="N56" s="608">
        <f t="shared" si="16"/>
        <v>0</v>
      </c>
      <c r="O56" s="608">
        <f t="shared" si="16"/>
        <v>0</v>
      </c>
      <c r="P56" s="608">
        <f t="shared" si="16"/>
        <v>0</v>
      </c>
    </row>
    <row r="57" spans="1:16" x14ac:dyDescent="0.2">
      <c r="A57" s="655" t="s">
        <v>41</v>
      </c>
      <c r="B57" s="615"/>
      <c r="C57" s="608"/>
      <c r="D57" s="608"/>
      <c r="E57" s="608">
        <f t="shared" si="14"/>
        <v>0</v>
      </c>
      <c r="F57" s="608">
        <f t="shared" si="16"/>
        <v>0</v>
      </c>
      <c r="G57" s="608">
        <f t="shared" si="16"/>
        <v>0</v>
      </c>
      <c r="H57" s="608">
        <f t="shared" si="16"/>
        <v>0</v>
      </c>
      <c r="I57" s="608">
        <f t="shared" si="16"/>
        <v>0</v>
      </c>
      <c r="J57" s="608">
        <f t="shared" si="16"/>
        <v>0</v>
      </c>
      <c r="K57" s="608">
        <f t="shared" si="16"/>
        <v>0</v>
      </c>
      <c r="L57" s="608">
        <f t="shared" si="16"/>
        <v>0</v>
      </c>
      <c r="M57" s="608">
        <f t="shared" si="16"/>
        <v>0</v>
      </c>
      <c r="N57" s="608">
        <f t="shared" si="16"/>
        <v>0</v>
      </c>
      <c r="O57" s="608">
        <f t="shared" si="16"/>
        <v>0</v>
      </c>
      <c r="P57" s="608">
        <f t="shared" si="16"/>
        <v>0</v>
      </c>
    </row>
    <row r="58" spans="1:16" s="657" customFormat="1" x14ac:dyDescent="0.2">
      <c r="A58" s="654" t="s">
        <v>42</v>
      </c>
      <c r="B58" s="656">
        <f>SUM(B53:B57)</f>
        <v>0</v>
      </c>
      <c r="C58" s="656">
        <f t="shared" ref="C58:P58" si="17">SUM(C53:C57)</f>
        <v>0</v>
      </c>
      <c r="D58" s="656">
        <f t="shared" si="17"/>
        <v>0</v>
      </c>
      <c r="E58" s="656">
        <f t="shared" si="17"/>
        <v>5353</v>
      </c>
      <c r="F58" s="656">
        <f t="shared" si="17"/>
        <v>5352.9999999999991</v>
      </c>
      <c r="G58" s="656">
        <f t="shared" si="17"/>
        <v>5616.3999999999987</v>
      </c>
      <c r="H58" s="656">
        <f t="shared" si="17"/>
        <v>5890.2729999999983</v>
      </c>
      <c r="I58" s="656">
        <f t="shared" si="17"/>
        <v>6175.002999999997</v>
      </c>
      <c r="J58" s="672">
        <f t="shared" si="17"/>
        <v>6470.8499999999967</v>
      </c>
      <c r="K58" s="672">
        <f t="shared" si="17"/>
        <v>6751.3183061999971</v>
      </c>
      <c r="L58" s="672">
        <f t="shared" si="17"/>
        <v>7059.4036339469985</v>
      </c>
      <c r="M58" s="672">
        <f t="shared" si="17"/>
        <v>7422.1878178252337</v>
      </c>
      <c r="N58" s="672">
        <f t="shared" si="17"/>
        <v>8131.4494624431045</v>
      </c>
      <c r="O58" s="672">
        <f t="shared" si="17"/>
        <v>8877.3368124325498</v>
      </c>
      <c r="P58" s="672">
        <f t="shared" si="17"/>
        <v>9661.2687629076518</v>
      </c>
    </row>
    <row r="59" spans="1:16" x14ac:dyDescent="0.2">
      <c r="B59" s="608"/>
      <c r="C59" s="608"/>
      <c r="D59" s="608"/>
      <c r="E59" s="608"/>
      <c r="F59" s="608"/>
      <c r="G59" s="608"/>
      <c r="H59" s="608"/>
      <c r="I59" s="608"/>
      <c r="J59" s="608"/>
      <c r="K59" s="608"/>
      <c r="L59" s="608"/>
      <c r="M59" s="608"/>
      <c r="N59" s="608"/>
      <c r="O59" s="608"/>
      <c r="P59" s="608"/>
    </row>
    <row r="60" spans="1:16" x14ac:dyDescent="0.2">
      <c r="A60" s="654" t="s">
        <v>43</v>
      </c>
      <c r="B60" s="608"/>
      <c r="C60" s="608"/>
      <c r="D60" s="608"/>
      <c r="E60" s="608"/>
      <c r="F60" s="608"/>
      <c r="G60" s="608"/>
      <c r="H60" s="608"/>
      <c r="I60" s="608"/>
      <c r="J60" s="608"/>
      <c r="K60" s="608"/>
      <c r="L60" s="608"/>
      <c r="M60" s="608"/>
      <c r="N60" s="608"/>
      <c r="O60" s="608"/>
      <c r="P60" s="608"/>
    </row>
    <row r="61" spans="1:16" x14ac:dyDescent="0.2">
      <c r="A61" s="608" t="str">
        <f>A15</f>
        <v>Investments</v>
      </c>
      <c r="B61" s="608"/>
      <c r="C61" s="608"/>
      <c r="D61" s="608"/>
      <c r="E61" s="608">
        <f t="shared" ref="E61:E62" si="18">E15</f>
        <v>14312</v>
      </c>
      <c r="F61" s="608">
        <f>E54+E61+'Water  Fund  Inc Exp Statement '!F125-'Water  Fund  Inc Exp Statement '!F133-F54</f>
        <v>12505.222999999998</v>
      </c>
      <c r="G61" s="608">
        <f>F54+F61+'Water  Fund  Inc Exp Statement '!G125-'Water  Fund  Inc Exp Statement '!G133-G54</f>
        <v>11602.960999999998</v>
      </c>
      <c r="H61" s="608">
        <f>G54+G61+'Water  Fund  Inc Exp Statement '!H125-'Water  Fund  Inc Exp Statement '!H133-H54</f>
        <v>11637.820999999998</v>
      </c>
      <c r="I61" s="608">
        <f>H54+H61+'Water  Fund  Inc Exp Statement '!I125-'Water  Fund  Inc Exp Statement '!I133-I54</f>
        <v>11928.680999999997</v>
      </c>
      <c r="J61" s="608">
        <f>I54+I61+'Water  Fund  Inc Exp Statement '!J125-'Water  Fund  Inc Exp Statement '!J133-J54</f>
        <v>12299.830999999998</v>
      </c>
      <c r="K61" s="608">
        <f>J54+J61+'Water  Fund  Inc Exp Statement '!K125-'Water  Fund  Inc Exp Statement '!K133-K54</f>
        <v>12678.403999999999</v>
      </c>
      <c r="L61" s="608">
        <f>K54+K61+'Water  Fund  Inc Exp Statement '!L125-'Water  Fund  Inc Exp Statement '!L133-L54</f>
        <v>13064.548459999998</v>
      </c>
      <c r="M61" s="608">
        <f>L54+L61+'Water  Fund  Inc Exp Statement '!M125-'Water  Fund  Inc Exp Statement '!M133-M54</f>
        <v>13458.4158092</v>
      </c>
      <c r="N61" s="608">
        <f>M54+M61+'Water  Fund  Inc Exp Statement '!N125-'Water  Fund  Inc Exp Statement '!N133-N54</f>
        <v>13860.160505383999</v>
      </c>
      <c r="O61" s="608">
        <f>N54+N61+'Water  Fund  Inc Exp Statement '!O125-'Water  Fund  Inc Exp Statement '!O133-O54</f>
        <v>14269.940095491678</v>
      </c>
      <c r="P61" s="608">
        <f>O54+O61+'Water  Fund  Inc Exp Statement '!P125-'Water  Fund  Inc Exp Statement '!P133-P54</f>
        <v>14687.915277401513</v>
      </c>
    </row>
    <row r="62" spans="1:16" x14ac:dyDescent="0.2">
      <c r="A62" s="760" t="s">
        <v>44</v>
      </c>
      <c r="B62" s="608"/>
      <c r="C62" s="608"/>
      <c r="D62" s="608"/>
      <c r="E62" s="608">
        <f t="shared" si="18"/>
        <v>50834</v>
      </c>
      <c r="F62" s="608">
        <f>E62-'Water  Fund  Inc Exp Statement '!F97+SUM('Water  Fund  Inc Exp Statement '!F121:F123)-'Water  Fund  Inc Exp Statement '!F135</f>
        <v>52637.728000000003</v>
      </c>
      <c r="G62" s="608">
        <f>F62-'Water  Fund  Inc Exp Statement '!G97+SUM('Water  Fund  Inc Exp Statement '!G121:G123)-'Water  Fund  Inc Exp Statement '!G135</f>
        <v>53374.628000000004</v>
      </c>
      <c r="H62" s="608">
        <f>G62-'Water  Fund  Inc Exp Statement '!H97+SUM('Water  Fund  Inc Exp Statement '!H121:H123)-'Water  Fund  Inc Exp Statement '!H135</f>
        <v>53133.678000000007</v>
      </c>
      <c r="I62" s="608">
        <f>H62-'Water  Fund  Inc Exp Statement '!I97+SUM('Water  Fund  Inc Exp Statement '!I121:I123)-'Water  Fund  Inc Exp Statement '!I135</f>
        <v>52673.830000000009</v>
      </c>
      <c r="J62" s="608">
        <f>I62-'Water  Fund  Inc Exp Statement '!J97+SUM('Water  Fund  Inc Exp Statement '!J121:J123)-'Water  Fund  Inc Exp Statement '!J135</f>
        <v>52174.112000000008</v>
      </c>
      <c r="K62" s="608">
        <f>J62-'Water  Fund  Inc Exp Statement '!K97+SUM('Water  Fund  Inc Exp Statement '!K121:K123)-'Water  Fund  Inc Exp Statement '!K135</f>
        <v>51656.226050000005</v>
      </c>
      <c r="L62" s="608">
        <f>K62-'Water  Fund  Inc Exp Statement '!L97+SUM('Water  Fund  Inc Exp Statement '!L121:L123)-'Water  Fund  Inc Exp Statement '!L135</f>
        <v>51119.604451250001</v>
      </c>
      <c r="M62" s="608">
        <f>L62-'Water  Fund  Inc Exp Statement '!M97+SUM('Water  Fund  Inc Exp Statement '!M121:M123)-'Water  Fund  Inc Exp Statement '!M135</f>
        <v>50563.663042531254</v>
      </c>
      <c r="N62" s="608">
        <f>M62-'Water  Fund  Inc Exp Statement '!N97+SUM('Water  Fund  Inc Exp Statement '!N121:N123)-'Water  Fund  Inc Exp Statement '!N135</f>
        <v>49987.80074319453</v>
      </c>
      <c r="O62" s="608">
        <f>N62-'Water  Fund  Inc Exp Statement '!O97+SUM('Water  Fund  Inc Exp Statement '!O121:O123)-'Water  Fund  Inc Exp Statement '!O135</f>
        <v>49391.399083866396</v>
      </c>
      <c r="P62" s="608">
        <f>O62-'Water  Fund  Inc Exp Statement '!P97+SUM('Water  Fund  Inc Exp Statement '!P121:P123)-'Water  Fund  Inc Exp Statement '!P135</f>
        <v>48773.821724496898</v>
      </c>
    </row>
    <row r="63" spans="1:16" ht="20.399999999999999" x14ac:dyDescent="0.2">
      <c r="A63" s="608" t="str">
        <f t="shared" ref="A63:A64" si="19">A17</f>
        <v>Investments accounted for using the equity method</v>
      </c>
      <c r="B63" s="608"/>
      <c r="C63" s="608"/>
      <c r="D63" s="608"/>
      <c r="E63" s="608">
        <f t="shared" ref="E63:P64" si="20">E17</f>
        <v>0</v>
      </c>
      <c r="F63" s="608">
        <f t="shared" si="20"/>
        <v>0</v>
      </c>
      <c r="G63" s="608">
        <f t="shared" si="20"/>
        <v>0</v>
      </c>
      <c r="H63" s="608">
        <f t="shared" si="20"/>
        <v>0</v>
      </c>
      <c r="I63" s="608">
        <f t="shared" si="20"/>
        <v>0</v>
      </c>
      <c r="J63" s="608">
        <f t="shared" si="20"/>
        <v>0</v>
      </c>
      <c r="K63" s="608">
        <f t="shared" si="20"/>
        <v>0</v>
      </c>
      <c r="L63" s="608">
        <f t="shared" si="20"/>
        <v>0</v>
      </c>
      <c r="M63" s="608">
        <f t="shared" si="20"/>
        <v>0</v>
      </c>
      <c r="N63" s="608">
        <f t="shared" si="20"/>
        <v>0</v>
      </c>
      <c r="O63" s="608">
        <f t="shared" si="20"/>
        <v>0</v>
      </c>
      <c r="P63" s="608">
        <f t="shared" si="20"/>
        <v>0</v>
      </c>
    </row>
    <row r="64" spans="1:16" x14ac:dyDescent="0.2">
      <c r="A64" s="608" t="str">
        <f t="shared" si="19"/>
        <v>Investment Property</v>
      </c>
      <c r="B64" s="608"/>
      <c r="C64" s="608"/>
      <c r="D64" s="608"/>
      <c r="E64" s="608">
        <f t="shared" si="20"/>
        <v>0</v>
      </c>
      <c r="F64" s="608">
        <f t="shared" si="20"/>
        <v>0</v>
      </c>
      <c r="G64" s="608">
        <f t="shared" si="20"/>
        <v>0</v>
      </c>
      <c r="H64" s="608">
        <f t="shared" si="20"/>
        <v>0</v>
      </c>
      <c r="I64" s="608">
        <f t="shared" si="20"/>
        <v>0</v>
      </c>
      <c r="J64" s="608">
        <f t="shared" si="20"/>
        <v>0</v>
      </c>
      <c r="K64" s="608">
        <f t="shared" si="20"/>
        <v>0</v>
      </c>
      <c r="L64" s="608">
        <f t="shared" si="20"/>
        <v>0</v>
      </c>
      <c r="M64" s="608">
        <f t="shared" si="20"/>
        <v>0</v>
      </c>
      <c r="N64" s="608">
        <f t="shared" si="20"/>
        <v>0</v>
      </c>
      <c r="O64" s="608">
        <f t="shared" si="20"/>
        <v>0</v>
      </c>
      <c r="P64" s="608">
        <f t="shared" si="20"/>
        <v>0</v>
      </c>
    </row>
    <row r="65" spans="1:16" s="657" customFormat="1" x14ac:dyDescent="0.2">
      <c r="A65" s="761" t="s">
        <v>45</v>
      </c>
      <c r="B65" s="762">
        <f>SUM(B62)</f>
        <v>0</v>
      </c>
      <c r="C65" s="762">
        <f t="shared" ref="C65" si="21">SUM(C62)</f>
        <v>0</v>
      </c>
      <c r="D65" s="762">
        <f>SUM(D61:D64)</f>
        <v>0</v>
      </c>
      <c r="E65" s="762">
        <f t="shared" ref="E65:P65" si="22">SUM(E61:E64)</f>
        <v>65146</v>
      </c>
      <c r="F65" s="762">
        <f t="shared" si="22"/>
        <v>65142.951000000001</v>
      </c>
      <c r="G65" s="762">
        <f t="shared" si="22"/>
        <v>64977.589</v>
      </c>
      <c r="H65" s="762">
        <f t="shared" si="22"/>
        <v>64771.499000000003</v>
      </c>
      <c r="I65" s="762">
        <f t="shared" si="22"/>
        <v>64602.511000000006</v>
      </c>
      <c r="J65" s="762">
        <f t="shared" si="22"/>
        <v>64473.943000000007</v>
      </c>
      <c r="K65" s="762">
        <f t="shared" si="22"/>
        <v>64334.630050000007</v>
      </c>
      <c r="L65" s="762">
        <f t="shared" si="22"/>
        <v>64184.152911249999</v>
      </c>
      <c r="M65" s="762">
        <f t="shared" si="22"/>
        <v>64022.078851731254</v>
      </c>
      <c r="N65" s="762">
        <f t="shared" si="22"/>
        <v>63847.961248578533</v>
      </c>
      <c r="O65" s="762">
        <f t="shared" si="22"/>
        <v>63661.339179358074</v>
      </c>
      <c r="P65" s="762">
        <f t="shared" si="22"/>
        <v>63461.737001898407</v>
      </c>
    </row>
    <row r="66" spans="1:16" ht="9" customHeight="1" x14ac:dyDescent="0.2">
      <c r="B66" s="608"/>
      <c r="C66" s="608"/>
      <c r="D66" s="608"/>
      <c r="E66" s="608"/>
      <c r="F66" s="608"/>
      <c r="G66" s="608"/>
      <c r="H66" s="608"/>
      <c r="I66" s="608"/>
      <c r="J66" s="608"/>
      <c r="K66" s="608"/>
      <c r="L66" s="608"/>
      <c r="M66" s="608"/>
      <c r="N66" s="608"/>
      <c r="O66" s="608"/>
      <c r="P66" s="608"/>
    </row>
    <row r="67" spans="1:16" s="657" customFormat="1" ht="10.8" thickBot="1" x14ac:dyDescent="0.25">
      <c r="A67" s="654" t="s">
        <v>46</v>
      </c>
      <c r="B67" s="665">
        <f>+B58+B65</f>
        <v>0</v>
      </c>
      <c r="C67" s="665">
        <f t="shared" ref="C67:P67" si="23">+C58+C65</f>
        <v>0</v>
      </c>
      <c r="D67" s="665">
        <f t="shared" si="23"/>
        <v>0</v>
      </c>
      <c r="E67" s="665">
        <f t="shared" si="23"/>
        <v>70499</v>
      </c>
      <c r="F67" s="665">
        <f t="shared" si="23"/>
        <v>70495.951000000001</v>
      </c>
      <c r="G67" s="665">
        <f t="shared" si="23"/>
        <v>70593.989000000001</v>
      </c>
      <c r="H67" s="665">
        <f t="shared" si="23"/>
        <v>70661.771999999997</v>
      </c>
      <c r="I67" s="665">
        <f t="shared" si="23"/>
        <v>70777.513999999996</v>
      </c>
      <c r="J67" s="665">
        <f t="shared" si="23"/>
        <v>70944.793000000005</v>
      </c>
      <c r="K67" s="665">
        <f t="shared" si="23"/>
        <v>71085.94835620001</v>
      </c>
      <c r="L67" s="665">
        <f t="shared" si="23"/>
        <v>71243.556545197003</v>
      </c>
      <c r="M67" s="665">
        <f t="shared" si="23"/>
        <v>71444.266669556484</v>
      </c>
      <c r="N67" s="665">
        <f t="shared" si="23"/>
        <v>71979.410711021643</v>
      </c>
      <c r="O67" s="665">
        <f t="shared" si="23"/>
        <v>72538.675991790631</v>
      </c>
      <c r="P67" s="665">
        <f t="shared" si="23"/>
        <v>73123.005764806061</v>
      </c>
    </row>
    <row r="68" spans="1:16" x14ac:dyDescent="0.2">
      <c r="B68" s="608"/>
      <c r="C68" s="608"/>
      <c r="D68" s="608"/>
      <c r="E68" s="608"/>
      <c r="F68" s="608"/>
      <c r="G68" s="608"/>
      <c r="H68" s="608"/>
      <c r="I68" s="608"/>
      <c r="J68" s="608"/>
      <c r="K68" s="608"/>
      <c r="L68" s="608"/>
      <c r="M68" s="608"/>
      <c r="N68" s="608"/>
      <c r="O68" s="608"/>
      <c r="P68" s="608"/>
    </row>
    <row r="69" spans="1:16" x14ac:dyDescent="0.2">
      <c r="A69" s="654" t="s">
        <v>47</v>
      </c>
      <c r="B69" s="608"/>
      <c r="C69" s="608"/>
      <c r="D69" s="608"/>
      <c r="E69" s="608"/>
      <c r="F69" s="608"/>
      <c r="G69" s="608"/>
      <c r="H69" s="608"/>
      <c r="I69" s="608"/>
      <c r="J69" s="608"/>
      <c r="K69" s="608"/>
      <c r="L69" s="608"/>
      <c r="M69" s="608"/>
      <c r="N69" s="608"/>
      <c r="O69" s="608"/>
      <c r="P69" s="608"/>
    </row>
    <row r="70" spans="1:16" x14ac:dyDescent="0.2">
      <c r="A70" s="654" t="s">
        <v>48</v>
      </c>
      <c r="B70" s="608"/>
      <c r="C70" s="608"/>
      <c r="D70" s="608"/>
      <c r="E70" s="608"/>
      <c r="F70" s="608"/>
      <c r="G70" s="608"/>
      <c r="H70" s="608"/>
      <c r="I70" s="608"/>
      <c r="J70" s="608"/>
      <c r="K70" s="608"/>
      <c r="L70" s="608"/>
      <c r="M70" s="608"/>
      <c r="N70" s="608"/>
      <c r="O70" s="608"/>
      <c r="P70" s="608"/>
    </row>
    <row r="71" spans="1:16" x14ac:dyDescent="0.2">
      <c r="A71" s="666" t="s">
        <v>49</v>
      </c>
      <c r="B71" s="608"/>
      <c r="C71" s="608"/>
      <c r="D71" s="608"/>
      <c r="E71" s="608">
        <f t="shared" ref="E71" si="24">E25</f>
        <v>411</v>
      </c>
      <c r="F71" s="608">
        <f t="shared" ref="F71:P73" si="25">+E71</f>
        <v>411</v>
      </c>
      <c r="G71" s="608">
        <f t="shared" si="25"/>
        <v>411</v>
      </c>
      <c r="H71" s="608">
        <f t="shared" si="25"/>
        <v>411</v>
      </c>
      <c r="I71" s="608">
        <f t="shared" si="25"/>
        <v>411</v>
      </c>
      <c r="J71" s="608">
        <f t="shared" si="25"/>
        <v>411</v>
      </c>
      <c r="K71" s="608">
        <f t="shared" si="25"/>
        <v>411</v>
      </c>
      <c r="L71" s="608">
        <f t="shared" si="25"/>
        <v>411</v>
      </c>
      <c r="M71" s="608">
        <f t="shared" si="25"/>
        <v>411</v>
      </c>
      <c r="N71" s="608">
        <f t="shared" si="25"/>
        <v>411</v>
      </c>
      <c r="O71" s="608">
        <f t="shared" si="25"/>
        <v>411</v>
      </c>
      <c r="P71" s="608">
        <f t="shared" si="25"/>
        <v>411</v>
      </c>
    </row>
    <row r="72" spans="1:16" x14ac:dyDescent="0.2">
      <c r="A72" s="666" t="s">
        <v>1051</v>
      </c>
      <c r="B72" s="608"/>
      <c r="C72" s="608"/>
      <c r="D72" s="608"/>
      <c r="E72" s="608">
        <f t="shared" ref="E72" si="26">E26</f>
        <v>257</v>
      </c>
      <c r="F72" s="608">
        <f>'Water  Fund  Inc Exp Statement '!G124</f>
        <v>273.84699999999998</v>
      </c>
      <c r="G72" s="608">
        <f t="shared" ref="G72:P72" si="27">G26</f>
        <v>291.74400000000003</v>
      </c>
      <c r="H72" s="608">
        <f t="shared" si="27"/>
        <v>310.113</v>
      </c>
      <c r="I72" s="608">
        <f t="shared" si="27"/>
        <v>331.38900000000001</v>
      </c>
      <c r="J72" s="608">
        <f t="shared" si="27"/>
        <v>338.01678000000004</v>
      </c>
      <c r="K72" s="608">
        <f t="shared" si="27"/>
        <v>344.77711560000006</v>
      </c>
      <c r="L72" s="608">
        <f t="shared" si="27"/>
        <v>323.67265791199998</v>
      </c>
      <c r="M72" s="608">
        <f t="shared" si="27"/>
        <v>0</v>
      </c>
      <c r="N72" s="608">
        <f t="shared" si="27"/>
        <v>0</v>
      </c>
      <c r="O72" s="608">
        <f t="shared" si="27"/>
        <v>0</v>
      </c>
      <c r="P72" s="608">
        <f t="shared" si="27"/>
        <v>0</v>
      </c>
    </row>
    <row r="73" spans="1:16" x14ac:dyDescent="0.2">
      <c r="A73" s="667" t="s">
        <v>50</v>
      </c>
      <c r="B73" s="615"/>
      <c r="C73" s="608"/>
      <c r="D73" s="608"/>
      <c r="E73" s="608">
        <f t="shared" ref="E73" si="28">E27</f>
        <v>372</v>
      </c>
      <c r="F73" s="608">
        <f t="shared" si="25"/>
        <v>372</v>
      </c>
      <c r="G73" s="608">
        <f t="shared" si="25"/>
        <v>372</v>
      </c>
      <c r="H73" s="608">
        <f t="shared" si="25"/>
        <v>372</v>
      </c>
      <c r="I73" s="608">
        <f t="shared" si="25"/>
        <v>372</v>
      </c>
      <c r="J73" s="608">
        <f t="shared" si="25"/>
        <v>372</v>
      </c>
      <c r="K73" s="608">
        <f t="shared" si="25"/>
        <v>372</v>
      </c>
      <c r="L73" s="608">
        <f t="shared" si="25"/>
        <v>372</v>
      </c>
      <c r="M73" s="608">
        <f t="shared" si="25"/>
        <v>372</v>
      </c>
      <c r="N73" s="608">
        <f t="shared" si="25"/>
        <v>372</v>
      </c>
      <c r="O73" s="608">
        <f t="shared" si="25"/>
        <v>372</v>
      </c>
      <c r="P73" s="608">
        <f t="shared" si="25"/>
        <v>372</v>
      </c>
    </row>
    <row r="74" spans="1:16" s="657" customFormat="1" x14ac:dyDescent="0.2">
      <c r="A74" s="654" t="s">
        <v>51</v>
      </c>
      <c r="B74" s="656">
        <f>SUM(B71:B73)</f>
        <v>0</v>
      </c>
      <c r="C74" s="656">
        <f t="shared" ref="C74:P74" si="29">SUM(C71:C73)</f>
        <v>0</v>
      </c>
      <c r="D74" s="656">
        <f t="shared" si="29"/>
        <v>0</v>
      </c>
      <c r="E74" s="656">
        <f t="shared" si="29"/>
        <v>1040</v>
      </c>
      <c r="F74" s="656">
        <f t="shared" si="29"/>
        <v>1056.847</v>
      </c>
      <c r="G74" s="656">
        <f t="shared" si="29"/>
        <v>1074.7440000000001</v>
      </c>
      <c r="H74" s="656">
        <f t="shared" si="29"/>
        <v>1093.1130000000001</v>
      </c>
      <c r="I74" s="656">
        <f t="shared" si="29"/>
        <v>1114.3890000000001</v>
      </c>
      <c r="J74" s="656">
        <f t="shared" si="29"/>
        <v>1121.0167799999999</v>
      </c>
      <c r="K74" s="656">
        <f t="shared" si="29"/>
        <v>1127.7771156000001</v>
      </c>
      <c r="L74" s="656">
        <f t="shared" si="29"/>
        <v>1106.672657912</v>
      </c>
      <c r="M74" s="656">
        <f t="shared" si="29"/>
        <v>783</v>
      </c>
      <c r="N74" s="656">
        <f t="shared" si="29"/>
        <v>783</v>
      </c>
      <c r="O74" s="656">
        <f t="shared" si="29"/>
        <v>783</v>
      </c>
      <c r="P74" s="656">
        <f t="shared" si="29"/>
        <v>783</v>
      </c>
    </row>
    <row r="75" spans="1:16" x14ac:dyDescent="0.2">
      <c r="B75" s="608"/>
      <c r="C75" s="608"/>
      <c r="D75" s="608"/>
      <c r="E75" s="608"/>
      <c r="F75" s="608"/>
      <c r="G75" s="608"/>
      <c r="H75" s="608"/>
      <c r="I75" s="608"/>
      <c r="J75" s="608"/>
      <c r="K75" s="608"/>
      <c r="L75" s="608"/>
      <c r="M75" s="608"/>
      <c r="N75" s="608"/>
      <c r="O75" s="608"/>
      <c r="P75" s="608"/>
    </row>
    <row r="76" spans="1:16" x14ac:dyDescent="0.2">
      <c r="A76" s="654" t="s">
        <v>52</v>
      </c>
      <c r="B76" s="608"/>
      <c r="C76" s="608"/>
      <c r="D76" s="608"/>
      <c r="E76" s="608"/>
      <c r="F76" s="608"/>
      <c r="G76" s="608"/>
      <c r="H76" s="608"/>
      <c r="I76" s="608"/>
      <c r="J76" s="608"/>
      <c r="K76" s="608"/>
      <c r="L76" s="608"/>
      <c r="M76" s="608"/>
      <c r="N76" s="608"/>
      <c r="O76" s="608"/>
      <c r="P76" s="608"/>
    </row>
    <row r="77" spans="1:16" x14ac:dyDescent="0.2">
      <c r="A77" s="653" t="s">
        <v>49</v>
      </c>
      <c r="B77" s="608">
        <v>0</v>
      </c>
      <c r="C77" s="608">
        <v>0</v>
      </c>
      <c r="D77" s="608">
        <f>D31</f>
        <v>0</v>
      </c>
      <c r="E77" s="608">
        <f t="shared" ref="E77:E79" si="30">E31</f>
        <v>0</v>
      </c>
      <c r="F77" s="608">
        <f t="shared" ref="F77:P79" si="31">+E77</f>
        <v>0</v>
      </c>
      <c r="G77" s="608">
        <f t="shared" si="31"/>
        <v>0</v>
      </c>
      <c r="H77" s="608">
        <f t="shared" si="31"/>
        <v>0</v>
      </c>
      <c r="I77" s="608">
        <f t="shared" si="31"/>
        <v>0</v>
      </c>
      <c r="J77" s="608">
        <f t="shared" si="31"/>
        <v>0</v>
      </c>
      <c r="K77" s="608">
        <f t="shared" si="31"/>
        <v>0</v>
      </c>
      <c r="L77" s="608">
        <f t="shared" si="31"/>
        <v>0</v>
      </c>
      <c r="M77" s="608">
        <f t="shared" si="31"/>
        <v>0</v>
      </c>
      <c r="N77" s="608">
        <f t="shared" si="31"/>
        <v>0</v>
      </c>
      <c r="O77" s="608">
        <f t="shared" si="31"/>
        <v>0</v>
      </c>
      <c r="P77" s="608">
        <f t="shared" si="31"/>
        <v>0</v>
      </c>
    </row>
    <row r="78" spans="1:16" x14ac:dyDescent="0.2">
      <c r="A78" s="653" t="s">
        <v>1051</v>
      </c>
      <c r="B78" s="608"/>
      <c r="C78" s="608"/>
      <c r="D78" s="608"/>
      <c r="E78" s="608">
        <f t="shared" si="30"/>
        <v>2213</v>
      </c>
      <c r="F78" s="608">
        <f>E78+E72+'Water  Fund  Inc Exp Statement '!F134-'Water  Fund  Inc Exp Statement '!F124-F72</f>
        <v>1939.1020000000001</v>
      </c>
      <c r="G78" s="608">
        <f>F78+F72+'Water  Fund  Inc Exp Statement '!G134-'Water  Fund  Inc Exp Statement '!G124-G72</f>
        <v>1647.3580000000002</v>
      </c>
      <c r="H78" s="608">
        <f>G78+G72+'Water  Fund  Inc Exp Statement '!H134-'Water  Fund  Inc Exp Statement '!H124-H72</f>
        <v>1337.2450000000001</v>
      </c>
      <c r="I78" s="608">
        <f>H78+H72+'Water  Fund  Inc Exp Statement '!I134-'Water  Fund  Inc Exp Statement '!I124-I72</f>
        <v>1005.8560000000001</v>
      </c>
      <c r="J78" s="608">
        <f>I78+I72+'Water  Fund  Inc Exp Statement '!J134-'Water  Fund  Inc Exp Statement '!J124-J72</f>
        <v>667.83922000000007</v>
      </c>
      <c r="K78" s="608">
        <f>J78+J72+'Water  Fund  Inc Exp Statement '!K134-'Water  Fund  Inc Exp Statement '!K124-K72</f>
        <v>323.06210440000001</v>
      </c>
      <c r="L78" s="608">
        <f>K78+K72+'Water  Fund  Inc Exp Statement '!L134-'Water  Fund  Inc Exp Statement '!L124-L72</f>
        <v>-0.61055351199996721</v>
      </c>
      <c r="M78" s="608">
        <f>L78+L72+'Water  Fund  Inc Exp Statement '!M134-'Water  Fund  Inc Exp Statement '!M124-M72</f>
        <v>-0.6105535120000809</v>
      </c>
      <c r="N78" s="608">
        <f>M78+M72+'Water  Fund  Inc Exp Statement '!N134-'Water  Fund  Inc Exp Statement '!N124-N72</f>
        <v>-0.6105535120000809</v>
      </c>
      <c r="O78" s="608">
        <f>N78+N72+'Water  Fund  Inc Exp Statement '!O134-'Water  Fund  Inc Exp Statement '!O124-O72</f>
        <v>-0.6105535120000809</v>
      </c>
      <c r="P78" s="608">
        <f>O78+O72+'Water  Fund  Inc Exp Statement '!P134-'Water  Fund  Inc Exp Statement '!P124-P72</f>
        <v>-0.6105535120000809</v>
      </c>
    </row>
    <row r="79" spans="1:16" x14ac:dyDescent="0.2">
      <c r="A79" s="655" t="s">
        <v>50</v>
      </c>
      <c r="B79" s="615"/>
      <c r="C79" s="608"/>
      <c r="D79" s="608"/>
      <c r="E79" s="608">
        <f t="shared" si="30"/>
        <v>0</v>
      </c>
      <c r="F79" s="608">
        <f t="shared" si="31"/>
        <v>0</v>
      </c>
      <c r="G79" s="608">
        <f t="shared" si="31"/>
        <v>0</v>
      </c>
      <c r="H79" s="608">
        <f t="shared" si="31"/>
        <v>0</v>
      </c>
      <c r="I79" s="608">
        <f t="shared" si="31"/>
        <v>0</v>
      </c>
      <c r="J79" s="608">
        <f t="shared" si="31"/>
        <v>0</v>
      </c>
      <c r="K79" s="608">
        <f t="shared" si="31"/>
        <v>0</v>
      </c>
      <c r="L79" s="608">
        <f t="shared" si="31"/>
        <v>0</v>
      </c>
      <c r="M79" s="608">
        <f t="shared" si="31"/>
        <v>0</v>
      </c>
      <c r="N79" s="608">
        <f t="shared" si="31"/>
        <v>0</v>
      </c>
      <c r="O79" s="608">
        <f t="shared" si="31"/>
        <v>0</v>
      </c>
      <c r="P79" s="608">
        <f t="shared" si="31"/>
        <v>0</v>
      </c>
    </row>
    <row r="80" spans="1:16" s="657" customFormat="1" x14ac:dyDescent="0.2">
      <c r="A80" s="654" t="s">
        <v>53</v>
      </c>
      <c r="B80" s="656">
        <f>SUM(B77:B79)</f>
        <v>0</v>
      </c>
      <c r="C80" s="656">
        <f t="shared" ref="C80:P80" si="32">SUM(C77:C79)</f>
        <v>0</v>
      </c>
      <c r="D80" s="656">
        <f t="shared" si="32"/>
        <v>0</v>
      </c>
      <c r="E80" s="656">
        <f t="shared" si="32"/>
        <v>2213</v>
      </c>
      <c r="F80" s="656">
        <f t="shared" si="32"/>
        <v>1939.1020000000001</v>
      </c>
      <c r="G80" s="656">
        <f t="shared" si="32"/>
        <v>1647.3580000000002</v>
      </c>
      <c r="H80" s="656">
        <f t="shared" si="32"/>
        <v>1337.2450000000001</v>
      </c>
      <c r="I80" s="656">
        <f t="shared" si="32"/>
        <v>1005.8560000000001</v>
      </c>
      <c r="J80" s="656">
        <f t="shared" si="32"/>
        <v>667.83922000000007</v>
      </c>
      <c r="K80" s="656">
        <f t="shared" si="32"/>
        <v>323.06210440000001</v>
      </c>
      <c r="L80" s="656">
        <f t="shared" si="32"/>
        <v>-0.61055351199996721</v>
      </c>
      <c r="M80" s="656">
        <f t="shared" si="32"/>
        <v>-0.6105535120000809</v>
      </c>
      <c r="N80" s="656">
        <f t="shared" si="32"/>
        <v>-0.6105535120000809</v>
      </c>
      <c r="O80" s="656">
        <f t="shared" si="32"/>
        <v>-0.6105535120000809</v>
      </c>
      <c r="P80" s="656">
        <f t="shared" si="32"/>
        <v>-0.6105535120000809</v>
      </c>
    </row>
    <row r="81" spans="1:16" ht="9" customHeight="1" x14ac:dyDescent="0.2">
      <c r="B81" s="608"/>
      <c r="C81" s="608"/>
      <c r="D81" s="608"/>
      <c r="E81" s="608"/>
      <c r="F81" s="608"/>
      <c r="G81" s="608"/>
      <c r="H81" s="608"/>
      <c r="I81" s="608"/>
      <c r="J81" s="608"/>
      <c r="K81" s="608"/>
      <c r="L81" s="608"/>
      <c r="M81" s="608"/>
      <c r="N81" s="608"/>
      <c r="O81" s="608"/>
      <c r="P81" s="608"/>
    </row>
    <row r="82" spans="1:16" s="657" customFormat="1" ht="10.8" thickBot="1" x14ac:dyDescent="0.25">
      <c r="A82" s="654" t="s">
        <v>54</v>
      </c>
      <c r="B82" s="665">
        <f>+B74+B80</f>
        <v>0</v>
      </c>
      <c r="C82" s="665">
        <f t="shared" ref="C82:P82" si="33">+C74+C80</f>
        <v>0</v>
      </c>
      <c r="D82" s="665">
        <f t="shared" si="33"/>
        <v>0</v>
      </c>
      <c r="E82" s="665">
        <f t="shared" si="33"/>
        <v>3253</v>
      </c>
      <c r="F82" s="665">
        <f t="shared" si="33"/>
        <v>2995.9490000000001</v>
      </c>
      <c r="G82" s="665">
        <f t="shared" si="33"/>
        <v>2722.1020000000003</v>
      </c>
      <c r="H82" s="665">
        <f t="shared" si="33"/>
        <v>2430.3580000000002</v>
      </c>
      <c r="I82" s="665">
        <f t="shared" si="33"/>
        <v>2120.2450000000003</v>
      </c>
      <c r="J82" s="665">
        <f t="shared" si="33"/>
        <v>1788.856</v>
      </c>
      <c r="K82" s="665">
        <f t="shared" si="33"/>
        <v>1450.8392200000001</v>
      </c>
      <c r="L82" s="665">
        <f t="shared" si="33"/>
        <v>1106.0621044</v>
      </c>
      <c r="M82" s="665">
        <f t="shared" si="33"/>
        <v>782.38944648799998</v>
      </c>
      <c r="N82" s="665">
        <f t="shared" si="33"/>
        <v>782.38944648799998</v>
      </c>
      <c r="O82" s="665">
        <f t="shared" si="33"/>
        <v>782.38944648799998</v>
      </c>
      <c r="P82" s="665">
        <f t="shared" si="33"/>
        <v>782.38944648799998</v>
      </c>
    </row>
    <row r="83" spans="1:16" s="657" customFormat="1" ht="10.8" thickBot="1" x14ac:dyDescent="0.25">
      <c r="A83" s="654" t="s">
        <v>55</v>
      </c>
      <c r="B83" s="668">
        <f>+B67-B82</f>
        <v>0</v>
      </c>
      <c r="C83" s="668">
        <f t="shared" ref="C83:P83" si="34">+C67-C82</f>
        <v>0</v>
      </c>
      <c r="D83" s="668">
        <f t="shared" si="34"/>
        <v>0</v>
      </c>
      <c r="E83" s="668">
        <f t="shared" si="34"/>
        <v>67246</v>
      </c>
      <c r="F83" s="668">
        <f t="shared" si="34"/>
        <v>67500.002000000008</v>
      </c>
      <c r="G83" s="668">
        <f t="shared" si="34"/>
        <v>67871.887000000002</v>
      </c>
      <c r="H83" s="668">
        <f t="shared" si="34"/>
        <v>68231.41399999999</v>
      </c>
      <c r="I83" s="668">
        <f t="shared" si="34"/>
        <v>68657.269</v>
      </c>
      <c r="J83" s="668">
        <f t="shared" si="34"/>
        <v>69155.937000000005</v>
      </c>
      <c r="K83" s="668">
        <f t="shared" si="34"/>
        <v>69635.109136200015</v>
      </c>
      <c r="L83" s="668">
        <f t="shared" si="34"/>
        <v>70137.494440797003</v>
      </c>
      <c r="M83" s="668">
        <f t="shared" si="34"/>
        <v>70661.877223068484</v>
      </c>
      <c r="N83" s="668">
        <f t="shared" si="34"/>
        <v>71197.021264533643</v>
      </c>
      <c r="O83" s="668">
        <f t="shared" si="34"/>
        <v>71756.286545302632</v>
      </c>
      <c r="P83" s="668">
        <f t="shared" si="34"/>
        <v>72340.616318318062</v>
      </c>
    </row>
    <row r="84" spans="1:16" ht="10.8" thickTop="1" x14ac:dyDescent="0.2">
      <c r="B84" s="608"/>
      <c r="C84" s="608"/>
      <c r="D84" s="608"/>
      <c r="E84" s="608"/>
      <c r="F84" s="608"/>
      <c r="G84" s="608"/>
      <c r="H84" s="608"/>
      <c r="I84" s="608"/>
      <c r="J84" s="608"/>
      <c r="K84" s="608"/>
      <c r="L84" s="608"/>
      <c r="M84" s="608"/>
      <c r="N84" s="608"/>
      <c r="O84" s="608"/>
      <c r="P84" s="608"/>
    </row>
    <row r="85" spans="1:16" x14ac:dyDescent="0.2">
      <c r="A85" s="654" t="s">
        <v>56</v>
      </c>
      <c r="B85" s="608"/>
      <c r="C85" s="608"/>
      <c r="D85" s="608"/>
      <c r="E85" s="608"/>
      <c r="F85" s="608"/>
      <c r="G85" s="608"/>
      <c r="H85" s="608"/>
      <c r="I85" s="608"/>
      <c r="J85" s="608"/>
      <c r="K85" s="608"/>
      <c r="L85" s="608"/>
      <c r="M85" s="608"/>
      <c r="N85" s="608"/>
      <c r="O85" s="608"/>
      <c r="P85" s="608"/>
    </row>
    <row r="86" spans="1:16" x14ac:dyDescent="0.2">
      <c r="A86" s="653" t="s">
        <v>57</v>
      </c>
      <c r="B86" s="608"/>
      <c r="C86" s="608"/>
      <c r="D86" s="608"/>
      <c r="E86" s="608">
        <f>E40</f>
        <v>37570</v>
      </c>
      <c r="F86" s="608">
        <f>'Water Fund  Equity Statement'!F47</f>
        <v>37824.002</v>
      </c>
      <c r="G86" s="608">
        <f>'Water Fund  Equity Statement'!G47</f>
        <v>38195.887000000002</v>
      </c>
      <c r="H86" s="608">
        <f>'Water Fund  Equity Statement'!H47</f>
        <v>38555.414000000004</v>
      </c>
      <c r="I86" s="608">
        <f>'Water Fund  Equity Statement'!I47</f>
        <v>38981.269</v>
      </c>
      <c r="J86" s="608">
        <f>'Water Fund  Equity Statement'!J47</f>
        <v>39479.936999999998</v>
      </c>
      <c r="K86" s="608">
        <f>'Water Fund  Equity Statement'!K47</f>
        <v>39959.109136200001</v>
      </c>
      <c r="L86" s="608">
        <f>'Water Fund  Equity Statement'!L47</f>
        <v>40461.494440797003</v>
      </c>
      <c r="M86" s="608">
        <f>'Water Fund  Equity Statement'!M47</f>
        <v>40985.877223068492</v>
      </c>
      <c r="N86" s="608">
        <f>'Water Fund  Equity Statement'!N47</f>
        <v>41521.021264533643</v>
      </c>
      <c r="O86" s="608">
        <f>'Water Fund  Equity Statement'!O47</f>
        <v>42080.286545302632</v>
      </c>
      <c r="P86" s="608">
        <f>'Water Fund  Equity Statement'!P47</f>
        <v>42664.616318318069</v>
      </c>
    </row>
    <row r="87" spans="1:16" ht="10.8" thickBot="1" x14ac:dyDescent="0.25">
      <c r="A87" s="653" t="s">
        <v>58</v>
      </c>
      <c r="B87" s="669"/>
      <c r="C87" s="669"/>
      <c r="D87" s="608"/>
      <c r="E87" s="669">
        <f>E41</f>
        <v>29676</v>
      </c>
      <c r="F87" s="669">
        <f>'Water Fund  Equity Statement'!F56</f>
        <v>29676</v>
      </c>
      <c r="G87" s="669">
        <f>'Water Fund  Equity Statement'!G56</f>
        <v>29676</v>
      </c>
      <c r="H87" s="669">
        <f>'Water Fund  Equity Statement'!H56</f>
        <v>29676</v>
      </c>
      <c r="I87" s="669">
        <f>'Water Fund  Equity Statement'!I56</f>
        <v>29676</v>
      </c>
      <c r="J87" s="669">
        <f>'Water Fund  Equity Statement'!J56</f>
        <v>29676</v>
      </c>
      <c r="K87" s="669">
        <f>'Water Fund  Equity Statement'!K56</f>
        <v>29676</v>
      </c>
      <c r="L87" s="669">
        <f>'Water Fund  Equity Statement'!L56</f>
        <v>29676</v>
      </c>
      <c r="M87" s="669">
        <f>'Water Fund  Equity Statement'!M56</f>
        <v>29676</v>
      </c>
      <c r="N87" s="669">
        <f>'Water Fund  Equity Statement'!N56</f>
        <v>29676</v>
      </c>
      <c r="O87" s="669">
        <f>'Water Fund  Equity Statement'!O56</f>
        <v>29676</v>
      </c>
      <c r="P87" s="669">
        <f>'Water Fund  Equity Statement'!P56</f>
        <v>29676</v>
      </c>
    </row>
    <row r="88" spans="1:16" s="657" customFormat="1" ht="10.8" thickBot="1" x14ac:dyDescent="0.25">
      <c r="A88" s="654" t="s">
        <v>59</v>
      </c>
      <c r="B88" s="668">
        <f>SUM(B86:B87)</f>
        <v>0</v>
      </c>
      <c r="C88" s="668">
        <f t="shared" ref="C88:P88" si="35">SUM(C86:C87)</f>
        <v>0</v>
      </c>
      <c r="D88" s="668">
        <f t="shared" si="35"/>
        <v>0</v>
      </c>
      <c r="E88" s="668">
        <f t="shared" si="35"/>
        <v>67246</v>
      </c>
      <c r="F88" s="668">
        <f t="shared" si="35"/>
        <v>67500.002000000008</v>
      </c>
      <c r="G88" s="668">
        <f t="shared" si="35"/>
        <v>67871.887000000002</v>
      </c>
      <c r="H88" s="668">
        <f t="shared" si="35"/>
        <v>68231.414000000004</v>
      </c>
      <c r="I88" s="668">
        <f t="shared" si="35"/>
        <v>68657.269</v>
      </c>
      <c r="J88" s="668">
        <f t="shared" si="35"/>
        <v>69155.937000000005</v>
      </c>
      <c r="K88" s="668">
        <f t="shared" si="35"/>
        <v>69635.109136200001</v>
      </c>
      <c r="L88" s="668">
        <f t="shared" si="35"/>
        <v>70137.494440797003</v>
      </c>
      <c r="M88" s="668">
        <f t="shared" si="35"/>
        <v>70661.877223068499</v>
      </c>
      <c r="N88" s="668">
        <f t="shared" si="35"/>
        <v>71197.021264533643</v>
      </c>
      <c r="O88" s="668">
        <f t="shared" si="35"/>
        <v>71756.286545302632</v>
      </c>
      <c r="P88" s="668">
        <f t="shared" si="35"/>
        <v>72340.616318318062</v>
      </c>
    </row>
    <row r="89" spans="1:16" ht="10.8" thickTop="1" x14ac:dyDescent="0.2">
      <c r="B89" s="608"/>
      <c r="C89" s="608"/>
      <c r="D89" s="608"/>
      <c r="E89" s="608"/>
      <c r="F89" s="608"/>
      <c r="G89" s="608"/>
      <c r="H89" s="608"/>
      <c r="I89" s="608"/>
      <c r="J89" s="608"/>
      <c r="K89" s="608"/>
      <c r="L89" s="608"/>
      <c r="M89" s="608"/>
      <c r="N89" s="608"/>
      <c r="O89" s="608"/>
      <c r="P89" s="608"/>
    </row>
    <row r="90" spans="1:16" ht="11.25" hidden="1" outlineLevel="1" x14ac:dyDescent="0.2">
      <c r="A90" s="653" t="s">
        <v>111</v>
      </c>
      <c r="B90" s="621">
        <f>+B83-B88</f>
        <v>0</v>
      </c>
      <c r="C90" s="621">
        <f t="shared" ref="C90:P90" si="36">+C83-C88</f>
        <v>0</v>
      </c>
      <c r="D90" s="621">
        <f t="shared" si="36"/>
        <v>0</v>
      </c>
      <c r="E90" s="621">
        <f t="shared" si="36"/>
        <v>0</v>
      </c>
      <c r="F90" s="621">
        <f t="shared" si="36"/>
        <v>0</v>
      </c>
      <c r="G90" s="621">
        <f t="shared" si="36"/>
        <v>0</v>
      </c>
      <c r="H90" s="621">
        <f t="shared" si="36"/>
        <v>0</v>
      </c>
      <c r="I90" s="621">
        <f t="shared" si="36"/>
        <v>0</v>
      </c>
      <c r="J90" s="621">
        <f t="shared" si="36"/>
        <v>0</v>
      </c>
      <c r="K90" s="621">
        <f t="shared" si="36"/>
        <v>0</v>
      </c>
      <c r="L90" s="621">
        <f t="shared" si="36"/>
        <v>0</v>
      </c>
      <c r="M90" s="621">
        <f t="shared" si="36"/>
        <v>0</v>
      </c>
      <c r="N90" s="621">
        <f t="shared" si="36"/>
        <v>0</v>
      </c>
      <c r="O90" s="621">
        <f t="shared" si="36"/>
        <v>0</v>
      </c>
      <c r="P90" s="621">
        <f t="shared" si="36"/>
        <v>0</v>
      </c>
    </row>
    <row r="91" spans="1:16" ht="11.25" hidden="1" outlineLevel="1" x14ac:dyDescent="0.2">
      <c r="B91" s="621"/>
      <c r="C91" s="621"/>
      <c r="D91" s="621"/>
      <c r="E91" s="621"/>
      <c r="F91" s="621"/>
      <c r="G91" s="621"/>
      <c r="H91" s="621"/>
      <c r="I91" s="621"/>
      <c r="J91" s="621"/>
      <c r="K91" s="621"/>
      <c r="L91" s="621"/>
      <c r="M91" s="621"/>
      <c r="N91" s="621"/>
      <c r="O91" s="621"/>
      <c r="P91" s="621"/>
    </row>
    <row r="92" spans="1:16" collapsed="1" x14ac:dyDescent="0.2"/>
    <row r="93" spans="1:16" ht="13.8" x14ac:dyDescent="0.3">
      <c r="A93" s="1091" t="s">
        <v>1363</v>
      </c>
    </row>
    <row r="94" spans="1:16" ht="12" x14ac:dyDescent="0.25">
      <c r="A94" s="673" t="s">
        <v>1069</v>
      </c>
      <c r="B94" s="586" t="s">
        <v>69</v>
      </c>
      <c r="C94" s="586" t="s">
        <v>69</v>
      </c>
      <c r="D94" s="586" t="s">
        <v>69</v>
      </c>
      <c r="E94" s="586" t="s">
        <v>69</v>
      </c>
      <c r="F94" s="586" t="s">
        <v>70</v>
      </c>
      <c r="G94" s="586" t="s">
        <v>70</v>
      </c>
      <c r="H94" s="586" t="s">
        <v>71</v>
      </c>
      <c r="I94" s="586" t="s">
        <v>71</v>
      </c>
      <c r="J94" s="586" t="s">
        <v>71</v>
      </c>
      <c r="K94" s="586" t="s">
        <v>71</v>
      </c>
      <c r="L94" s="586" t="s">
        <v>71</v>
      </c>
      <c r="M94" s="586" t="s">
        <v>71</v>
      </c>
      <c r="N94" s="586" t="s">
        <v>71</v>
      </c>
      <c r="O94" s="586" t="s">
        <v>71</v>
      </c>
      <c r="P94" s="586" t="s">
        <v>71</v>
      </c>
    </row>
    <row r="95" spans="1:16" x14ac:dyDescent="0.2">
      <c r="A95" s="652" t="s">
        <v>72</v>
      </c>
      <c r="B95" s="741" t="s">
        <v>68</v>
      </c>
      <c r="C95" s="694" t="s">
        <v>0</v>
      </c>
      <c r="D95" s="694" t="s">
        <v>1</v>
      </c>
      <c r="E95" s="694" t="s">
        <v>2</v>
      </c>
      <c r="F95" s="694" t="s">
        <v>3</v>
      </c>
      <c r="G95" s="694" t="s">
        <v>4</v>
      </c>
      <c r="H95" s="694" t="s">
        <v>5</v>
      </c>
      <c r="I95" s="694" t="s">
        <v>6</v>
      </c>
      <c r="J95" s="694" t="s">
        <v>7</v>
      </c>
      <c r="K95" s="694" t="s">
        <v>8</v>
      </c>
      <c r="L95" s="694" t="s">
        <v>9</v>
      </c>
      <c r="M95" s="694" t="s">
        <v>514</v>
      </c>
      <c r="N95" s="694" t="s">
        <v>515</v>
      </c>
      <c r="O95" s="694" t="s">
        <v>904</v>
      </c>
      <c r="P95" s="694" t="s">
        <v>1046</v>
      </c>
    </row>
    <row r="96" spans="1:16" x14ac:dyDescent="0.2">
      <c r="A96" s="661"/>
      <c r="B96" s="662"/>
      <c r="C96" s="662"/>
      <c r="D96" s="663"/>
      <c r="E96" s="663"/>
      <c r="F96" s="663"/>
      <c r="G96" s="663"/>
      <c r="H96" s="663"/>
      <c r="I96" s="663"/>
      <c r="J96" s="663"/>
      <c r="K96" s="663"/>
      <c r="L96" s="663"/>
      <c r="M96" s="663"/>
      <c r="N96" s="663"/>
      <c r="O96" s="663"/>
      <c r="P96" s="663"/>
    </row>
    <row r="97" spans="1:16" x14ac:dyDescent="0.2">
      <c r="A97" s="654" t="s">
        <v>35</v>
      </c>
      <c r="B97" s="608"/>
      <c r="C97" s="608"/>
      <c r="D97" s="608"/>
      <c r="E97" s="608"/>
      <c r="F97" s="608"/>
      <c r="G97" s="608"/>
      <c r="H97" s="608"/>
      <c r="I97" s="608"/>
      <c r="J97" s="608"/>
      <c r="K97" s="608"/>
      <c r="L97" s="608"/>
      <c r="M97" s="608"/>
      <c r="N97" s="608"/>
      <c r="O97" s="608"/>
      <c r="P97" s="608"/>
    </row>
    <row r="98" spans="1:16" x14ac:dyDescent="0.2">
      <c r="A98" s="654" t="s">
        <v>36</v>
      </c>
      <c r="B98" s="608"/>
      <c r="C98" s="608"/>
      <c r="D98" s="608"/>
      <c r="E98" s="608"/>
      <c r="F98" s="608"/>
      <c r="G98" s="608"/>
      <c r="H98" s="608"/>
      <c r="I98" s="608"/>
      <c r="J98" s="608"/>
      <c r="K98" s="608"/>
      <c r="L98" s="608"/>
      <c r="M98" s="608"/>
      <c r="N98" s="608"/>
      <c r="O98" s="608"/>
      <c r="P98" s="608"/>
    </row>
    <row r="99" spans="1:16" x14ac:dyDescent="0.2">
      <c r="A99" s="653" t="s">
        <v>37</v>
      </c>
      <c r="B99" s="608"/>
      <c r="C99" s="608"/>
      <c r="D99" s="608">
        <f>D53</f>
        <v>0</v>
      </c>
      <c r="E99" s="608">
        <f t="shared" ref="E99" si="37">E53</f>
        <v>0</v>
      </c>
      <c r="F99" s="608">
        <f>'Water  Fund  Cash Flow'!F154</f>
        <v>-5.1159076974727213E-13</v>
      </c>
      <c r="G99" s="608">
        <f>'Water  Fund  Cash Flow'!G154</f>
        <v>263.39999999999912</v>
      </c>
      <c r="H99" s="608">
        <f>'Water  Fund  Cash Flow'!H154</f>
        <v>537.27299999999855</v>
      </c>
      <c r="I99" s="608">
        <f>'Water  Fund  Cash Flow'!I154</f>
        <v>822.0029999999972</v>
      </c>
      <c r="J99" s="608">
        <f>'Water  Fund  Cash Flow'!J154</f>
        <v>1117.8499999999972</v>
      </c>
      <c r="K99" s="608">
        <f>'Water  Fund  Cash Flow'!K154</f>
        <v>1398.3183061999976</v>
      </c>
      <c r="L99" s="608">
        <f>'Water  Fund  Cash Flow'!L154</f>
        <v>1706.4036339469981</v>
      </c>
      <c r="M99" s="608">
        <f>'Water  Fund  Cash Flow'!M154</f>
        <v>2069.1878178252337</v>
      </c>
      <c r="N99" s="608">
        <f>'Water  Fund  Cash Flow'!N154</f>
        <v>2778.4494624431049</v>
      </c>
      <c r="O99" s="608">
        <f>'Water  Fund  Cash Flow'!O154</f>
        <v>3524.3368124325507</v>
      </c>
      <c r="P99" s="608">
        <f>'Water  Fund  Cash Flow'!P154</f>
        <v>4308.2687629076518</v>
      </c>
    </row>
    <row r="100" spans="1:16" x14ac:dyDescent="0.2">
      <c r="A100" s="653" t="s">
        <v>38</v>
      </c>
      <c r="B100" s="608"/>
      <c r="C100" s="608"/>
      <c r="D100" s="608">
        <f>D54</f>
        <v>0</v>
      </c>
      <c r="E100" s="608">
        <f t="shared" ref="E100" si="38">E54</f>
        <v>4685</v>
      </c>
      <c r="F100" s="608">
        <f>E100</f>
        <v>4685</v>
      </c>
      <c r="G100" s="608">
        <f t="shared" ref="G100:P100" si="39">F100</f>
        <v>4685</v>
      </c>
      <c r="H100" s="608">
        <f t="shared" si="39"/>
        <v>4685</v>
      </c>
      <c r="I100" s="608">
        <f t="shared" si="39"/>
        <v>4685</v>
      </c>
      <c r="J100" s="608">
        <f t="shared" si="39"/>
        <v>4685</v>
      </c>
      <c r="K100" s="608">
        <f t="shared" si="39"/>
        <v>4685</v>
      </c>
      <c r="L100" s="608">
        <f t="shared" si="39"/>
        <v>4685</v>
      </c>
      <c r="M100" s="608">
        <f t="shared" si="39"/>
        <v>4685</v>
      </c>
      <c r="N100" s="608">
        <f t="shared" si="39"/>
        <v>4685</v>
      </c>
      <c r="O100" s="608">
        <f t="shared" si="39"/>
        <v>4685</v>
      </c>
      <c r="P100" s="608">
        <f t="shared" si="39"/>
        <v>4685</v>
      </c>
    </row>
    <row r="101" spans="1:16" x14ac:dyDescent="0.2">
      <c r="A101" s="653" t="s">
        <v>39</v>
      </c>
      <c r="B101" s="608"/>
      <c r="C101" s="608"/>
      <c r="D101" s="608">
        <f>D55</f>
        <v>0</v>
      </c>
      <c r="E101" s="608">
        <f t="shared" ref="E101" si="40">E55</f>
        <v>668</v>
      </c>
      <c r="F101" s="608">
        <f t="shared" ref="F101:P103" si="41">+E101</f>
        <v>668</v>
      </c>
      <c r="G101" s="608">
        <f t="shared" si="41"/>
        <v>668</v>
      </c>
      <c r="H101" s="608">
        <f t="shared" si="41"/>
        <v>668</v>
      </c>
      <c r="I101" s="608">
        <f t="shared" si="41"/>
        <v>668</v>
      </c>
      <c r="J101" s="608">
        <f t="shared" si="41"/>
        <v>668</v>
      </c>
      <c r="K101" s="608">
        <f t="shared" si="41"/>
        <v>668</v>
      </c>
      <c r="L101" s="608">
        <f t="shared" si="41"/>
        <v>668</v>
      </c>
      <c r="M101" s="608">
        <f t="shared" si="41"/>
        <v>668</v>
      </c>
      <c r="N101" s="608">
        <f t="shared" si="41"/>
        <v>668</v>
      </c>
      <c r="O101" s="608">
        <f t="shared" si="41"/>
        <v>668</v>
      </c>
      <c r="P101" s="608">
        <f t="shared" si="41"/>
        <v>668</v>
      </c>
    </row>
    <row r="102" spans="1:16" x14ac:dyDescent="0.2">
      <c r="A102" s="653" t="s">
        <v>40</v>
      </c>
      <c r="B102" s="608"/>
      <c r="C102" s="608"/>
      <c r="D102" s="608">
        <f>D56</f>
        <v>0</v>
      </c>
      <c r="E102" s="608">
        <f t="shared" ref="E102" si="42">E56</f>
        <v>0</v>
      </c>
      <c r="F102" s="608">
        <f t="shared" si="41"/>
        <v>0</v>
      </c>
      <c r="G102" s="608">
        <f t="shared" si="41"/>
        <v>0</v>
      </c>
      <c r="H102" s="608">
        <f t="shared" si="41"/>
        <v>0</v>
      </c>
      <c r="I102" s="608">
        <f t="shared" si="41"/>
        <v>0</v>
      </c>
      <c r="J102" s="608">
        <f t="shared" si="41"/>
        <v>0</v>
      </c>
      <c r="K102" s="608">
        <f t="shared" si="41"/>
        <v>0</v>
      </c>
      <c r="L102" s="608">
        <f t="shared" si="41"/>
        <v>0</v>
      </c>
      <c r="M102" s="608">
        <f t="shared" si="41"/>
        <v>0</v>
      </c>
      <c r="N102" s="608">
        <f t="shared" si="41"/>
        <v>0</v>
      </c>
      <c r="O102" s="608">
        <f t="shared" si="41"/>
        <v>0</v>
      </c>
      <c r="P102" s="608">
        <f t="shared" si="41"/>
        <v>0</v>
      </c>
    </row>
    <row r="103" spans="1:16" x14ac:dyDescent="0.2">
      <c r="A103" s="655" t="s">
        <v>41</v>
      </c>
      <c r="B103" s="615"/>
      <c r="C103" s="608"/>
      <c r="D103" s="608">
        <f>D57</f>
        <v>0</v>
      </c>
      <c r="E103" s="608">
        <f t="shared" ref="E103" si="43">E57</f>
        <v>0</v>
      </c>
      <c r="F103" s="608">
        <f t="shared" si="41"/>
        <v>0</v>
      </c>
      <c r="G103" s="608">
        <f t="shared" si="41"/>
        <v>0</v>
      </c>
      <c r="H103" s="608">
        <f t="shared" si="41"/>
        <v>0</v>
      </c>
      <c r="I103" s="608">
        <f t="shared" si="41"/>
        <v>0</v>
      </c>
      <c r="J103" s="608">
        <f t="shared" si="41"/>
        <v>0</v>
      </c>
      <c r="K103" s="608">
        <f t="shared" si="41"/>
        <v>0</v>
      </c>
      <c r="L103" s="608">
        <f t="shared" si="41"/>
        <v>0</v>
      </c>
      <c r="M103" s="608">
        <f t="shared" si="41"/>
        <v>0</v>
      </c>
      <c r="N103" s="608">
        <f t="shared" si="41"/>
        <v>0</v>
      </c>
      <c r="O103" s="608">
        <f t="shared" si="41"/>
        <v>0</v>
      </c>
      <c r="P103" s="608">
        <f t="shared" si="41"/>
        <v>0</v>
      </c>
    </row>
    <row r="104" spans="1:16" x14ac:dyDescent="0.2">
      <c r="A104" s="654" t="s">
        <v>42</v>
      </c>
      <c r="B104" s="656">
        <f>SUM(B99:B103)</f>
        <v>0</v>
      </c>
      <c r="C104" s="656">
        <f t="shared" ref="C104:P104" si="44">SUM(C99:C103)</f>
        <v>0</v>
      </c>
      <c r="D104" s="656">
        <f t="shared" si="44"/>
        <v>0</v>
      </c>
      <c r="E104" s="656">
        <f t="shared" si="44"/>
        <v>5353</v>
      </c>
      <c r="F104" s="656">
        <f t="shared" si="44"/>
        <v>5352.9999999999991</v>
      </c>
      <c r="G104" s="656">
        <f t="shared" si="44"/>
        <v>5616.3999999999987</v>
      </c>
      <c r="H104" s="656">
        <f t="shared" si="44"/>
        <v>5890.2729999999983</v>
      </c>
      <c r="I104" s="656">
        <f t="shared" si="44"/>
        <v>6175.002999999997</v>
      </c>
      <c r="J104" s="656">
        <f t="shared" si="44"/>
        <v>6470.8499999999967</v>
      </c>
      <c r="K104" s="656">
        <f t="shared" si="44"/>
        <v>6751.3183061999971</v>
      </c>
      <c r="L104" s="656">
        <f t="shared" si="44"/>
        <v>7059.4036339469985</v>
      </c>
      <c r="M104" s="656">
        <f t="shared" si="44"/>
        <v>7422.1878178252337</v>
      </c>
      <c r="N104" s="656">
        <f t="shared" si="44"/>
        <v>8131.4494624431045</v>
      </c>
      <c r="O104" s="656">
        <f t="shared" si="44"/>
        <v>8877.3368124325498</v>
      </c>
      <c r="P104" s="656">
        <f t="shared" si="44"/>
        <v>9661.2687629076518</v>
      </c>
    </row>
    <row r="105" spans="1:16" x14ac:dyDescent="0.2">
      <c r="B105" s="608"/>
      <c r="C105" s="608"/>
      <c r="D105" s="608"/>
      <c r="E105" s="608"/>
      <c r="F105" s="608"/>
      <c r="G105" s="608"/>
      <c r="H105" s="608"/>
      <c r="I105" s="608"/>
      <c r="J105" s="608"/>
      <c r="K105" s="608"/>
      <c r="L105" s="608"/>
      <c r="M105" s="608"/>
      <c r="N105" s="608"/>
      <c r="O105" s="608"/>
      <c r="P105" s="608"/>
    </row>
    <row r="106" spans="1:16" x14ac:dyDescent="0.2">
      <c r="A106" s="654" t="s">
        <v>43</v>
      </c>
      <c r="B106" s="608"/>
      <c r="C106" s="608"/>
      <c r="D106" s="608"/>
      <c r="E106" s="608"/>
      <c r="F106" s="608"/>
      <c r="G106" s="608"/>
      <c r="H106" s="608"/>
      <c r="I106" s="608"/>
      <c r="J106" s="608"/>
      <c r="K106" s="608"/>
      <c r="L106" s="608"/>
      <c r="M106" s="608"/>
      <c r="N106" s="608"/>
      <c r="O106" s="608"/>
      <c r="P106" s="608"/>
    </row>
    <row r="107" spans="1:16" x14ac:dyDescent="0.2">
      <c r="A107" s="608" t="str">
        <f>A61</f>
        <v>Investments</v>
      </c>
      <c r="B107" s="608"/>
      <c r="C107" s="608"/>
      <c r="D107" s="608">
        <f>D61</f>
        <v>0</v>
      </c>
      <c r="E107" s="608">
        <f t="shared" ref="E107" si="45">E61</f>
        <v>14312</v>
      </c>
      <c r="F107" s="608">
        <f>E100+E107+'Water  Fund  Inc Exp Statement '!F193-'Water  Fund  Inc Exp Statement '!F201-F100</f>
        <v>12505.222999999998</v>
      </c>
      <c r="G107" s="608">
        <f>F100+F107+'Water  Fund  Inc Exp Statement '!G193-'Water  Fund  Inc Exp Statement '!G201-G100</f>
        <v>11602.960999999998</v>
      </c>
      <c r="H107" s="608">
        <f>G100+G107+'Water  Fund  Inc Exp Statement '!H193-'Water  Fund  Inc Exp Statement '!H201-H100</f>
        <v>11637.820999999998</v>
      </c>
      <c r="I107" s="608">
        <f>H100+H107+'Water  Fund  Inc Exp Statement '!I193-'Water  Fund  Inc Exp Statement '!I201-I100</f>
        <v>11928.680999999997</v>
      </c>
      <c r="J107" s="608">
        <f>I100+I107+'Water  Fund  Inc Exp Statement '!J193-'Water  Fund  Inc Exp Statement '!J201-J100</f>
        <v>12299.830999999998</v>
      </c>
      <c r="K107" s="608">
        <f>J100+J107+'Water  Fund  Inc Exp Statement '!K193-'Water  Fund  Inc Exp Statement '!K201-K100</f>
        <v>12678.403999999999</v>
      </c>
      <c r="L107" s="608">
        <f>K100+K107+'Water  Fund  Inc Exp Statement '!L193-'Water  Fund  Inc Exp Statement '!L201-L100</f>
        <v>13064.548459999998</v>
      </c>
      <c r="M107" s="608">
        <f>L100+L107+'Water  Fund  Inc Exp Statement '!M193-'Water  Fund  Inc Exp Statement '!M201-M100</f>
        <v>13458.4158092</v>
      </c>
      <c r="N107" s="608">
        <f>M100+M107+'Water  Fund  Inc Exp Statement '!N193-'Water  Fund  Inc Exp Statement '!N201-N100</f>
        <v>13860.160505383999</v>
      </c>
      <c r="O107" s="608">
        <f>N100+N107+'Water  Fund  Inc Exp Statement '!O193-'Water  Fund  Inc Exp Statement '!O201-O100</f>
        <v>14269.940095491678</v>
      </c>
      <c r="P107" s="608">
        <f>O100+O107+'Water  Fund  Inc Exp Statement '!P193-'Water  Fund  Inc Exp Statement '!P201-P100</f>
        <v>14687.915277401513</v>
      </c>
    </row>
    <row r="108" spans="1:16" x14ac:dyDescent="0.2">
      <c r="A108" s="760" t="s">
        <v>44</v>
      </c>
      <c r="B108" s="608"/>
      <c r="C108" s="608"/>
      <c r="D108" s="608">
        <f>D62</f>
        <v>0</v>
      </c>
      <c r="E108" s="608">
        <f t="shared" ref="E108" si="46">E62</f>
        <v>50834</v>
      </c>
      <c r="F108" s="608">
        <f>E108-'Water  Fund  Inc Exp Statement '!F165+SUM('Water  Fund  Inc Exp Statement '!F189:F191)-'Water  Fund  Inc Exp Statement '!F203</f>
        <v>52637.728000000003</v>
      </c>
      <c r="G108" s="608">
        <f>F108-'Water  Fund  Inc Exp Statement '!G165+SUM('Water  Fund  Inc Exp Statement '!G189:G191)-'Water  Fund  Inc Exp Statement '!G203</f>
        <v>53374.628000000004</v>
      </c>
      <c r="H108" s="608">
        <f>G108-'Water  Fund  Inc Exp Statement '!H165+SUM('Water  Fund  Inc Exp Statement '!H189:H191)-'Water  Fund  Inc Exp Statement '!H203</f>
        <v>53133.678000000007</v>
      </c>
      <c r="I108" s="608">
        <f>H108-'Water  Fund  Inc Exp Statement '!I165+SUM('Water  Fund  Inc Exp Statement '!I189:I191)-'Water  Fund  Inc Exp Statement '!I203</f>
        <v>52673.830000000009</v>
      </c>
      <c r="J108" s="608">
        <f>I108-'Water  Fund  Inc Exp Statement '!J165+SUM('Water  Fund  Inc Exp Statement '!J189:J191)-'Water  Fund  Inc Exp Statement '!J203</f>
        <v>52174.112000000008</v>
      </c>
      <c r="K108" s="608">
        <f>J108-'Water  Fund  Inc Exp Statement '!K165+SUM('Water  Fund  Inc Exp Statement '!K189:K191)-'Water  Fund  Inc Exp Statement '!K203</f>
        <v>51656.226050000005</v>
      </c>
      <c r="L108" s="608">
        <f>K108-'Water  Fund  Inc Exp Statement '!L165+SUM('Water  Fund  Inc Exp Statement '!L189:L191)-'Water  Fund  Inc Exp Statement '!L203</f>
        <v>51119.604451250001</v>
      </c>
      <c r="M108" s="608">
        <f>L108-'Water  Fund  Inc Exp Statement '!M165+SUM('Water  Fund  Inc Exp Statement '!M189:M191)-'Water  Fund  Inc Exp Statement '!M203</f>
        <v>50563.663042531254</v>
      </c>
      <c r="N108" s="608">
        <f>M108-'Water  Fund  Inc Exp Statement '!N165+SUM('Water  Fund  Inc Exp Statement '!N189:N191)-'Water  Fund  Inc Exp Statement '!N203</f>
        <v>49987.80074319453</v>
      </c>
      <c r="O108" s="608">
        <f>N108-'Water  Fund  Inc Exp Statement '!O165+SUM('Water  Fund  Inc Exp Statement '!O189:O191)-'Water  Fund  Inc Exp Statement '!O203</f>
        <v>49391.399083866396</v>
      </c>
      <c r="P108" s="608">
        <f>O108-'Water  Fund  Inc Exp Statement '!P165+SUM('Water  Fund  Inc Exp Statement '!P189:P191)-'Water  Fund  Inc Exp Statement '!P203</f>
        <v>48773.821724496898</v>
      </c>
    </row>
    <row r="109" spans="1:16" ht="20.399999999999999" x14ac:dyDescent="0.2">
      <c r="A109" s="608" t="str">
        <f t="shared" ref="A109:A110" si="47">A63</f>
        <v>Investments accounted for using the equity method</v>
      </c>
      <c r="B109" s="608"/>
      <c r="C109" s="608"/>
      <c r="D109" s="608">
        <f t="shared" ref="D109:P110" si="48">D63</f>
        <v>0</v>
      </c>
      <c r="E109" s="608">
        <f t="shared" si="48"/>
        <v>0</v>
      </c>
      <c r="F109" s="608">
        <f t="shared" si="48"/>
        <v>0</v>
      </c>
      <c r="G109" s="608">
        <f t="shared" si="48"/>
        <v>0</v>
      </c>
      <c r="H109" s="608">
        <f t="shared" si="48"/>
        <v>0</v>
      </c>
      <c r="I109" s="608">
        <f t="shared" si="48"/>
        <v>0</v>
      </c>
      <c r="J109" s="608">
        <f t="shared" si="48"/>
        <v>0</v>
      </c>
      <c r="K109" s="608">
        <f t="shared" si="48"/>
        <v>0</v>
      </c>
      <c r="L109" s="608">
        <f t="shared" si="48"/>
        <v>0</v>
      </c>
      <c r="M109" s="608">
        <f t="shared" si="48"/>
        <v>0</v>
      </c>
      <c r="N109" s="608">
        <f t="shared" si="48"/>
        <v>0</v>
      </c>
      <c r="O109" s="608">
        <f t="shared" si="48"/>
        <v>0</v>
      </c>
      <c r="P109" s="608">
        <f t="shared" si="48"/>
        <v>0</v>
      </c>
    </row>
    <row r="110" spans="1:16" x14ac:dyDescent="0.2">
      <c r="A110" s="608" t="str">
        <f t="shared" si="47"/>
        <v>Investment Property</v>
      </c>
      <c r="B110" s="608"/>
      <c r="C110" s="608"/>
      <c r="D110" s="608">
        <f t="shared" si="48"/>
        <v>0</v>
      </c>
      <c r="E110" s="608">
        <f t="shared" si="48"/>
        <v>0</v>
      </c>
      <c r="F110" s="608">
        <f t="shared" si="48"/>
        <v>0</v>
      </c>
      <c r="G110" s="608">
        <f t="shared" si="48"/>
        <v>0</v>
      </c>
      <c r="H110" s="608">
        <f t="shared" si="48"/>
        <v>0</v>
      </c>
      <c r="I110" s="608">
        <f t="shared" si="48"/>
        <v>0</v>
      </c>
      <c r="J110" s="608">
        <f t="shared" si="48"/>
        <v>0</v>
      </c>
      <c r="K110" s="608">
        <f t="shared" si="48"/>
        <v>0</v>
      </c>
      <c r="L110" s="608">
        <f t="shared" si="48"/>
        <v>0</v>
      </c>
      <c r="M110" s="608">
        <f t="shared" si="48"/>
        <v>0</v>
      </c>
      <c r="N110" s="608">
        <f t="shared" si="48"/>
        <v>0</v>
      </c>
      <c r="O110" s="608">
        <f t="shared" si="48"/>
        <v>0</v>
      </c>
      <c r="P110" s="608">
        <f t="shared" si="48"/>
        <v>0</v>
      </c>
    </row>
    <row r="111" spans="1:16" x14ac:dyDescent="0.2">
      <c r="A111" s="761" t="s">
        <v>45</v>
      </c>
      <c r="B111" s="762">
        <f>SUM(B108)</f>
        <v>0</v>
      </c>
      <c r="C111" s="762">
        <f t="shared" ref="C111" si="49">SUM(C108)</f>
        <v>0</v>
      </c>
      <c r="D111" s="762">
        <f>SUM(D107:D110)</f>
        <v>0</v>
      </c>
      <c r="E111" s="762">
        <f t="shared" ref="E111:P111" si="50">SUM(E107:E110)</f>
        <v>65146</v>
      </c>
      <c r="F111" s="762">
        <f t="shared" si="50"/>
        <v>65142.951000000001</v>
      </c>
      <c r="G111" s="762">
        <f t="shared" si="50"/>
        <v>64977.589</v>
      </c>
      <c r="H111" s="762">
        <f t="shared" si="50"/>
        <v>64771.499000000003</v>
      </c>
      <c r="I111" s="762">
        <f t="shared" si="50"/>
        <v>64602.511000000006</v>
      </c>
      <c r="J111" s="762">
        <f t="shared" si="50"/>
        <v>64473.943000000007</v>
      </c>
      <c r="K111" s="762">
        <f t="shared" si="50"/>
        <v>64334.630050000007</v>
      </c>
      <c r="L111" s="762">
        <f t="shared" si="50"/>
        <v>64184.152911249999</v>
      </c>
      <c r="M111" s="762">
        <f t="shared" si="50"/>
        <v>64022.078851731254</v>
      </c>
      <c r="N111" s="762">
        <f t="shared" si="50"/>
        <v>63847.961248578533</v>
      </c>
      <c r="O111" s="762">
        <f t="shared" si="50"/>
        <v>63661.339179358074</v>
      </c>
      <c r="P111" s="762">
        <f t="shared" si="50"/>
        <v>63461.737001898407</v>
      </c>
    </row>
    <row r="112" spans="1:16" x14ac:dyDescent="0.2">
      <c r="B112" s="608"/>
      <c r="C112" s="608"/>
      <c r="D112" s="608"/>
      <c r="E112" s="608"/>
      <c r="F112" s="608"/>
      <c r="G112" s="608"/>
      <c r="H112" s="608"/>
      <c r="I112" s="608"/>
      <c r="J112" s="608"/>
      <c r="K112" s="608"/>
      <c r="L112" s="608"/>
      <c r="M112" s="608"/>
      <c r="N112" s="608"/>
      <c r="O112" s="608"/>
      <c r="P112" s="608"/>
    </row>
    <row r="113" spans="1:16" ht="10.8" thickBot="1" x14ac:dyDescent="0.25">
      <c r="A113" s="654" t="s">
        <v>46</v>
      </c>
      <c r="B113" s="665">
        <f>+B104+B111</f>
        <v>0</v>
      </c>
      <c r="C113" s="665">
        <f t="shared" ref="C113:P113" si="51">+C104+C111</f>
        <v>0</v>
      </c>
      <c r="D113" s="665">
        <f t="shared" si="51"/>
        <v>0</v>
      </c>
      <c r="E113" s="665">
        <f t="shared" si="51"/>
        <v>70499</v>
      </c>
      <c r="F113" s="665">
        <f t="shared" si="51"/>
        <v>70495.951000000001</v>
      </c>
      <c r="G113" s="665">
        <f t="shared" si="51"/>
        <v>70593.989000000001</v>
      </c>
      <c r="H113" s="665">
        <f t="shared" si="51"/>
        <v>70661.771999999997</v>
      </c>
      <c r="I113" s="665">
        <f t="shared" si="51"/>
        <v>70777.513999999996</v>
      </c>
      <c r="J113" s="665">
        <f t="shared" si="51"/>
        <v>70944.793000000005</v>
      </c>
      <c r="K113" s="665">
        <f t="shared" si="51"/>
        <v>71085.94835620001</v>
      </c>
      <c r="L113" s="665">
        <f t="shared" si="51"/>
        <v>71243.556545197003</v>
      </c>
      <c r="M113" s="665">
        <f t="shared" si="51"/>
        <v>71444.266669556484</v>
      </c>
      <c r="N113" s="665">
        <f t="shared" si="51"/>
        <v>71979.410711021643</v>
      </c>
      <c r="O113" s="665">
        <f t="shared" si="51"/>
        <v>72538.675991790631</v>
      </c>
      <c r="P113" s="665">
        <f t="shared" si="51"/>
        <v>73123.005764806061</v>
      </c>
    </row>
    <row r="114" spans="1:16" x14ac:dyDescent="0.2">
      <c r="B114" s="608"/>
      <c r="C114" s="608"/>
      <c r="D114" s="608"/>
      <c r="E114" s="608"/>
      <c r="F114" s="608"/>
      <c r="G114" s="608"/>
      <c r="H114" s="608"/>
      <c r="I114" s="608"/>
      <c r="J114" s="608"/>
      <c r="K114" s="608"/>
      <c r="L114" s="608"/>
      <c r="M114" s="608"/>
      <c r="N114" s="608"/>
      <c r="O114" s="608"/>
      <c r="P114" s="608"/>
    </row>
    <row r="115" spans="1:16" x14ac:dyDescent="0.2">
      <c r="A115" s="654" t="s">
        <v>47</v>
      </c>
      <c r="B115" s="608"/>
      <c r="C115" s="608"/>
      <c r="D115" s="608"/>
      <c r="E115" s="608"/>
      <c r="F115" s="608"/>
      <c r="G115" s="608"/>
      <c r="H115" s="608"/>
      <c r="I115" s="608"/>
      <c r="J115" s="608"/>
      <c r="K115" s="608"/>
      <c r="L115" s="608"/>
      <c r="M115" s="608"/>
      <c r="N115" s="608"/>
      <c r="O115" s="608"/>
      <c r="P115" s="608"/>
    </row>
    <row r="116" spans="1:16" x14ac:dyDescent="0.2">
      <c r="A116" s="654" t="s">
        <v>48</v>
      </c>
      <c r="B116" s="608"/>
      <c r="C116" s="608"/>
      <c r="D116" s="608"/>
      <c r="E116" s="608"/>
      <c r="F116" s="608"/>
      <c r="G116" s="608"/>
      <c r="H116" s="608"/>
      <c r="I116" s="608"/>
      <c r="J116" s="608"/>
      <c r="K116" s="608"/>
      <c r="L116" s="608"/>
      <c r="M116" s="608"/>
      <c r="N116" s="608"/>
      <c r="O116" s="608"/>
      <c r="P116" s="608"/>
    </row>
    <row r="117" spans="1:16" x14ac:dyDescent="0.2">
      <c r="A117" s="666" t="s">
        <v>49</v>
      </c>
      <c r="B117" s="608"/>
      <c r="C117" s="608"/>
      <c r="D117" s="608">
        <f>D71</f>
        <v>0</v>
      </c>
      <c r="E117" s="608">
        <f t="shared" ref="E117" si="52">E71</f>
        <v>411</v>
      </c>
      <c r="F117" s="608">
        <f t="shared" ref="F117:P119" si="53">+E117</f>
        <v>411</v>
      </c>
      <c r="G117" s="608">
        <f t="shared" si="53"/>
        <v>411</v>
      </c>
      <c r="H117" s="608">
        <f t="shared" si="53"/>
        <v>411</v>
      </c>
      <c r="I117" s="608">
        <f t="shared" si="53"/>
        <v>411</v>
      </c>
      <c r="J117" s="608">
        <f t="shared" si="53"/>
        <v>411</v>
      </c>
      <c r="K117" s="608">
        <f t="shared" si="53"/>
        <v>411</v>
      </c>
      <c r="L117" s="608">
        <f t="shared" si="53"/>
        <v>411</v>
      </c>
      <c r="M117" s="608">
        <f t="shared" si="53"/>
        <v>411</v>
      </c>
      <c r="N117" s="608">
        <f t="shared" si="53"/>
        <v>411</v>
      </c>
      <c r="O117" s="608">
        <f t="shared" si="53"/>
        <v>411</v>
      </c>
      <c r="P117" s="608">
        <f t="shared" si="53"/>
        <v>411</v>
      </c>
    </row>
    <row r="118" spans="1:16" x14ac:dyDescent="0.2">
      <c r="A118" s="666" t="s">
        <v>1051</v>
      </c>
      <c r="B118" s="608"/>
      <c r="C118" s="608"/>
      <c r="D118" s="608">
        <f>D72</f>
        <v>0</v>
      </c>
      <c r="E118" s="608">
        <f t="shared" ref="E118" si="54">E72</f>
        <v>257</v>
      </c>
      <c r="F118" s="608">
        <f>'Water  Fund  Inc Exp Statement '!G192</f>
        <v>273.84699999999998</v>
      </c>
      <c r="G118" s="608">
        <f>'Water  Fund  Inc Exp Statement '!H192</f>
        <v>291.74400000000003</v>
      </c>
      <c r="H118" s="608">
        <f>'Water  Fund  Inc Exp Statement '!I192</f>
        <v>310.113</v>
      </c>
      <c r="I118" s="608">
        <f>'Water  Fund  Inc Exp Statement '!J192</f>
        <v>331.38900000000001</v>
      </c>
      <c r="J118" s="608">
        <f>'Water  Fund  Inc Exp Statement '!K192</f>
        <v>338.01678000000004</v>
      </c>
      <c r="K118" s="608">
        <f>'Water  Fund  Inc Exp Statement '!L192</f>
        <v>344.77711560000006</v>
      </c>
      <c r="L118" s="608">
        <f>'Water  Fund  Inc Exp Statement '!M192</f>
        <v>323.67265791200009</v>
      </c>
      <c r="M118" s="608">
        <f>'Water  Fund  Inc Exp Statement '!N192</f>
        <v>0</v>
      </c>
      <c r="N118" s="608">
        <f>'Water  Fund  Inc Exp Statement '!O192</f>
        <v>0</v>
      </c>
      <c r="O118" s="608">
        <f>'Water  Fund  Inc Exp Statement '!P192</f>
        <v>0</v>
      </c>
      <c r="P118" s="608">
        <f>'Water  Fund  Inc Exp Statement '!Q192</f>
        <v>0</v>
      </c>
    </row>
    <row r="119" spans="1:16" x14ac:dyDescent="0.2">
      <c r="A119" s="667" t="s">
        <v>50</v>
      </c>
      <c r="B119" s="615"/>
      <c r="C119" s="608"/>
      <c r="D119" s="608">
        <f t="shared" ref="D119:E119" si="55">D73</f>
        <v>0</v>
      </c>
      <c r="E119" s="608">
        <f t="shared" si="55"/>
        <v>372</v>
      </c>
      <c r="F119" s="608">
        <f t="shared" si="53"/>
        <v>372</v>
      </c>
      <c r="G119" s="608">
        <f t="shared" si="53"/>
        <v>372</v>
      </c>
      <c r="H119" s="608">
        <f t="shared" si="53"/>
        <v>372</v>
      </c>
      <c r="I119" s="608">
        <f t="shared" si="53"/>
        <v>372</v>
      </c>
      <c r="J119" s="608">
        <f t="shared" si="53"/>
        <v>372</v>
      </c>
      <c r="K119" s="608">
        <f t="shared" si="53"/>
        <v>372</v>
      </c>
      <c r="L119" s="608">
        <f t="shared" si="53"/>
        <v>372</v>
      </c>
      <c r="M119" s="608">
        <f t="shared" si="53"/>
        <v>372</v>
      </c>
      <c r="N119" s="608">
        <f t="shared" si="53"/>
        <v>372</v>
      </c>
      <c r="O119" s="608">
        <f t="shared" si="53"/>
        <v>372</v>
      </c>
      <c r="P119" s="608">
        <f t="shared" si="53"/>
        <v>372</v>
      </c>
    </row>
    <row r="120" spans="1:16" x14ac:dyDescent="0.2">
      <c r="A120" s="654" t="s">
        <v>51</v>
      </c>
      <c r="B120" s="656">
        <f>SUM(B117:B119)</f>
        <v>0</v>
      </c>
      <c r="C120" s="656">
        <f t="shared" ref="C120:P120" si="56">SUM(C117:C119)</f>
        <v>0</v>
      </c>
      <c r="D120" s="656">
        <f t="shared" si="56"/>
        <v>0</v>
      </c>
      <c r="E120" s="656">
        <f t="shared" si="56"/>
        <v>1040</v>
      </c>
      <c r="F120" s="656">
        <f t="shared" si="56"/>
        <v>1056.847</v>
      </c>
      <c r="G120" s="656">
        <f t="shared" si="56"/>
        <v>1074.7440000000001</v>
      </c>
      <c r="H120" s="656">
        <f t="shared" si="56"/>
        <v>1093.1130000000001</v>
      </c>
      <c r="I120" s="656">
        <f t="shared" si="56"/>
        <v>1114.3890000000001</v>
      </c>
      <c r="J120" s="656">
        <f t="shared" si="56"/>
        <v>1121.0167799999999</v>
      </c>
      <c r="K120" s="656">
        <f t="shared" si="56"/>
        <v>1127.7771156000001</v>
      </c>
      <c r="L120" s="656">
        <f t="shared" si="56"/>
        <v>1106.672657912</v>
      </c>
      <c r="M120" s="656">
        <f t="shared" si="56"/>
        <v>783</v>
      </c>
      <c r="N120" s="656">
        <f t="shared" si="56"/>
        <v>783</v>
      </c>
      <c r="O120" s="656">
        <f t="shared" si="56"/>
        <v>783</v>
      </c>
      <c r="P120" s="656">
        <f t="shared" si="56"/>
        <v>783</v>
      </c>
    </row>
    <row r="121" spans="1:16" x14ac:dyDescent="0.2">
      <c r="B121" s="608"/>
      <c r="C121" s="608"/>
      <c r="D121" s="608"/>
      <c r="E121" s="608"/>
      <c r="F121" s="608"/>
      <c r="G121" s="608"/>
      <c r="H121" s="608"/>
      <c r="I121" s="608"/>
      <c r="J121" s="608"/>
      <c r="K121" s="608"/>
      <c r="L121" s="608"/>
      <c r="M121" s="608"/>
      <c r="N121" s="608"/>
      <c r="O121" s="608"/>
      <c r="P121" s="608"/>
    </row>
    <row r="122" spans="1:16" x14ac:dyDescent="0.2">
      <c r="A122" s="654" t="s">
        <v>52</v>
      </c>
      <c r="B122" s="608"/>
      <c r="C122" s="608"/>
      <c r="D122" s="608"/>
      <c r="E122" s="608"/>
      <c r="F122" s="608"/>
      <c r="G122" s="608"/>
      <c r="H122" s="608"/>
      <c r="I122" s="608"/>
      <c r="J122" s="608"/>
      <c r="K122" s="608"/>
      <c r="L122" s="608"/>
      <c r="M122" s="608"/>
      <c r="N122" s="608"/>
      <c r="O122" s="608"/>
      <c r="P122" s="608"/>
    </row>
    <row r="123" spans="1:16" x14ac:dyDescent="0.2">
      <c r="A123" s="653" t="s">
        <v>49</v>
      </c>
      <c r="B123" s="608"/>
      <c r="C123" s="608"/>
      <c r="D123" s="608">
        <f>D77</f>
        <v>0</v>
      </c>
      <c r="E123" s="608">
        <f t="shared" ref="E123:E125" si="57">E77</f>
        <v>0</v>
      </c>
      <c r="F123" s="608">
        <f t="shared" ref="F123:P125" si="58">+E123</f>
        <v>0</v>
      </c>
      <c r="G123" s="608">
        <f t="shared" si="58"/>
        <v>0</v>
      </c>
      <c r="H123" s="608">
        <f t="shared" si="58"/>
        <v>0</v>
      </c>
      <c r="I123" s="608">
        <f t="shared" si="58"/>
        <v>0</v>
      </c>
      <c r="J123" s="608">
        <f t="shared" si="58"/>
        <v>0</v>
      </c>
      <c r="K123" s="608">
        <f t="shared" si="58"/>
        <v>0</v>
      </c>
      <c r="L123" s="608">
        <f t="shared" si="58"/>
        <v>0</v>
      </c>
      <c r="M123" s="608">
        <f t="shared" si="58"/>
        <v>0</v>
      </c>
      <c r="N123" s="608">
        <f t="shared" si="58"/>
        <v>0</v>
      </c>
      <c r="O123" s="608">
        <f t="shared" si="58"/>
        <v>0</v>
      </c>
      <c r="P123" s="608">
        <f t="shared" si="58"/>
        <v>0</v>
      </c>
    </row>
    <row r="124" spans="1:16" x14ac:dyDescent="0.2">
      <c r="A124" s="653" t="s">
        <v>1051</v>
      </c>
      <c r="B124" s="608"/>
      <c r="C124" s="608"/>
      <c r="D124" s="608">
        <f>D78</f>
        <v>0</v>
      </c>
      <c r="E124" s="608">
        <f t="shared" si="57"/>
        <v>2213</v>
      </c>
      <c r="F124" s="608">
        <f>E118+E124+'Water  Fund  Inc Exp Statement '!F202-'Water  Fund  Inc Exp Statement '!F192-F118</f>
        <v>1939.1020000000001</v>
      </c>
      <c r="G124" s="608">
        <f>F118+F124+'Water  Fund  Inc Exp Statement '!G202-'Water  Fund  Inc Exp Statement '!G192-G118</f>
        <v>1647.3580000000002</v>
      </c>
      <c r="H124" s="608">
        <f>G118+G124+'Water  Fund  Inc Exp Statement '!H202-'Water  Fund  Inc Exp Statement '!H192-H118</f>
        <v>1337.2450000000001</v>
      </c>
      <c r="I124" s="608">
        <f>H118+H124+'Water  Fund  Inc Exp Statement '!I202-'Water  Fund  Inc Exp Statement '!I192-I118</f>
        <v>1005.8560000000001</v>
      </c>
      <c r="J124" s="608">
        <f>I118+I124+'Water  Fund  Inc Exp Statement '!J202-'Water  Fund  Inc Exp Statement '!J192-J118</f>
        <v>667.83922000000007</v>
      </c>
      <c r="K124" s="608">
        <f>J118+J124+'Water  Fund  Inc Exp Statement '!K202-'Water  Fund  Inc Exp Statement '!K192-K118</f>
        <v>323.06210440000001</v>
      </c>
      <c r="L124" s="608">
        <f>K118+K124+'Water  Fund  Inc Exp Statement '!L202-'Water  Fund  Inc Exp Statement '!L192-L118</f>
        <v>-0.6105535120000809</v>
      </c>
      <c r="M124" s="608">
        <f>L118+L124+'Water  Fund  Inc Exp Statement '!M202-'Water  Fund  Inc Exp Statement '!M192-M118</f>
        <v>-0.6105535120000809</v>
      </c>
      <c r="N124" s="608">
        <f>M118+M124+'Water  Fund  Inc Exp Statement '!N202-'Water  Fund  Inc Exp Statement '!N192-N118</f>
        <v>-0.6105535120000809</v>
      </c>
      <c r="O124" s="608">
        <f>N118+N124+'Water  Fund  Inc Exp Statement '!O202-'Water  Fund  Inc Exp Statement '!O192-O118</f>
        <v>-0.6105535120000809</v>
      </c>
      <c r="P124" s="608">
        <f>O118+O124+'Water  Fund  Inc Exp Statement '!P202-'Water  Fund  Inc Exp Statement '!P192-P118</f>
        <v>-0.6105535120000809</v>
      </c>
    </row>
    <row r="125" spans="1:16" x14ac:dyDescent="0.2">
      <c r="A125" s="655" t="s">
        <v>50</v>
      </c>
      <c r="B125" s="615"/>
      <c r="C125" s="608"/>
      <c r="D125" s="608">
        <f t="shared" ref="D125" si="59">D79</f>
        <v>0</v>
      </c>
      <c r="E125" s="608">
        <f t="shared" si="57"/>
        <v>0</v>
      </c>
      <c r="F125" s="608">
        <f t="shared" si="58"/>
        <v>0</v>
      </c>
      <c r="G125" s="608">
        <f t="shared" si="58"/>
        <v>0</v>
      </c>
      <c r="H125" s="608">
        <f t="shared" si="58"/>
        <v>0</v>
      </c>
      <c r="I125" s="608">
        <f t="shared" si="58"/>
        <v>0</v>
      </c>
      <c r="J125" s="608">
        <f t="shared" si="58"/>
        <v>0</v>
      </c>
      <c r="K125" s="608">
        <f t="shared" si="58"/>
        <v>0</v>
      </c>
      <c r="L125" s="608">
        <f t="shared" si="58"/>
        <v>0</v>
      </c>
      <c r="M125" s="608">
        <f t="shared" si="58"/>
        <v>0</v>
      </c>
      <c r="N125" s="608">
        <f t="shared" si="58"/>
        <v>0</v>
      </c>
      <c r="O125" s="608">
        <f t="shared" si="58"/>
        <v>0</v>
      </c>
      <c r="P125" s="608">
        <f t="shared" si="58"/>
        <v>0</v>
      </c>
    </row>
    <row r="126" spans="1:16" x14ac:dyDescent="0.2">
      <c r="A126" s="654" t="s">
        <v>53</v>
      </c>
      <c r="B126" s="656">
        <f>SUM(B123:B125)</f>
        <v>0</v>
      </c>
      <c r="C126" s="656">
        <f t="shared" ref="C126:P126" si="60">SUM(C123:C125)</f>
        <v>0</v>
      </c>
      <c r="D126" s="656">
        <f t="shared" si="60"/>
        <v>0</v>
      </c>
      <c r="E126" s="656">
        <f t="shared" si="60"/>
        <v>2213</v>
      </c>
      <c r="F126" s="656">
        <f t="shared" si="60"/>
        <v>1939.1020000000001</v>
      </c>
      <c r="G126" s="656">
        <f t="shared" si="60"/>
        <v>1647.3580000000002</v>
      </c>
      <c r="H126" s="656">
        <f t="shared" si="60"/>
        <v>1337.2450000000001</v>
      </c>
      <c r="I126" s="656">
        <f t="shared" si="60"/>
        <v>1005.8560000000001</v>
      </c>
      <c r="J126" s="656">
        <f t="shared" si="60"/>
        <v>667.83922000000007</v>
      </c>
      <c r="K126" s="656">
        <f t="shared" si="60"/>
        <v>323.06210440000001</v>
      </c>
      <c r="L126" s="656">
        <f t="shared" si="60"/>
        <v>-0.6105535120000809</v>
      </c>
      <c r="M126" s="656">
        <f t="shared" si="60"/>
        <v>-0.6105535120000809</v>
      </c>
      <c r="N126" s="656">
        <f t="shared" si="60"/>
        <v>-0.6105535120000809</v>
      </c>
      <c r="O126" s="656">
        <f t="shared" si="60"/>
        <v>-0.6105535120000809</v>
      </c>
      <c r="P126" s="656">
        <f t="shared" si="60"/>
        <v>-0.6105535120000809</v>
      </c>
    </row>
    <row r="127" spans="1:16" x14ac:dyDescent="0.2">
      <c r="B127" s="608"/>
      <c r="C127" s="608"/>
      <c r="D127" s="608"/>
      <c r="E127" s="608"/>
      <c r="F127" s="608"/>
      <c r="G127" s="608"/>
      <c r="H127" s="608"/>
      <c r="I127" s="608"/>
      <c r="J127" s="608"/>
      <c r="K127" s="608"/>
      <c r="L127" s="608"/>
      <c r="M127" s="608"/>
      <c r="N127" s="608"/>
      <c r="O127" s="608"/>
      <c r="P127" s="608"/>
    </row>
    <row r="128" spans="1:16" ht="10.8" thickBot="1" x14ac:dyDescent="0.25">
      <c r="A128" s="654" t="s">
        <v>54</v>
      </c>
      <c r="B128" s="665">
        <f>+B120+B126</f>
        <v>0</v>
      </c>
      <c r="C128" s="665">
        <f t="shared" ref="C128" si="61">+C120+C126</f>
        <v>0</v>
      </c>
      <c r="D128" s="608">
        <f t="shared" ref="D128" si="62">D82</f>
        <v>0</v>
      </c>
      <c r="E128" s="665">
        <f t="shared" ref="E128:P128" si="63">+E120+E126</f>
        <v>3253</v>
      </c>
      <c r="F128" s="665">
        <f t="shared" si="63"/>
        <v>2995.9490000000001</v>
      </c>
      <c r="G128" s="665">
        <f t="shared" si="63"/>
        <v>2722.1020000000003</v>
      </c>
      <c r="H128" s="665">
        <f t="shared" si="63"/>
        <v>2430.3580000000002</v>
      </c>
      <c r="I128" s="665">
        <f t="shared" si="63"/>
        <v>2120.2450000000003</v>
      </c>
      <c r="J128" s="665">
        <f t="shared" si="63"/>
        <v>1788.856</v>
      </c>
      <c r="K128" s="665">
        <f t="shared" si="63"/>
        <v>1450.8392200000001</v>
      </c>
      <c r="L128" s="665">
        <f t="shared" si="63"/>
        <v>1106.0621044</v>
      </c>
      <c r="M128" s="665">
        <f t="shared" si="63"/>
        <v>782.38944648799998</v>
      </c>
      <c r="N128" s="665">
        <f t="shared" si="63"/>
        <v>782.38944648799998</v>
      </c>
      <c r="O128" s="665">
        <f t="shared" si="63"/>
        <v>782.38944648799998</v>
      </c>
      <c r="P128" s="665">
        <f t="shared" si="63"/>
        <v>782.38944648799998</v>
      </c>
    </row>
    <row r="129" spans="1:16" ht="10.8" thickBot="1" x14ac:dyDescent="0.25">
      <c r="A129" s="654" t="s">
        <v>55</v>
      </c>
      <c r="B129" s="668">
        <f>+B113-B128</f>
        <v>0</v>
      </c>
      <c r="C129" s="668">
        <f t="shared" ref="C129:P129" si="64">+C113-C128</f>
        <v>0</v>
      </c>
      <c r="D129" s="668">
        <f t="shared" si="64"/>
        <v>0</v>
      </c>
      <c r="E129" s="668">
        <f t="shared" si="64"/>
        <v>67246</v>
      </c>
      <c r="F129" s="668">
        <f t="shared" si="64"/>
        <v>67500.002000000008</v>
      </c>
      <c r="G129" s="668">
        <f t="shared" si="64"/>
        <v>67871.887000000002</v>
      </c>
      <c r="H129" s="668">
        <f t="shared" si="64"/>
        <v>68231.41399999999</v>
      </c>
      <c r="I129" s="668">
        <f t="shared" si="64"/>
        <v>68657.269</v>
      </c>
      <c r="J129" s="668">
        <f t="shared" si="64"/>
        <v>69155.937000000005</v>
      </c>
      <c r="K129" s="668">
        <f t="shared" si="64"/>
        <v>69635.109136200015</v>
      </c>
      <c r="L129" s="668">
        <f t="shared" si="64"/>
        <v>70137.494440797003</v>
      </c>
      <c r="M129" s="668">
        <f t="shared" si="64"/>
        <v>70661.877223068484</v>
      </c>
      <c r="N129" s="668">
        <f t="shared" si="64"/>
        <v>71197.021264533643</v>
      </c>
      <c r="O129" s="668">
        <f t="shared" si="64"/>
        <v>71756.286545302632</v>
      </c>
      <c r="P129" s="668">
        <f t="shared" si="64"/>
        <v>72340.616318318062</v>
      </c>
    </row>
    <row r="130" spans="1:16" ht="10.8" thickTop="1" x14ac:dyDescent="0.2">
      <c r="B130" s="608"/>
      <c r="C130" s="608"/>
      <c r="D130" s="608"/>
      <c r="E130" s="608"/>
      <c r="F130" s="608"/>
      <c r="G130" s="608"/>
      <c r="H130" s="608"/>
      <c r="I130" s="608"/>
      <c r="J130" s="608"/>
      <c r="K130" s="608"/>
      <c r="L130" s="608"/>
      <c r="M130" s="608"/>
      <c r="N130" s="608"/>
      <c r="O130" s="608"/>
      <c r="P130" s="608"/>
    </row>
    <row r="131" spans="1:16" x14ac:dyDescent="0.2">
      <c r="A131" s="654" t="s">
        <v>56</v>
      </c>
      <c r="B131" s="608"/>
      <c r="C131" s="608"/>
      <c r="D131" s="608"/>
      <c r="E131" s="608"/>
      <c r="F131" s="608"/>
      <c r="G131" s="608"/>
      <c r="H131" s="608"/>
      <c r="I131" s="608"/>
      <c r="J131" s="608"/>
      <c r="K131" s="608"/>
      <c r="L131" s="608"/>
      <c r="M131" s="608"/>
      <c r="N131" s="608"/>
      <c r="O131" s="608"/>
      <c r="P131" s="608"/>
    </row>
    <row r="132" spans="1:16" x14ac:dyDescent="0.2">
      <c r="A132" s="653" t="s">
        <v>57</v>
      </c>
      <c r="B132" s="608"/>
      <c r="C132" s="608"/>
      <c r="D132" s="608">
        <f>D86</f>
        <v>0</v>
      </c>
      <c r="E132" s="608">
        <f t="shared" ref="E132:E133" si="65">E86</f>
        <v>37570</v>
      </c>
      <c r="F132" s="608">
        <f>'Water Fund  Equity Statement'!F81</f>
        <v>37824.002</v>
      </c>
      <c r="G132" s="608">
        <f>'Water Fund  Equity Statement'!G81</f>
        <v>38195.887000000002</v>
      </c>
      <c r="H132" s="608">
        <f>'Water Fund  Equity Statement'!H81</f>
        <v>38555.414000000004</v>
      </c>
      <c r="I132" s="608">
        <f>'Water Fund  Equity Statement'!I81</f>
        <v>38981.269</v>
      </c>
      <c r="J132" s="608">
        <f>'Water Fund  Equity Statement'!J81</f>
        <v>39479.936999999998</v>
      </c>
      <c r="K132" s="608">
        <f>'Water Fund  Equity Statement'!K81</f>
        <v>39959.109136200001</v>
      </c>
      <c r="L132" s="608">
        <f>'Water Fund  Equity Statement'!L81</f>
        <v>40461.494440797003</v>
      </c>
      <c r="M132" s="608">
        <f>'Water Fund  Equity Statement'!M81</f>
        <v>40985.877223068492</v>
      </c>
      <c r="N132" s="608">
        <f>'Water Fund  Equity Statement'!N81</f>
        <v>41521.021264533643</v>
      </c>
      <c r="O132" s="608">
        <f>'Water Fund  Equity Statement'!O81</f>
        <v>42080.286545302632</v>
      </c>
      <c r="P132" s="608">
        <f>'Water Fund  Equity Statement'!P81</f>
        <v>42664.616318318069</v>
      </c>
    </row>
    <row r="133" spans="1:16" ht="10.8" thickBot="1" x14ac:dyDescent="0.25">
      <c r="A133" s="653" t="s">
        <v>58</v>
      </c>
      <c r="B133" s="669"/>
      <c r="C133" s="669"/>
      <c r="D133" s="608">
        <f>D87</f>
        <v>0</v>
      </c>
      <c r="E133" s="608">
        <f t="shared" si="65"/>
        <v>29676</v>
      </c>
      <c r="F133" s="669">
        <f>'Water Fund  Equity Statement'!F90</f>
        <v>29676</v>
      </c>
      <c r="G133" s="669">
        <f>'Water Fund  Equity Statement'!G90</f>
        <v>29676</v>
      </c>
      <c r="H133" s="669">
        <f>'Water Fund  Equity Statement'!H90</f>
        <v>29676</v>
      </c>
      <c r="I133" s="669">
        <f>'Water Fund  Equity Statement'!I90</f>
        <v>29676</v>
      </c>
      <c r="J133" s="669">
        <f>'Water Fund  Equity Statement'!J90</f>
        <v>29676</v>
      </c>
      <c r="K133" s="669">
        <f>'Water Fund  Equity Statement'!K90</f>
        <v>29676</v>
      </c>
      <c r="L133" s="669">
        <f>'Water Fund  Equity Statement'!L90</f>
        <v>29676</v>
      </c>
      <c r="M133" s="669">
        <f>'Water Fund  Equity Statement'!M90</f>
        <v>29676</v>
      </c>
      <c r="N133" s="669">
        <f>'Water Fund  Equity Statement'!N90</f>
        <v>29676</v>
      </c>
      <c r="O133" s="669">
        <f>'Water Fund  Equity Statement'!O90</f>
        <v>29676</v>
      </c>
      <c r="P133" s="669">
        <f>'Water Fund  Equity Statement'!P90</f>
        <v>29676</v>
      </c>
    </row>
    <row r="134" spans="1:16" ht="10.8" thickBot="1" x14ac:dyDescent="0.25">
      <c r="A134" s="654" t="s">
        <v>59</v>
      </c>
      <c r="B134" s="668">
        <f>SUM(B132:B133)</f>
        <v>0</v>
      </c>
      <c r="C134" s="668">
        <f t="shared" ref="C134:P134" si="66">SUM(C132:C133)</f>
        <v>0</v>
      </c>
      <c r="D134" s="668">
        <f t="shared" si="66"/>
        <v>0</v>
      </c>
      <c r="E134" s="668">
        <f t="shared" si="66"/>
        <v>67246</v>
      </c>
      <c r="F134" s="668">
        <f t="shared" si="66"/>
        <v>67500.002000000008</v>
      </c>
      <c r="G134" s="668">
        <f t="shared" si="66"/>
        <v>67871.887000000002</v>
      </c>
      <c r="H134" s="668">
        <f t="shared" si="66"/>
        <v>68231.414000000004</v>
      </c>
      <c r="I134" s="668">
        <f t="shared" si="66"/>
        <v>68657.269</v>
      </c>
      <c r="J134" s="668">
        <f t="shared" si="66"/>
        <v>69155.937000000005</v>
      </c>
      <c r="K134" s="668">
        <f t="shared" si="66"/>
        <v>69635.109136200001</v>
      </c>
      <c r="L134" s="668">
        <f t="shared" si="66"/>
        <v>70137.494440797003</v>
      </c>
      <c r="M134" s="668">
        <f t="shared" si="66"/>
        <v>70661.877223068499</v>
      </c>
      <c r="N134" s="668">
        <f t="shared" si="66"/>
        <v>71197.021264533643</v>
      </c>
      <c r="O134" s="668">
        <f t="shared" si="66"/>
        <v>71756.286545302632</v>
      </c>
      <c r="P134" s="668">
        <f t="shared" si="66"/>
        <v>72340.616318318062</v>
      </c>
    </row>
    <row r="135" spans="1:16" ht="10.8" thickTop="1" x14ac:dyDescent="0.2">
      <c r="B135" s="608"/>
      <c r="C135" s="608"/>
      <c r="D135" s="608"/>
      <c r="E135" s="608"/>
      <c r="F135" s="608"/>
      <c r="G135" s="608"/>
      <c r="H135" s="608"/>
      <c r="I135" s="608"/>
      <c r="J135" s="608"/>
      <c r="K135" s="608"/>
      <c r="L135" s="608"/>
      <c r="M135" s="608"/>
      <c r="N135" s="608"/>
      <c r="O135" s="608"/>
      <c r="P135" s="608"/>
    </row>
    <row r="136" spans="1:16" x14ac:dyDescent="0.2">
      <c r="A136" s="653" t="s">
        <v>111</v>
      </c>
      <c r="B136" s="621">
        <f>+B129-B134</f>
        <v>0</v>
      </c>
      <c r="C136" s="621">
        <f t="shared" ref="C136:P136" si="67">+C129-C134</f>
        <v>0</v>
      </c>
      <c r="D136" s="621">
        <f t="shared" si="67"/>
        <v>0</v>
      </c>
      <c r="E136" s="621">
        <f t="shared" si="67"/>
        <v>0</v>
      </c>
      <c r="F136" s="621">
        <f t="shared" si="67"/>
        <v>0</v>
      </c>
      <c r="G136" s="621">
        <f t="shared" si="67"/>
        <v>0</v>
      </c>
      <c r="H136" s="621">
        <f t="shared" si="67"/>
        <v>0</v>
      </c>
      <c r="I136" s="621">
        <f t="shared" si="67"/>
        <v>0</v>
      </c>
      <c r="J136" s="621">
        <f t="shared" si="67"/>
        <v>0</v>
      </c>
      <c r="K136" s="621">
        <f t="shared" si="67"/>
        <v>0</v>
      </c>
      <c r="L136" s="621">
        <f t="shared" si="67"/>
        <v>0</v>
      </c>
      <c r="M136" s="621">
        <f t="shared" si="67"/>
        <v>0</v>
      </c>
      <c r="N136" s="621">
        <f t="shared" si="67"/>
        <v>0</v>
      </c>
      <c r="O136" s="621">
        <f t="shared" si="67"/>
        <v>0</v>
      </c>
      <c r="P136" s="621">
        <f t="shared" si="67"/>
        <v>0</v>
      </c>
    </row>
    <row r="137" spans="1:16" x14ac:dyDescent="0.2">
      <c r="B137" s="621"/>
      <c r="C137" s="621"/>
      <c r="D137" s="621"/>
      <c r="E137" s="621"/>
      <c r="F137" s="621"/>
      <c r="G137" s="621"/>
      <c r="H137" s="621"/>
      <c r="I137" s="621"/>
      <c r="J137" s="621"/>
      <c r="K137" s="621"/>
      <c r="L137" s="621"/>
      <c r="M137" s="621"/>
      <c r="N137" s="621"/>
      <c r="O137" s="621"/>
      <c r="P137" s="621"/>
    </row>
  </sheetData>
  <pageMargins left="0.70866141732283472" right="0.70866141732283472" top="0.74803149606299213" bottom="0.74803149606299213" header="0.31496062992125984" footer="0.31496062992125984"/>
  <pageSetup paperSize="9" scale="94" fitToHeight="0" orientation="landscape" r:id="rId1"/>
  <rowBreaks count="2" manualBreakCount="2">
    <brk id="45" max="16383" man="1"/>
    <brk id="89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102"/>
  <sheetViews>
    <sheetView workbookViewId="0">
      <pane xSplit="3" ySplit="3" topLeftCell="F85" activePane="bottomRight" state="frozen"/>
      <selection pane="topRight" activeCell="D1" sqref="D1"/>
      <selection pane="bottomLeft" activeCell="A3" sqref="A3"/>
      <selection pane="bottomRight" activeCell="F63" sqref="F63"/>
    </sheetView>
  </sheetViews>
  <sheetFormatPr defaultColWidth="9.109375" defaultRowHeight="10.199999999999999" outlineLevelCol="1" x14ac:dyDescent="0.2"/>
  <cols>
    <col min="1" max="1" width="32.33203125" style="653" customWidth="1"/>
    <col min="2" max="3" width="13.109375" style="653" hidden="1" customWidth="1" outlineLevel="1"/>
    <col min="4" max="5" width="13.109375" style="653" hidden="1" customWidth="1" outlineLevel="1" collapsed="1"/>
    <col min="6" max="6" width="13.109375" style="653" bestFit="1" customWidth="1" collapsed="1"/>
    <col min="7" max="16" width="9.88671875" style="653" bestFit="1" customWidth="1"/>
    <col min="17" max="16384" width="9.109375" style="653"/>
  </cols>
  <sheetData>
    <row r="1" spans="1:16" ht="12.75" x14ac:dyDescent="0.2">
      <c r="A1" s="1091" t="s">
        <v>1363</v>
      </c>
    </row>
    <row r="2" spans="1:16" s="660" customFormat="1" ht="12" x14ac:dyDescent="0.2">
      <c r="A2" s="652" t="s">
        <v>1072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16" ht="11.25" x14ac:dyDescent="0.2">
      <c r="A3" s="652" t="s">
        <v>73</v>
      </c>
      <c r="B3" s="741" t="s">
        <v>68</v>
      </c>
      <c r="C3" s="694" t="s">
        <v>0</v>
      </c>
      <c r="D3" s="694" t="s">
        <v>1</v>
      </c>
      <c r="E3" s="694" t="s">
        <v>2</v>
      </c>
      <c r="F3" s="694" t="s">
        <v>3</v>
      </c>
      <c r="G3" s="694" t="s">
        <v>4</v>
      </c>
      <c r="H3" s="694" t="s">
        <v>5</v>
      </c>
      <c r="I3" s="694" t="s">
        <v>6</v>
      </c>
      <c r="J3" s="694" t="s">
        <v>7</v>
      </c>
      <c r="K3" s="694" t="s">
        <v>8</v>
      </c>
      <c r="L3" s="694" t="s">
        <v>9</v>
      </c>
      <c r="M3" s="694" t="s">
        <v>514</v>
      </c>
      <c r="N3" s="694" t="s">
        <v>515</v>
      </c>
      <c r="O3" s="694" t="s">
        <v>904</v>
      </c>
      <c r="P3" s="694" t="s">
        <v>1046</v>
      </c>
    </row>
    <row r="4" spans="1:16" s="664" customFormat="1" ht="11.25" x14ac:dyDescent="0.2">
      <c r="A4" s="661"/>
      <c r="B4" s="662"/>
      <c r="C4" s="662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</row>
    <row r="5" spans="1:16" ht="11.25" x14ac:dyDescent="0.2">
      <c r="A5" s="654" t="s">
        <v>103</v>
      </c>
    </row>
    <row r="6" spans="1:16" ht="11.25" x14ac:dyDescent="0.2">
      <c r="A6" s="654" t="s">
        <v>100</v>
      </c>
      <c r="B6" s="621"/>
      <c r="C6" s="621"/>
      <c r="D6" s="621"/>
      <c r="E6" s="621">
        <f>37570-E10</f>
        <v>36711</v>
      </c>
      <c r="F6" s="621">
        <f t="shared" ref="F6:P6" si="0">+E13</f>
        <v>37570</v>
      </c>
      <c r="G6" s="621">
        <f t="shared" si="0"/>
        <v>37824.002</v>
      </c>
      <c r="H6" s="621">
        <f t="shared" si="0"/>
        <v>38195.887000000002</v>
      </c>
      <c r="I6" s="621">
        <f t="shared" si="0"/>
        <v>38555.414000000004</v>
      </c>
      <c r="J6" s="621">
        <f t="shared" si="0"/>
        <v>38981.269</v>
      </c>
      <c r="K6" s="621">
        <f t="shared" si="0"/>
        <v>39479.936999999998</v>
      </c>
      <c r="L6" s="621">
        <f t="shared" si="0"/>
        <v>39959.109136200001</v>
      </c>
      <c r="M6" s="621">
        <f t="shared" si="0"/>
        <v>40460.474440796999</v>
      </c>
      <c r="N6" s="621">
        <f t="shared" si="0"/>
        <v>40984.857223068488</v>
      </c>
      <c r="O6" s="621">
        <f t="shared" si="0"/>
        <v>41521.041664533637</v>
      </c>
      <c r="P6" s="621">
        <f t="shared" si="0"/>
        <v>42081.347345302624</v>
      </c>
    </row>
    <row r="7" spans="1:16" ht="11.25" x14ac:dyDescent="0.2">
      <c r="A7" s="655" t="s">
        <v>101</v>
      </c>
      <c r="B7" s="617"/>
      <c r="C7" s="617"/>
      <c r="D7" s="617"/>
      <c r="E7" s="617"/>
      <c r="F7" s="617">
        <v>0</v>
      </c>
      <c r="G7" s="617">
        <v>0</v>
      </c>
      <c r="H7" s="617">
        <v>0</v>
      </c>
      <c r="I7" s="617">
        <v>0</v>
      </c>
      <c r="J7" s="617">
        <v>0</v>
      </c>
      <c r="K7" s="617">
        <v>0</v>
      </c>
      <c r="L7" s="617">
        <v>0</v>
      </c>
      <c r="M7" s="617">
        <v>0</v>
      </c>
      <c r="N7" s="617">
        <v>0</v>
      </c>
      <c r="O7" s="617">
        <v>0</v>
      </c>
      <c r="P7" s="617">
        <v>0</v>
      </c>
    </row>
    <row r="8" spans="1:16" ht="11.25" x14ac:dyDescent="0.2">
      <c r="A8" s="654" t="s">
        <v>102</v>
      </c>
      <c r="B8" s="621">
        <f>SUM(B6:B7)</f>
        <v>0</v>
      </c>
      <c r="C8" s="621">
        <f t="shared" ref="C8:P8" si="1">SUM(C6:C7)</f>
        <v>0</v>
      </c>
      <c r="D8" s="621">
        <f t="shared" si="1"/>
        <v>0</v>
      </c>
      <c r="E8" s="621">
        <f t="shared" si="1"/>
        <v>36711</v>
      </c>
      <c r="F8" s="621">
        <f t="shared" si="1"/>
        <v>37570</v>
      </c>
      <c r="G8" s="621">
        <f t="shared" si="1"/>
        <v>37824.002</v>
      </c>
      <c r="H8" s="621">
        <f t="shared" si="1"/>
        <v>38195.887000000002</v>
      </c>
      <c r="I8" s="621">
        <f t="shared" si="1"/>
        <v>38555.414000000004</v>
      </c>
      <c r="J8" s="621">
        <f t="shared" si="1"/>
        <v>38981.269</v>
      </c>
      <c r="K8" s="621">
        <f t="shared" si="1"/>
        <v>39479.936999999998</v>
      </c>
      <c r="L8" s="621">
        <f t="shared" si="1"/>
        <v>39959.109136200001</v>
      </c>
      <c r="M8" s="621">
        <f t="shared" si="1"/>
        <v>40460.474440796999</v>
      </c>
      <c r="N8" s="621">
        <f t="shared" si="1"/>
        <v>40984.857223068488</v>
      </c>
      <c r="O8" s="621">
        <f t="shared" si="1"/>
        <v>41521.041664533637</v>
      </c>
      <c r="P8" s="621">
        <f t="shared" si="1"/>
        <v>42081.347345302624</v>
      </c>
    </row>
    <row r="9" spans="1:16" ht="11.25" x14ac:dyDescent="0.2">
      <c r="B9" s="621"/>
      <c r="C9" s="621"/>
      <c r="D9" s="621"/>
      <c r="E9" s="621"/>
      <c r="F9" s="621"/>
      <c r="G9" s="621"/>
      <c r="H9" s="621"/>
      <c r="I9" s="621"/>
      <c r="J9" s="621"/>
      <c r="K9" s="621"/>
      <c r="L9" s="621"/>
      <c r="M9" s="621"/>
      <c r="N9" s="621"/>
      <c r="O9" s="621"/>
      <c r="P9" s="621"/>
    </row>
    <row r="10" spans="1:16" ht="11.25" x14ac:dyDescent="0.2">
      <c r="A10" s="654" t="s">
        <v>76</v>
      </c>
      <c r="B10" s="621">
        <f>+'GF &amp; FF  Inc Exp Statement'!B38</f>
        <v>0</v>
      </c>
      <c r="C10" s="621">
        <f>+'GF &amp; FF  Inc Exp Statement'!C38</f>
        <v>0</v>
      </c>
      <c r="D10" s="621">
        <f>+'GF &amp; FF  Inc Exp Statement'!D38</f>
        <v>0</v>
      </c>
      <c r="E10" s="621">
        <f>'Water  Fund  Inc Exp Statement '!E38</f>
        <v>859</v>
      </c>
      <c r="F10" s="621">
        <f>'Water  Fund  Inc Exp Statement '!F45</f>
        <v>254.0019999999995</v>
      </c>
      <c r="G10" s="621">
        <f>'Water  Fund  Inc Exp Statement '!G45</f>
        <v>371.88500000000022</v>
      </c>
      <c r="H10" s="621">
        <f>'Water  Fund  Inc Exp Statement '!H45</f>
        <v>359.52699999999913</v>
      </c>
      <c r="I10" s="621">
        <f>'Water  Fund  Inc Exp Statement '!I45</f>
        <v>425.85499999999956</v>
      </c>
      <c r="J10" s="621">
        <f>'Water  Fund  Inc Exp Statement '!J45</f>
        <v>498.66800000000057</v>
      </c>
      <c r="K10" s="621">
        <f>'Water  Fund  Inc Exp Statement '!K45</f>
        <v>479.17213620000075</v>
      </c>
      <c r="L10" s="621">
        <f>'Water  Fund  Inc Exp Statement '!L45</f>
        <v>501.36530459699952</v>
      </c>
      <c r="M10" s="621">
        <f>'Water  Fund  Inc Exp Statement '!M45</f>
        <v>524.38278227148567</v>
      </c>
      <c r="N10" s="621">
        <f>'Water  Fund  Inc Exp Statement '!N45</f>
        <v>536.1844414651523</v>
      </c>
      <c r="O10" s="621">
        <f>'Water  Fund  Inc Exp Statement '!O45</f>
        <v>560.30568076898817</v>
      </c>
      <c r="P10" s="621">
        <f>'Water  Fund  Inc Exp Statement '!P45</f>
        <v>585.37017301543528</v>
      </c>
    </row>
    <row r="11" spans="1:16" ht="11.25" x14ac:dyDescent="0.2">
      <c r="B11" s="608"/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</row>
    <row r="12" spans="1:16" s="654" customFormat="1" ht="11.25" x14ac:dyDescent="0.2">
      <c r="A12" s="654" t="s">
        <v>105</v>
      </c>
      <c r="B12" s="674">
        <f>+B10</f>
        <v>0</v>
      </c>
      <c r="C12" s="619">
        <f t="shared" ref="C12:P12" si="2">+C10</f>
        <v>0</v>
      </c>
      <c r="D12" s="674">
        <f t="shared" si="2"/>
        <v>0</v>
      </c>
      <c r="E12" s="619">
        <f t="shared" si="2"/>
        <v>859</v>
      </c>
      <c r="F12" s="619">
        <f t="shared" si="2"/>
        <v>254.0019999999995</v>
      </c>
      <c r="G12" s="619">
        <f t="shared" si="2"/>
        <v>371.88500000000022</v>
      </c>
      <c r="H12" s="619">
        <f t="shared" si="2"/>
        <v>359.52699999999913</v>
      </c>
      <c r="I12" s="619">
        <f t="shared" si="2"/>
        <v>425.85499999999956</v>
      </c>
      <c r="J12" s="619">
        <f t="shared" si="2"/>
        <v>498.66800000000057</v>
      </c>
      <c r="K12" s="619">
        <f t="shared" si="2"/>
        <v>479.17213620000075</v>
      </c>
      <c r="L12" s="619">
        <f t="shared" si="2"/>
        <v>501.36530459699952</v>
      </c>
      <c r="M12" s="619">
        <f t="shared" si="2"/>
        <v>524.38278227148567</v>
      </c>
      <c r="N12" s="619">
        <f t="shared" si="2"/>
        <v>536.1844414651523</v>
      </c>
      <c r="O12" s="619">
        <f t="shared" si="2"/>
        <v>560.30568076898817</v>
      </c>
      <c r="P12" s="619">
        <f t="shared" si="2"/>
        <v>585.37017301543528</v>
      </c>
    </row>
    <row r="13" spans="1:16" s="654" customFormat="1" ht="12" thickBot="1" x14ac:dyDescent="0.25">
      <c r="A13" s="654" t="s">
        <v>106</v>
      </c>
      <c r="B13" s="658">
        <f t="shared" ref="B13:P13" si="3">+B8+B12</f>
        <v>0</v>
      </c>
      <c r="C13" s="658">
        <f t="shared" si="3"/>
        <v>0</v>
      </c>
      <c r="D13" s="658">
        <f t="shared" si="3"/>
        <v>0</v>
      </c>
      <c r="E13" s="658">
        <f t="shared" si="3"/>
        <v>37570</v>
      </c>
      <c r="F13" s="658">
        <f t="shared" si="3"/>
        <v>37824.002</v>
      </c>
      <c r="G13" s="658">
        <f t="shared" si="3"/>
        <v>38195.887000000002</v>
      </c>
      <c r="H13" s="658">
        <f t="shared" si="3"/>
        <v>38555.414000000004</v>
      </c>
      <c r="I13" s="658">
        <f t="shared" si="3"/>
        <v>38981.269</v>
      </c>
      <c r="J13" s="658">
        <f t="shared" si="3"/>
        <v>39479.936999999998</v>
      </c>
      <c r="K13" s="658">
        <f t="shared" si="3"/>
        <v>39959.109136200001</v>
      </c>
      <c r="L13" s="658">
        <f t="shared" si="3"/>
        <v>40460.474440796999</v>
      </c>
      <c r="M13" s="658">
        <f t="shared" si="3"/>
        <v>40984.857223068488</v>
      </c>
      <c r="N13" s="658">
        <f t="shared" si="3"/>
        <v>41521.041664533637</v>
      </c>
      <c r="O13" s="658">
        <f t="shared" si="3"/>
        <v>42081.347345302624</v>
      </c>
      <c r="P13" s="658">
        <f t="shared" si="3"/>
        <v>42666.717518318059</v>
      </c>
    </row>
    <row r="14" spans="1:16" ht="11.25" x14ac:dyDescent="0.2"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</row>
    <row r="15" spans="1:16" ht="11.25" x14ac:dyDescent="0.2">
      <c r="A15" s="654" t="s">
        <v>107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</row>
    <row r="16" spans="1:16" ht="11.25" x14ac:dyDescent="0.2">
      <c r="A16" s="654" t="s">
        <v>100</v>
      </c>
      <c r="B16" s="608"/>
      <c r="C16" s="608"/>
      <c r="D16" s="608">
        <v>0</v>
      </c>
      <c r="E16" s="608">
        <f>31173-1497</f>
        <v>29676</v>
      </c>
      <c r="F16" s="608">
        <f t="shared" ref="F16:P16" si="4">+E22</f>
        <v>29676</v>
      </c>
      <c r="G16" s="608">
        <f t="shared" si="4"/>
        <v>29676</v>
      </c>
      <c r="H16" s="608">
        <f t="shared" si="4"/>
        <v>29676</v>
      </c>
      <c r="I16" s="608">
        <f t="shared" si="4"/>
        <v>29676</v>
      </c>
      <c r="J16" s="608">
        <f t="shared" si="4"/>
        <v>29676</v>
      </c>
      <c r="K16" s="608">
        <f t="shared" si="4"/>
        <v>29676</v>
      </c>
      <c r="L16" s="608">
        <f t="shared" si="4"/>
        <v>29676</v>
      </c>
      <c r="M16" s="608">
        <f t="shared" si="4"/>
        <v>29676</v>
      </c>
      <c r="N16" s="608">
        <f t="shared" si="4"/>
        <v>29676</v>
      </c>
      <c r="O16" s="608">
        <f t="shared" si="4"/>
        <v>29676</v>
      </c>
      <c r="P16" s="608">
        <f t="shared" si="4"/>
        <v>29676</v>
      </c>
    </row>
    <row r="17" spans="1:16" ht="11.25" x14ac:dyDescent="0.2">
      <c r="A17" s="655" t="s">
        <v>101</v>
      </c>
      <c r="B17" s="617"/>
      <c r="C17" s="617"/>
      <c r="D17" s="617"/>
      <c r="E17" s="617"/>
      <c r="F17" s="617">
        <v>0</v>
      </c>
      <c r="G17" s="617">
        <v>0</v>
      </c>
      <c r="H17" s="617">
        <v>0</v>
      </c>
      <c r="I17" s="617">
        <v>0</v>
      </c>
      <c r="J17" s="617">
        <v>0</v>
      </c>
      <c r="K17" s="617">
        <v>0</v>
      </c>
      <c r="L17" s="617">
        <v>0</v>
      </c>
      <c r="M17" s="617">
        <v>0</v>
      </c>
      <c r="N17" s="617">
        <v>0</v>
      </c>
      <c r="O17" s="617">
        <v>0</v>
      </c>
      <c r="P17" s="617">
        <v>0</v>
      </c>
    </row>
    <row r="18" spans="1:16" ht="11.25" x14ac:dyDescent="0.2">
      <c r="A18" s="654" t="s">
        <v>102</v>
      </c>
      <c r="B18" s="675">
        <f>SUM(B16:B17)</f>
        <v>0</v>
      </c>
      <c r="C18" s="675">
        <f t="shared" ref="C18:P18" si="5">SUM(C16:C17)</f>
        <v>0</v>
      </c>
      <c r="D18" s="675">
        <f t="shared" si="5"/>
        <v>0</v>
      </c>
      <c r="E18" s="675">
        <f t="shared" si="5"/>
        <v>29676</v>
      </c>
      <c r="F18" s="675">
        <f t="shared" si="5"/>
        <v>29676</v>
      </c>
      <c r="G18" s="675">
        <f t="shared" si="5"/>
        <v>29676</v>
      </c>
      <c r="H18" s="675">
        <f t="shared" si="5"/>
        <v>29676</v>
      </c>
      <c r="I18" s="675">
        <f t="shared" si="5"/>
        <v>29676</v>
      </c>
      <c r="J18" s="675">
        <f t="shared" si="5"/>
        <v>29676</v>
      </c>
      <c r="K18" s="675">
        <f t="shared" si="5"/>
        <v>29676</v>
      </c>
      <c r="L18" s="675">
        <f t="shared" si="5"/>
        <v>29676</v>
      </c>
      <c r="M18" s="675">
        <f t="shared" si="5"/>
        <v>29676</v>
      </c>
      <c r="N18" s="675">
        <f t="shared" si="5"/>
        <v>29676</v>
      </c>
      <c r="O18" s="675">
        <f t="shared" si="5"/>
        <v>29676</v>
      </c>
      <c r="P18" s="675">
        <f t="shared" si="5"/>
        <v>29676</v>
      </c>
    </row>
    <row r="19" spans="1:16" ht="11.25" x14ac:dyDescent="0.2">
      <c r="B19" s="608"/>
      <c r="C19" s="608"/>
      <c r="D19" s="608"/>
      <c r="E19" s="608"/>
      <c r="F19" s="608"/>
      <c r="G19" s="608"/>
      <c r="H19" s="608"/>
      <c r="I19" s="608"/>
      <c r="J19" s="608"/>
      <c r="K19" s="608"/>
      <c r="L19" s="608"/>
      <c r="M19" s="608"/>
      <c r="N19" s="608"/>
      <c r="O19" s="608"/>
      <c r="P19" s="608"/>
    </row>
    <row r="20" spans="1:16" ht="11.25" x14ac:dyDescent="0.2">
      <c r="A20" s="653" t="s">
        <v>104</v>
      </c>
      <c r="B20" s="621"/>
      <c r="C20" s="621"/>
      <c r="D20" s="621"/>
      <c r="E20" s="621"/>
      <c r="F20" s="621">
        <v>0</v>
      </c>
      <c r="G20" s="621">
        <v>0</v>
      </c>
      <c r="H20" s="621">
        <v>0</v>
      </c>
      <c r="I20" s="621">
        <v>0</v>
      </c>
      <c r="J20" s="621">
        <v>0</v>
      </c>
      <c r="K20" s="621">
        <v>0</v>
      </c>
      <c r="L20" s="621">
        <v>0</v>
      </c>
      <c r="M20" s="621">
        <v>0</v>
      </c>
      <c r="N20" s="621">
        <v>0</v>
      </c>
      <c r="O20" s="621">
        <v>0</v>
      </c>
      <c r="P20" s="621">
        <v>0</v>
      </c>
    </row>
    <row r="21" spans="1:16" s="657" customFormat="1" ht="11.25" x14ac:dyDescent="0.2">
      <c r="A21" s="654" t="s">
        <v>105</v>
      </c>
      <c r="B21" s="674">
        <f>+B18+B20</f>
        <v>0</v>
      </c>
      <c r="C21" s="674">
        <f>C18+C20</f>
        <v>0</v>
      </c>
      <c r="D21" s="674">
        <f t="shared" ref="D21:L21" si="6">D18+D20</f>
        <v>0</v>
      </c>
      <c r="E21" s="674">
        <f t="shared" si="6"/>
        <v>29676</v>
      </c>
      <c r="F21" s="674">
        <f t="shared" si="6"/>
        <v>29676</v>
      </c>
      <c r="G21" s="674">
        <f t="shared" si="6"/>
        <v>29676</v>
      </c>
      <c r="H21" s="674">
        <f t="shared" si="6"/>
        <v>29676</v>
      </c>
      <c r="I21" s="674">
        <f t="shared" si="6"/>
        <v>29676</v>
      </c>
      <c r="J21" s="674">
        <f t="shared" si="6"/>
        <v>29676</v>
      </c>
      <c r="K21" s="674">
        <f t="shared" si="6"/>
        <v>29676</v>
      </c>
      <c r="L21" s="674">
        <f t="shared" si="6"/>
        <v>29676</v>
      </c>
      <c r="M21" s="674">
        <f t="shared" ref="M21" si="7">+L21</f>
        <v>29676</v>
      </c>
      <c r="N21" s="674">
        <f t="shared" ref="N21" si="8">N18+N20</f>
        <v>29676</v>
      </c>
      <c r="O21" s="674">
        <f t="shared" ref="O21:P21" si="9">+N21</f>
        <v>29676</v>
      </c>
      <c r="P21" s="674">
        <f t="shared" si="9"/>
        <v>29676</v>
      </c>
    </row>
    <row r="22" spans="1:16" s="657" customFormat="1" ht="12" thickBot="1" x14ac:dyDescent="0.25">
      <c r="A22" s="654" t="s">
        <v>106</v>
      </c>
      <c r="B22" s="658">
        <f>+B21</f>
        <v>0</v>
      </c>
      <c r="C22" s="658">
        <f t="shared" ref="C22:P22" si="10">+C21</f>
        <v>0</v>
      </c>
      <c r="D22" s="658">
        <f t="shared" si="10"/>
        <v>0</v>
      </c>
      <c r="E22" s="658">
        <f t="shared" si="10"/>
        <v>29676</v>
      </c>
      <c r="F22" s="658">
        <f t="shared" si="10"/>
        <v>29676</v>
      </c>
      <c r="G22" s="658">
        <f t="shared" si="10"/>
        <v>29676</v>
      </c>
      <c r="H22" s="658">
        <f t="shared" si="10"/>
        <v>29676</v>
      </c>
      <c r="I22" s="658">
        <f t="shared" si="10"/>
        <v>29676</v>
      </c>
      <c r="J22" s="658">
        <f t="shared" si="10"/>
        <v>29676</v>
      </c>
      <c r="K22" s="658">
        <f t="shared" si="10"/>
        <v>29676</v>
      </c>
      <c r="L22" s="658">
        <f t="shared" si="10"/>
        <v>29676</v>
      </c>
      <c r="M22" s="658">
        <f t="shared" si="10"/>
        <v>29676</v>
      </c>
      <c r="N22" s="658">
        <f t="shared" si="10"/>
        <v>29676</v>
      </c>
      <c r="O22" s="658">
        <f t="shared" si="10"/>
        <v>29676</v>
      </c>
      <c r="P22" s="658">
        <f t="shared" si="10"/>
        <v>29676</v>
      </c>
    </row>
    <row r="23" spans="1:16" ht="11.25" x14ac:dyDescent="0.2">
      <c r="B23" s="608"/>
      <c r="C23" s="608"/>
      <c r="D23" s="608"/>
      <c r="E23" s="608"/>
      <c r="F23" s="608"/>
      <c r="G23" s="608"/>
      <c r="H23" s="608"/>
      <c r="I23" s="608"/>
      <c r="J23" s="608"/>
      <c r="K23" s="608"/>
      <c r="L23" s="608"/>
      <c r="M23" s="608"/>
      <c r="N23" s="608"/>
      <c r="O23" s="608"/>
      <c r="P23" s="608"/>
    </row>
    <row r="24" spans="1:16" ht="11.25" x14ac:dyDescent="0.2">
      <c r="A24" s="654" t="s">
        <v>108</v>
      </c>
    </row>
    <row r="25" spans="1:16" ht="11.25" x14ac:dyDescent="0.2">
      <c r="A25" s="654" t="s">
        <v>100</v>
      </c>
      <c r="B25" s="608">
        <f>+B6+B16</f>
        <v>0</v>
      </c>
      <c r="C25" s="608">
        <f t="shared" ref="C25:P26" si="11">+C6+C16</f>
        <v>0</v>
      </c>
      <c r="D25" s="608">
        <f t="shared" si="11"/>
        <v>0</v>
      </c>
      <c r="E25" s="608">
        <f t="shared" si="11"/>
        <v>66387</v>
      </c>
      <c r="F25" s="608">
        <f t="shared" si="11"/>
        <v>67246</v>
      </c>
      <c r="G25" s="608">
        <f t="shared" si="11"/>
        <v>67500.002000000008</v>
      </c>
      <c r="H25" s="608">
        <f t="shared" si="11"/>
        <v>67871.887000000002</v>
      </c>
      <c r="I25" s="608">
        <f t="shared" si="11"/>
        <v>68231.414000000004</v>
      </c>
      <c r="J25" s="608">
        <f t="shared" si="11"/>
        <v>68657.269</v>
      </c>
      <c r="K25" s="608">
        <f t="shared" si="11"/>
        <v>69155.937000000005</v>
      </c>
      <c r="L25" s="608">
        <f t="shared" si="11"/>
        <v>69635.109136200001</v>
      </c>
      <c r="M25" s="608">
        <f t="shared" si="11"/>
        <v>70136.474440796999</v>
      </c>
      <c r="N25" s="608">
        <f t="shared" si="11"/>
        <v>70660.85722306848</v>
      </c>
      <c r="O25" s="608">
        <f t="shared" si="11"/>
        <v>71197.041664533637</v>
      </c>
      <c r="P25" s="608">
        <f t="shared" si="11"/>
        <v>71757.347345302624</v>
      </c>
    </row>
    <row r="26" spans="1:16" ht="11.25" x14ac:dyDescent="0.2">
      <c r="A26" s="655" t="s">
        <v>101</v>
      </c>
      <c r="B26" s="617">
        <f>+B7+B17</f>
        <v>0</v>
      </c>
      <c r="C26" s="617">
        <f t="shared" si="11"/>
        <v>0</v>
      </c>
      <c r="D26" s="617">
        <f t="shared" si="11"/>
        <v>0</v>
      </c>
      <c r="E26" s="617">
        <f t="shared" si="11"/>
        <v>0</v>
      </c>
      <c r="F26" s="617">
        <f t="shared" si="11"/>
        <v>0</v>
      </c>
      <c r="G26" s="617">
        <f t="shared" si="11"/>
        <v>0</v>
      </c>
      <c r="H26" s="617">
        <f t="shared" si="11"/>
        <v>0</v>
      </c>
      <c r="I26" s="617">
        <f t="shared" si="11"/>
        <v>0</v>
      </c>
      <c r="J26" s="617">
        <f t="shared" si="11"/>
        <v>0</v>
      </c>
      <c r="K26" s="617">
        <f t="shared" si="11"/>
        <v>0</v>
      </c>
      <c r="L26" s="617">
        <f t="shared" si="11"/>
        <v>0</v>
      </c>
      <c r="M26" s="617">
        <f t="shared" si="11"/>
        <v>0</v>
      </c>
      <c r="N26" s="617">
        <f t="shared" si="11"/>
        <v>0</v>
      </c>
      <c r="O26" s="617">
        <f t="shared" si="11"/>
        <v>0</v>
      </c>
      <c r="P26" s="617">
        <f t="shared" si="11"/>
        <v>0</v>
      </c>
    </row>
    <row r="27" spans="1:16" ht="11.25" x14ac:dyDescent="0.2">
      <c r="A27" s="654" t="s">
        <v>102</v>
      </c>
      <c r="B27" s="608">
        <f>SUM(B25:B26)</f>
        <v>0</v>
      </c>
      <c r="C27" s="608">
        <f t="shared" ref="C27:P27" si="12">SUM(C25:C26)</f>
        <v>0</v>
      </c>
      <c r="D27" s="608">
        <f t="shared" si="12"/>
        <v>0</v>
      </c>
      <c r="E27" s="608">
        <f t="shared" si="12"/>
        <v>66387</v>
      </c>
      <c r="F27" s="608">
        <f t="shared" si="12"/>
        <v>67246</v>
      </c>
      <c r="G27" s="608">
        <f t="shared" si="12"/>
        <v>67500.002000000008</v>
      </c>
      <c r="H27" s="608">
        <f t="shared" si="12"/>
        <v>67871.887000000002</v>
      </c>
      <c r="I27" s="608">
        <f t="shared" si="12"/>
        <v>68231.414000000004</v>
      </c>
      <c r="J27" s="608">
        <f t="shared" si="12"/>
        <v>68657.269</v>
      </c>
      <c r="K27" s="608">
        <f t="shared" si="12"/>
        <v>69155.937000000005</v>
      </c>
      <c r="L27" s="608">
        <f t="shared" si="12"/>
        <v>69635.109136200001</v>
      </c>
      <c r="M27" s="608">
        <f t="shared" si="12"/>
        <v>70136.474440796999</v>
      </c>
      <c r="N27" s="608">
        <f t="shared" si="12"/>
        <v>70660.85722306848</v>
      </c>
      <c r="O27" s="608">
        <f t="shared" si="12"/>
        <v>71197.041664533637</v>
      </c>
      <c r="P27" s="608">
        <f t="shared" si="12"/>
        <v>71757.347345302624</v>
      </c>
    </row>
    <row r="28" spans="1:16" ht="11.25" x14ac:dyDescent="0.2">
      <c r="B28" s="608"/>
      <c r="C28" s="608"/>
      <c r="D28" s="608"/>
      <c r="E28" s="608"/>
      <c r="F28" s="608"/>
      <c r="G28" s="608"/>
      <c r="H28" s="608"/>
      <c r="I28" s="608"/>
      <c r="J28" s="608"/>
      <c r="K28" s="608"/>
      <c r="L28" s="608"/>
      <c r="M28" s="608"/>
      <c r="N28" s="608"/>
      <c r="O28" s="608"/>
      <c r="P28" s="608"/>
    </row>
    <row r="29" spans="1:16" ht="11.25" x14ac:dyDescent="0.2">
      <c r="A29" s="654" t="s">
        <v>76</v>
      </c>
      <c r="B29" s="608">
        <f>+B10</f>
        <v>0</v>
      </c>
      <c r="C29" s="621">
        <f t="shared" ref="C29:P29" si="13">+C10</f>
        <v>0</v>
      </c>
      <c r="D29" s="608">
        <f t="shared" si="13"/>
        <v>0</v>
      </c>
      <c r="E29" s="621">
        <f t="shared" si="13"/>
        <v>859</v>
      </c>
      <c r="F29" s="621">
        <f t="shared" si="13"/>
        <v>254.0019999999995</v>
      </c>
      <c r="G29" s="621">
        <f t="shared" si="13"/>
        <v>371.88500000000022</v>
      </c>
      <c r="H29" s="621">
        <f t="shared" si="13"/>
        <v>359.52699999999913</v>
      </c>
      <c r="I29" s="621">
        <f t="shared" si="13"/>
        <v>425.85499999999956</v>
      </c>
      <c r="J29" s="621">
        <f t="shared" si="13"/>
        <v>498.66800000000057</v>
      </c>
      <c r="K29" s="621">
        <f t="shared" si="13"/>
        <v>479.17213620000075</v>
      </c>
      <c r="L29" s="621">
        <f t="shared" si="13"/>
        <v>501.36530459699952</v>
      </c>
      <c r="M29" s="621">
        <f t="shared" si="13"/>
        <v>524.38278227148567</v>
      </c>
      <c r="N29" s="621">
        <f t="shared" si="13"/>
        <v>536.1844414651523</v>
      </c>
      <c r="O29" s="621">
        <f t="shared" si="13"/>
        <v>560.30568076898817</v>
      </c>
      <c r="P29" s="621">
        <f t="shared" si="13"/>
        <v>585.37017301543528</v>
      </c>
    </row>
    <row r="30" spans="1:16" ht="11.25" x14ac:dyDescent="0.2">
      <c r="B30" s="608"/>
      <c r="C30" s="608"/>
      <c r="D30" s="608"/>
      <c r="E30" s="621"/>
      <c r="F30" s="621"/>
      <c r="G30" s="621"/>
      <c r="H30" s="621"/>
      <c r="I30" s="621"/>
      <c r="J30" s="621"/>
      <c r="K30" s="621"/>
      <c r="L30" s="621"/>
      <c r="M30" s="621"/>
      <c r="N30" s="621"/>
      <c r="O30" s="621"/>
      <c r="P30" s="621"/>
    </row>
    <row r="31" spans="1:16" s="654" customFormat="1" ht="11.25" x14ac:dyDescent="0.2">
      <c r="A31" s="654" t="s">
        <v>105</v>
      </c>
      <c r="B31" s="674">
        <f>+B12</f>
        <v>0</v>
      </c>
      <c r="C31" s="619">
        <f t="shared" ref="C31:P31" si="14">+C29</f>
        <v>0</v>
      </c>
      <c r="D31" s="674">
        <f t="shared" si="14"/>
        <v>0</v>
      </c>
      <c r="E31" s="619">
        <f t="shared" si="14"/>
        <v>859</v>
      </c>
      <c r="F31" s="619">
        <f t="shared" si="14"/>
        <v>254.0019999999995</v>
      </c>
      <c r="G31" s="619">
        <f t="shared" si="14"/>
        <v>371.88500000000022</v>
      </c>
      <c r="H31" s="619">
        <f t="shared" si="14"/>
        <v>359.52699999999913</v>
      </c>
      <c r="I31" s="619">
        <f t="shared" si="14"/>
        <v>425.85499999999956</v>
      </c>
      <c r="J31" s="619">
        <f t="shared" si="14"/>
        <v>498.66800000000057</v>
      </c>
      <c r="K31" s="619">
        <f t="shared" si="14"/>
        <v>479.17213620000075</v>
      </c>
      <c r="L31" s="619">
        <f t="shared" si="14"/>
        <v>501.36530459699952</v>
      </c>
      <c r="M31" s="619">
        <f t="shared" si="14"/>
        <v>524.38278227148567</v>
      </c>
      <c r="N31" s="619">
        <f t="shared" si="14"/>
        <v>536.1844414651523</v>
      </c>
      <c r="O31" s="619">
        <f t="shared" si="14"/>
        <v>560.30568076898817</v>
      </c>
      <c r="P31" s="619">
        <f t="shared" si="14"/>
        <v>585.37017301543528</v>
      </c>
    </row>
    <row r="32" spans="1:16" s="676" customFormat="1" ht="12" thickBot="1" x14ac:dyDescent="0.25">
      <c r="A32" s="653" t="s">
        <v>104</v>
      </c>
      <c r="B32" s="633">
        <f>+B20</f>
        <v>0</v>
      </c>
      <c r="C32" s="633">
        <f t="shared" ref="C32:P32" si="15">+C20</f>
        <v>0</v>
      </c>
      <c r="D32" s="633">
        <f t="shared" si="15"/>
        <v>0</v>
      </c>
      <c r="E32" s="633">
        <f t="shared" si="15"/>
        <v>0</v>
      </c>
      <c r="F32" s="633">
        <f t="shared" si="15"/>
        <v>0</v>
      </c>
      <c r="G32" s="633">
        <f t="shared" si="15"/>
        <v>0</v>
      </c>
      <c r="H32" s="633">
        <f t="shared" si="15"/>
        <v>0</v>
      </c>
      <c r="I32" s="633">
        <f t="shared" si="15"/>
        <v>0</v>
      </c>
      <c r="J32" s="633">
        <f t="shared" si="15"/>
        <v>0</v>
      </c>
      <c r="K32" s="633">
        <f t="shared" si="15"/>
        <v>0</v>
      </c>
      <c r="L32" s="633">
        <f t="shared" si="15"/>
        <v>0</v>
      </c>
      <c r="M32" s="633">
        <f t="shared" si="15"/>
        <v>0</v>
      </c>
      <c r="N32" s="633">
        <f t="shared" si="15"/>
        <v>0</v>
      </c>
      <c r="O32" s="633">
        <f t="shared" si="15"/>
        <v>0</v>
      </c>
      <c r="P32" s="633">
        <f t="shared" si="15"/>
        <v>0</v>
      </c>
    </row>
    <row r="33" spans="1:16" s="654" customFormat="1" ht="12" thickBot="1" x14ac:dyDescent="0.25">
      <c r="A33" s="654" t="s">
        <v>106</v>
      </c>
      <c r="B33" s="668">
        <f>+B27+B31+B32</f>
        <v>0</v>
      </c>
      <c r="C33" s="668">
        <f t="shared" ref="C33:P33" si="16">+C27+C31+C32</f>
        <v>0</v>
      </c>
      <c r="D33" s="668">
        <f t="shared" si="16"/>
        <v>0</v>
      </c>
      <c r="E33" s="668">
        <f t="shared" si="16"/>
        <v>67246</v>
      </c>
      <c r="F33" s="668">
        <f t="shared" si="16"/>
        <v>67500.001999999993</v>
      </c>
      <c r="G33" s="668">
        <f t="shared" si="16"/>
        <v>67871.887000000002</v>
      </c>
      <c r="H33" s="668">
        <f t="shared" si="16"/>
        <v>68231.414000000004</v>
      </c>
      <c r="I33" s="668">
        <f t="shared" si="16"/>
        <v>68657.269</v>
      </c>
      <c r="J33" s="668">
        <f t="shared" si="16"/>
        <v>69155.937000000005</v>
      </c>
      <c r="K33" s="668">
        <f t="shared" si="16"/>
        <v>69635.109136200001</v>
      </c>
      <c r="L33" s="668">
        <f t="shared" si="16"/>
        <v>70136.474440796999</v>
      </c>
      <c r="M33" s="668">
        <f t="shared" si="16"/>
        <v>70660.85722306848</v>
      </c>
      <c r="N33" s="668">
        <f t="shared" si="16"/>
        <v>71197.041664533637</v>
      </c>
      <c r="O33" s="668">
        <f t="shared" si="16"/>
        <v>71757.347345302624</v>
      </c>
      <c r="P33" s="668">
        <f t="shared" si="16"/>
        <v>72342.717518318066</v>
      </c>
    </row>
    <row r="34" spans="1:16" ht="12" thickTop="1" x14ac:dyDescent="0.2">
      <c r="B34" s="608"/>
      <c r="C34" s="608"/>
      <c r="D34" s="608"/>
      <c r="E34" s="608"/>
      <c r="F34" s="608"/>
      <c r="G34" s="608"/>
      <c r="H34" s="608"/>
      <c r="I34" s="608"/>
      <c r="J34" s="608"/>
      <c r="K34" s="608"/>
      <c r="L34" s="608"/>
      <c r="M34" s="608"/>
      <c r="N34" s="608"/>
      <c r="O34" s="608"/>
      <c r="P34" s="608"/>
    </row>
    <row r="35" spans="1:16" ht="12.75" x14ac:dyDescent="0.2">
      <c r="A35" s="1091" t="s">
        <v>1363</v>
      </c>
    </row>
    <row r="36" spans="1:16" s="660" customFormat="1" ht="12" x14ac:dyDescent="0.2">
      <c r="A36" s="671" t="s">
        <v>1073</v>
      </c>
      <c r="B36" s="586" t="s">
        <v>69</v>
      </c>
      <c r="C36" s="586" t="s">
        <v>69</v>
      </c>
      <c r="D36" s="586" t="s">
        <v>69</v>
      </c>
      <c r="E36" s="586" t="s">
        <v>69</v>
      </c>
      <c r="F36" s="586" t="s">
        <v>70</v>
      </c>
      <c r="G36" s="586" t="s">
        <v>70</v>
      </c>
      <c r="H36" s="586" t="s">
        <v>71</v>
      </c>
      <c r="I36" s="586" t="s">
        <v>71</v>
      </c>
      <c r="J36" s="586" t="s">
        <v>71</v>
      </c>
      <c r="K36" s="586" t="s">
        <v>71</v>
      </c>
      <c r="L36" s="586" t="s">
        <v>71</v>
      </c>
      <c r="M36" s="586" t="s">
        <v>71</v>
      </c>
      <c r="N36" s="586" t="s">
        <v>71</v>
      </c>
      <c r="O36" s="586" t="s">
        <v>71</v>
      </c>
      <c r="P36" s="586" t="s">
        <v>71</v>
      </c>
    </row>
    <row r="37" spans="1:16" ht="11.25" x14ac:dyDescent="0.2">
      <c r="A37" s="652" t="s">
        <v>73</v>
      </c>
      <c r="B37" s="741" t="s">
        <v>68</v>
      </c>
      <c r="C37" s="694" t="s">
        <v>0</v>
      </c>
      <c r="D37" s="694" t="s">
        <v>1</v>
      </c>
      <c r="E37" s="694" t="s">
        <v>2</v>
      </c>
      <c r="F37" s="694" t="s">
        <v>3</v>
      </c>
      <c r="G37" s="694" t="s">
        <v>4</v>
      </c>
      <c r="H37" s="694" t="s">
        <v>5</v>
      </c>
      <c r="I37" s="694" t="s">
        <v>6</v>
      </c>
      <c r="J37" s="694" t="s">
        <v>7</v>
      </c>
      <c r="K37" s="694" t="s">
        <v>8</v>
      </c>
      <c r="L37" s="694" t="s">
        <v>9</v>
      </c>
      <c r="M37" s="694" t="s">
        <v>514</v>
      </c>
      <c r="N37" s="694" t="s">
        <v>515</v>
      </c>
      <c r="O37" s="694" t="s">
        <v>904</v>
      </c>
      <c r="P37" s="694" t="s">
        <v>1046</v>
      </c>
    </row>
    <row r="38" spans="1:16" s="664" customFormat="1" ht="11.25" x14ac:dyDescent="0.2">
      <c r="A38" s="661"/>
      <c r="B38" s="662"/>
      <c r="C38" s="662"/>
      <c r="D38" s="663"/>
      <c r="E38" s="663"/>
      <c r="F38" s="663"/>
      <c r="G38" s="663"/>
      <c r="H38" s="663"/>
      <c r="I38" s="663"/>
      <c r="J38" s="663"/>
      <c r="K38" s="663"/>
      <c r="L38" s="663"/>
      <c r="M38" s="663"/>
      <c r="N38" s="663"/>
      <c r="O38" s="663"/>
      <c r="P38" s="663"/>
    </row>
    <row r="39" spans="1:16" ht="11.25" x14ac:dyDescent="0.2">
      <c r="A39" s="654" t="s">
        <v>103</v>
      </c>
    </row>
    <row r="40" spans="1:16" ht="11.25" x14ac:dyDescent="0.2">
      <c r="A40" s="654" t="s">
        <v>100</v>
      </c>
      <c r="B40" s="608"/>
      <c r="C40" s="608"/>
      <c r="D40" s="608">
        <f>D6</f>
        <v>0</v>
      </c>
      <c r="E40" s="608">
        <f>E6</f>
        <v>36711</v>
      </c>
      <c r="F40" s="608">
        <f t="shared" ref="F40:P40" si="17">+E47</f>
        <v>37570</v>
      </c>
      <c r="G40" s="608">
        <f t="shared" si="17"/>
        <v>37824.002</v>
      </c>
      <c r="H40" s="608">
        <f t="shared" si="17"/>
        <v>38195.887000000002</v>
      </c>
      <c r="I40" s="608">
        <f t="shared" si="17"/>
        <v>38555.414000000004</v>
      </c>
      <c r="J40" s="608">
        <f t="shared" si="17"/>
        <v>38981.269</v>
      </c>
      <c r="K40" s="608">
        <f t="shared" si="17"/>
        <v>39479.936999999998</v>
      </c>
      <c r="L40" s="608">
        <f t="shared" si="17"/>
        <v>39959.109136200001</v>
      </c>
      <c r="M40" s="608">
        <f t="shared" si="17"/>
        <v>40461.494440797003</v>
      </c>
      <c r="N40" s="608">
        <f t="shared" si="17"/>
        <v>40985.877223068492</v>
      </c>
      <c r="O40" s="608">
        <f t="shared" si="17"/>
        <v>41521.021264533643</v>
      </c>
      <c r="P40" s="608">
        <f t="shared" si="17"/>
        <v>42080.286545302632</v>
      </c>
    </row>
    <row r="41" spans="1:16" ht="11.25" x14ac:dyDescent="0.2">
      <c r="A41" s="655" t="s">
        <v>101</v>
      </c>
      <c r="B41" s="617"/>
      <c r="C41" s="617"/>
      <c r="D41" s="617"/>
      <c r="E41" s="617"/>
      <c r="F41" s="617">
        <v>0</v>
      </c>
      <c r="G41" s="617">
        <v>0</v>
      </c>
      <c r="H41" s="617">
        <v>0</v>
      </c>
      <c r="I41" s="617">
        <v>0</v>
      </c>
      <c r="J41" s="617">
        <v>0</v>
      </c>
      <c r="K41" s="617">
        <v>0</v>
      </c>
      <c r="L41" s="617">
        <v>0</v>
      </c>
      <c r="M41" s="617">
        <v>0</v>
      </c>
      <c r="N41" s="617">
        <v>0</v>
      </c>
      <c r="O41" s="617">
        <v>0</v>
      </c>
      <c r="P41" s="617">
        <v>0</v>
      </c>
    </row>
    <row r="42" spans="1:16" ht="11.25" x14ac:dyDescent="0.2">
      <c r="A42" s="654" t="s">
        <v>102</v>
      </c>
      <c r="B42" s="608">
        <f>SUM(B40:B41)</f>
        <v>0</v>
      </c>
      <c r="C42" s="608">
        <f t="shared" ref="C42:P42" si="18">SUM(C40:C41)</f>
        <v>0</v>
      </c>
      <c r="D42" s="608">
        <f t="shared" si="18"/>
        <v>0</v>
      </c>
      <c r="E42" s="608">
        <f t="shared" si="18"/>
        <v>36711</v>
      </c>
      <c r="F42" s="608">
        <f t="shared" si="18"/>
        <v>37570</v>
      </c>
      <c r="G42" s="608">
        <f t="shared" si="18"/>
        <v>37824.002</v>
      </c>
      <c r="H42" s="608">
        <f t="shared" si="18"/>
        <v>38195.887000000002</v>
      </c>
      <c r="I42" s="608">
        <f t="shared" si="18"/>
        <v>38555.414000000004</v>
      </c>
      <c r="J42" s="608">
        <f t="shared" si="18"/>
        <v>38981.269</v>
      </c>
      <c r="K42" s="608">
        <f t="shared" si="18"/>
        <v>39479.936999999998</v>
      </c>
      <c r="L42" s="608">
        <f t="shared" si="18"/>
        <v>39959.109136200001</v>
      </c>
      <c r="M42" s="608">
        <f t="shared" si="18"/>
        <v>40461.494440797003</v>
      </c>
      <c r="N42" s="608">
        <f t="shared" si="18"/>
        <v>40985.877223068492</v>
      </c>
      <c r="O42" s="608">
        <f t="shared" si="18"/>
        <v>41521.021264533643</v>
      </c>
      <c r="P42" s="608">
        <f t="shared" si="18"/>
        <v>42080.286545302632</v>
      </c>
    </row>
    <row r="43" spans="1:16" ht="11.25" x14ac:dyDescent="0.2">
      <c r="B43" s="608"/>
      <c r="C43" s="608"/>
      <c r="D43" s="608"/>
      <c r="E43" s="608"/>
      <c r="F43" s="608"/>
      <c r="G43" s="608"/>
      <c r="H43" s="608"/>
      <c r="I43" s="608"/>
      <c r="J43" s="608"/>
      <c r="K43" s="608"/>
      <c r="L43" s="608"/>
      <c r="M43" s="608"/>
      <c r="N43" s="608"/>
      <c r="O43" s="608"/>
      <c r="P43" s="608"/>
    </row>
    <row r="44" spans="1:16" ht="11.25" x14ac:dyDescent="0.2">
      <c r="A44" s="654" t="s">
        <v>76</v>
      </c>
      <c r="B44" s="621">
        <f>+'GF &amp; FF  Inc Exp Statement'!B113</f>
        <v>0</v>
      </c>
      <c r="C44" s="621">
        <f>+'GF &amp; FF  Inc Exp Statement'!C113</f>
        <v>0</v>
      </c>
      <c r="D44" s="621">
        <f>+'GF &amp; FF  Inc Exp Statement'!D113</f>
        <v>0</v>
      </c>
      <c r="E44" s="621">
        <f>'Water  Fund  Inc Exp Statement '!E103</f>
        <v>859</v>
      </c>
      <c r="F44" s="621">
        <f>'Water  Fund  Inc Exp Statement '!F103</f>
        <v>254.0019999999995</v>
      </c>
      <c r="G44" s="621">
        <f>'Water  Fund  Inc Exp Statement '!G103</f>
        <v>371.88500000000022</v>
      </c>
      <c r="H44" s="621">
        <f>'Water  Fund  Inc Exp Statement '!H103</f>
        <v>359.52699999999913</v>
      </c>
      <c r="I44" s="621">
        <f>'Water  Fund  Inc Exp Statement '!I103</f>
        <v>425.85499999999956</v>
      </c>
      <c r="J44" s="621">
        <f>'Water  Fund  Inc Exp Statement '!J103</f>
        <v>498.66800000000057</v>
      </c>
      <c r="K44" s="621">
        <f>'Water  Fund  Inc Exp Statement '!K103</f>
        <v>479.17213620000075</v>
      </c>
      <c r="L44" s="621">
        <f>'Water  Fund  Inc Exp Statement '!L103</f>
        <v>502.38530459699996</v>
      </c>
      <c r="M44" s="621">
        <f>'Water  Fund  Inc Exp Statement '!M103</f>
        <v>524.38278227148567</v>
      </c>
      <c r="N44" s="621">
        <f>'Water  Fund  Inc Exp Statement '!N103</f>
        <v>535.14404146515244</v>
      </c>
      <c r="O44" s="621">
        <f>'Water  Fund  Inc Exp Statement '!O103</f>
        <v>559.2652807689883</v>
      </c>
      <c r="P44" s="621">
        <f>'Water  Fund  Inc Exp Statement '!P103</f>
        <v>584.32977301543542</v>
      </c>
    </row>
    <row r="45" spans="1:16" ht="11.25" x14ac:dyDescent="0.2">
      <c r="B45" s="608"/>
      <c r="C45" s="608"/>
      <c r="D45" s="608"/>
      <c r="E45" s="608"/>
      <c r="F45" s="608"/>
      <c r="G45" s="608"/>
      <c r="H45" s="608"/>
      <c r="I45" s="608"/>
      <c r="J45" s="608"/>
      <c r="K45" s="608"/>
      <c r="L45" s="608"/>
      <c r="M45" s="608"/>
      <c r="N45" s="608"/>
      <c r="O45" s="608"/>
      <c r="P45" s="608"/>
    </row>
    <row r="46" spans="1:16" s="654" customFormat="1" ht="11.25" x14ac:dyDescent="0.2">
      <c r="A46" s="654" t="s">
        <v>105</v>
      </c>
      <c r="B46" s="674">
        <f>+B44</f>
        <v>0</v>
      </c>
      <c r="C46" s="619">
        <f t="shared" ref="C46:P46" si="19">+C44</f>
        <v>0</v>
      </c>
      <c r="D46" s="674">
        <f t="shared" si="19"/>
        <v>0</v>
      </c>
      <c r="E46" s="619">
        <f t="shared" si="19"/>
        <v>859</v>
      </c>
      <c r="F46" s="619">
        <f t="shared" si="19"/>
        <v>254.0019999999995</v>
      </c>
      <c r="G46" s="619">
        <f t="shared" si="19"/>
        <v>371.88500000000022</v>
      </c>
      <c r="H46" s="619">
        <f t="shared" si="19"/>
        <v>359.52699999999913</v>
      </c>
      <c r="I46" s="619">
        <f t="shared" si="19"/>
        <v>425.85499999999956</v>
      </c>
      <c r="J46" s="619">
        <f t="shared" si="19"/>
        <v>498.66800000000057</v>
      </c>
      <c r="K46" s="619">
        <f t="shared" si="19"/>
        <v>479.17213620000075</v>
      </c>
      <c r="L46" s="619">
        <f t="shared" si="19"/>
        <v>502.38530459699996</v>
      </c>
      <c r="M46" s="619">
        <f t="shared" si="19"/>
        <v>524.38278227148567</v>
      </c>
      <c r="N46" s="619">
        <f t="shared" si="19"/>
        <v>535.14404146515244</v>
      </c>
      <c r="O46" s="619">
        <f t="shared" si="19"/>
        <v>559.2652807689883</v>
      </c>
      <c r="P46" s="619">
        <f t="shared" si="19"/>
        <v>584.32977301543542</v>
      </c>
    </row>
    <row r="47" spans="1:16" s="654" customFormat="1" ht="12" thickBot="1" x14ac:dyDescent="0.25">
      <c r="A47" s="654" t="s">
        <v>106</v>
      </c>
      <c r="B47" s="658">
        <f t="shared" ref="B47:P47" si="20">+B42+B46</f>
        <v>0</v>
      </c>
      <c r="C47" s="658">
        <f t="shared" si="20"/>
        <v>0</v>
      </c>
      <c r="D47" s="658">
        <f t="shared" si="20"/>
        <v>0</v>
      </c>
      <c r="E47" s="658">
        <f t="shared" si="20"/>
        <v>37570</v>
      </c>
      <c r="F47" s="658">
        <f t="shared" si="20"/>
        <v>37824.002</v>
      </c>
      <c r="G47" s="658">
        <f t="shared" si="20"/>
        <v>38195.887000000002</v>
      </c>
      <c r="H47" s="658">
        <f t="shared" si="20"/>
        <v>38555.414000000004</v>
      </c>
      <c r="I47" s="658">
        <f t="shared" si="20"/>
        <v>38981.269</v>
      </c>
      <c r="J47" s="658">
        <f t="shared" si="20"/>
        <v>39479.936999999998</v>
      </c>
      <c r="K47" s="658">
        <f t="shared" si="20"/>
        <v>39959.109136200001</v>
      </c>
      <c r="L47" s="658">
        <f t="shared" si="20"/>
        <v>40461.494440797003</v>
      </c>
      <c r="M47" s="658">
        <f t="shared" si="20"/>
        <v>40985.877223068492</v>
      </c>
      <c r="N47" s="658">
        <f t="shared" si="20"/>
        <v>41521.021264533643</v>
      </c>
      <c r="O47" s="658">
        <f t="shared" si="20"/>
        <v>42080.286545302632</v>
      </c>
      <c r="P47" s="658">
        <f t="shared" si="20"/>
        <v>42664.616318318069</v>
      </c>
    </row>
    <row r="48" spans="1:16" ht="11.25" x14ac:dyDescent="0.2">
      <c r="B48" s="608"/>
      <c r="C48" s="608"/>
      <c r="D48" s="608"/>
      <c r="E48" s="608"/>
      <c r="F48" s="608"/>
      <c r="G48" s="608"/>
      <c r="H48" s="608"/>
      <c r="I48" s="608"/>
      <c r="J48" s="608"/>
      <c r="K48" s="608"/>
      <c r="L48" s="608"/>
      <c r="M48" s="608"/>
      <c r="N48" s="608"/>
      <c r="O48" s="608"/>
      <c r="P48" s="608"/>
    </row>
    <row r="49" spans="1:16" ht="11.25" x14ac:dyDescent="0.2">
      <c r="A49" s="654" t="s">
        <v>107</v>
      </c>
      <c r="B49" s="608"/>
      <c r="C49" s="608"/>
      <c r="D49" s="608"/>
      <c r="E49" s="608"/>
      <c r="F49" s="608"/>
      <c r="G49" s="608"/>
      <c r="H49" s="608"/>
      <c r="I49" s="608"/>
      <c r="J49" s="608"/>
      <c r="K49" s="608"/>
      <c r="L49" s="608"/>
      <c r="M49" s="608"/>
      <c r="N49" s="608"/>
      <c r="O49" s="608"/>
      <c r="P49" s="608"/>
    </row>
    <row r="50" spans="1:16" ht="11.25" x14ac:dyDescent="0.2">
      <c r="A50" s="654" t="s">
        <v>100</v>
      </c>
      <c r="B50" s="608"/>
      <c r="C50" s="608">
        <f>+B56</f>
        <v>0</v>
      </c>
      <c r="D50" s="608">
        <f>D16</f>
        <v>0</v>
      </c>
      <c r="E50" s="608">
        <f>E16</f>
        <v>29676</v>
      </c>
      <c r="F50" s="608">
        <f t="shared" ref="F50:P50" si="21">+E56</f>
        <v>29676</v>
      </c>
      <c r="G50" s="608">
        <f t="shared" si="21"/>
        <v>29676</v>
      </c>
      <c r="H50" s="608">
        <f t="shared" si="21"/>
        <v>29676</v>
      </c>
      <c r="I50" s="608">
        <f t="shared" si="21"/>
        <v>29676</v>
      </c>
      <c r="J50" s="608">
        <f t="shared" si="21"/>
        <v>29676</v>
      </c>
      <c r="K50" s="608">
        <f t="shared" si="21"/>
        <v>29676</v>
      </c>
      <c r="L50" s="608">
        <f t="shared" si="21"/>
        <v>29676</v>
      </c>
      <c r="M50" s="608">
        <f t="shared" si="21"/>
        <v>29676</v>
      </c>
      <c r="N50" s="608">
        <f t="shared" si="21"/>
        <v>29676</v>
      </c>
      <c r="O50" s="608">
        <f t="shared" si="21"/>
        <v>29676</v>
      </c>
      <c r="P50" s="608">
        <f t="shared" si="21"/>
        <v>29676</v>
      </c>
    </row>
    <row r="51" spans="1:16" ht="11.25" x14ac:dyDescent="0.2">
      <c r="A51" s="655" t="s">
        <v>101</v>
      </c>
      <c r="B51" s="617">
        <v>0</v>
      </c>
      <c r="C51" s="617">
        <v>0</v>
      </c>
      <c r="D51" s="617">
        <v>0</v>
      </c>
      <c r="E51" s="617">
        <v>0</v>
      </c>
      <c r="F51" s="617">
        <v>0</v>
      </c>
      <c r="G51" s="617">
        <v>0</v>
      </c>
      <c r="H51" s="617">
        <v>0</v>
      </c>
      <c r="I51" s="617">
        <v>0</v>
      </c>
      <c r="J51" s="617">
        <v>0</v>
      </c>
      <c r="K51" s="617">
        <v>0</v>
      </c>
      <c r="L51" s="617">
        <v>0</v>
      </c>
      <c r="M51" s="617">
        <v>0</v>
      </c>
      <c r="N51" s="617">
        <v>0</v>
      </c>
      <c r="O51" s="617">
        <v>0</v>
      </c>
      <c r="P51" s="617">
        <v>0</v>
      </c>
    </row>
    <row r="52" spans="1:16" ht="11.25" x14ac:dyDescent="0.2">
      <c r="A52" s="654" t="s">
        <v>102</v>
      </c>
      <c r="B52" s="675">
        <f>SUM(B50:B51)</f>
        <v>0</v>
      </c>
      <c r="C52" s="675">
        <f t="shared" ref="C52:P52" si="22">SUM(C50:C51)</f>
        <v>0</v>
      </c>
      <c r="D52" s="675">
        <f t="shared" si="22"/>
        <v>0</v>
      </c>
      <c r="E52" s="675">
        <f t="shared" si="22"/>
        <v>29676</v>
      </c>
      <c r="F52" s="675">
        <f t="shared" si="22"/>
        <v>29676</v>
      </c>
      <c r="G52" s="675">
        <f t="shared" si="22"/>
        <v>29676</v>
      </c>
      <c r="H52" s="675">
        <f t="shared" si="22"/>
        <v>29676</v>
      </c>
      <c r="I52" s="675">
        <f t="shared" si="22"/>
        <v>29676</v>
      </c>
      <c r="J52" s="675">
        <f t="shared" si="22"/>
        <v>29676</v>
      </c>
      <c r="K52" s="675">
        <f t="shared" si="22"/>
        <v>29676</v>
      </c>
      <c r="L52" s="675">
        <f t="shared" si="22"/>
        <v>29676</v>
      </c>
      <c r="M52" s="675">
        <f t="shared" si="22"/>
        <v>29676</v>
      </c>
      <c r="N52" s="675">
        <f t="shared" si="22"/>
        <v>29676</v>
      </c>
      <c r="O52" s="675">
        <f t="shared" si="22"/>
        <v>29676</v>
      </c>
      <c r="P52" s="675">
        <f t="shared" si="22"/>
        <v>29676</v>
      </c>
    </row>
    <row r="53" spans="1:16" ht="11.25" x14ac:dyDescent="0.2">
      <c r="B53" s="608"/>
      <c r="C53" s="608"/>
      <c r="D53" s="608"/>
      <c r="E53" s="608"/>
      <c r="F53" s="608"/>
      <c r="G53" s="608"/>
      <c r="H53" s="608"/>
      <c r="I53" s="608"/>
      <c r="J53" s="608"/>
      <c r="K53" s="608"/>
      <c r="L53" s="608"/>
      <c r="M53" s="608"/>
      <c r="N53" s="608"/>
      <c r="O53" s="608"/>
      <c r="P53" s="608"/>
    </row>
    <row r="54" spans="1:16" ht="11.25" x14ac:dyDescent="0.2">
      <c r="A54" s="653" t="s">
        <v>104</v>
      </c>
      <c r="B54" s="621">
        <v>0</v>
      </c>
      <c r="C54" s="621">
        <f>C32</f>
        <v>0</v>
      </c>
      <c r="D54" s="621">
        <f>D20</f>
        <v>0</v>
      </c>
      <c r="E54" s="621">
        <f t="shared" ref="E54:P54" si="23">E20</f>
        <v>0</v>
      </c>
      <c r="F54" s="621">
        <f t="shared" si="23"/>
        <v>0</v>
      </c>
      <c r="G54" s="621">
        <f t="shared" si="23"/>
        <v>0</v>
      </c>
      <c r="H54" s="621">
        <f t="shared" si="23"/>
        <v>0</v>
      </c>
      <c r="I54" s="621">
        <f t="shared" si="23"/>
        <v>0</v>
      </c>
      <c r="J54" s="621">
        <f t="shared" si="23"/>
        <v>0</v>
      </c>
      <c r="K54" s="621">
        <f t="shared" si="23"/>
        <v>0</v>
      </c>
      <c r="L54" s="621">
        <f t="shared" si="23"/>
        <v>0</v>
      </c>
      <c r="M54" s="621">
        <f t="shared" si="23"/>
        <v>0</v>
      </c>
      <c r="N54" s="621">
        <f t="shared" si="23"/>
        <v>0</v>
      </c>
      <c r="O54" s="621">
        <f t="shared" si="23"/>
        <v>0</v>
      </c>
      <c r="P54" s="621">
        <f t="shared" si="23"/>
        <v>0</v>
      </c>
    </row>
    <row r="55" spans="1:16" s="657" customFormat="1" ht="11.25" x14ac:dyDescent="0.2">
      <c r="A55" s="654" t="s">
        <v>105</v>
      </c>
      <c r="B55" s="674">
        <f>+B52+B54</f>
        <v>0</v>
      </c>
      <c r="C55" s="674">
        <f>C52+C54</f>
        <v>0</v>
      </c>
      <c r="D55" s="674">
        <f t="shared" ref="D55:P55" si="24">D52+D54</f>
        <v>0</v>
      </c>
      <c r="E55" s="674">
        <f t="shared" si="24"/>
        <v>29676</v>
      </c>
      <c r="F55" s="674">
        <f t="shared" si="24"/>
        <v>29676</v>
      </c>
      <c r="G55" s="674">
        <f t="shared" si="24"/>
        <v>29676</v>
      </c>
      <c r="H55" s="674">
        <f t="shared" si="24"/>
        <v>29676</v>
      </c>
      <c r="I55" s="674">
        <f t="shared" si="24"/>
        <v>29676</v>
      </c>
      <c r="J55" s="674">
        <f t="shared" si="24"/>
        <v>29676</v>
      </c>
      <c r="K55" s="674">
        <f t="shared" si="24"/>
        <v>29676</v>
      </c>
      <c r="L55" s="674">
        <f t="shared" si="24"/>
        <v>29676</v>
      </c>
      <c r="M55" s="674">
        <f t="shared" si="24"/>
        <v>29676</v>
      </c>
      <c r="N55" s="674">
        <f t="shared" si="24"/>
        <v>29676</v>
      </c>
      <c r="O55" s="674">
        <f t="shared" si="24"/>
        <v>29676</v>
      </c>
      <c r="P55" s="674">
        <f t="shared" si="24"/>
        <v>29676</v>
      </c>
    </row>
    <row r="56" spans="1:16" s="657" customFormat="1" ht="12" thickBot="1" x14ac:dyDescent="0.25">
      <c r="A56" s="654" t="s">
        <v>106</v>
      </c>
      <c r="B56" s="658">
        <f>+B55</f>
        <v>0</v>
      </c>
      <c r="C56" s="658">
        <f t="shared" ref="C56:P56" si="25">+C55</f>
        <v>0</v>
      </c>
      <c r="D56" s="658">
        <f t="shared" si="25"/>
        <v>0</v>
      </c>
      <c r="E56" s="658">
        <f t="shared" si="25"/>
        <v>29676</v>
      </c>
      <c r="F56" s="658">
        <f t="shared" si="25"/>
        <v>29676</v>
      </c>
      <c r="G56" s="658">
        <f t="shared" si="25"/>
        <v>29676</v>
      </c>
      <c r="H56" s="658">
        <f t="shared" si="25"/>
        <v>29676</v>
      </c>
      <c r="I56" s="658">
        <f t="shared" si="25"/>
        <v>29676</v>
      </c>
      <c r="J56" s="658">
        <f t="shared" si="25"/>
        <v>29676</v>
      </c>
      <c r="K56" s="658">
        <f t="shared" si="25"/>
        <v>29676</v>
      </c>
      <c r="L56" s="658">
        <f t="shared" si="25"/>
        <v>29676</v>
      </c>
      <c r="M56" s="658">
        <f t="shared" si="25"/>
        <v>29676</v>
      </c>
      <c r="N56" s="658">
        <f t="shared" si="25"/>
        <v>29676</v>
      </c>
      <c r="O56" s="658">
        <f t="shared" si="25"/>
        <v>29676</v>
      </c>
      <c r="P56" s="658">
        <f t="shared" si="25"/>
        <v>29676</v>
      </c>
    </row>
    <row r="57" spans="1:16" ht="11.25" x14ac:dyDescent="0.2">
      <c r="B57" s="608"/>
      <c r="C57" s="608"/>
      <c r="D57" s="608"/>
      <c r="E57" s="608"/>
      <c r="F57" s="608"/>
      <c r="G57" s="608"/>
      <c r="H57" s="608"/>
      <c r="I57" s="608"/>
      <c r="J57" s="608"/>
      <c r="K57" s="608"/>
      <c r="L57" s="608"/>
      <c r="M57" s="608"/>
      <c r="N57" s="608"/>
      <c r="O57" s="608"/>
      <c r="P57" s="608"/>
    </row>
    <row r="58" spans="1:16" ht="11.25" x14ac:dyDescent="0.2">
      <c r="A58" s="654" t="s">
        <v>108</v>
      </c>
    </row>
    <row r="59" spans="1:16" ht="11.25" x14ac:dyDescent="0.2">
      <c r="A59" s="654" t="s">
        <v>100</v>
      </c>
      <c r="B59" s="608">
        <f>+B40+B50</f>
        <v>0</v>
      </c>
      <c r="C59" s="608">
        <f t="shared" ref="C59:P60" si="26">+C40+C50</f>
        <v>0</v>
      </c>
      <c r="D59" s="608">
        <f t="shared" si="26"/>
        <v>0</v>
      </c>
      <c r="E59" s="608">
        <f t="shared" si="26"/>
        <v>66387</v>
      </c>
      <c r="F59" s="608">
        <f t="shared" si="26"/>
        <v>67246</v>
      </c>
      <c r="G59" s="608">
        <f t="shared" si="26"/>
        <v>67500.002000000008</v>
      </c>
      <c r="H59" s="608">
        <f t="shared" si="26"/>
        <v>67871.887000000002</v>
      </c>
      <c r="I59" s="608">
        <f t="shared" si="26"/>
        <v>68231.414000000004</v>
      </c>
      <c r="J59" s="608">
        <f t="shared" si="26"/>
        <v>68657.269</v>
      </c>
      <c r="K59" s="608">
        <f t="shared" si="26"/>
        <v>69155.937000000005</v>
      </c>
      <c r="L59" s="608">
        <f t="shared" si="26"/>
        <v>69635.109136200001</v>
      </c>
      <c r="M59" s="608">
        <f t="shared" si="26"/>
        <v>70137.494440797003</v>
      </c>
      <c r="N59" s="608">
        <f t="shared" si="26"/>
        <v>70661.877223068499</v>
      </c>
      <c r="O59" s="608">
        <f t="shared" si="26"/>
        <v>71197.021264533643</v>
      </c>
      <c r="P59" s="608">
        <f t="shared" si="26"/>
        <v>71756.286545302632</v>
      </c>
    </row>
    <row r="60" spans="1:16" ht="11.25" x14ac:dyDescent="0.2">
      <c r="A60" s="655" t="s">
        <v>101</v>
      </c>
      <c r="B60" s="617">
        <f>+B41+B51</f>
        <v>0</v>
      </c>
      <c r="C60" s="617">
        <f t="shared" si="26"/>
        <v>0</v>
      </c>
      <c r="D60" s="617">
        <f t="shared" si="26"/>
        <v>0</v>
      </c>
      <c r="E60" s="617">
        <f t="shared" si="26"/>
        <v>0</v>
      </c>
      <c r="F60" s="617">
        <f t="shared" si="26"/>
        <v>0</v>
      </c>
      <c r="G60" s="617">
        <f t="shared" si="26"/>
        <v>0</v>
      </c>
      <c r="H60" s="617">
        <f t="shared" si="26"/>
        <v>0</v>
      </c>
      <c r="I60" s="617">
        <f t="shared" si="26"/>
        <v>0</v>
      </c>
      <c r="J60" s="617">
        <f t="shared" si="26"/>
        <v>0</v>
      </c>
      <c r="K60" s="617">
        <f t="shared" si="26"/>
        <v>0</v>
      </c>
      <c r="L60" s="617">
        <f t="shared" si="26"/>
        <v>0</v>
      </c>
      <c r="M60" s="617">
        <f t="shared" si="26"/>
        <v>0</v>
      </c>
      <c r="N60" s="617">
        <f t="shared" si="26"/>
        <v>0</v>
      </c>
      <c r="O60" s="617">
        <f t="shared" si="26"/>
        <v>0</v>
      </c>
      <c r="P60" s="617">
        <f t="shared" si="26"/>
        <v>0</v>
      </c>
    </row>
    <row r="61" spans="1:16" ht="11.25" x14ac:dyDescent="0.2">
      <c r="A61" s="654" t="s">
        <v>102</v>
      </c>
      <c r="B61" s="608">
        <f>SUM(B59:B60)</f>
        <v>0</v>
      </c>
      <c r="C61" s="608">
        <f t="shared" ref="C61:P61" si="27">SUM(C59:C60)</f>
        <v>0</v>
      </c>
      <c r="D61" s="608">
        <f t="shared" si="27"/>
        <v>0</v>
      </c>
      <c r="E61" s="608">
        <f t="shared" si="27"/>
        <v>66387</v>
      </c>
      <c r="F61" s="608">
        <f t="shared" si="27"/>
        <v>67246</v>
      </c>
      <c r="G61" s="608">
        <f t="shared" si="27"/>
        <v>67500.002000000008</v>
      </c>
      <c r="H61" s="608">
        <f t="shared" si="27"/>
        <v>67871.887000000002</v>
      </c>
      <c r="I61" s="608">
        <f t="shared" si="27"/>
        <v>68231.414000000004</v>
      </c>
      <c r="J61" s="608">
        <f t="shared" si="27"/>
        <v>68657.269</v>
      </c>
      <c r="K61" s="608">
        <f t="shared" si="27"/>
        <v>69155.937000000005</v>
      </c>
      <c r="L61" s="608">
        <f t="shared" si="27"/>
        <v>69635.109136200001</v>
      </c>
      <c r="M61" s="608">
        <f t="shared" si="27"/>
        <v>70137.494440797003</v>
      </c>
      <c r="N61" s="608">
        <f t="shared" si="27"/>
        <v>70661.877223068499</v>
      </c>
      <c r="O61" s="608">
        <f t="shared" si="27"/>
        <v>71197.021264533643</v>
      </c>
      <c r="P61" s="608">
        <f t="shared" si="27"/>
        <v>71756.286545302632</v>
      </c>
    </row>
    <row r="62" spans="1:16" ht="11.25" x14ac:dyDescent="0.2">
      <c r="B62" s="608"/>
      <c r="C62" s="608"/>
      <c r="D62" s="608"/>
      <c r="E62" s="608"/>
      <c r="F62" s="608"/>
      <c r="G62" s="608"/>
      <c r="H62" s="608"/>
      <c r="I62" s="608"/>
      <c r="J62" s="608"/>
      <c r="K62" s="608"/>
      <c r="L62" s="608"/>
      <c r="M62" s="608"/>
      <c r="N62" s="608"/>
      <c r="O62" s="608"/>
      <c r="P62" s="608"/>
    </row>
    <row r="63" spans="1:16" ht="11.25" x14ac:dyDescent="0.2">
      <c r="A63" s="654" t="s">
        <v>76</v>
      </c>
      <c r="B63" s="608">
        <f>+B44</f>
        <v>0</v>
      </c>
      <c r="C63" s="621">
        <f t="shared" ref="C63:D63" si="28">+C44</f>
        <v>0</v>
      </c>
      <c r="D63" s="608">
        <f t="shared" si="28"/>
        <v>0</v>
      </c>
      <c r="E63" s="621">
        <f>'Water  Fund  Inc Exp Statement '!E103</f>
        <v>859</v>
      </c>
      <c r="F63" s="621">
        <f>'Water  Fund  Inc Exp Statement '!F103</f>
        <v>254.0019999999995</v>
      </c>
      <c r="G63" s="621">
        <f>'Water  Fund  Inc Exp Statement '!G103</f>
        <v>371.88500000000022</v>
      </c>
      <c r="H63" s="621">
        <f>'Water  Fund  Inc Exp Statement '!H103</f>
        <v>359.52699999999913</v>
      </c>
      <c r="I63" s="621">
        <f>'Water  Fund  Inc Exp Statement '!I103</f>
        <v>425.85499999999956</v>
      </c>
      <c r="J63" s="621">
        <f>'Water  Fund  Inc Exp Statement '!J103</f>
        <v>498.66800000000057</v>
      </c>
      <c r="K63" s="621">
        <f>'Water  Fund  Inc Exp Statement '!K103</f>
        <v>479.17213620000075</v>
      </c>
      <c r="L63" s="621">
        <f>'Water  Fund  Inc Exp Statement '!L103</f>
        <v>502.38530459699996</v>
      </c>
      <c r="M63" s="621">
        <f>'Water  Fund  Inc Exp Statement '!M103</f>
        <v>524.38278227148567</v>
      </c>
      <c r="N63" s="621">
        <f>'Water  Fund  Inc Exp Statement '!N103</f>
        <v>535.14404146515244</v>
      </c>
      <c r="O63" s="621">
        <f>'Water  Fund  Inc Exp Statement '!O103</f>
        <v>559.2652807689883</v>
      </c>
      <c r="P63" s="621">
        <f>'Water  Fund  Inc Exp Statement '!P103</f>
        <v>584.32977301543542</v>
      </c>
    </row>
    <row r="64" spans="1:16" ht="11.25" x14ac:dyDescent="0.2">
      <c r="B64" s="608"/>
      <c r="C64" s="608"/>
      <c r="D64" s="608"/>
      <c r="E64" s="608"/>
      <c r="F64" s="608"/>
      <c r="G64" s="608"/>
      <c r="H64" s="608"/>
      <c r="I64" s="608"/>
      <c r="J64" s="608"/>
      <c r="K64" s="608"/>
      <c r="L64" s="608"/>
      <c r="M64" s="608"/>
      <c r="N64" s="608"/>
      <c r="O64" s="608"/>
      <c r="P64" s="608"/>
    </row>
    <row r="65" spans="1:16" s="654" customFormat="1" ht="11.25" x14ac:dyDescent="0.2">
      <c r="A65" s="654" t="s">
        <v>105</v>
      </c>
      <c r="B65" s="674">
        <f>+B46</f>
        <v>0</v>
      </c>
      <c r="C65" s="619">
        <f t="shared" ref="C65:P65" si="29">+C63</f>
        <v>0</v>
      </c>
      <c r="D65" s="674">
        <f t="shared" si="29"/>
        <v>0</v>
      </c>
      <c r="E65" s="619">
        <f t="shared" si="29"/>
        <v>859</v>
      </c>
      <c r="F65" s="619">
        <f t="shared" si="29"/>
        <v>254.0019999999995</v>
      </c>
      <c r="G65" s="619">
        <f t="shared" si="29"/>
        <v>371.88500000000022</v>
      </c>
      <c r="H65" s="619">
        <f t="shared" si="29"/>
        <v>359.52699999999913</v>
      </c>
      <c r="I65" s="619">
        <f t="shared" si="29"/>
        <v>425.85499999999956</v>
      </c>
      <c r="J65" s="619">
        <f t="shared" si="29"/>
        <v>498.66800000000057</v>
      </c>
      <c r="K65" s="619">
        <f t="shared" si="29"/>
        <v>479.17213620000075</v>
      </c>
      <c r="L65" s="619">
        <f t="shared" si="29"/>
        <v>502.38530459699996</v>
      </c>
      <c r="M65" s="619">
        <f t="shared" si="29"/>
        <v>524.38278227148567</v>
      </c>
      <c r="N65" s="619">
        <f t="shared" si="29"/>
        <v>535.14404146515244</v>
      </c>
      <c r="O65" s="619">
        <f t="shared" si="29"/>
        <v>559.2652807689883</v>
      </c>
      <c r="P65" s="619">
        <f t="shared" si="29"/>
        <v>584.32977301543542</v>
      </c>
    </row>
    <row r="66" spans="1:16" s="676" customFormat="1" ht="12" thickBot="1" x14ac:dyDescent="0.25">
      <c r="A66" s="653" t="s">
        <v>104</v>
      </c>
      <c r="B66" s="633">
        <f>+B54</f>
        <v>0</v>
      </c>
      <c r="C66" s="633">
        <f t="shared" ref="C66:P66" si="30">+C54</f>
        <v>0</v>
      </c>
      <c r="D66" s="633">
        <f t="shared" si="30"/>
        <v>0</v>
      </c>
      <c r="E66" s="633">
        <f t="shared" si="30"/>
        <v>0</v>
      </c>
      <c r="F66" s="633">
        <f t="shared" si="30"/>
        <v>0</v>
      </c>
      <c r="G66" s="633">
        <f t="shared" si="30"/>
        <v>0</v>
      </c>
      <c r="H66" s="633">
        <f t="shared" si="30"/>
        <v>0</v>
      </c>
      <c r="I66" s="633">
        <f t="shared" si="30"/>
        <v>0</v>
      </c>
      <c r="J66" s="633">
        <f t="shared" si="30"/>
        <v>0</v>
      </c>
      <c r="K66" s="633">
        <f t="shared" si="30"/>
        <v>0</v>
      </c>
      <c r="L66" s="633">
        <f t="shared" si="30"/>
        <v>0</v>
      </c>
      <c r="M66" s="633">
        <f t="shared" si="30"/>
        <v>0</v>
      </c>
      <c r="N66" s="633">
        <f t="shared" si="30"/>
        <v>0</v>
      </c>
      <c r="O66" s="633">
        <f t="shared" si="30"/>
        <v>0</v>
      </c>
      <c r="P66" s="633">
        <f t="shared" si="30"/>
        <v>0</v>
      </c>
    </row>
    <row r="67" spans="1:16" s="654" customFormat="1" ht="12" thickBot="1" x14ac:dyDescent="0.25">
      <c r="A67" s="654" t="s">
        <v>106</v>
      </c>
      <c r="B67" s="668">
        <f>+B61+B65+B66</f>
        <v>0</v>
      </c>
      <c r="C67" s="668">
        <f t="shared" ref="C67:P67" si="31">+C61+C65+C66</f>
        <v>0</v>
      </c>
      <c r="D67" s="668">
        <f t="shared" si="31"/>
        <v>0</v>
      </c>
      <c r="E67" s="668">
        <f t="shared" si="31"/>
        <v>67246</v>
      </c>
      <c r="F67" s="668">
        <f t="shared" si="31"/>
        <v>67500.001999999993</v>
      </c>
      <c r="G67" s="668">
        <f t="shared" si="31"/>
        <v>67871.887000000002</v>
      </c>
      <c r="H67" s="668">
        <f t="shared" si="31"/>
        <v>68231.414000000004</v>
      </c>
      <c r="I67" s="668">
        <f t="shared" si="31"/>
        <v>68657.269</v>
      </c>
      <c r="J67" s="668">
        <f t="shared" si="31"/>
        <v>69155.937000000005</v>
      </c>
      <c r="K67" s="668">
        <f t="shared" si="31"/>
        <v>69635.109136200001</v>
      </c>
      <c r="L67" s="668">
        <f t="shared" si="31"/>
        <v>70137.494440797003</v>
      </c>
      <c r="M67" s="668">
        <f t="shared" si="31"/>
        <v>70661.877223068484</v>
      </c>
      <c r="N67" s="668">
        <f t="shared" si="31"/>
        <v>71197.021264533658</v>
      </c>
      <c r="O67" s="668">
        <f t="shared" si="31"/>
        <v>71756.286545302632</v>
      </c>
      <c r="P67" s="668">
        <f t="shared" si="31"/>
        <v>72340.616318318062</v>
      </c>
    </row>
    <row r="68" spans="1:16" ht="12" thickTop="1" x14ac:dyDescent="0.2"/>
    <row r="69" spans="1:16" ht="12.75" x14ac:dyDescent="0.2">
      <c r="A69" s="1091" t="s">
        <v>1363</v>
      </c>
    </row>
    <row r="70" spans="1:16" ht="12" x14ac:dyDescent="0.2">
      <c r="A70" s="673" t="s">
        <v>1074</v>
      </c>
      <c r="B70" s="586" t="s">
        <v>69</v>
      </c>
      <c r="C70" s="586" t="s">
        <v>69</v>
      </c>
      <c r="D70" s="586" t="s">
        <v>69</v>
      </c>
      <c r="E70" s="586" t="s">
        <v>69</v>
      </c>
      <c r="F70" s="586" t="s">
        <v>70</v>
      </c>
      <c r="G70" s="586" t="s">
        <v>70</v>
      </c>
      <c r="H70" s="586" t="s">
        <v>71</v>
      </c>
      <c r="I70" s="586" t="s">
        <v>71</v>
      </c>
      <c r="J70" s="586" t="s">
        <v>71</v>
      </c>
      <c r="K70" s="586" t="s">
        <v>71</v>
      </c>
      <c r="L70" s="586" t="s">
        <v>71</v>
      </c>
      <c r="M70" s="586" t="s">
        <v>71</v>
      </c>
      <c r="N70" s="586" t="s">
        <v>71</v>
      </c>
      <c r="O70" s="586" t="s">
        <v>71</v>
      </c>
      <c r="P70" s="586" t="s">
        <v>71</v>
      </c>
    </row>
    <row r="71" spans="1:16" ht="11.25" x14ac:dyDescent="0.2">
      <c r="A71" s="652" t="s">
        <v>73</v>
      </c>
      <c r="B71" s="741" t="s">
        <v>68</v>
      </c>
      <c r="C71" s="694" t="s">
        <v>0</v>
      </c>
      <c r="D71" s="694" t="s">
        <v>1</v>
      </c>
      <c r="E71" s="694" t="s">
        <v>2</v>
      </c>
      <c r="F71" s="694" t="s">
        <v>3</v>
      </c>
      <c r="G71" s="694" t="s">
        <v>4</v>
      </c>
      <c r="H71" s="694" t="s">
        <v>5</v>
      </c>
      <c r="I71" s="694" t="s">
        <v>6</v>
      </c>
      <c r="J71" s="694" t="s">
        <v>7</v>
      </c>
      <c r="K71" s="694" t="s">
        <v>8</v>
      </c>
      <c r="L71" s="694" t="s">
        <v>9</v>
      </c>
      <c r="M71" s="694" t="s">
        <v>514</v>
      </c>
      <c r="N71" s="694" t="s">
        <v>515</v>
      </c>
      <c r="O71" s="694" t="s">
        <v>904</v>
      </c>
      <c r="P71" s="694" t="s">
        <v>1046</v>
      </c>
    </row>
    <row r="72" spans="1:16" ht="11.25" x14ac:dyDescent="0.2">
      <c r="A72" s="661"/>
      <c r="B72" s="662"/>
      <c r="C72" s="662"/>
      <c r="D72" s="663"/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3"/>
      <c r="P72" s="663"/>
    </row>
    <row r="73" spans="1:16" ht="11.25" x14ac:dyDescent="0.2">
      <c r="A73" s="654" t="s">
        <v>103</v>
      </c>
    </row>
    <row r="74" spans="1:16" ht="11.25" x14ac:dyDescent="0.2">
      <c r="A74" s="654" t="s">
        <v>100</v>
      </c>
      <c r="B74" s="608"/>
      <c r="C74" s="608">
        <f>+B81</f>
        <v>0</v>
      </c>
      <c r="D74" s="608">
        <f>D6</f>
        <v>0</v>
      </c>
      <c r="E74" s="608">
        <f>E6</f>
        <v>36711</v>
      </c>
      <c r="F74" s="608">
        <f t="shared" ref="F74:P74" si="32">+E81</f>
        <v>37570</v>
      </c>
      <c r="G74" s="608">
        <f t="shared" si="32"/>
        <v>37824.002</v>
      </c>
      <c r="H74" s="608">
        <f t="shared" si="32"/>
        <v>38195.887000000002</v>
      </c>
      <c r="I74" s="608">
        <f t="shared" si="32"/>
        <v>38555.414000000004</v>
      </c>
      <c r="J74" s="608">
        <f t="shared" si="32"/>
        <v>38981.269</v>
      </c>
      <c r="K74" s="608">
        <f t="shared" si="32"/>
        <v>39479.936999999998</v>
      </c>
      <c r="L74" s="608">
        <f t="shared" si="32"/>
        <v>39959.109136200001</v>
      </c>
      <c r="M74" s="608">
        <f t="shared" si="32"/>
        <v>40461.494440797003</v>
      </c>
      <c r="N74" s="608">
        <f t="shared" si="32"/>
        <v>40985.877223068492</v>
      </c>
      <c r="O74" s="608">
        <f t="shared" si="32"/>
        <v>41521.021264533643</v>
      </c>
      <c r="P74" s="608">
        <f t="shared" si="32"/>
        <v>42080.286545302632</v>
      </c>
    </row>
    <row r="75" spans="1:16" ht="11.25" x14ac:dyDescent="0.2">
      <c r="A75" s="655" t="s">
        <v>101</v>
      </c>
      <c r="B75" s="617"/>
      <c r="C75" s="617">
        <v>0</v>
      </c>
      <c r="D75" s="617">
        <v>0</v>
      </c>
      <c r="E75" s="617">
        <v>0</v>
      </c>
      <c r="F75" s="617">
        <v>0</v>
      </c>
      <c r="G75" s="617">
        <v>0</v>
      </c>
      <c r="H75" s="617">
        <v>0</v>
      </c>
      <c r="I75" s="617">
        <v>0</v>
      </c>
      <c r="J75" s="617">
        <v>0</v>
      </c>
      <c r="K75" s="617">
        <v>0</v>
      </c>
      <c r="L75" s="617">
        <v>0</v>
      </c>
      <c r="M75" s="617">
        <v>0</v>
      </c>
      <c r="N75" s="617">
        <v>0</v>
      </c>
      <c r="O75" s="617">
        <v>0</v>
      </c>
      <c r="P75" s="617">
        <v>0</v>
      </c>
    </row>
    <row r="76" spans="1:16" ht="11.25" x14ac:dyDescent="0.2">
      <c r="A76" s="654" t="s">
        <v>102</v>
      </c>
      <c r="B76" s="608">
        <f>SUM(B74:B75)</f>
        <v>0</v>
      </c>
      <c r="C76" s="608">
        <f t="shared" ref="C76:P76" si="33">SUM(C74:C75)</f>
        <v>0</v>
      </c>
      <c r="D76" s="608">
        <f t="shared" si="33"/>
        <v>0</v>
      </c>
      <c r="E76" s="608">
        <f t="shared" si="33"/>
        <v>36711</v>
      </c>
      <c r="F76" s="608">
        <f t="shared" si="33"/>
        <v>37570</v>
      </c>
      <c r="G76" s="608">
        <f t="shared" si="33"/>
        <v>37824.002</v>
      </c>
      <c r="H76" s="608">
        <f t="shared" si="33"/>
        <v>38195.887000000002</v>
      </c>
      <c r="I76" s="608">
        <f t="shared" si="33"/>
        <v>38555.414000000004</v>
      </c>
      <c r="J76" s="608">
        <f t="shared" si="33"/>
        <v>38981.269</v>
      </c>
      <c r="K76" s="608">
        <f t="shared" si="33"/>
        <v>39479.936999999998</v>
      </c>
      <c r="L76" s="608">
        <f t="shared" si="33"/>
        <v>39959.109136200001</v>
      </c>
      <c r="M76" s="608">
        <f t="shared" si="33"/>
        <v>40461.494440797003</v>
      </c>
      <c r="N76" s="608">
        <f t="shared" si="33"/>
        <v>40985.877223068492</v>
      </c>
      <c r="O76" s="608">
        <f t="shared" si="33"/>
        <v>41521.021264533643</v>
      </c>
      <c r="P76" s="608">
        <f t="shared" si="33"/>
        <v>42080.286545302632</v>
      </c>
    </row>
    <row r="77" spans="1:16" ht="11.25" x14ac:dyDescent="0.2">
      <c r="B77" s="608"/>
      <c r="C77" s="608"/>
      <c r="D77" s="608"/>
      <c r="E77" s="608"/>
      <c r="F77" s="608"/>
      <c r="G77" s="608"/>
      <c r="H77" s="608"/>
      <c r="I77" s="608"/>
      <c r="J77" s="608"/>
      <c r="K77" s="608"/>
      <c r="L77" s="608"/>
      <c r="M77" s="608"/>
      <c r="N77" s="608"/>
      <c r="O77" s="608"/>
      <c r="P77" s="608"/>
    </row>
    <row r="78" spans="1:16" ht="11.25" x14ac:dyDescent="0.2">
      <c r="A78" s="654" t="s">
        <v>76</v>
      </c>
      <c r="B78" s="608">
        <f>+'GF &amp; FF  Inc Exp Statement'!B182</f>
        <v>0</v>
      </c>
      <c r="C78" s="621">
        <f>+'GF &amp; FF  Inc Exp Statement'!C182</f>
        <v>0</v>
      </c>
      <c r="D78" s="608">
        <f>+'GF &amp; FF  Inc Exp Statement'!D182</f>
        <v>0</v>
      </c>
      <c r="E78" s="621">
        <f>'Water  Fund  Inc Exp Statement '!E176</f>
        <v>859</v>
      </c>
      <c r="F78" s="621">
        <f>'Water  Fund  Inc Exp Statement '!F176</f>
        <v>254.0019999999995</v>
      </c>
      <c r="G78" s="621">
        <f>'Water  Fund  Inc Exp Statement '!G176</f>
        <v>371.88500000000022</v>
      </c>
      <c r="H78" s="621">
        <f>'Water  Fund  Inc Exp Statement '!H176</f>
        <v>359.52699999999913</v>
      </c>
      <c r="I78" s="621">
        <f>'Water  Fund  Inc Exp Statement '!I176</f>
        <v>425.85499999999956</v>
      </c>
      <c r="J78" s="621">
        <f>'Water  Fund  Inc Exp Statement '!J176</f>
        <v>498.66800000000057</v>
      </c>
      <c r="K78" s="621">
        <f>'Water  Fund  Inc Exp Statement '!K176</f>
        <v>479.17213620000075</v>
      </c>
      <c r="L78" s="621">
        <f>'Water  Fund  Inc Exp Statement '!L176</f>
        <v>502.38530459699996</v>
      </c>
      <c r="M78" s="621">
        <f>'Water  Fund  Inc Exp Statement '!M176</f>
        <v>524.38278227148567</v>
      </c>
      <c r="N78" s="621">
        <f>'Water  Fund  Inc Exp Statement '!N176</f>
        <v>535.14404146515244</v>
      </c>
      <c r="O78" s="621">
        <f>'Water  Fund  Inc Exp Statement '!O176</f>
        <v>559.2652807689883</v>
      </c>
      <c r="P78" s="621">
        <f>'Water  Fund  Inc Exp Statement '!P176</f>
        <v>584.32977301543542</v>
      </c>
    </row>
    <row r="79" spans="1:16" ht="11.25" x14ac:dyDescent="0.2">
      <c r="B79" s="608"/>
      <c r="C79" s="608"/>
      <c r="D79" s="608"/>
      <c r="E79" s="608"/>
      <c r="F79" s="608"/>
      <c r="G79" s="608"/>
      <c r="H79" s="608"/>
      <c r="I79" s="608"/>
      <c r="J79" s="608"/>
      <c r="K79" s="608"/>
      <c r="L79" s="608"/>
      <c r="M79" s="608"/>
      <c r="N79" s="608"/>
      <c r="O79" s="608"/>
      <c r="P79" s="608"/>
    </row>
    <row r="80" spans="1:16" ht="11.25" x14ac:dyDescent="0.2">
      <c r="A80" s="654" t="s">
        <v>105</v>
      </c>
      <c r="B80" s="674">
        <f>+B78</f>
        <v>0</v>
      </c>
      <c r="C80" s="619">
        <f t="shared" ref="C80:P80" si="34">+C78</f>
        <v>0</v>
      </c>
      <c r="D80" s="674">
        <f t="shared" si="34"/>
        <v>0</v>
      </c>
      <c r="E80" s="619">
        <f t="shared" si="34"/>
        <v>859</v>
      </c>
      <c r="F80" s="619">
        <f t="shared" si="34"/>
        <v>254.0019999999995</v>
      </c>
      <c r="G80" s="619">
        <f t="shared" si="34"/>
        <v>371.88500000000022</v>
      </c>
      <c r="H80" s="619">
        <f t="shared" si="34"/>
        <v>359.52699999999913</v>
      </c>
      <c r="I80" s="619">
        <f t="shared" si="34"/>
        <v>425.85499999999956</v>
      </c>
      <c r="J80" s="619">
        <f t="shared" si="34"/>
        <v>498.66800000000057</v>
      </c>
      <c r="K80" s="619">
        <f t="shared" si="34"/>
        <v>479.17213620000075</v>
      </c>
      <c r="L80" s="674">
        <f t="shared" si="34"/>
        <v>502.38530459699996</v>
      </c>
      <c r="M80" s="674">
        <f t="shared" si="34"/>
        <v>524.38278227148567</v>
      </c>
      <c r="N80" s="674">
        <f t="shared" si="34"/>
        <v>535.14404146515244</v>
      </c>
      <c r="O80" s="674">
        <f t="shared" si="34"/>
        <v>559.2652807689883</v>
      </c>
      <c r="P80" s="674">
        <f t="shared" si="34"/>
        <v>584.32977301543542</v>
      </c>
    </row>
    <row r="81" spans="1:16" ht="12" thickBot="1" x14ac:dyDescent="0.25">
      <c r="A81" s="654" t="s">
        <v>106</v>
      </c>
      <c r="B81" s="658">
        <f t="shared" ref="B81:P81" si="35">+B76+B80</f>
        <v>0</v>
      </c>
      <c r="C81" s="658">
        <f t="shared" si="35"/>
        <v>0</v>
      </c>
      <c r="D81" s="658">
        <f t="shared" si="35"/>
        <v>0</v>
      </c>
      <c r="E81" s="658">
        <f t="shared" si="35"/>
        <v>37570</v>
      </c>
      <c r="F81" s="658">
        <f t="shared" si="35"/>
        <v>37824.002</v>
      </c>
      <c r="G81" s="658">
        <f t="shared" si="35"/>
        <v>38195.887000000002</v>
      </c>
      <c r="H81" s="658">
        <f t="shared" si="35"/>
        <v>38555.414000000004</v>
      </c>
      <c r="I81" s="658">
        <f t="shared" si="35"/>
        <v>38981.269</v>
      </c>
      <c r="J81" s="658">
        <f t="shared" si="35"/>
        <v>39479.936999999998</v>
      </c>
      <c r="K81" s="658">
        <f t="shared" si="35"/>
        <v>39959.109136200001</v>
      </c>
      <c r="L81" s="658">
        <f t="shared" si="35"/>
        <v>40461.494440797003</v>
      </c>
      <c r="M81" s="658">
        <f t="shared" si="35"/>
        <v>40985.877223068492</v>
      </c>
      <c r="N81" s="658">
        <f t="shared" si="35"/>
        <v>41521.021264533643</v>
      </c>
      <c r="O81" s="658">
        <f t="shared" si="35"/>
        <v>42080.286545302632</v>
      </c>
      <c r="P81" s="658">
        <f t="shared" si="35"/>
        <v>42664.616318318069</v>
      </c>
    </row>
    <row r="82" spans="1:16" ht="11.25" x14ac:dyDescent="0.2">
      <c r="B82" s="608"/>
      <c r="C82" s="608"/>
      <c r="D82" s="608"/>
      <c r="E82" s="608"/>
      <c r="F82" s="608"/>
      <c r="G82" s="608"/>
      <c r="H82" s="608"/>
      <c r="I82" s="608"/>
      <c r="J82" s="608"/>
      <c r="K82" s="608"/>
      <c r="L82" s="608"/>
      <c r="M82" s="608"/>
      <c r="N82" s="608"/>
      <c r="O82" s="608"/>
      <c r="P82" s="608"/>
    </row>
    <row r="83" spans="1:16" ht="11.25" x14ac:dyDescent="0.2">
      <c r="A83" s="654" t="s">
        <v>107</v>
      </c>
      <c r="B83" s="608"/>
      <c r="C83" s="608"/>
      <c r="D83" s="608"/>
      <c r="E83" s="608"/>
      <c r="F83" s="608"/>
      <c r="G83" s="608"/>
      <c r="H83" s="608"/>
      <c r="I83" s="608"/>
      <c r="J83" s="608"/>
      <c r="K83" s="608"/>
      <c r="L83" s="608"/>
      <c r="M83" s="608"/>
      <c r="N83" s="608"/>
      <c r="O83" s="608"/>
      <c r="P83" s="608"/>
    </row>
    <row r="84" spans="1:16" ht="11.25" x14ac:dyDescent="0.2">
      <c r="A84" s="654" t="s">
        <v>100</v>
      </c>
      <c r="B84" s="608"/>
      <c r="C84" s="608">
        <f>+B90</f>
        <v>0</v>
      </c>
      <c r="D84" s="608">
        <f>D16</f>
        <v>0</v>
      </c>
      <c r="E84" s="608">
        <f>E16</f>
        <v>29676</v>
      </c>
      <c r="F84" s="608">
        <f t="shared" ref="F84:P84" si="36">+E90</f>
        <v>29676</v>
      </c>
      <c r="G84" s="608">
        <f t="shared" si="36"/>
        <v>29676</v>
      </c>
      <c r="H84" s="608">
        <f t="shared" si="36"/>
        <v>29676</v>
      </c>
      <c r="I84" s="608">
        <f t="shared" si="36"/>
        <v>29676</v>
      </c>
      <c r="J84" s="608">
        <f t="shared" si="36"/>
        <v>29676</v>
      </c>
      <c r="K84" s="608">
        <f t="shared" si="36"/>
        <v>29676</v>
      </c>
      <c r="L84" s="608">
        <f t="shared" si="36"/>
        <v>29676</v>
      </c>
      <c r="M84" s="608">
        <f t="shared" si="36"/>
        <v>29676</v>
      </c>
      <c r="N84" s="608">
        <f t="shared" si="36"/>
        <v>29676</v>
      </c>
      <c r="O84" s="608">
        <f t="shared" si="36"/>
        <v>29676</v>
      </c>
      <c r="P84" s="608">
        <f t="shared" si="36"/>
        <v>29676</v>
      </c>
    </row>
    <row r="85" spans="1:16" ht="11.25" x14ac:dyDescent="0.2">
      <c r="A85" s="655" t="s">
        <v>101</v>
      </c>
      <c r="B85" s="617">
        <v>0</v>
      </c>
      <c r="C85" s="617">
        <v>0</v>
      </c>
      <c r="D85" s="617">
        <v>0</v>
      </c>
      <c r="E85" s="617">
        <v>0</v>
      </c>
      <c r="F85" s="617">
        <v>0</v>
      </c>
      <c r="G85" s="617">
        <v>0</v>
      </c>
      <c r="H85" s="617">
        <v>0</v>
      </c>
      <c r="I85" s="617">
        <v>0</v>
      </c>
      <c r="J85" s="617">
        <v>0</v>
      </c>
      <c r="K85" s="617">
        <v>0</v>
      </c>
      <c r="L85" s="617">
        <v>0</v>
      </c>
      <c r="M85" s="617">
        <v>0</v>
      </c>
      <c r="N85" s="617">
        <v>0</v>
      </c>
      <c r="O85" s="617">
        <v>0</v>
      </c>
      <c r="P85" s="617">
        <v>0</v>
      </c>
    </row>
    <row r="86" spans="1:16" ht="11.25" x14ac:dyDescent="0.2">
      <c r="A86" s="654" t="s">
        <v>102</v>
      </c>
      <c r="B86" s="675">
        <f>SUM(B84:B85)</f>
        <v>0</v>
      </c>
      <c r="C86" s="675">
        <f t="shared" ref="C86:P86" si="37">SUM(C84:C85)</f>
        <v>0</v>
      </c>
      <c r="D86" s="675">
        <f t="shared" si="37"/>
        <v>0</v>
      </c>
      <c r="E86" s="675">
        <f t="shared" si="37"/>
        <v>29676</v>
      </c>
      <c r="F86" s="675">
        <f t="shared" si="37"/>
        <v>29676</v>
      </c>
      <c r="G86" s="675">
        <f t="shared" si="37"/>
        <v>29676</v>
      </c>
      <c r="H86" s="675">
        <f t="shared" si="37"/>
        <v>29676</v>
      </c>
      <c r="I86" s="675">
        <f t="shared" si="37"/>
        <v>29676</v>
      </c>
      <c r="J86" s="675">
        <f t="shared" si="37"/>
        <v>29676</v>
      </c>
      <c r="K86" s="675">
        <f t="shared" si="37"/>
        <v>29676</v>
      </c>
      <c r="L86" s="675">
        <f t="shared" si="37"/>
        <v>29676</v>
      </c>
      <c r="M86" s="675">
        <f t="shared" si="37"/>
        <v>29676</v>
      </c>
      <c r="N86" s="675">
        <f t="shared" si="37"/>
        <v>29676</v>
      </c>
      <c r="O86" s="675">
        <f t="shared" si="37"/>
        <v>29676</v>
      </c>
      <c r="P86" s="675">
        <f t="shared" si="37"/>
        <v>29676</v>
      </c>
    </row>
    <row r="87" spans="1:16" ht="11.25" x14ac:dyDescent="0.2">
      <c r="B87" s="608"/>
      <c r="C87" s="608"/>
      <c r="D87" s="608"/>
      <c r="E87" s="608"/>
      <c r="F87" s="608"/>
      <c r="G87" s="608"/>
      <c r="H87" s="608"/>
      <c r="I87" s="608"/>
      <c r="J87" s="608"/>
      <c r="K87" s="608"/>
      <c r="L87" s="608"/>
      <c r="M87" s="608"/>
      <c r="N87" s="608"/>
      <c r="O87" s="608"/>
      <c r="P87" s="608"/>
    </row>
    <row r="88" spans="1:16" ht="11.25" x14ac:dyDescent="0.2">
      <c r="A88" s="653" t="s">
        <v>104</v>
      </c>
      <c r="B88" s="621">
        <v>0</v>
      </c>
      <c r="C88" s="621">
        <f>C54</f>
        <v>0</v>
      </c>
      <c r="D88" s="621">
        <f t="shared" ref="D88:P88" si="38">D54</f>
        <v>0</v>
      </c>
      <c r="E88" s="621">
        <f t="shared" si="38"/>
        <v>0</v>
      </c>
      <c r="F88" s="621">
        <f t="shared" si="38"/>
        <v>0</v>
      </c>
      <c r="G88" s="621">
        <f t="shared" si="38"/>
        <v>0</v>
      </c>
      <c r="H88" s="621">
        <f t="shared" si="38"/>
        <v>0</v>
      </c>
      <c r="I88" s="621">
        <f t="shared" si="38"/>
        <v>0</v>
      </c>
      <c r="J88" s="621">
        <f t="shared" si="38"/>
        <v>0</v>
      </c>
      <c r="K88" s="621">
        <f t="shared" si="38"/>
        <v>0</v>
      </c>
      <c r="L88" s="621">
        <f t="shared" si="38"/>
        <v>0</v>
      </c>
      <c r="M88" s="621">
        <f t="shared" si="38"/>
        <v>0</v>
      </c>
      <c r="N88" s="621">
        <f t="shared" si="38"/>
        <v>0</v>
      </c>
      <c r="O88" s="621">
        <f t="shared" si="38"/>
        <v>0</v>
      </c>
      <c r="P88" s="621">
        <f t="shared" si="38"/>
        <v>0</v>
      </c>
    </row>
    <row r="89" spans="1:16" ht="11.25" x14ac:dyDescent="0.2">
      <c r="A89" s="654" t="s">
        <v>105</v>
      </c>
      <c r="B89" s="674">
        <f>+B86+B88</f>
        <v>0</v>
      </c>
      <c r="C89" s="674">
        <f>C86+C88</f>
        <v>0</v>
      </c>
      <c r="D89" s="674">
        <f t="shared" ref="D89:P89" si="39">D86+D88</f>
        <v>0</v>
      </c>
      <c r="E89" s="674">
        <f t="shared" si="39"/>
        <v>29676</v>
      </c>
      <c r="F89" s="674">
        <f t="shared" si="39"/>
        <v>29676</v>
      </c>
      <c r="G89" s="674">
        <f t="shared" si="39"/>
        <v>29676</v>
      </c>
      <c r="H89" s="674">
        <f t="shared" si="39"/>
        <v>29676</v>
      </c>
      <c r="I89" s="674">
        <f t="shared" si="39"/>
        <v>29676</v>
      </c>
      <c r="J89" s="674">
        <f t="shared" si="39"/>
        <v>29676</v>
      </c>
      <c r="K89" s="674">
        <f t="shared" si="39"/>
        <v>29676</v>
      </c>
      <c r="L89" s="674">
        <f t="shared" si="39"/>
        <v>29676</v>
      </c>
      <c r="M89" s="674">
        <f t="shared" si="39"/>
        <v>29676</v>
      </c>
      <c r="N89" s="674">
        <f t="shared" si="39"/>
        <v>29676</v>
      </c>
      <c r="O89" s="674">
        <f t="shared" si="39"/>
        <v>29676</v>
      </c>
      <c r="P89" s="674">
        <f t="shared" si="39"/>
        <v>29676</v>
      </c>
    </row>
    <row r="90" spans="1:16" ht="12" thickBot="1" x14ac:dyDescent="0.25">
      <c r="A90" s="654" t="s">
        <v>106</v>
      </c>
      <c r="B90" s="658">
        <f>+B89</f>
        <v>0</v>
      </c>
      <c r="C90" s="658">
        <f t="shared" ref="C90:P90" si="40">+C89</f>
        <v>0</v>
      </c>
      <c r="D90" s="658">
        <f t="shared" si="40"/>
        <v>0</v>
      </c>
      <c r="E90" s="658">
        <f t="shared" si="40"/>
        <v>29676</v>
      </c>
      <c r="F90" s="658">
        <f t="shared" si="40"/>
        <v>29676</v>
      </c>
      <c r="G90" s="658">
        <f t="shared" si="40"/>
        <v>29676</v>
      </c>
      <c r="H90" s="658">
        <f t="shared" si="40"/>
        <v>29676</v>
      </c>
      <c r="I90" s="658">
        <f t="shared" si="40"/>
        <v>29676</v>
      </c>
      <c r="J90" s="658">
        <f t="shared" si="40"/>
        <v>29676</v>
      </c>
      <c r="K90" s="658">
        <f t="shared" si="40"/>
        <v>29676</v>
      </c>
      <c r="L90" s="658">
        <f t="shared" si="40"/>
        <v>29676</v>
      </c>
      <c r="M90" s="658">
        <f t="shared" si="40"/>
        <v>29676</v>
      </c>
      <c r="N90" s="658">
        <f t="shared" si="40"/>
        <v>29676</v>
      </c>
      <c r="O90" s="658">
        <f t="shared" si="40"/>
        <v>29676</v>
      </c>
      <c r="P90" s="658">
        <f t="shared" si="40"/>
        <v>29676</v>
      </c>
    </row>
    <row r="91" spans="1:16" ht="11.25" x14ac:dyDescent="0.2">
      <c r="B91" s="608"/>
      <c r="C91" s="608"/>
      <c r="D91" s="608"/>
      <c r="E91" s="608"/>
      <c r="F91" s="608"/>
      <c r="G91" s="608"/>
      <c r="H91" s="608"/>
      <c r="I91" s="608"/>
      <c r="J91" s="608"/>
      <c r="K91" s="608"/>
      <c r="L91" s="608"/>
      <c r="M91" s="608"/>
      <c r="N91" s="608"/>
      <c r="O91" s="608"/>
      <c r="P91" s="608"/>
    </row>
    <row r="92" spans="1:16" ht="11.25" x14ac:dyDescent="0.2">
      <c r="A92" s="654" t="s">
        <v>108</v>
      </c>
    </row>
    <row r="93" spans="1:16" ht="11.25" x14ac:dyDescent="0.2">
      <c r="A93" s="654" t="s">
        <v>100</v>
      </c>
      <c r="B93" s="608">
        <f>+B74+B84</f>
        <v>0</v>
      </c>
      <c r="C93" s="608">
        <f t="shared" ref="C93:P94" si="41">+C74+C84</f>
        <v>0</v>
      </c>
      <c r="D93" s="608">
        <f t="shared" si="41"/>
        <v>0</v>
      </c>
      <c r="E93" s="608">
        <f t="shared" si="41"/>
        <v>66387</v>
      </c>
      <c r="F93" s="608">
        <f t="shared" si="41"/>
        <v>67246</v>
      </c>
      <c r="G93" s="608">
        <f t="shared" si="41"/>
        <v>67500.002000000008</v>
      </c>
      <c r="H93" s="608">
        <f t="shared" si="41"/>
        <v>67871.887000000002</v>
      </c>
      <c r="I93" s="608">
        <f t="shared" si="41"/>
        <v>68231.414000000004</v>
      </c>
      <c r="J93" s="608">
        <f t="shared" si="41"/>
        <v>68657.269</v>
      </c>
      <c r="K93" s="608">
        <f t="shared" si="41"/>
        <v>69155.937000000005</v>
      </c>
      <c r="L93" s="608">
        <f t="shared" si="41"/>
        <v>69635.109136200001</v>
      </c>
      <c r="M93" s="608">
        <f t="shared" si="41"/>
        <v>70137.494440797003</v>
      </c>
      <c r="N93" s="608">
        <f t="shared" si="41"/>
        <v>70661.877223068499</v>
      </c>
      <c r="O93" s="608">
        <f t="shared" si="41"/>
        <v>71197.021264533643</v>
      </c>
      <c r="P93" s="608">
        <f t="shared" si="41"/>
        <v>71756.286545302632</v>
      </c>
    </row>
    <row r="94" spans="1:16" ht="11.25" x14ac:dyDescent="0.2">
      <c r="A94" s="655" t="s">
        <v>101</v>
      </c>
      <c r="B94" s="617">
        <f>+B75+B85</f>
        <v>0</v>
      </c>
      <c r="C94" s="617">
        <f t="shared" si="41"/>
        <v>0</v>
      </c>
      <c r="D94" s="617">
        <f t="shared" si="41"/>
        <v>0</v>
      </c>
      <c r="E94" s="617">
        <f t="shared" si="41"/>
        <v>0</v>
      </c>
      <c r="F94" s="617">
        <f t="shared" si="41"/>
        <v>0</v>
      </c>
      <c r="G94" s="617">
        <f t="shared" si="41"/>
        <v>0</v>
      </c>
      <c r="H94" s="617">
        <f t="shared" si="41"/>
        <v>0</v>
      </c>
      <c r="I94" s="617">
        <f t="shared" si="41"/>
        <v>0</v>
      </c>
      <c r="J94" s="617">
        <f t="shared" si="41"/>
        <v>0</v>
      </c>
      <c r="K94" s="617">
        <f t="shared" si="41"/>
        <v>0</v>
      </c>
      <c r="L94" s="617">
        <f t="shared" si="41"/>
        <v>0</v>
      </c>
      <c r="M94" s="617">
        <f t="shared" si="41"/>
        <v>0</v>
      </c>
      <c r="N94" s="617">
        <f t="shared" si="41"/>
        <v>0</v>
      </c>
      <c r="O94" s="617">
        <f t="shared" si="41"/>
        <v>0</v>
      </c>
      <c r="P94" s="617">
        <f t="shared" si="41"/>
        <v>0</v>
      </c>
    </row>
    <row r="95" spans="1:16" ht="11.25" x14ac:dyDescent="0.2">
      <c r="A95" s="654" t="s">
        <v>102</v>
      </c>
      <c r="B95" s="608">
        <f>SUM(B93:B94)</f>
        <v>0</v>
      </c>
      <c r="C95" s="608">
        <f t="shared" ref="C95:P95" si="42">SUM(C93:C94)</f>
        <v>0</v>
      </c>
      <c r="D95" s="608">
        <f t="shared" si="42"/>
        <v>0</v>
      </c>
      <c r="E95" s="608">
        <f t="shared" si="42"/>
        <v>66387</v>
      </c>
      <c r="F95" s="608">
        <f t="shared" si="42"/>
        <v>67246</v>
      </c>
      <c r="G95" s="608">
        <f t="shared" si="42"/>
        <v>67500.002000000008</v>
      </c>
      <c r="H95" s="608">
        <f t="shared" si="42"/>
        <v>67871.887000000002</v>
      </c>
      <c r="I95" s="608">
        <f t="shared" si="42"/>
        <v>68231.414000000004</v>
      </c>
      <c r="J95" s="608">
        <f t="shared" si="42"/>
        <v>68657.269</v>
      </c>
      <c r="K95" s="608">
        <f t="shared" si="42"/>
        <v>69155.937000000005</v>
      </c>
      <c r="L95" s="608">
        <f t="shared" si="42"/>
        <v>69635.109136200001</v>
      </c>
      <c r="M95" s="608">
        <f t="shared" si="42"/>
        <v>70137.494440797003</v>
      </c>
      <c r="N95" s="608">
        <f t="shared" si="42"/>
        <v>70661.877223068499</v>
      </c>
      <c r="O95" s="608">
        <f t="shared" si="42"/>
        <v>71197.021264533643</v>
      </c>
      <c r="P95" s="608">
        <f t="shared" si="42"/>
        <v>71756.286545302632</v>
      </c>
    </row>
    <row r="96" spans="1:16" ht="11.25" x14ac:dyDescent="0.2">
      <c r="B96" s="608"/>
      <c r="C96" s="608"/>
      <c r="D96" s="608"/>
      <c r="E96" s="608"/>
      <c r="F96" s="608"/>
      <c r="G96" s="608"/>
      <c r="H96" s="608"/>
      <c r="I96" s="608"/>
      <c r="J96" s="608"/>
      <c r="K96" s="608"/>
      <c r="L96" s="608"/>
      <c r="M96" s="608"/>
      <c r="N96" s="608"/>
      <c r="O96" s="608"/>
      <c r="P96" s="608"/>
    </row>
    <row r="97" spans="1:16" ht="11.25" x14ac:dyDescent="0.2">
      <c r="A97" s="654" t="s">
        <v>76</v>
      </c>
      <c r="B97" s="621">
        <f>+B78</f>
        <v>0</v>
      </c>
      <c r="C97" s="621">
        <f t="shared" ref="C97:D97" si="43">+C78</f>
        <v>0</v>
      </c>
      <c r="D97" s="621">
        <f t="shared" si="43"/>
        <v>0</v>
      </c>
      <c r="E97" s="621">
        <f>'Water  Fund  Inc Exp Statement '!E183</f>
        <v>859</v>
      </c>
      <c r="F97" s="621">
        <f>'Water  Fund  Inc Exp Statement '!F183</f>
        <v>254.0019999999995</v>
      </c>
      <c r="G97" s="621">
        <f>'Water  Fund  Inc Exp Statement '!G183</f>
        <v>371.88500000000022</v>
      </c>
      <c r="H97" s="621">
        <f>'Water  Fund  Inc Exp Statement '!H183</f>
        <v>359.52699999999913</v>
      </c>
      <c r="I97" s="621">
        <f>'Water  Fund  Inc Exp Statement '!I183</f>
        <v>425.85499999999956</v>
      </c>
      <c r="J97" s="621">
        <f>'Water  Fund  Inc Exp Statement '!J183</f>
        <v>498.66800000000057</v>
      </c>
      <c r="K97" s="621">
        <f>'Water  Fund  Inc Exp Statement '!K183</f>
        <v>479.17213620000075</v>
      </c>
      <c r="L97" s="621">
        <f>'Water  Fund  Inc Exp Statement '!L183</f>
        <v>502.38530459699996</v>
      </c>
      <c r="M97" s="621">
        <f>'Water  Fund  Inc Exp Statement '!M183</f>
        <v>524.38278227148567</v>
      </c>
      <c r="N97" s="621">
        <f>'Water  Fund  Inc Exp Statement '!N183</f>
        <v>535.14404146515244</v>
      </c>
      <c r="O97" s="621">
        <f>'Water  Fund  Inc Exp Statement '!O183</f>
        <v>559.2652807689883</v>
      </c>
      <c r="P97" s="621">
        <f>'Water  Fund  Inc Exp Statement '!P183</f>
        <v>584.32977301543542</v>
      </c>
    </row>
    <row r="98" spans="1:16" ht="11.25" x14ac:dyDescent="0.2">
      <c r="B98" s="608"/>
      <c r="C98" s="608"/>
      <c r="D98" s="608"/>
      <c r="E98" s="608"/>
      <c r="F98" s="608"/>
      <c r="G98" s="608"/>
      <c r="H98" s="608"/>
      <c r="I98" s="608"/>
      <c r="J98" s="608"/>
      <c r="K98" s="608"/>
      <c r="L98" s="608"/>
      <c r="M98" s="608"/>
      <c r="N98" s="608"/>
      <c r="O98" s="608"/>
      <c r="P98" s="608"/>
    </row>
    <row r="99" spans="1:16" ht="11.25" x14ac:dyDescent="0.2">
      <c r="A99" s="654" t="s">
        <v>105</v>
      </c>
      <c r="B99" s="674">
        <f>+B80</f>
        <v>0</v>
      </c>
      <c r="C99" s="619">
        <f t="shared" ref="C99:P99" si="44">+C97</f>
        <v>0</v>
      </c>
      <c r="D99" s="674">
        <f t="shared" si="44"/>
        <v>0</v>
      </c>
      <c r="E99" s="619">
        <f t="shared" si="44"/>
        <v>859</v>
      </c>
      <c r="F99" s="619">
        <f t="shared" si="44"/>
        <v>254.0019999999995</v>
      </c>
      <c r="G99" s="619">
        <f t="shared" si="44"/>
        <v>371.88500000000022</v>
      </c>
      <c r="H99" s="619">
        <f t="shared" si="44"/>
        <v>359.52699999999913</v>
      </c>
      <c r="I99" s="619">
        <f t="shared" si="44"/>
        <v>425.85499999999956</v>
      </c>
      <c r="J99" s="619">
        <f t="shared" si="44"/>
        <v>498.66800000000057</v>
      </c>
      <c r="K99" s="619">
        <f t="shared" si="44"/>
        <v>479.17213620000075</v>
      </c>
      <c r="L99" s="674">
        <f t="shared" si="44"/>
        <v>502.38530459699996</v>
      </c>
      <c r="M99" s="674">
        <f t="shared" si="44"/>
        <v>524.38278227148567</v>
      </c>
      <c r="N99" s="674">
        <f t="shared" si="44"/>
        <v>535.14404146515244</v>
      </c>
      <c r="O99" s="674">
        <f t="shared" si="44"/>
        <v>559.2652807689883</v>
      </c>
      <c r="P99" s="674">
        <f t="shared" si="44"/>
        <v>584.32977301543542</v>
      </c>
    </row>
    <row r="100" spans="1:16" ht="12" thickBot="1" x14ac:dyDescent="0.25">
      <c r="A100" s="653" t="s">
        <v>104</v>
      </c>
      <c r="B100" s="633">
        <f>+B88</f>
        <v>0</v>
      </c>
      <c r="C100" s="633">
        <f t="shared" ref="C100:P100" si="45">+C88</f>
        <v>0</v>
      </c>
      <c r="D100" s="633">
        <f t="shared" si="45"/>
        <v>0</v>
      </c>
      <c r="E100" s="633">
        <f t="shared" si="45"/>
        <v>0</v>
      </c>
      <c r="F100" s="633">
        <f t="shared" si="45"/>
        <v>0</v>
      </c>
      <c r="G100" s="633">
        <f t="shared" si="45"/>
        <v>0</v>
      </c>
      <c r="H100" s="633">
        <f t="shared" si="45"/>
        <v>0</v>
      </c>
      <c r="I100" s="633">
        <f t="shared" si="45"/>
        <v>0</v>
      </c>
      <c r="J100" s="633">
        <f t="shared" si="45"/>
        <v>0</v>
      </c>
      <c r="K100" s="633">
        <f t="shared" si="45"/>
        <v>0</v>
      </c>
      <c r="L100" s="633">
        <f t="shared" si="45"/>
        <v>0</v>
      </c>
      <c r="M100" s="633">
        <f t="shared" si="45"/>
        <v>0</v>
      </c>
      <c r="N100" s="633">
        <f t="shared" si="45"/>
        <v>0</v>
      </c>
      <c r="O100" s="633">
        <f t="shared" si="45"/>
        <v>0</v>
      </c>
      <c r="P100" s="633">
        <f t="shared" si="45"/>
        <v>0</v>
      </c>
    </row>
    <row r="101" spans="1:16" ht="12" thickBot="1" x14ac:dyDescent="0.25">
      <c r="A101" s="654" t="s">
        <v>106</v>
      </c>
      <c r="B101" s="668">
        <f>+B95+B99+B100</f>
        <v>0</v>
      </c>
      <c r="C101" s="668">
        <f t="shared" ref="C101:P101" si="46">+C95+C99+C100</f>
        <v>0</v>
      </c>
      <c r="D101" s="668">
        <f t="shared" si="46"/>
        <v>0</v>
      </c>
      <c r="E101" s="668">
        <f t="shared" si="46"/>
        <v>67246</v>
      </c>
      <c r="F101" s="668">
        <f t="shared" si="46"/>
        <v>67500.001999999993</v>
      </c>
      <c r="G101" s="668">
        <f t="shared" si="46"/>
        <v>67871.887000000002</v>
      </c>
      <c r="H101" s="668">
        <f t="shared" si="46"/>
        <v>68231.414000000004</v>
      </c>
      <c r="I101" s="668">
        <f t="shared" si="46"/>
        <v>68657.269</v>
      </c>
      <c r="J101" s="668">
        <f t="shared" si="46"/>
        <v>69155.937000000005</v>
      </c>
      <c r="K101" s="668">
        <f t="shared" si="46"/>
        <v>69635.109136200001</v>
      </c>
      <c r="L101" s="668">
        <f t="shared" si="46"/>
        <v>70137.494440797003</v>
      </c>
      <c r="M101" s="668">
        <f t="shared" si="46"/>
        <v>70661.877223068484</v>
      </c>
      <c r="N101" s="668">
        <f t="shared" si="46"/>
        <v>71197.021264533658</v>
      </c>
      <c r="O101" s="668">
        <f t="shared" si="46"/>
        <v>71756.286545302632</v>
      </c>
      <c r="P101" s="668">
        <f t="shared" si="46"/>
        <v>72340.616318318062</v>
      </c>
    </row>
    <row r="102" spans="1:16" ht="12" thickTop="1" x14ac:dyDescent="0.2"/>
  </sheetData>
  <pageMargins left="0.70866141732283472" right="0.70866141732283472" top="0.74803149606299213" bottom="0.74803149606299213" header="0.31496062992125984" footer="0.31496062992125984"/>
  <pageSetup paperSize="9" scale="91" fitToHeight="0" orientation="landscape" r:id="rId1"/>
  <rowBreaks count="2" manualBreakCount="2">
    <brk id="34" max="16383" man="1"/>
    <brk id="6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1:AE210"/>
  <sheetViews>
    <sheetView zoomScaleNormal="100" workbookViewId="0">
      <pane xSplit="3" ySplit="3" topLeftCell="F90" activePane="bottomRight" state="frozen"/>
      <selection pane="topRight" activeCell="D1" sqref="D1"/>
      <selection pane="bottomLeft" activeCell="A3" sqref="A3"/>
      <selection pane="bottomRight" activeCell="A8" sqref="A8"/>
    </sheetView>
  </sheetViews>
  <sheetFormatPr defaultColWidth="9.109375" defaultRowHeight="10.199999999999999" outlineLevelRow="1" outlineLevelCol="2" x14ac:dyDescent="0.2"/>
  <cols>
    <col min="1" max="1" width="35.44140625" style="600" customWidth="1"/>
    <col min="2" max="2" width="12.6640625" style="599" hidden="1" customWidth="1" outlineLevel="1"/>
    <col min="3" max="3" width="11" style="599" hidden="1" customWidth="1" outlineLevel="1"/>
    <col min="4" max="4" width="10.109375" style="599" hidden="1" customWidth="1" outlineLevel="1" collapsed="1"/>
    <col min="5" max="5" width="9" style="599" hidden="1" customWidth="1" outlineLevel="2" collapsed="1"/>
    <col min="6" max="6" width="10.109375" style="599" customWidth="1" collapsed="1"/>
    <col min="7" max="7" width="9.5546875" style="599" bestFit="1" customWidth="1"/>
    <col min="8" max="8" width="9.88671875" style="599" bestFit="1" customWidth="1"/>
    <col min="9" max="9" width="9.5546875" style="599" bestFit="1" customWidth="1"/>
    <col min="10" max="11" width="10.109375" style="599" bestFit="1" customWidth="1"/>
    <col min="12" max="12" width="9.88671875" style="599" bestFit="1" customWidth="1"/>
    <col min="13" max="15" width="10.109375" style="599" bestFit="1" customWidth="1"/>
    <col min="16" max="16" width="9.88671875" style="599" customWidth="1"/>
    <col min="17" max="17" width="9.109375" style="599" customWidth="1"/>
    <col min="18" max="29" width="9.109375" style="599"/>
    <col min="30" max="30" width="49.6640625" style="599" bestFit="1" customWidth="1"/>
    <col min="31" max="31" width="10.6640625" style="599" bestFit="1" customWidth="1"/>
    <col min="32" max="16384" width="9.109375" style="599"/>
  </cols>
  <sheetData>
    <row r="1" spans="1:31" ht="12.75" x14ac:dyDescent="0.2">
      <c r="A1" s="1091" t="s">
        <v>1362</v>
      </c>
    </row>
    <row r="2" spans="1:31" ht="12" x14ac:dyDescent="0.2">
      <c r="A2" s="693" t="s">
        <v>1622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31" ht="11.25" x14ac:dyDescent="0.2">
      <c r="A3" s="693" t="s">
        <v>73</v>
      </c>
      <c r="B3" s="741" t="s">
        <v>68</v>
      </c>
      <c r="C3" s="694" t="s">
        <v>0</v>
      </c>
      <c r="D3" s="694" t="s">
        <v>1</v>
      </c>
      <c r="E3" s="694" t="s">
        <v>2</v>
      </c>
      <c r="F3" s="694" t="s">
        <v>3</v>
      </c>
      <c r="G3" s="694" t="s">
        <v>4</v>
      </c>
      <c r="H3" s="694" t="s">
        <v>5</v>
      </c>
      <c r="I3" s="694" t="s">
        <v>6</v>
      </c>
      <c r="J3" s="694" t="s">
        <v>7</v>
      </c>
      <c r="K3" s="694" t="s">
        <v>8</v>
      </c>
      <c r="L3" s="694" t="s">
        <v>9</v>
      </c>
      <c r="M3" s="694" t="s">
        <v>514</v>
      </c>
      <c r="N3" s="694" t="s">
        <v>515</v>
      </c>
      <c r="O3" s="694" t="s">
        <v>904</v>
      </c>
      <c r="P3" s="694" t="s">
        <v>1046</v>
      </c>
    </row>
    <row r="4" spans="1:31" ht="11.25" hidden="1" outlineLevel="1" x14ac:dyDescent="0.2">
      <c r="A4" s="695" t="s">
        <v>906</v>
      </c>
      <c r="B4" s="696"/>
      <c r="C4" s="697"/>
      <c r="D4" s="698"/>
      <c r="E4" s="698"/>
      <c r="F4" s="699"/>
      <c r="G4" s="757">
        <f>(G11-F11)/F11</f>
        <v>-3.3862301636886166E-2</v>
      </c>
      <c r="H4" s="757">
        <f t="shared" ref="H4:P4" si="0">(H11-G11)/G11</f>
        <v>6.814019658561829E-2</v>
      </c>
      <c r="I4" s="757">
        <f t="shared" si="0"/>
        <v>2.5858774697718606E-2</v>
      </c>
      <c r="J4" s="757">
        <f t="shared" si="0"/>
        <v>2.677982121763493E-2</v>
      </c>
      <c r="K4" s="757">
        <f t="shared" si="0"/>
        <v>2.4999999999999828E-2</v>
      </c>
      <c r="L4" s="757">
        <f t="shared" si="0"/>
        <v>2.4999999999999876E-2</v>
      </c>
      <c r="M4" s="757">
        <f t="shared" si="0"/>
        <v>2.499999999999987E-2</v>
      </c>
      <c r="N4" s="757">
        <f t="shared" si="0"/>
        <v>2.4999999999999932E-2</v>
      </c>
      <c r="O4" s="757">
        <f t="shared" si="0"/>
        <v>2.4999999999999904E-2</v>
      </c>
      <c r="P4" s="757">
        <f t="shared" si="0"/>
        <v>2.4999999999999918E-2</v>
      </c>
      <c r="R4" s="599" t="s">
        <v>1042</v>
      </c>
      <c r="AD4" s="601" t="s">
        <v>10</v>
      </c>
    </row>
    <row r="5" spans="1:31" ht="11.25" hidden="1" outlineLevel="1" x14ac:dyDescent="0.2">
      <c r="A5" s="695"/>
      <c r="B5" s="696"/>
      <c r="C5" s="697"/>
      <c r="D5" s="698"/>
      <c r="E5" s="698"/>
      <c r="F5" s="699"/>
      <c r="G5" s="757"/>
      <c r="H5" s="757"/>
      <c r="I5" s="757"/>
      <c r="J5" s="757"/>
      <c r="K5" s="757"/>
      <c r="L5" s="757"/>
      <c r="M5" s="757"/>
      <c r="N5" s="757"/>
      <c r="O5" s="757"/>
      <c r="P5" s="757"/>
      <c r="AD5" s="601"/>
    </row>
    <row r="6" spans="1:31" ht="11.25" hidden="1" outlineLevel="1" x14ac:dyDescent="0.2">
      <c r="A6" s="695" t="s">
        <v>408</v>
      </c>
      <c r="B6" s="696"/>
      <c r="C6" s="697"/>
      <c r="D6" s="698"/>
      <c r="E6" s="698"/>
      <c r="F6" s="699">
        <v>2724.7000000000007</v>
      </c>
      <c r="G6" s="777">
        <v>2514.1000000000004</v>
      </c>
      <c r="H6" s="777">
        <v>2488.8420000000006</v>
      </c>
      <c r="I6" s="777">
        <v>2566.7390000000014</v>
      </c>
      <c r="J6" s="777">
        <v>2647.9809999999998</v>
      </c>
      <c r="K6" s="757"/>
      <c r="L6" s="757"/>
      <c r="M6" s="757"/>
      <c r="N6" s="757"/>
      <c r="O6" s="757"/>
      <c r="P6" s="757"/>
      <c r="AD6" s="601"/>
    </row>
    <row r="7" spans="1:31" s="603" customFormat="1" ht="13.5" hidden="1" customHeight="1" outlineLevel="1" x14ac:dyDescent="0.2">
      <c r="A7" s="700" t="s">
        <v>1077</v>
      </c>
      <c r="B7" s="701"/>
      <c r="C7" s="702"/>
      <c r="D7" s="703"/>
      <c r="E7" s="703"/>
      <c r="F7" s="703">
        <v>2020</v>
      </c>
      <c r="G7" s="704">
        <v>2062.1750000000002</v>
      </c>
      <c r="H7" s="745">
        <v>2105.4029999999998</v>
      </c>
      <c r="I7" s="757">
        <v>2149.7130000000002</v>
      </c>
      <c r="J7" s="757">
        <v>2195.1309999999999</v>
      </c>
      <c r="K7" s="745"/>
      <c r="L7" s="745"/>
      <c r="M7" s="745"/>
      <c r="N7" s="745"/>
      <c r="O7" s="745"/>
      <c r="P7" s="745"/>
      <c r="R7" s="603" t="s">
        <v>1043</v>
      </c>
      <c r="AD7" s="602"/>
    </row>
    <row r="8" spans="1:31" s="603" customFormat="1" ht="16.5" customHeight="1" collapsed="1" x14ac:dyDescent="0.2">
      <c r="A8" s="700"/>
      <c r="B8" s="701"/>
      <c r="C8" s="702"/>
      <c r="D8" s="703"/>
      <c r="E8" s="703"/>
      <c r="F8" s="703"/>
      <c r="G8" s="704"/>
      <c r="H8" s="711"/>
      <c r="I8" s="711"/>
      <c r="K8" s="711"/>
      <c r="L8" s="711"/>
      <c r="M8" s="711"/>
      <c r="N8" s="711"/>
      <c r="O8" s="711"/>
      <c r="P8" s="711"/>
      <c r="AD8" s="602"/>
    </row>
    <row r="9" spans="1:31" ht="11.25" x14ac:dyDescent="0.2">
      <c r="A9" s="705" t="s">
        <v>61</v>
      </c>
      <c r="B9" s="706"/>
      <c r="C9" s="706"/>
      <c r="D9" s="702"/>
      <c r="E9" s="707"/>
      <c r="F9" s="707"/>
      <c r="G9" s="707"/>
      <c r="AD9" s="599" t="s">
        <v>11</v>
      </c>
      <c r="AE9" s="606">
        <f>+D11</f>
        <v>0</v>
      </c>
    </row>
    <row r="10" spans="1:31" ht="11.25" x14ac:dyDescent="0.2">
      <c r="A10" s="708" t="s">
        <v>62</v>
      </c>
      <c r="B10" s="709"/>
      <c r="C10" s="709"/>
      <c r="D10" s="710"/>
      <c r="E10" s="710"/>
      <c r="F10" s="711"/>
      <c r="G10" s="711"/>
      <c r="AE10" s="606"/>
    </row>
    <row r="11" spans="1:31" ht="11.25" x14ac:dyDescent="0.2">
      <c r="A11" s="700" t="s">
        <v>11</v>
      </c>
      <c r="B11" s="712"/>
      <c r="C11" s="712"/>
      <c r="D11" s="707"/>
      <c r="E11" s="707">
        <f>3350</f>
        <v>3350</v>
      </c>
      <c r="F11" s="713">
        <f>-'Opex No SRV'!C199/1000</f>
        <v>4001.5</v>
      </c>
      <c r="G11" s="713">
        <f>-'Opex No SRV'!E199/1000</f>
        <v>3866</v>
      </c>
      <c r="H11" s="713">
        <f>-'Opex No SRV'!F199/1000</f>
        <v>4129.43</v>
      </c>
      <c r="I11" s="713">
        <f>-'Opex No SRV'!G199/1000</f>
        <v>4236.2120000000004</v>
      </c>
      <c r="J11" s="713">
        <f>-'Opex No SRV'!H199/1000</f>
        <v>4349.6570000000002</v>
      </c>
      <c r="K11" s="713">
        <f>J11*(1+'LTFP Assumptions'!$H6)</f>
        <v>4458.3984249999994</v>
      </c>
      <c r="L11" s="713">
        <f>K11*(1+'LTFP Assumptions'!$H6)</f>
        <v>4569.8583856249988</v>
      </c>
      <c r="M11" s="713">
        <f>L11*(1+'LTFP Assumptions'!$H6)</f>
        <v>4684.1048452656232</v>
      </c>
      <c r="N11" s="713">
        <f>M11*(1+'LTFP Assumptions'!$H6)</f>
        <v>4801.2074663972635</v>
      </c>
      <c r="O11" s="713">
        <f>N11*(1+'LTFP Assumptions'!$H6)</f>
        <v>4921.2376530571946</v>
      </c>
      <c r="P11" s="713">
        <f>O11*(1+'LTFP Assumptions'!$H6)</f>
        <v>5044.2685943836241</v>
      </c>
      <c r="AD11" s="599" t="s">
        <v>12</v>
      </c>
      <c r="AE11" s="606">
        <f t="shared" ref="AE11:AE15" si="1">+D12</f>
        <v>0</v>
      </c>
    </row>
    <row r="12" spans="1:31" ht="11.25" x14ac:dyDescent="0.2">
      <c r="A12" s="695" t="s">
        <v>12</v>
      </c>
      <c r="B12" s="714"/>
      <c r="C12" s="714"/>
      <c r="D12" s="715"/>
      <c r="E12" s="715">
        <f>430</f>
        <v>430</v>
      </c>
      <c r="F12" s="713">
        <f>-'Opex No SRV'!C200/1000</f>
        <v>322.7</v>
      </c>
      <c r="G12" s="713">
        <f>-'Opex No SRV'!E200/1000</f>
        <v>364.5</v>
      </c>
      <c r="H12" s="713">
        <f>-'Opex No SRV'!F200/1000</f>
        <v>375.29</v>
      </c>
      <c r="I12" s="713">
        <f>-'Opex No SRV'!G200/1000</f>
        <v>386.4</v>
      </c>
      <c r="J12" s="713">
        <f>-'Opex No SRV'!H200/1000</f>
        <v>397.839</v>
      </c>
      <c r="K12" s="711">
        <f>J12*(1+'LTFP Assumptions'!$H12)</f>
        <v>405.79577999999998</v>
      </c>
      <c r="L12" s="711">
        <f>K12*(1+'LTFP Assumptions'!$H12)</f>
        <v>413.91169559999997</v>
      </c>
      <c r="M12" s="711">
        <f>L12*(1+'LTFP Assumptions'!$H12)</f>
        <v>422.18992951199999</v>
      </c>
      <c r="N12" s="711">
        <f>M12*(1+'LTFP Assumptions'!$H12)</f>
        <v>430.63372810224001</v>
      </c>
      <c r="O12" s="711">
        <f>N12*(1+'LTFP Assumptions'!$H12)</f>
        <v>439.2464026642848</v>
      </c>
      <c r="P12" s="711">
        <f>O12*(1+'LTFP Assumptions'!$H12)</f>
        <v>448.03133071757048</v>
      </c>
      <c r="AD12" s="599" t="s">
        <v>13</v>
      </c>
      <c r="AE12" s="606">
        <f t="shared" si="1"/>
        <v>0</v>
      </c>
    </row>
    <row r="13" spans="1:31" s="1332" customFormat="1" ht="11.25" x14ac:dyDescent="0.2">
      <c r="A13" s="1328" t="s">
        <v>13</v>
      </c>
      <c r="B13" s="1329"/>
      <c r="C13" s="1329"/>
      <c r="D13" s="1330"/>
      <c r="E13" s="1330">
        <f>557</f>
        <v>557</v>
      </c>
      <c r="F13" s="1331">
        <f>-'Opex No SRV'!C201/1000</f>
        <v>455</v>
      </c>
      <c r="G13" s="1331">
        <f>-'Opex No SRV'!E201/1000</f>
        <v>405</v>
      </c>
      <c r="H13" s="1331">
        <f>-'Opex No SRV'!F201/1000</f>
        <v>290.75</v>
      </c>
      <c r="I13" s="1331">
        <f>-'Opex No SRV'!G201/1000</f>
        <v>216.52199999999999</v>
      </c>
      <c r="J13" s="1331">
        <f>-'Opex No SRV'!H201/1000</f>
        <v>177.31800000000001</v>
      </c>
      <c r="K13" s="1331">
        <f>'Sewer  Fund  Cash Flow'!J158*'LTFP Assumptions'!$H17</f>
        <v>61.38452000000003</v>
      </c>
      <c r="L13" s="1331">
        <f>'Sewer  Fund  Cash Flow'!K158*'LTFP Assumptions'!$H17</f>
        <v>4.0459263440000361</v>
      </c>
      <c r="M13" s="1331">
        <f>'Sewer  Fund  Cash Flow'!L158*'LTFP Assumptions'!$H17</f>
        <v>-55.453387844360059</v>
      </c>
      <c r="N13" s="1331">
        <f>'Sewer  Fund  Cash Flow'!M158*'LTFP Assumptions'!$H17</f>
        <v>-117.18565368630192</v>
      </c>
      <c r="O13" s="1331">
        <f>'Sewer  Fund  Cash Flow'!N158*'LTFP Assumptions'!$H17</f>
        <v>-181.22547376854538</v>
      </c>
      <c r="P13" s="1331">
        <f>'Sewer  Fund  Cash Flow'!O158*'LTFP Assumptions'!$H17</f>
        <v>-247.64990244187368</v>
      </c>
      <c r="AD13" s="1332" t="s">
        <v>14</v>
      </c>
      <c r="AE13" s="1332">
        <f t="shared" si="1"/>
        <v>0</v>
      </c>
    </row>
    <row r="14" spans="1:31" ht="11.25" x14ac:dyDescent="0.2">
      <c r="A14" s="695" t="s">
        <v>14</v>
      </c>
      <c r="B14" s="714"/>
      <c r="C14" s="714"/>
      <c r="D14" s="715"/>
      <c r="E14" s="715">
        <f>304</f>
        <v>304</v>
      </c>
      <c r="F14" s="716">
        <v>0</v>
      </c>
      <c r="G14" s="716">
        <v>0</v>
      </c>
      <c r="H14" s="716">
        <v>0</v>
      </c>
      <c r="I14" s="716">
        <v>0</v>
      </c>
      <c r="J14" s="716">
        <v>0</v>
      </c>
      <c r="K14" s="716">
        <v>0</v>
      </c>
      <c r="L14" s="711">
        <f>K14*(1+'LTFP Assumptions'!$H12)</f>
        <v>0</v>
      </c>
      <c r="M14" s="711">
        <f>L14*(1+'LTFP Assumptions'!$H12)</f>
        <v>0</v>
      </c>
      <c r="N14" s="711">
        <f>M14*(1+'LTFP Assumptions'!$H12)</f>
        <v>0</v>
      </c>
      <c r="O14" s="711">
        <f>N14*(1+'LTFP Assumptions'!$H12)</f>
        <v>0</v>
      </c>
      <c r="P14" s="711">
        <f>O14*(1+'LTFP Assumptions'!$H12)</f>
        <v>0</v>
      </c>
      <c r="AD14" s="599" t="s">
        <v>15</v>
      </c>
      <c r="AE14" s="606">
        <f t="shared" si="1"/>
        <v>0</v>
      </c>
    </row>
    <row r="15" spans="1:31" ht="12.75" customHeight="1" x14ac:dyDescent="0.2">
      <c r="A15" s="695" t="s">
        <v>15</v>
      </c>
      <c r="B15" s="714"/>
      <c r="C15" s="714"/>
      <c r="D15" s="715"/>
      <c r="E15" s="715">
        <f>34</f>
        <v>34</v>
      </c>
      <c r="F15" s="711">
        <f>-'Opex No SRV'!C170/1000</f>
        <v>38.5</v>
      </c>
      <c r="G15" s="711">
        <f>-'Opex No SRV'!E170/1000</f>
        <v>34.5</v>
      </c>
      <c r="H15" s="711">
        <f>-'Opex No SRV'!F170/1000</f>
        <v>35.19</v>
      </c>
      <c r="I15" s="711">
        <f>-'Opex No SRV'!G170/1000</f>
        <v>35.893000000000001</v>
      </c>
      <c r="J15" s="711">
        <f>-'Opex No SRV'!H170/1000</f>
        <v>36.610999999999997</v>
      </c>
      <c r="K15" s="711">
        <f>J15*(1+'LTFP Assumptions'!$H10)</f>
        <v>37.526274999999991</v>
      </c>
      <c r="L15" s="711">
        <f>K15*(1+'LTFP Assumptions'!$H10)</f>
        <v>38.464431874999988</v>
      </c>
      <c r="M15" s="711">
        <f>L15*(1+'LTFP Assumptions'!$H10)</f>
        <v>39.426042671874981</v>
      </c>
      <c r="N15" s="711">
        <f>M15*(1+'LTFP Assumptions'!$H10)</f>
        <v>40.41169373867185</v>
      </c>
      <c r="O15" s="711">
        <f>N15*(1+'LTFP Assumptions'!$H10)</f>
        <v>41.421986082138645</v>
      </c>
      <c r="P15" s="711">
        <f>O15*(1+'LTFP Assumptions'!$H10)</f>
        <v>42.457535734192106</v>
      </c>
      <c r="AD15" s="599" t="s">
        <v>18</v>
      </c>
      <c r="AE15" s="606">
        <f t="shared" si="1"/>
        <v>0</v>
      </c>
    </row>
    <row r="16" spans="1:31" ht="11.25" customHeight="1" x14ac:dyDescent="0.2">
      <c r="A16" s="695" t="s">
        <v>18</v>
      </c>
      <c r="B16" s="714"/>
      <c r="C16" s="714"/>
      <c r="D16" s="715"/>
      <c r="E16" s="715">
        <f>1091</f>
        <v>1091</v>
      </c>
      <c r="F16" s="716">
        <f t="shared" ref="F16:P16" si="2">F59+F60+F61</f>
        <v>1010</v>
      </c>
      <c r="G16" s="716">
        <f t="shared" si="2"/>
        <v>8690</v>
      </c>
      <c r="H16" s="716">
        <f t="shared" si="2"/>
        <v>50</v>
      </c>
      <c r="I16" s="716">
        <f t="shared" si="2"/>
        <v>50</v>
      </c>
      <c r="J16" s="716">
        <f t="shared" si="2"/>
        <v>50</v>
      </c>
      <c r="K16" s="716">
        <f t="shared" si="2"/>
        <v>51</v>
      </c>
      <c r="L16" s="716">
        <f t="shared" si="2"/>
        <v>52.02</v>
      </c>
      <c r="M16" s="716">
        <f t="shared" si="2"/>
        <v>53.060400000000001</v>
      </c>
      <c r="N16" s="716">
        <f t="shared" si="2"/>
        <v>54.121608000000002</v>
      </c>
      <c r="O16" s="716">
        <f t="shared" si="2"/>
        <v>55.204040160000005</v>
      </c>
      <c r="P16" s="716">
        <f t="shared" si="2"/>
        <v>56.308120963200004</v>
      </c>
      <c r="AD16" s="599" t="s">
        <v>21</v>
      </c>
      <c r="AE16" s="606">
        <f>+D19</f>
        <v>0</v>
      </c>
    </row>
    <row r="17" spans="1:31" ht="11.25" customHeight="1" x14ac:dyDescent="0.2">
      <c r="A17" s="1149" t="s">
        <v>1180</v>
      </c>
      <c r="B17" s="714"/>
      <c r="C17" s="714"/>
      <c r="D17" s="715"/>
      <c r="E17" s="715"/>
      <c r="F17" s="716"/>
      <c r="G17" s="716"/>
      <c r="H17" s="716"/>
      <c r="I17" s="716"/>
      <c r="J17" s="716"/>
      <c r="K17" s="711">
        <f>J17*(1+'LTFP Assumptions'!$H12)</f>
        <v>0</v>
      </c>
      <c r="L17" s="711">
        <f>K17*(1+'LTFP Assumptions'!$H12)</f>
        <v>0</v>
      </c>
      <c r="M17" s="711">
        <f>L17*(1+'LTFP Assumptions'!$H12)</f>
        <v>0</v>
      </c>
      <c r="N17" s="711">
        <f>M17*(1+'LTFP Assumptions'!$H12)</f>
        <v>0</v>
      </c>
      <c r="O17" s="711">
        <f>N17*(1+'LTFP Assumptions'!$H12)</f>
        <v>0</v>
      </c>
      <c r="P17" s="711">
        <f>O17*(1+'LTFP Assumptions'!$H12)</f>
        <v>0</v>
      </c>
      <c r="AE17" s="606"/>
    </row>
    <row r="18" spans="1:31" ht="11.25" x14ac:dyDescent="0.2">
      <c r="A18" s="708" t="s">
        <v>63</v>
      </c>
      <c r="B18" s="714"/>
      <c r="C18" s="714"/>
      <c r="D18" s="715"/>
      <c r="E18" s="715"/>
      <c r="F18" s="715"/>
      <c r="G18" s="715"/>
      <c r="H18" s="715"/>
      <c r="I18" s="715"/>
      <c r="J18" s="711"/>
      <c r="K18" s="711"/>
      <c r="L18" s="711"/>
      <c r="M18" s="711"/>
      <c r="N18" s="711"/>
      <c r="O18" s="711"/>
      <c r="P18" s="711"/>
      <c r="AE18" s="606"/>
    </row>
    <row r="19" spans="1:31" ht="11.25" x14ac:dyDescent="0.2">
      <c r="A19" s="758" t="s">
        <v>74</v>
      </c>
      <c r="B19" s="718"/>
      <c r="C19" s="718"/>
      <c r="D19" s="707"/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609"/>
      <c r="AD19" s="599" t="s">
        <v>22</v>
      </c>
      <c r="AE19" s="606" t="e">
        <f>+#REF!</f>
        <v>#REF!</v>
      </c>
    </row>
    <row r="20" spans="1:31" ht="11.25" x14ac:dyDescent="0.2">
      <c r="A20" s="758" t="s">
        <v>1047</v>
      </c>
      <c r="B20" s="718"/>
      <c r="C20" s="718"/>
      <c r="D20" s="707"/>
      <c r="E20" s="711"/>
      <c r="F20" s="711"/>
      <c r="G20" s="711"/>
      <c r="H20" s="711"/>
      <c r="I20" s="711"/>
      <c r="J20" s="711"/>
      <c r="K20" s="711"/>
      <c r="L20" s="711"/>
      <c r="M20" s="711"/>
      <c r="N20" s="711"/>
      <c r="O20" s="711"/>
      <c r="P20" s="711"/>
      <c r="Q20" s="609"/>
      <c r="AE20" s="606"/>
    </row>
    <row r="21" spans="1:31" s="611" customFormat="1" ht="11.25" x14ac:dyDescent="0.2">
      <c r="A21" s="759" t="s">
        <v>64</v>
      </c>
      <c r="B21" s="719">
        <f>SUM(B11:B19)</f>
        <v>0</v>
      </c>
      <c r="C21" s="719">
        <f>SUM(C11:C19)</f>
        <v>0</v>
      </c>
      <c r="D21" s="719">
        <f>SUM(D11:D20)</f>
        <v>0</v>
      </c>
      <c r="E21" s="719">
        <f t="shared" ref="E21:P21" si="3">SUM(E11:E19)</f>
        <v>5766</v>
      </c>
      <c r="F21" s="740">
        <f t="shared" si="3"/>
        <v>5827.7</v>
      </c>
      <c r="G21" s="740">
        <f t="shared" si="3"/>
        <v>13360</v>
      </c>
      <c r="H21" s="740">
        <f t="shared" si="3"/>
        <v>4880.66</v>
      </c>
      <c r="I21" s="740">
        <f t="shared" si="3"/>
        <v>4925.027</v>
      </c>
      <c r="J21" s="740">
        <f t="shared" si="3"/>
        <v>5011.4250000000002</v>
      </c>
      <c r="K21" s="740">
        <f t="shared" si="3"/>
        <v>5014.1049999999996</v>
      </c>
      <c r="L21" s="740">
        <f t="shared" si="3"/>
        <v>5078.3004394439986</v>
      </c>
      <c r="M21" s="740">
        <f t="shared" si="3"/>
        <v>5143.3278296051385</v>
      </c>
      <c r="N21" s="740">
        <f t="shared" si="3"/>
        <v>5209.1888425518737</v>
      </c>
      <c r="O21" s="740">
        <f t="shared" si="3"/>
        <v>5275.8846081950724</v>
      </c>
      <c r="P21" s="740">
        <f t="shared" si="3"/>
        <v>5343.4156793567126</v>
      </c>
      <c r="AD21" s="612" t="s">
        <v>23</v>
      </c>
      <c r="AE21" s="613" t="e">
        <f>SUM(AE9:AE19)</f>
        <v>#REF!</v>
      </c>
    </row>
    <row r="22" spans="1:31" ht="11.25" x14ac:dyDescent="0.2">
      <c r="A22" s="705" t="s">
        <v>65</v>
      </c>
      <c r="B22" s="714"/>
      <c r="C22" s="714"/>
      <c r="D22" s="710"/>
      <c r="E22" s="710"/>
      <c r="F22" s="710"/>
      <c r="G22" s="710"/>
      <c r="H22" s="710"/>
      <c r="I22" s="710"/>
      <c r="J22" s="710"/>
      <c r="K22" s="710"/>
      <c r="L22" s="710"/>
      <c r="M22" s="710"/>
      <c r="N22" s="710"/>
      <c r="O22" s="710"/>
      <c r="P22" s="710"/>
      <c r="AD22" s="601" t="s">
        <v>24</v>
      </c>
    </row>
    <row r="23" spans="1:31" ht="11.25" x14ac:dyDescent="0.2">
      <c r="A23" s="695" t="s">
        <v>25</v>
      </c>
      <c r="B23" s="714"/>
      <c r="C23" s="714"/>
      <c r="D23" s="715"/>
      <c r="E23" s="715">
        <f>889</f>
        <v>889</v>
      </c>
      <c r="F23" s="715">
        <f>'Opex No SRV'!C208/1000</f>
        <v>804.93100000000004</v>
      </c>
      <c r="G23" s="715">
        <f>'Opex No SRV'!E208/1000</f>
        <v>797.73099999999999</v>
      </c>
      <c r="H23" s="715">
        <f>'Opex No SRV'!F208/1000</f>
        <v>825.32899999999995</v>
      </c>
      <c r="I23" s="715">
        <f>'Opex No SRV'!G208/1000</f>
        <v>854.68700000000001</v>
      </c>
      <c r="J23" s="715">
        <f>'Opex No SRV'!H208/1000</f>
        <v>885.20299999999997</v>
      </c>
      <c r="K23" s="707">
        <f>J23*(1+'LTFP Assumptions'!$H9)</f>
        <v>911.75909000000001</v>
      </c>
      <c r="L23" s="707">
        <f>K23*(1+'LTFP Assumptions'!$H9)</f>
        <v>939.11186270000007</v>
      </c>
      <c r="M23" s="707">
        <f>L23*(1+'LTFP Assumptions'!$H9)</f>
        <v>967.28521858100009</v>
      </c>
      <c r="N23" s="707">
        <f>M23*(1+'LTFP Assumptions'!$H9)</f>
        <v>996.30377513843007</v>
      </c>
      <c r="O23" s="707">
        <f>N23*(1+'LTFP Assumptions'!$H9)</f>
        <v>1026.192888392583</v>
      </c>
      <c r="P23" s="707">
        <f>O23*(1+'LTFP Assumptions'!$H9)</f>
        <v>1056.9786750443604</v>
      </c>
      <c r="AD23" s="599" t="s">
        <v>25</v>
      </c>
      <c r="AE23" s="606">
        <f>+D23</f>
        <v>0</v>
      </c>
    </row>
    <row r="24" spans="1:31" ht="11.25" x14ac:dyDescent="0.2">
      <c r="A24" s="695" t="s">
        <v>926</v>
      </c>
      <c r="B24" s="714"/>
      <c r="C24" s="714"/>
      <c r="D24" s="715"/>
      <c r="E24" s="715">
        <f>59</f>
        <v>59</v>
      </c>
      <c r="F24" s="715">
        <f>'Opex No SRV'!C211/1000</f>
        <v>54.21</v>
      </c>
      <c r="G24" s="715">
        <f>'Opex No SRV'!E211/1000</f>
        <v>485</v>
      </c>
      <c r="H24" s="715">
        <f>'Opex No SRV'!F211/1000</f>
        <v>813.04</v>
      </c>
      <c r="I24" s="715">
        <f>'Opex No SRV'!G211/1000</f>
        <v>810.45</v>
      </c>
      <c r="J24" s="715">
        <f>'Opex No SRV'!H211/1000</f>
        <v>807.78200000000004</v>
      </c>
      <c r="K24" s="1310">
        <f>J24+(('Sewer Fund  Bal Sheet'!K26+'Sewer Fund  Bal Sheet'!K32)-('Sewer Fund  Bal Sheet'!J26+'Sewer Fund  Bal Sheet'!J32))*'LTFP Assumptions'!$H$18</f>
        <v>804.08482640000011</v>
      </c>
      <c r="L24" s="1310">
        <f>K24+(('Sewer Fund  Bal Sheet'!L26+'Sewer Fund  Bal Sheet'!L32)-('Sewer Fund  Bal Sheet'!K26+'Sewer Fund  Bal Sheet'!K32))*'LTFP Assumptions'!$H$18</f>
        <v>800.31370932800007</v>
      </c>
      <c r="M24" s="1310">
        <f>L24+(('Sewer Fund  Bal Sheet'!M26+'Sewer Fund  Bal Sheet'!M32)-('Sewer Fund  Bal Sheet'!L26+'Sewer Fund  Bal Sheet'!L32))*'LTFP Assumptions'!$H$18</f>
        <v>796.46716991456003</v>
      </c>
      <c r="N24" s="1310">
        <f>M24+(('Sewer Fund  Bal Sheet'!N26+'Sewer Fund  Bal Sheet'!N32)-('Sewer Fund  Bal Sheet'!M26+'Sewer Fund  Bal Sheet'!M32))*'LTFP Assumptions'!$H$18</f>
        <v>792.54369971285121</v>
      </c>
      <c r="O24" s="1310">
        <f>N24+(('Sewer Fund  Bal Sheet'!O26+'Sewer Fund  Bal Sheet'!O32)-('Sewer Fund  Bal Sheet'!N26+'Sewer Fund  Bal Sheet'!N32))*'LTFP Assumptions'!$H$18</f>
        <v>788.5417601071083</v>
      </c>
      <c r="P24" s="1310">
        <f>O24+(('Sewer Fund  Bal Sheet'!P26+'Sewer Fund  Bal Sheet'!P32)-('Sewer Fund  Bal Sheet'!O26+'Sewer Fund  Bal Sheet'!O32))*'LTFP Assumptions'!$H$18</f>
        <v>784.45978170925036</v>
      </c>
      <c r="AE24" s="606"/>
    </row>
    <row r="25" spans="1:31" ht="11.25" x14ac:dyDescent="0.2">
      <c r="A25" s="695" t="s">
        <v>27</v>
      </c>
      <c r="B25" s="714"/>
      <c r="C25" s="714"/>
      <c r="D25" s="715"/>
      <c r="E25" s="715">
        <f>1271</f>
        <v>1271</v>
      </c>
      <c r="F25" s="707">
        <f>'Opex No SRV'!C209/1000</f>
        <v>939.5</v>
      </c>
      <c r="G25" s="707">
        <f>'Opex No SRV'!E209/1000</f>
        <v>924.5</v>
      </c>
      <c r="H25" s="707">
        <f>'Opex No SRV'!F209/1000</f>
        <v>856.69</v>
      </c>
      <c r="I25" s="707">
        <f>'Opex No SRV'!G209/1000</f>
        <v>890.43399999999997</v>
      </c>
      <c r="J25" s="707">
        <f>'Opex No SRV'!H209/1000</f>
        <v>925.81899999999996</v>
      </c>
      <c r="K25" s="707">
        <f>J25*(1+'LTFP Assumptions'!$H$13)</f>
        <v>944.33537999999999</v>
      </c>
      <c r="L25" s="707">
        <f>K25*(1+'LTFP Assumptions'!$H$13)</f>
        <v>963.22208760000001</v>
      </c>
      <c r="M25" s="707">
        <f>L25*(1+'LTFP Assumptions'!$H13)</f>
        <v>982.48652935200005</v>
      </c>
      <c r="N25" s="707">
        <f>M25*(1+'LTFP Assumptions'!$H13)</f>
        <v>1002.1362599390401</v>
      </c>
      <c r="O25" s="707">
        <f>N25*(1+'LTFP Assumptions'!$H13)</f>
        <v>1022.1789851378209</v>
      </c>
      <c r="P25" s="707">
        <f>O25*(1+'LTFP Assumptions'!$H13)</f>
        <v>1042.6225648405773</v>
      </c>
      <c r="AD25" s="599" t="s">
        <v>28</v>
      </c>
      <c r="AE25" s="606">
        <f>+D30</f>
        <v>0</v>
      </c>
    </row>
    <row r="26" spans="1:31" ht="11.25" x14ac:dyDescent="0.2">
      <c r="A26" s="600" t="s">
        <v>1077</v>
      </c>
      <c r="B26" s="714"/>
      <c r="C26" s="714"/>
      <c r="D26" s="715"/>
      <c r="E26" s="715"/>
      <c r="F26" s="707">
        <f>'Opex No SRV'!C212/1000</f>
        <v>792</v>
      </c>
      <c r="G26" s="707">
        <f>'Opex No SRV'!E212/1000</f>
        <v>807.47500000000002</v>
      </c>
      <c r="H26" s="707">
        <f>'Opex No SRV'!F212/1000</f>
        <v>823.33600000000001</v>
      </c>
      <c r="I26" s="707">
        <f>'Opex No SRV'!G212/1000</f>
        <v>839.59500000000003</v>
      </c>
      <c r="J26" s="707">
        <f>'Opex No SRV'!H212/1000</f>
        <v>856.26</v>
      </c>
      <c r="K26" s="707">
        <f>'Opex No SRV'!H212/1000</f>
        <v>856.26</v>
      </c>
      <c r="L26" s="707">
        <f>K26*(1+'LTFP Assumptions'!$H$13)</f>
        <v>873.38520000000005</v>
      </c>
      <c r="M26" s="707">
        <f>L26*(1+'LTFP Assumptions'!$H$13)</f>
        <v>890.85290400000008</v>
      </c>
      <c r="N26" s="707">
        <f>M26*(1+'LTFP Assumptions'!$H$13)</f>
        <v>908.66996208000012</v>
      </c>
      <c r="O26" s="707">
        <f>N26*(1+'LTFP Assumptions'!$H$13)</f>
        <v>926.84336132160013</v>
      </c>
      <c r="P26" s="707">
        <f>O26*(1+'LTFP Assumptions'!$H$13)</f>
        <v>945.38022854803216</v>
      </c>
      <c r="AE26" s="606"/>
    </row>
    <row r="27" spans="1:31" s="603" customFormat="1" ht="11.25" x14ac:dyDescent="0.2">
      <c r="A27" s="700" t="s">
        <v>29</v>
      </c>
      <c r="B27" s="712"/>
      <c r="C27" s="712"/>
      <c r="D27" s="707"/>
      <c r="E27" s="715">
        <f>1210</f>
        <v>1210</v>
      </c>
      <c r="F27" s="720">
        <f>'Opex No SRV'!C213/1000</f>
        <v>1275.067</v>
      </c>
      <c r="G27" s="720">
        <f>'Opex No SRV'!E213/1000</f>
        <v>1268</v>
      </c>
      <c r="H27" s="720">
        <f>'Opex No SRV'!F213/1000</f>
        <v>1458.45</v>
      </c>
      <c r="I27" s="720">
        <f>'Opex No SRV'!G213/1000</f>
        <v>1479.9110000000001</v>
      </c>
      <c r="J27" s="720">
        <f>'Opex No SRV'!H213/1000</f>
        <v>1499.384</v>
      </c>
      <c r="K27" s="707">
        <f>J27*(1+'LTFP Assumptions'!$H16)</f>
        <v>1536.8685999999998</v>
      </c>
      <c r="L27" s="707">
        <f>K27*(1+'LTFP Assumptions'!$H16)</f>
        <v>1575.2903149999997</v>
      </c>
      <c r="M27" s="707">
        <f>L27*(1+'LTFP Assumptions'!$H16)</f>
        <v>1614.6725728749996</v>
      </c>
      <c r="N27" s="707">
        <f>M27*(1+'LTFP Assumptions'!$H16)</f>
        <v>1655.0393871968745</v>
      </c>
      <c r="O27" s="707">
        <f>N27*(1+'LTFP Assumptions'!$H16)</f>
        <v>1696.4153718767961</v>
      </c>
      <c r="P27" s="707">
        <f>O27*(1+'LTFP Assumptions'!$H16)</f>
        <v>1738.8257561737159</v>
      </c>
      <c r="AD27" s="603" t="s">
        <v>30</v>
      </c>
      <c r="AE27" s="605" t="e">
        <f>-#REF!</f>
        <v>#REF!</v>
      </c>
    </row>
    <row r="28" spans="1:31" s="603" customFormat="1" ht="11.25" x14ac:dyDescent="0.2">
      <c r="A28" s="700" t="s">
        <v>1048</v>
      </c>
      <c r="B28" s="712"/>
      <c r="C28" s="712"/>
      <c r="D28" s="707"/>
      <c r="E28" s="707">
        <f>0</f>
        <v>0</v>
      </c>
      <c r="F28" s="720"/>
      <c r="G28" s="720"/>
      <c r="H28" s="720"/>
      <c r="I28" s="720"/>
      <c r="J28" s="720"/>
      <c r="K28" s="707"/>
      <c r="L28" s="707"/>
      <c r="M28" s="707"/>
      <c r="N28" s="707"/>
      <c r="O28" s="707"/>
      <c r="P28" s="707"/>
      <c r="AE28" s="605"/>
    </row>
    <row r="29" spans="1:31" s="603" customFormat="1" ht="11.25" x14ac:dyDescent="0.2">
      <c r="A29" s="700" t="s">
        <v>1049</v>
      </c>
      <c r="B29" s="712"/>
      <c r="C29" s="712"/>
      <c r="D29" s="707"/>
      <c r="E29" s="707">
        <v>0</v>
      </c>
      <c r="F29" s="720"/>
      <c r="G29" s="720"/>
      <c r="H29" s="720"/>
      <c r="I29" s="720"/>
      <c r="J29" s="720"/>
      <c r="K29" s="707"/>
      <c r="L29" s="707"/>
      <c r="M29" s="707"/>
      <c r="N29" s="707"/>
      <c r="O29" s="707"/>
      <c r="P29" s="707"/>
      <c r="AE29" s="605"/>
    </row>
    <row r="30" spans="1:31" ht="11.25" x14ac:dyDescent="0.2">
      <c r="A30" s="721" t="s">
        <v>28</v>
      </c>
      <c r="B30" s="722"/>
      <c r="C30" s="722"/>
      <c r="D30" s="723"/>
      <c r="E30" s="707">
        <f>200</f>
        <v>200</v>
      </c>
      <c r="F30" s="723">
        <f>'Opex No SRV'!C210/1000</f>
        <v>210.95</v>
      </c>
      <c r="G30" s="723">
        <f>'Opex No SRV'!E210/1000</f>
        <v>229.55</v>
      </c>
      <c r="H30" s="723">
        <f>'Opex No SRV'!F210/1000</f>
        <v>234.14099999999999</v>
      </c>
      <c r="I30" s="723">
        <f>'Opex No SRV'!G210/1000</f>
        <v>238.905</v>
      </c>
      <c r="J30" s="723">
        <f>'Opex No SRV'!H210/1000</f>
        <v>243.57400000000001</v>
      </c>
      <c r="K30" s="715">
        <f>J30*(1+'LTFP Assumptions'!$H14)</f>
        <v>248.44548</v>
      </c>
      <c r="L30" s="715">
        <f>K30*(1+'LTFP Assumptions'!$H14)</f>
        <v>253.41438960000002</v>
      </c>
      <c r="M30" s="715">
        <f>L30*(1+'LTFP Assumptions'!$H14)</f>
        <v>258.48267739200003</v>
      </c>
      <c r="N30" s="715">
        <f>M30*(1+'LTFP Assumptions'!$H14)</f>
        <v>263.65233093984006</v>
      </c>
      <c r="O30" s="715">
        <f>N30*(1+'LTFP Assumptions'!$H14)</f>
        <v>268.92537755863685</v>
      </c>
      <c r="P30" s="715">
        <f>O30*(1+'LTFP Assumptions'!$H14)</f>
        <v>274.30388510980958</v>
      </c>
      <c r="AD30" s="599" t="s">
        <v>31</v>
      </c>
      <c r="AE30" s="606" t="e">
        <f>-#REF!</f>
        <v>#REF!</v>
      </c>
    </row>
    <row r="31" spans="1:31" s="611" customFormat="1" ht="11.25" x14ac:dyDescent="0.2">
      <c r="A31" s="705" t="s">
        <v>66</v>
      </c>
      <c r="B31" s="719">
        <f>SUM(B23:B30)</f>
        <v>0</v>
      </c>
      <c r="C31" s="719">
        <f>SUM(C23:C30)</f>
        <v>0</v>
      </c>
      <c r="D31" s="719">
        <f>SUM(D23:D30)</f>
        <v>0</v>
      </c>
      <c r="E31" s="719">
        <f t="shared" ref="E31:P31" si="4">SUM(E23:E30)</f>
        <v>3629</v>
      </c>
      <c r="F31" s="719">
        <f t="shared" si="4"/>
        <v>4076.6579999999999</v>
      </c>
      <c r="G31" s="719">
        <f t="shared" si="4"/>
        <v>4512.2560000000003</v>
      </c>
      <c r="H31" s="719">
        <f t="shared" si="4"/>
        <v>5010.9859999999999</v>
      </c>
      <c r="I31" s="719">
        <f t="shared" si="4"/>
        <v>5113.982</v>
      </c>
      <c r="J31" s="719">
        <f t="shared" si="4"/>
        <v>5218.0219999999999</v>
      </c>
      <c r="K31" s="719">
        <f t="shared" si="4"/>
        <v>5301.7533764</v>
      </c>
      <c r="L31" s="719">
        <f t="shared" si="4"/>
        <v>5404.7375642279994</v>
      </c>
      <c r="M31" s="719">
        <f t="shared" si="4"/>
        <v>5510.2470721145601</v>
      </c>
      <c r="N31" s="719">
        <f t="shared" si="4"/>
        <v>5618.3454150070356</v>
      </c>
      <c r="O31" s="719">
        <f t="shared" si="4"/>
        <v>5729.0977443945449</v>
      </c>
      <c r="P31" s="719">
        <f t="shared" si="4"/>
        <v>5842.5708914257466</v>
      </c>
      <c r="AD31" s="612" t="s">
        <v>23</v>
      </c>
      <c r="AE31" s="613" t="e">
        <f>SUM(AE23:AE30)</f>
        <v>#REF!</v>
      </c>
    </row>
    <row r="32" spans="1:31" ht="3.75" customHeight="1" x14ac:dyDescent="0.2">
      <c r="A32" s="695"/>
      <c r="B32" s="714"/>
      <c r="C32" s="710"/>
      <c r="D32" s="710"/>
      <c r="E32" s="710"/>
      <c r="F32" s="710"/>
      <c r="G32" s="710"/>
      <c r="H32" s="710"/>
      <c r="I32" s="710"/>
      <c r="J32" s="710"/>
      <c r="K32" s="710"/>
      <c r="L32" s="710"/>
      <c r="M32" s="710"/>
      <c r="N32" s="710"/>
      <c r="O32" s="710"/>
      <c r="P32" s="710"/>
    </row>
    <row r="33" spans="1:16" s="612" customFormat="1" ht="12" thickBot="1" x14ac:dyDescent="0.25">
      <c r="A33" s="705" t="s">
        <v>67</v>
      </c>
      <c r="B33" s="724">
        <f t="shared" ref="B33:P33" si="5">+B21-B31</f>
        <v>0</v>
      </c>
      <c r="C33" s="725">
        <f t="shared" si="5"/>
        <v>0</v>
      </c>
      <c r="D33" s="724">
        <f t="shared" si="5"/>
        <v>0</v>
      </c>
      <c r="E33" s="725">
        <f t="shared" si="5"/>
        <v>2137</v>
      </c>
      <c r="F33" s="725">
        <f t="shared" si="5"/>
        <v>1751.0419999999999</v>
      </c>
      <c r="G33" s="725">
        <f t="shared" si="5"/>
        <v>8847.7439999999988</v>
      </c>
      <c r="H33" s="725">
        <f t="shared" si="5"/>
        <v>-130.32600000000002</v>
      </c>
      <c r="I33" s="725">
        <f t="shared" si="5"/>
        <v>-188.95499999999993</v>
      </c>
      <c r="J33" s="725">
        <f t="shared" si="5"/>
        <v>-206.59699999999975</v>
      </c>
      <c r="K33" s="725">
        <f t="shared" si="5"/>
        <v>-287.64837640000042</v>
      </c>
      <c r="L33" s="725">
        <f t="shared" si="5"/>
        <v>-326.43712478400084</v>
      </c>
      <c r="M33" s="725">
        <f t="shared" si="5"/>
        <v>-366.91924250942157</v>
      </c>
      <c r="N33" s="725">
        <f t="shared" si="5"/>
        <v>-409.15657245516195</v>
      </c>
      <c r="O33" s="725">
        <f t="shared" si="5"/>
        <v>-453.2131361994725</v>
      </c>
      <c r="P33" s="725">
        <f t="shared" si="5"/>
        <v>-499.15521206903395</v>
      </c>
    </row>
    <row r="34" spans="1:16" ht="4.5" customHeight="1" x14ac:dyDescent="0.2">
      <c r="A34" s="726"/>
      <c r="B34" s="714"/>
      <c r="C34" s="710"/>
      <c r="D34" s="710"/>
      <c r="E34" s="710"/>
      <c r="F34" s="710"/>
      <c r="G34" s="710"/>
      <c r="H34" s="710"/>
      <c r="I34" s="710"/>
      <c r="J34" s="710"/>
      <c r="K34" s="710"/>
      <c r="L34" s="710"/>
      <c r="M34" s="710"/>
      <c r="N34" s="710"/>
      <c r="O34" s="710"/>
      <c r="P34" s="710"/>
    </row>
    <row r="35" spans="1:16" s="611" customFormat="1" ht="11.25" x14ac:dyDescent="0.2">
      <c r="A35" s="705" t="s">
        <v>75</v>
      </c>
      <c r="B35" s="727"/>
      <c r="C35" s="728"/>
      <c r="D35" s="728"/>
      <c r="E35" s="728"/>
      <c r="F35" s="728"/>
      <c r="G35" s="728"/>
      <c r="H35" s="728"/>
      <c r="I35" s="728"/>
      <c r="J35" s="728"/>
      <c r="K35" s="728"/>
      <c r="L35" s="728"/>
      <c r="M35" s="728"/>
      <c r="N35" s="728"/>
      <c r="O35" s="728"/>
      <c r="P35" s="728"/>
    </row>
    <row r="36" spans="1:16" ht="12.75" customHeight="1" x14ac:dyDescent="0.2">
      <c r="A36" s="721" t="s">
        <v>322</v>
      </c>
      <c r="B36" s="729">
        <v>0</v>
      </c>
      <c r="C36" s="729">
        <v>0</v>
      </c>
      <c r="D36" s="729">
        <v>0</v>
      </c>
      <c r="E36" s="729">
        <v>0</v>
      </c>
      <c r="F36" s="729">
        <v>0</v>
      </c>
      <c r="G36" s="729">
        <v>0</v>
      </c>
      <c r="H36" s="729">
        <v>0</v>
      </c>
      <c r="I36" s="729">
        <v>0</v>
      </c>
      <c r="J36" s="729">
        <v>0</v>
      </c>
      <c r="K36" s="729">
        <v>0</v>
      </c>
      <c r="L36" s="729">
        <v>0</v>
      </c>
      <c r="M36" s="729">
        <v>0</v>
      </c>
      <c r="N36" s="729">
        <v>0</v>
      </c>
      <c r="O36" s="729">
        <v>0</v>
      </c>
      <c r="P36" s="729">
        <v>0</v>
      </c>
    </row>
    <row r="37" spans="1:16" ht="4.5" customHeight="1" x14ac:dyDescent="0.2">
      <c r="A37" s="695"/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</row>
    <row r="38" spans="1:16" s="611" customFormat="1" ht="11.25" x14ac:dyDescent="0.2">
      <c r="A38" s="730" t="s">
        <v>76</v>
      </c>
      <c r="B38" s="731">
        <f>+B33+B36</f>
        <v>0</v>
      </c>
      <c r="C38" s="732">
        <f>+C33+C36</f>
        <v>0</v>
      </c>
      <c r="D38" s="731">
        <f>+D33+D36</f>
        <v>0</v>
      </c>
      <c r="E38" s="732">
        <f t="shared" ref="E38:P38" si="6">+E33+E36</f>
        <v>2137</v>
      </c>
      <c r="F38" s="732">
        <f t="shared" si="6"/>
        <v>1751.0419999999999</v>
      </c>
      <c r="G38" s="732">
        <f t="shared" si="6"/>
        <v>8847.7439999999988</v>
      </c>
      <c r="H38" s="732">
        <f t="shared" si="6"/>
        <v>-130.32600000000002</v>
      </c>
      <c r="I38" s="732">
        <f t="shared" si="6"/>
        <v>-188.95499999999993</v>
      </c>
      <c r="J38" s="732">
        <f t="shared" si="6"/>
        <v>-206.59699999999975</v>
      </c>
      <c r="K38" s="732">
        <f t="shared" si="6"/>
        <v>-287.64837640000042</v>
      </c>
      <c r="L38" s="732">
        <f t="shared" si="6"/>
        <v>-326.43712478400084</v>
      </c>
      <c r="M38" s="732">
        <f t="shared" si="6"/>
        <v>-366.91924250942157</v>
      </c>
      <c r="N38" s="732">
        <f t="shared" si="6"/>
        <v>-409.15657245516195</v>
      </c>
      <c r="O38" s="732">
        <f t="shared" si="6"/>
        <v>-453.2131361994725</v>
      </c>
      <c r="P38" s="732">
        <f t="shared" si="6"/>
        <v>-499.15521206903395</v>
      </c>
    </row>
    <row r="39" spans="1:16" ht="3.75" customHeight="1" x14ac:dyDescent="0.2">
      <c r="A39" s="695"/>
      <c r="B39" s="710"/>
      <c r="C39" s="710"/>
      <c r="D39" s="710"/>
      <c r="E39" s="710"/>
      <c r="F39" s="710"/>
      <c r="G39" s="710"/>
      <c r="H39" s="710"/>
      <c r="I39" s="710"/>
      <c r="J39" s="710"/>
      <c r="K39" s="710"/>
      <c r="L39" s="710"/>
      <c r="M39" s="710"/>
      <c r="N39" s="710"/>
      <c r="O39" s="710"/>
      <c r="P39" s="710"/>
    </row>
    <row r="40" spans="1:16" s="601" customFormat="1" ht="11.25" x14ac:dyDescent="0.2">
      <c r="A40" s="733" t="s">
        <v>77</v>
      </c>
      <c r="B40" s="715">
        <f>+B38</f>
        <v>0</v>
      </c>
      <c r="C40" s="734">
        <f>+C35+C38</f>
        <v>0</v>
      </c>
      <c r="D40" s="715">
        <f>+D38</f>
        <v>0</v>
      </c>
      <c r="E40" s="734">
        <f t="shared" ref="E40:P40" si="7">+E35+E38</f>
        <v>2137</v>
      </c>
      <c r="F40" s="734">
        <f t="shared" si="7"/>
        <v>1751.0419999999999</v>
      </c>
      <c r="G40" s="734">
        <f t="shared" si="7"/>
        <v>8847.7439999999988</v>
      </c>
      <c r="H40" s="734">
        <f t="shared" si="7"/>
        <v>-130.32600000000002</v>
      </c>
      <c r="I40" s="734">
        <f t="shared" si="7"/>
        <v>-188.95499999999993</v>
      </c>
      <c r="J40" s="734">
        <f t="shared" si="7"/>
        <v>-206.59699999999975</v>
      </c>
      <c r="K40" s="734">
        <f t="shared" si="7"/>
        <v>-287.64837640000042</v>
      </c>
      <c r="L40" s="734">
        <f t="shared" si="7"/>
        <v>-326.43712478400084</v>
      </c>
      <c r="M40" s="734">
        <f t="shared" si="7"/>
        <v>-366.91924250942157</v>
      </c>
      <c r="N40" s="734">
        <f t="shared" si="7"/>
        <v>-409.15657245516195</v>
      </c>
      <c r="O40" s="734">
        <f t="shared" si="7"/>
        <v>-453.2131361994725</v>
      </c>
      <c r="P40" s="734">
        <f t="shared" si="7"/>
        <v>-499.15521206903395</v>
      </c>
    </row>
    <row r="41" spans="1:16" s="601" customFormat="1" ht="10.5" customHeight="1" thickBot="1" x14ac:dyDescent="0.25">
      <c r="A41" s="739" t="s">
        <v>78</v>
      </c>
      <c r="B41" s="735">
        <v>0</v>
      </c>
      <c r="C41" s="735">
        <v>0</v>
      </c>
      <c r="D41" s="735">
        <v>0</v>
      </c>
      <c r="E41" s="735">
        <v>0</v>
      </c>
      <c r="F41" s="735"/>
      <c r="G41" s="735">
        <v>0</v>
      </c>
      <c r="H41" s="735">
        <v>0</v>
      </c>
      <c r="I41" s="735">
        <v>0</v>
      </c>
      <c r="J41" s="735">
        <v>0</v>
      </c>
      <c r="K41" s="735">
        <v>0</v>
      </c>
      <c r="L41" s="735">
        <v>0</v>
      </c>
      <c r="M41" s="735">
        <v>0</v>
      </c>
      <c r="N41" s="735">
        <v>0</v>
      </c>
      <c r="O41" s="735">
        <v>0</v>
      </c>
      <c r="P41" s="735">
        <v>0</v>
      </c>
    </row>
    <row r="42" spans="1:16" ht="3.75" customHeight="1" thickTop="1" x14ac:dyDescent="0.2">
      <c r="A42" s="726"/>
      <c r="B42" s="714"/>
      <c r="C42" s="714"/>
      <c r="D42" s="710"/>
      <c r="E42" s="710"/>
      <c r="F42" s="710"/>
      <c r="G42" s="710"/>
      <c r="H42" s="710"/>
      <c r="I42" s="710"/>
      <c r="J42" s="710"/>
      <c r="K42" s="710"/>
      <c r="L42" s="710"/>
      <c r="M42" s="710"/>
      <c r="N42" s="710"/>
      <c r="O42" s="710"/>
      <c r="P42" s="710"/>
    </row>
    <row r="43" spans="1:16" ht="31.5" customHeight="1" thickBot="1" x14ac:dyDescent="0.25">
      <c r="A43" s="705" t="s">
        <v>79</v>
      </c>
      <c r="B43" s="736">
        <f t="shared" ref="B43:P43" si="8">+B38-B16-B19</f>
        <v>0</v>
      </c>
      <c r="C43" s="736">
        <f t="shared" si="8"/>
        <v>0</v>
      </c>
      <c r="D43" s="736">
        <f t="shared" si="8"/>
        <v>0</v>
      </c>
      <c r="E43" s="736">
        <f t="shared" si="8"/>
        <v>1046</v>
      </c>
      <c r="F43" s="736">
        <f t="shared" si="8"/>
        <v>741.04199999999992</v>
      </c>
      <c r="G43" s="736">
        <f t="shared" si="8"/>
        <v>157.74399999999878</v>
      </c>
      <c r="H43" s="736">
        <f t="shared" si="8"/>
        <v>-180.32600000000002</v>
      </c>
      <c r="I43" s="736">
        <f t="shared" si="8"/>
        <v>-238.95499999999993</v>
      </c>
      <c r="J43" s="736">
        <f t="shared" si="8"/>
        <v>-256.59699999999975</v>
      </c>
      <c r="K43" s="736">
        <f t="shared" si="8"/>
        <v>-338.64837640000042</v>
      </c>
      <c r="L43" s="736">
        <f t="shared" si="8"/>
        <v>-378.45712478400083</v>
      </c>
      <c r="M43" s="736">
        <f t="shared" si="8"/>
        <v>-419.97964250942158</v>
      </c>
      <c r="N43" s="736">
        <f t="shared" si="8"/>
        <v>-463.27818045516193</v>
      </c>
      <c r="O43" s="736">
        <f t="shared" si="8"/>
        <v>-508.41717635947248</v>
      </c>
      <c r="P43" s="736">
        <f t="shared" si="8"/>
        <v>-555.463333032234</v>
      </c>
    </row>
    <row r="44" spans="1:16" ht="4.5" customHeight="1" thickTop="1" x14ac:dyDescent="0.2">
      <c r="A44" s="705"/>
      <c r="B44" s="734"/>
      <c r="C44" s="734"/>
      <c r="D44" s="734"/>
      <c r="E44" s="734"/>
      <c r="F44" s="734"/>
      <c r="G44" s="734"/>
      <c r="H44" s="734"/>
      <c r="I44" s="734"/>
      <c r="J44" s="734"/>
      <c r="K44" s="734"/>
      <c r="L44" s="734"/>
      <c r="M44" s="734"/>
      <c r="N44" s="734"/>
      <c r="O44" s="734"/>
      <c r="P44" s="734"/>
    </row>
    <row r="45" spans="1:16" ht="11.25" x14ac:dyDescent="0.2">
      <c r="A45" s="730" t="s">
        <v>76</v>
      </c>
      <c r="B45" s="732">
        <f t="shared" ref="B45:P45" si="9">B38</f>
        <v>0</v>
      </c>
      <c r="C45" s="732">
        <f t="shared" si="9"/>
        <v>0</v>
      </c>
      <c r="D45" s="732">
        <f t="shared" si="9"/>
        <v>0</v>
      </c>
      <c r="E45" s="732">
        <f t="shared" si="9"/>
        <v>2137</v>
      </c>
      <c r="F45" s="732">
        <f t="shared" si="9"/>
        <v>1751.0419999999999</v>
      </c>
      <c r="G45" s="732">
        <f t="shared" si="9"/>
        <v>8847.7439999999988</v>
      </c>
      <c r="H45" s="732">
        <f t="shared" si="9"/>
        <v>-130.32600000000002</v>
      </c>
      <c r="I45" s="732">
        <f t="shared" si="9"/>
        <v>-188.95499999999993</v>
      </c>
      <c r="J45" s="732">
        <f t="shared" si="9"/>
        <v>-206.59699999999975</v>
      </c>
      <c r="K45" s="732">
        <f t="shared" si="9"/>
        <v>-287.64837640000042</v>
      </c>
      <c r="L45" s="732">
        <f t="shared" si="9"/>
        <v>-326.43712478400084</v>
      </c>
      <c r="M45" s="732">
        <f t="shared" si="9"/>
        <v>-366.91924250942157</v>
      </c>
      <c r="N45" s="732">
        <f t="shared" si="9"/>
        <v>-409.15657245516195</v>
      </c>
      <c r="O45" s="732">
        <f t="shared" si="9"/>
        <v>-453.2131361994725</v>
      </c>
      <c r="P45" s="732">
        <f t="shared" si="9"/>
        <v>-499.15521206903395</v>
      </c>
    </row>
    <row r="46" spans="1:16" ht="9.75" customHeight="1" x14ac:dyDescent="0.2">
      <c r="A46" s="737" t="s">
        <v>1015</v>
      </c>
      <c r="B46" s="734"/>
      <c r="C46" s="734"/>
      <c r="D46" s="734"/>
      <c r="E46" s="734"/>
      <c r="F46" s="734"/>
      <c r="G46" s="734"/>
      <c r="H46" s="734"/>
      <c r="I46" s="734"/>
      <c r="J46" s="734"/>
      <c r="K46" s="734"/>
      <c r="L46" s="734"/>
      <c r="M46" s="734"/>
      <c r="N46" s="734"/>
      <c r="O46" s="734"/>
      <c r="P46" s="734"/>
    </row>
    <row r="47" spans="1:16" ht="11.25" x14ac:dyDescent="0.2">
      <c r="A47" s="705" t="s">
        <v>1014</v>
      </c>
      <c r="B47" s="734"/>
      <c r="C47" s="734"/>
      <c r="D47" s="734">
        <v>-8350</v>
      </c>
      <c r="E47" s="734"/>
      <c r="F47" s="734"/>
      <c r="G47" s="734"/>
      <c r="H47" s="734"/>
      <c r="I47" s="734"/>
      <c r="J47" s="734"/>
      <c r="K47" s="734"/>
      <c r="L47" s="734"/>
      <c r="M47" s="734"/>
      <c r="N47" s="734"/>
      <c r="O47" s="734"/>
      <c r="P47" s="734"/>
    </row>
    <row r="48" spans="1:16" ht="1.5" customHeight="1" x14ac:dyDescent="0.2">
      <c r="A48" s="705"/>
      <c r="B48" s="734"/>
      <c r="C48" s="734"/>
      <c r="D48" s="734"/>
      <c r="E48" s="734"/>
      <c r="F48" s="734"/>
      <c r="G48" s="734"/>
      <c r="H48" s="734"/>
      <c r="I48" s="734"/>
      <c r="J48" s="734"/>
      <c r="K48" s="734"/>
      <c r="L48" s="734"/>
      <c r="M48" s="734"/>
      <c r="N48" s="734"/>
      <c r="O48" s="734"/>
      <c r="P48" s="734"/>
    </row>
    <row r="49" spans="1:17" ht="12" thickBot="1" x14ac:dyDescent="0.25">
      <c r="A49" s="705" t="s">
        <v>309</v>
      </c>
      <c r="B49" s="738">
        <f t="shared" ref="B49:P49" si="10">SUM(B45:B48)</f>
        <v>0</v>
      </c>
      <c r="C49" s="738">
        <f t="shared" si="10"/>
        <v>0</v>
      </c>
      <c r="D49" s="738">
        <f t="shared" si="10"/>
        <v>-8350</v>
      </c>
      <c r="E49" s="738">
        <f t="shared" si="10"/>
        <v>2137</v>
      </c>
      <c r="F49" s="738">
        <f t="shared" si="10"/>
        <v>1751.0419999999999</v>
      </c>
      <c r="G49" s="738">
        <f t="shared" si="10"/>
        <v>8847.7439999999988</v>
      </c>
      <c r="H49" s="738">
        <f t="shared" si="10"/>
        <v>-130.32600000000002</v>
      </c>
      <c r="I49" s="738">
        <f t="shared" si="10"/>
        <v>-188.95499999999993</v>
      </c>
      <c r="J49" s="738">
        <f t="shared" si="10"/>
        <v>-206.59699999999975</v>
      </c>
      <c r="K49" s="738">
        <f t="shared" si="10"/>
        <v>-287.64837640000042</v>
      </c>
      <c r="L49" s="738">
        <f t="shared" si="10"/>
        <v>-326.43712478400084</v>
      </c>
      <c r="M49" s="738">
        <f t="shared" si="10"/>
        <v>-366.91924250942157</v>
      </c>
      <c r="N49" s="738">
        <f t="shared" si="10"/>
        <v>-409.15657245516195</v>
      </c>
      <c r="O49" s="738">
        <f t="shared" si="10"/>
        <v>-453.2131361994725</v>
      </c>
      <c r="P49" s="738">
        <f t="shared" si="10"/>
        <v>-499.15521206903395</v>
      </c>
    </row>
    <row r="50" spans="1:17" ht="12" thickTop="1" x14ac:dyDescent="0.2">
      <c r="A50" s="616"/>
      <c r="B50" s="621"/>
      <c r="C50" s="621"/>
      <c r="D50" s="621"/>
      <c r="E50" s="621"/>
      <c r="F50" s="621"/>
      <c r="G50" s="621"/>
      <c r="H50" s="621"/>
      <c r="I50" s="621"/>
      <c r="J50" s="621"/>
      <c r="K50" s="621"/>
      <c r="L50" s="621"/>
      <c r="M50" s="621"/>
      <c r="N50" s="621"/>
      <c r="O50" s="621"/>
      <c r="P50" s="621"/>
    </row>
    <row r="51" spans="1:17" ht="11.25" hidden="1" outlineLevel="1" x14ac:dyDescent="0.2">
      <c r="A51" s="604" t="s">
        <v>1081</v>
      </c>
      <c r="B51" s="621"/>
      <c r="C51" s="621"/>
      <c r="D51" s="621"/>
      <c r="E51" s="622"/>
      <c r="F51" s="811">
        <f>'OLD Capital Budget - NO SRV'!D151/1000-F53</f>
        <v>16180</v>
      </c>
      <c r="G51" s="811">
        <f>'OLD Capital Budget - NO SRV'!F151/1000-G53</f>
        <v>28540</v>
      </c>
      <c r="H51" s="811">
        <f>'OLD Capital Budget - NO SRV'!G151/1000-H53</f>
        <v>3430</v>
      </c>
      <c r="I51" s="811">
        <f>'OLD Capital Budget - NO SRV'!H151/1000-I53</f>
        <v>3430</v>
      </c>
      <c r="J51" s="811">
        <f>'OLD Capital Budget - NO SRV'!I151/1000-J53</f>
        <v>2540</v>
      </c>
      <c r="K51" s="811">
        <v>950</v>
      </c>
      <c r="L51" s="811">
        <v>1000</v>
      </c>
      <c r="M51" s="811">
        <v>1100</v>
      </c>
      <c r="N51" s="811">
        <v>1200</v>
      </c>
      <c r="O51" s="811">
        <v>1200</v>
      </c>
      <c r="P51" s="811">
        <v>1300</v>
      </c>
      <c r="Q51" s="599" t="s">
        <v>32</v>
      </c>
    </row>
    <row r="52" spans="1:17" ht="11.25" hidden="1" outlineLevel="1" x14ac:dyDescent="0.2">
      <c r="A52" s="604"/>
      <c r="B52" s="621"/>
      <c r="C52" s="621"/>
      <c r="D52" s="621"/>
      <c r="E52" s="622"/>
      <c r="F52" s="811"/>
      <c r="G52" s="811"/>
      <c r="H52" s="811"/>
      <c r="I52" s="811"/>
      <c r="J52" s="811"/>
      <c r="K52" s="811"/>
      <c r="L52" s="811"/>
      <c r="M52" s="811"/>
      <c r="N52" s="811"/>
      <c r="O52" s="811"/>
      <c r="P52" s="811"/>
    </row>
    <row r="53" spans="1:17" ht="11.25" hidden="1" outlineLevel="1" x14ac:dyDescent="0.2">
      <c r="A53" s="604" t="s">
        <v>1082</v>
      </c>
      <c r="B53" s="621"/>
      <c r="C53" s="621"/>
      <c r="D53" s="621"/>
      <c r="E53" s="622"/>
      <c r="F53" s="622"/>
      <c r="G53" s="622"/>
      <c r="H53" s="622"/>
      <c r="I53" s="622"/>
      <c r="J53" s="622"/>
      <c r="K53" s="622"/>
      <c r="L53" s="622"/>
      <c r="M53" s="622"/>
      <c r="N53" s="622"/>
      <c r="O53" s="622"/>
      <c r="P53" s="622"/>
      <c r="Q53" s="599" t="s">
        <v>32</v>
      </c>
    </row>
    <row r="54" spans="1:17" ht="11.25" hidden="1" outlineLevel="1" x14ac:dyDescent="0.2">
      <c r="A54" s="604" t="s">
        <v>1083</v>
      </c>
      <c r="B54" s="621"/>
      <c r="C54" s="621"/>
      <c r="D54" s="621"/>
      <c r="E54" s="622"/>
      <c r="F54" s="811">
        <f>'OLD Capital Budget - NO SRV'!D152/1000</f>
        <v>421</v>
      </c>
      <c r="G54" s="811">
        <f>'OLD Capital Budget - NO SRV'!F152/1000</f>
        <v>82.426000000000002</v>
      </c>
      <c r="H54" s="811">
        <f>'OLD Capital Budget - NO SRV'!G152/1000</f>
        <v>85.358999999999995</v>
      </c>
      <c r="I54" s="811">
        <f>'OLD Capital Budget - NO SRV'!H152/1000</f>
        <v>87.948999999999998</v>
      </c>
      <c r="J54" s="811">
        <f>'OLD Capital Budget - NO SRV'!I152/1000</f>
        <v>90.617000000000004</v>
      </c>
      <c r="K54" s="811">
        <f>J54*(1+'LTFP Assumptions'!$K$13)</f>
        <v>92.42934000000001</v>
      </c>
      <c r="L54" s="811">
        <f>K54*(1+'LTFP Assumptions'!$K$13)</f>
        <v>94.277926800000017</v>
      </c>
      <c r="M54" s="811">
        <f>L54*(1+'LTFP Assumptions'!$K$13)</f>
        <v>96.163485336000022</v>
      </c>
      <c r="N54" s="811">
        <f>M54*(1+'LTFP Assumptions'!$K$13)</f>
        <v>98.086755042720029</v>
      </c>
      <c r="O54" s="811">
        <f>N54*(1+'LTFP Assumptions'!$K$13)</f>
        <v>100.04849014357443</v>
      </c>
      <c r="P54" s="811">
        <f>O54*(1+'LTFP Assumptions'!$K$13)</f>
        <v>102.04945994644592</v>
      </c>
    </row>
    <row r="55" spans="1:17" ht="11.25" hidden="1" outlineLevel="1" x14ac:dyDescent="0.2">
      <c r="A55" s="604" t="s">
        <v>1089</v>
      </c>
      <c r="B55" s="621"/>
      <c r="C55" s="621"/>
      <c r="D55" s="621"/>
      <c r="E55" s="622"/>
      <c r="F55" s="811">
        <f>'OLD Capital Budget - NO SRV'!D153/1000</f>
        <v>50</v>
      </c>
      <c r="G55" s="811">
        <f>'OLD Capital Budget - NO SRV'!F153/1000</f>
        <v>50</v>
      </c>
      <c r="H55" s="811">
        <f>'OLD Capital Budget - NO SRV'!G153/1000</f>
        <v>50</v>
      </c>
      <c r="I55" s="811">
        <f>'OLD Capital Budget - NO SRV'!H153/1000</f>
        <v>50</v>
      </c>
      <c r="J55" s="811">
        <f>'OLD Capital Budget - NO SRV'!I153/1000</f>
        <v>50</v>
      </c>
      <c r="K55" s="811">
        <f>J55*(1+'LTFP Assumptions'!$K$13)</f>
        <v>51</v>
      </c>
      <c r="L55" s="811">
        <f>K55*(1+'LTFP Assumptions'!$K$13)</f>
        <v>52.02</v>
      </c>
      <c r="M55" s="811">
        <f>L55*(1+'LTFP Assumptions'!$K$13)</f>
        <v>53.060400000000001</v>
      </c>
      <c r="N55" s="811">
        <f>M55*(1+'LTFP Assumptions'!$K$13)</f>
        <v>54.121608000000002</v>
      </c>
      <c r="O55" s="811">
        <f>N55*(1+'LTFP Assumptions'!$K$13)</f>
        <v>55.204040160000005</v>
      </c>
      <c r="P55" s="811">
        <f>O55*(1+'LTFP Assumptions'!$K$13)</f>
        <v>56.308120963200004</v>
      </c>
    </row>
    <row r="56" spans="1:17" ht="11.25" hidden="1" outlineLevel="1" x14ac:dyDescent="0.2">
      <c r="A56" s="604"/>
      <c r="B56" s="621"/>
      <c r="C56" s="621"/>
      <c r="D56" s="771">
        <f>SUM(D51:D55)</f>
        <v>0</v>
      </c>
      <c r="E56" s="771">
        <f t="shared" ref="E56" si="11">SUM(E51:E54)</f>
        <v>0</v>
      </c>
      <c r="F56" s="771">
        <f>SUM(F51:F55)</f>
        <v>16651</v>
      </c>
      <c r="G56" s="771">
        <f t="shared" ref="G56:P56" si="12">SUM(G51:G55)</f>
        <v>28672.425999999999</v>
      </c>
      <c r="H56" s="771">
        <f t="shared" si="12"/>
        <v>3565.3589999999999</v>
      </c>
      <c r="I56" s="771">
        <f t="shared" si="12"/>
        <v>3567.9490000000001</v>
      </c>
      <c r="J56" s="771">
        <f t="shared" si="12"/>
        <v>2680.6170000000002</v>
      </c>
      <c r="K56" s="771">
        <f t="shared" si="12"/>
        <v>1093.4293399999999</v>
      </c>
      <c r="L56" s="771">
        <f t="shared" si="12"/>
        <v>1146.2979267999999</v>
      </c>
      <c r="M56" s="771">
        <f t="shared" si="12"/>
        <v>1249.2238853360002</v>
      </c>
      <c r="N56" s="771">
        <f t="shared" si="12"/>
        <v>1352.2083630427201</v>
      </c>
      <c r="O56" s="771">
        <f t="shared" si="12"/>
        <v>1355.2525303035743</v>
      </c>
      <c r="P56" s="771">
        <f t="shared" si="12"/>
        <v>1458.357580909646</v>
      </c>
    </row>
    <row r="57" spans="1:17" s="608" customFormat="1" ht="11.25" hidden="1" outlineLevel="1" x14ac:dyDescent="0.2">
      <c r="A57" s="623" t="s">
        <v>1084</v>
      </c>
      <c r="B57" s="621"/>
      <c r="C57" s="621"/>
      <c r="D57" s="621"/>
      <c r="E57" s="621"/>
      <c r="F57" s="621"/>
      <c r="G57" s="621"/>
      <c r="H57" s="621"/>
      <c r="I57" s="621"/>
      <c r="J57" s="621"/>
      <c r="K57" s="621"/>
      <c r="L57" s="621"/>
      <c r="M57" s="621"/>
      <c r="N57" s="621"/>
      <c r="O57" s="621"/>
      <c r="P57" s="621"/>
      <c r="Q57" s="599"/>
    </row>
    <row r="58" spans="1:17" ht="11.25" hidden="1" outlineLevel="1" x14ac:dyDescent="0.2">
      <c r="A58" s="604" t="s">
        <v>931</v>
      </c>
      <c r="B58" s="621"/>
      <c r="C58" s="621"/>
      <c r="D58" s="621"/>
      <c r="E58" s="621"/>
      <c r="F58" s="622">
        <f>-'OLD Capital Budget - NO SRV'!D141/1000</f>
        <v>740.04200000000003</v>
      </c>
      <c r="G58" s="622">
        <f>-'OLD Capital Budget - NO SRV'!F141/1000</f>
        <v>158.244</v>
      </c>
      <c r="H58" s="622">
        <f>-'OLD Capital Budget - NO SRV'!G141/1000</f>
        <v>-179.816</v>
      </c>
      <c r="I58" s="622">
        <f>-'OLD Capital Budget - NO SRV'!H141/1000</f>
        <v>-238.434</v>
      </c>
      <c r="J58" s="622">
        <f>-'OLD Capital Budget - NO SRV'!I141/1000</f>
        <v>-256.06599999999997</v>
      </c>
      <c r="K58" s="622">
        <f>K43</f>
        <v>-338.64837640000042</v>
      </c>
      <c r="L58" s="622">
        <f t="shared" ref="L58:P58" si="13">L43</f>
        <v>-378.45712478400083</v>
      </c>
      <c r="M58" s="622">
        <f t="shared" si="13"/>
        <v>-419.97964250942158</v>
      </c>
      <c r="N58" s="622">
        <f t="shared" si="13"/>
        <v>-463.27818045516193</v>
      </c>
      <c r="O58" s="622">
        <f t="shared" si="13"/>
        <v>-508.41717635947248</v>
      </c>
      <c r="P58" s="622">
        <f t="shared" si="13"/>
        <v>-555.463333032234</v>
      </c>
    </row>
    <row r="59" spans="1:17" ht="11.25" hidden="1" outlineLevel="1" x14ac:dyDescent="0.2">
      <c r="A59" s="604" t="s">
        <v>244</v>
      </c>
      <c r="B59" s="621"/>
      <c r="C59" s="621"/>
      <c r="D59" s="621"/>
      <c r="E59" s="621"/>
      <c r="F59" s="622">
        <f>-'OLD Capital Budget - NO SRV'!D142/1000</f>
        <v>50</v>
      </c>
      <c r="G59" s="622">
        <f>-'OLD Capital Budget - NO SRV'!F142/1000</f>
        <v>50</v>
      </c>
      <c r="H59" s="622">
        <f>-'OLD Capital Budget - NO SRV'!G142/1000</f>
        <v>50</v>
      </c>
      <c r="I59" s="622">
        <f>-'OLD Capital Budget - NO SRV'!H142/1000</f>
        <v>50</v>
      </c>
      <c r="J59" s="622">
        <f>-'OLD Capital Budget - NO SRV'!I142/1000</f>
        <v>50</v>
      </c>
      <c r="K59" s="811">
        <f>J59*(1+'LTFP Assumptions'!$K$13)</f>
        <v>51</v>
      </c>
      <c r="L59" s="811">
        <f>K59*(1+'LTFP Assumptions'!$K$13)</f>
        <v>52.02</v>
      </c>
      <c r="M59" s="811">
        <f>L59*(1+'LTFP Assumptions'!$K$13)</f>
        <v>53.060400000000001</v>
      </c>
      <c r="N59" s="811">
        <f>M59*(1+'LTFP Assumptions'!$K$13)</f>
        <v>54.121608000000002</v>
      </c>
      <c r="O59" s="811">
        <f>N59*(1+'LTFP Assumptions'!$K$13)</f>
        <v>55.204040160000005</v>
      </c>
      <c r="P59" s="811">
        <f>O59*(1+'LTFP Assumptions'!$K$13)</f>
        <v>56.308120963200004</v>
      </c>
    </row>
    <row r="60" spans="1:17" ht="11.25" hidden="1" outlineLevel="1" x14ac:dyDescent="0.2">
      <c r="A60" s="604" t="s">
        <v>1085</v>
      </c>
      <c r="B60" s="621"/>
      <c r="C60" s="621"/>
      <c r="D60" s="621"/>
      <c r="E60" s="621"/>
      <c r="F60" s="622">
        <f>-'OLD Capital Budget - NO SRV'!D143/1000</f>
        <v>960</v>
      </c>
      <c r="G60" s="622">
        <f>-'OLD Capital Budget - NO SRV'!F143/1000</f>
        <v>8640</v>
      </c>
      <c r="H60" s="622">
        <f>-'OLD Capital Budget - NO SRV'!G143/1000</f>
        <v>0</v>
      </c>
      <c r="I60" s="622">
        <f>-'OLD Capital Budget - NO SRV'!H143/1000</f>
        <v>0</v>
      </c>
      <c r="J60" s="622">
        <f>-'OLD Capital Budget - NO SRV'!I143/1000</f>
        <v>0</v>
      </c>
      <c r="K60" s="811">
        <f>J60*(1+'LTFP Assumptions'!$K$13)</f>
        <v>0</v>
      </c>
      <c r="L60" s="811">
        <f>K60*(1+'LTFP Assumptions'!$K$13)</f>
        <v>0</v>
      </c>
      <c r="M60" s="811">
        <f>L60*(1+'LTFP Assumptions'!$K$13)</f>
        <v>0</v>
      </c>
      <c r="N60" s="811">
        <f>M60*(1+'LTFP Assumptions'!$K$13)</f>
        <v>0</v>
      </c>
      <c r="O60" s="811">
        <f>N60*(1+'LTFP Assumptions'!$K$13)</f>
        <v>0</v>
      </c>
      <c r="P60" s="811">
        <f>O60*(1+'LTFP Assumptions'!$K$13)</f>
        <v>0</v>
      </c>
    </row>
    <row r="61" spans="1:17" ht="11.25" hidden="1" outlineLevel="1" x14ac:dyDescent="0.2">
      <c r="A61" s="604" t="s">
        <v>1086</v>
      </c>
      <c r="B61" s="621"/>
      <c r="C61" s="621"/>
      <c r="D61" s="621"/>
      <c r="E61" s="621"/>
      <c r="F61" s="622"/>
      <c r="G61" s="622"/>
      <c r="H61" s="622"/>
      <c r="I61" s="622"/>
      <c r="J61" s="622"/>
      <c r="K61" s="811">
        <f>J61*(1+'LTFP Assumptions'!$K$13)</f>
        <v>0</v>
      </c>
      <c r="L61" s="811">
        <f>K61*(1+'LTFP Assumptions'!$K$13)</f>
        <v>0</v>
      </c>
      <c r="M61" s="811">
        <f>L61*(1+'LTFP Assumptions'!$K$13)</f>
        <v>0</v>
      </c>
      <c r="N61" s="811">
        <f>M61*(1+'LTFP Assumptions'!$K$13)</f>
        <v>0</v>
      </c>
      <c r="O61" s="811">
        <f>N61*(1+'LTFP Assumptions'!$K$13)</f>
        <v>0</v>
      </c>
      <c r="P61" s="811">
        <f>O61*(1+'LTFP Assumptions'!$K$13)</f>
        <v>0</v>
      </c>
    </row>
    <row r="62" spans="1:17" ht="11.25" hidden="1" outlineLevel="1" x14ac:dyDescent="0.2">
      <c r="A62" s="604" t="s">
        <v>33</v>
      </c>
      <c r="B62" s="621">
        <f>+B27</f>
        <v>0</v>
      </c>
      <c r="C62" s="621">
        <f>C27</f>
        <v>0</v>
      </c>
      <c r="D62" s="621">
        <f>D27</f>
        <v>0</v>
      </c>
      <c r="E62" s="621">
        <f>E27</f>
        <v>1210</v>
      </c>
      <c r="F62" s="622">
        <f>-'OLD Capital Budget - NO SRV'!D144/1000</f>
        <v>1275.067</v>
      </c>
      <c r="G62" s="622">
        <f>-'OLD Capital Budget - NO SRV'!F144/1000</f>
        <v>1268</v>
      </c>
      <c r="H62" s="622">
        <f>-'OLD Capital Budget - NO SRV'!G144/1000</f>
        <v>1458.45</v>
      </c>
      <c r="I62" s="622">
        <f>-'OLD Capital Budget - NO SRV'!H144/1000</f>
        <v>1479.9110000000001</v>
      </c>
      <c r="J62" s="622">
        <f>-'OLD Capital Budget - NO SRV'!I144/1000</f>
        <v>1499.384</v>
      </c>
      <c r="K62" s="811">
        <f>J62*(1+'LTFP Assumptions'!$K$13)</f>
        <v>1529.37168</v>
      </c>
      <c r="L62" s="811">
        <f>K62*(1+'LTFP Assumptions'!$K$13)</f>
        <v>1559.9591135999999</v>
      </c>
      <c r="M62" s="811">
        <f>L62*(1+'LTFP Assumptions'!$K$13)</f>
        <v>1591.1582958719998</v>
      </c>
      <c r="N62" s="811">
        <f>M62*(1+'LTFP Assumptions'!$K$13)</f>
        <v>1622.9814617894399</v>
      </c>
      <c r="O62" s="811">
        <f>N62*(1+'LTFP Assumptions'!$K$13)</f>
        <v>1655.4410910252286</v>
      </c>
      <c r="P62" s="811">
        <f>O62*(1+'LTFP Assumptions'!$K$13)</f>
        <v>1688.5499128457332</v>
      </c>
    </row>
    <row r="63" spans="1:17" ht="11.25" hidden="1" outlineLevel="1" x14ac:dyDescent="0.2">
      <c r="A63" s="604" t="s">
        <v>22</v>
      </c>
      <c r="B63" s="621"/>
      <c r="C63" s="621"/>
      <c r="D63" s="621"/>
      <c r="E63" s="621"/>
      <c r="F63" s="622">
        <f>-'OLD Capital Budget - NO SRV'!D146/1000</f>
        <v>3869.8910000000001</v>
      </c>
      <c r="G63" s="622">
        <f>-'OLD Capital Budget - NO SRV'!F146/1000</f>
        <v>1200</v>
      </c>
      <c r="H63" s="622">
        <f>-'OLD Capital Budget - NO SRV'!G146/1000</f>
        <v>2236.7249999999999</v>
      </c>
      <c r="I63" s="622">
        <f>-'OLD Capital Budget - NO SRV'!H146/1000</f>
        <v>2276.4720000000002</v>
      </c>
      <c r="J63" s="622">
        <f>-'OLD Capital Budget - NO SRV'!I146/1000</f>
        <v>1387.239</v>
      </c>
      <c r="K63" s="811">
        <v>0</v>
      </c>
      <c r="L63" s="811">
        <f>K63*(1+'LTFP Assumptions'!$K$13)</f>
        <v>0</v>
      </c>
      <c r="M63" s="811">
        <f>L63*(1+'LTFP Assumptions'!$K$13)</f>
        <v>0</v>
      </c>
      <c r="N63" s="811">
        <f>M63*(1+'LTFP Assumptions'!$K$13)</f>
        <v>0</v>
      </c>
      <c r="O63" s="811">
        <f>N63*(1+'LTFP Assumptions'!$K$13)</f>
        <v>0</v>
      </c>
      <c r="P63" s="811">
        <f>O63*(1+'LTFP Assumptions'!$K$13)</f>
        <v>0</v>
      </c>
    </row>
    <row r="64" spans="1:17" ht="11.25" hidden="1" outlineLevel="1" x14ac:dyDescent="0.2">
      <c r="A64" s="604" t="s">
        <v>1087</v>
      </c>
      <c r="B64" s="621"/>
      <c r="C64" s="621"/>
      <c r="D64" s="621"/>
      <c r="E64" s="621"/>
      <c r="F64" s="622">
        <f>-'OLD Capital Budget - NO SRV'!D145/1000</f>
        <v>9756</v>
      </c>
      <c r="G64" s="622">
        <f>-'OLD Capital Budget - NO SRV'!F145/1000</f>
        <v>17356.182000000001</v>
      </c>
      <c r="H64" s="622">
        <f>-'OLD Capital Budget - NO SRV'!G145/1000</f>
        <v>0</v>
      </c>
      <c r="I64" s="622">
        <f>-'OLD Capital Budget - NO SRV'!H145/1000</f>
        <v>0</v>
      </c>
      <c r="J64" s="622">
        <f>-'OLD Capital Budget - NO SRV'!I145/1000</f>
        <v>0</v>
      </c>
      <c r="K64" s="811">
        <f>J64*(1+'LTFP Assumptions'!$K$13)</f>
        <v>0</v>
      </c>
      <c r="L64" s="811">
        <f>K64*(1+'LTFP Assumptions'!$K$13)</f>
        <v>0</v>
      </c>
      <c r="M64" s="811">
        <f>L64*(1+'LTFP Assumptions'!$K$13)</f>
        <v>0</v>
      </c>
      <c r="N64" s="811">
        <f>M64*(1+'LTFP Assumptions'!$K$13)</f>
        <v>0</v>
      </c>
      <c r="O64" s="811">
        <f>N64*(1+'LTFP Assumptions'!$K$13)</f>
        <v>0</v>
      </c>
      <c r="P64" s="811">
        <f>O64*(1+'LTFP Assumptions'!$K$13)</f>
        <v>0</v>
      </c>
    </row>
    <row r="65" spans="1:16" ht="11.25" hidden="1" outlineLevel="1" x14ac:dyDescent="0.2">
      <c r="A65" s="604" t="s">
        <v>1088</v>
      </c>
      <c r="B65" s="621"/>
      <c r="C65" s="621"/>
      <c r="D65" s="621"/>
      <c r="E65" s="621"/>
      <c r="F65" s="622">
        <f>-'OLD Capital Budget - NO SRV'!D147/1000</f>
        <v>0</v>
      </c>
      <c r="G65" s="622">
        <f>-'OLD Capital Budget - NO SRV'!F147/1000</f>
        <v>0</v>
      </c>
      <c r="H65" s="622">
        <f>-'OLD Capital Budget - NO SRV'!G147/1000</f>
        <v>0</v>
      </c>
      <c r="I65" s="622">
        <f>-'OLD Capital Budget - NO SRV'!H147/1000</f>
        <v>0</v>
      </c>
      <c r="J65" s="622">
        <f>-'OLD Capital Budget - NO SRV'!I147/1000</f>
        <v>0</v>
      </c>
      <c r="K65" s="622">
        <f>-'OLD Capital Budget - NO SRV'!J147/1000</f>
        <v>0</v>
      </c>
      <c r="L65" s="622">
        <f>-'OLD Capital Budget - NO SRV'!K147/1000</f>
        <v>0</v>
      </c>
      <c r="M65" s="622">
        <f>-'OLD Capital Budget - NO SRV'!L147/1000</f>
        <v>0</v>
      </c>
      <c r="N65" s="622">
        <f>-'OLD Capital Budget - NO SRV'!M147/1000</f>
        <v>0</v>
      </c>
      <c r="O65" s="622">
        <f>-'OLD Capital Budget - NO SRV'!N147/1000</f>
        <v>0</v>
      </c>
      <c r="P65" s="622">
        <f>-'OLD Capital Budget - NO SRV'!O147/1000</f>
        <v>0</v>
      </c>
    </row>
    <row r="66" spans="1:16" ht="11.25" hidden="1" outlineLevel="1" x14ac:dyDescent="0.2">
      <c r="A66" s="604"/>
      <c r="B66" s="621"/>
      <c r="C66" s="621"/>
      <c r="D66" s="771">
        <f>SUM(D58:D65)</f>
        <v>0</v>
      </c>
      <c r="E66" s="771">
        <f>SUM(E58:E65)</f>
        <v>1210</v>
      </c>
      <c r="F66" s="771">
        <f>SUM(F58:F65)</f>
        <v>16651</v>
      </c>
      <c r="G66" s="771">
        <f t="shared" ref="G66:P66" si="14">SUM(G58:G65)</f>
        <v>28672.425999999999</v>
      </c>
      <c r="H66" s="771">
        <f t="shared" si="14"/>
        <v>3565.3589999999999</v>
      </c>
      <c r="I66" s="771">
        <f t="shared" si="14"/>
        <v>3567.9490000000005</v>
      </c>
      <c r="J66" s="771">
        <f t="shared" si="14"/>
        <v>2680.5569999999998</v>
      </c>
      <c r="K66" s="771">
        <f t="shared" si="14"/>
        <v>1241.7233035999996</v>
      </c>
      <c r="L66" s="771">
        <f t="shared" si="14"/>
        <v>1233.5219888159991</v>
      </c>
      <c r="M66" s="771">
        <f t="shared" si="14"/>
        <v>1224.2390533625783</v>
      </c>
      <c r="N66" s="771">
        <f t="shared" si="14"/>
        <v>1213.8248893342779</v>
      </c>
      <c r="O66" s="771">
        <f t="shared" si="14"/>
        <v>1202.2279548257561</v>
      </c>
      <c r="P66" s="771">
        <f t="shared" si="14"/>
        <v>1189.3947007766992</v>
      </c>
    </row>
    <row r="67" spans="1:16" ht="11.25" hidden="1" outlineLevel="1" x14ac:dyDescent="0.2">
      <c r="A67" s="599"/>
      <c r="B67" s="621"/>
      <c r="C67" s="621"/>
      <c r="D67" s="622"/>
      <c r="E67" s="622"/>
      <c r="F67" s="622"/>
      <c r="G67" s="622"/>
      <c r="H67" s="622"/>
      <c r="I67" s="622"/>
      <c r="J67" s="624"/>
      <c r="K67" s="624"/>
      <c r="L67" s="624"/>
      <c r="M67" s="624"/>
      <c r="N67" s="624"/>
      <c r="O67" s="624"/>
      <c r="P67" s="624"/>
    </row>
    <row r="68" spans="1:16" ht="11.25" hidden="1" outlineLevel="1" x14ac:dyDescent="0.2">
      <c r="A68" s="604"/>
      <c r="B68" s="621"/>
      <c r="C68" s="621"/>
      <c r="D68" s="621"/>
      <c r="E68" s="621"/>
      <c r="F68" s="621"/>
      <c r="G68" s="621"/>
      <c r="H68" s="621"/>
      <c r="I68" s="621"/>
      <c r="J68" s="621"/>
      <c r="K68" s="621"/>
      <c r="L68" s="621"/>
      <c r="M68" s="621"/>
      <c r="N68" s="621"/>
      <c r="O68" s="621"/>
      <c r="P68" s="621"/>
    </row>
    <row r="69" spans="1:16" ht="11.25" hidden="1" outlineLevel="1" x14ac:dyDescent="0.2">
      <c r="A69" s="604" t="s">
        <v>34</v>
      </c>
      <c r="B69" s="621">
        <f>+B38+SUM(B51:B68)</f>
        <v>0</v>
      </c>
      <c r="C69" s="621">
        <f>+C38+SUM(C51:C68)</f>
        <v>0</v>
      </c>
      <c r="D69" s="625">
        <f>D66-D56</f>
        <v>0</v>
      </c>
      <c r="E69" s="625">
        <f t="shared" ref="E69:P69" si="15">E66-E56</f>
        <v>1210</v>
      </c>
      <c r="F69" s="625">
        <f t="shared" si="15"/>
        <v>0</v>
      </c>
      <c r="G69" s="625">
        <f t="shared" si="15"/>
        <v>0</v>
      </c>
      <c r="H69" s="625">
        <f t="shared" si="15"/>
        <v>0</v>
      </c>
      <c r="I69" s="625">
        <f t="shared" si="15"/>
        <v>0</v>
      </c>
      <c r="J69" s="625">
        <f t="shared" si="15"/>
        <v>-6.0000000000400178E-2</v>
      </c>
      <c r="K69" s="625">
        <f t="shared" si="15"/>
        <v>148.29396359999964</v>
      </c>
      <c r="L69" s="625">
        <f t="shared" si="15"/>
        <v>87.224062015999152</v>
      </c>
      <c r="M69" s="625">
        <f t="shared" si="15"/>
        <v>-24.984831973421933</v>
      </c>
      <c r="N69" s="625">
        <f t="shared" si="15"/>
        <v>-138.38347370844212</v>
      </c>
      <c r="O69" s="625">
        <f t="shared" si="15"/>
        <v>-153.02457547781819</v>
      </c>
      <c r="P69" s="625">
        <f t="shared" si="15"/>
        <v>-268.96288013294679</v>
      </c>
    </row>
    <row r="70" spans="1:16" ht="11.25" hidden="1" outlineLevel="1" x14ac:dyDescent="0.2">
      <c r="A70" s="600" t="s">
        <v>451</v>
      </c>
      <c r="C70" s="606">
        <f>B71</f>
        <v>0</v>
      </c>
      <c r="D70" s="606">
        <f t="shared" ref="D70:P70" si="16">C71</f>
        <v>0</v>
      </c>
      <c r="E70" s="606">
        <f t="shared" si="16"/>
        <v>0</v>
      </c>
      <c r="F70" s="606">
        <v>0</v>
      </c>
      <c r="G70" s="606">
        <f t="shared" si="16"/>
        <v>0</v>
      </c>
      <c r="H70" s="606">
        <f t="shared" si="16"/>
        <v>0</v>
      </c>
      <c r="I70" s="606">
        <f t="shared" si="16"/>
        <v>0</v>
      </c>
      <c r="J70" s="606">
        <f t="shared" si="16"/>
        <v>0</v>
      </c>
      <c r="K70" s="606">
        <f t="shared" si="16"/>
        <v>-6.0000000000400178E-2</v>
      </c>
      <c r="L70" s="606">
        <f t="shared" si="16"/>
        <v>148.23396359999924</v>
      </c>
      <c r="M70" s="606">
        <f t="shared" si="16"/>
        <v>235.45802561599839</v>
      </c>
      <c r="N70" s="606">
        <f t="shared" si="16"/>
        <v>210.47319364257646</v>
      </c>
      <c r="O70" s="606">
        <f t="shared" si="16"/>
        <v>72.089719934134337</v>
      </c>
      <c r="P70" s="606">
        <f t="shared" si="16"/>
        <v>-80.934855543683852</v>
      </c>
    </row>
    <row r="71" spans="1:16" ht="11.25" hidden="1" outlineLevel="1" x14ac:dyDescent="0.2">
      <c r="A71" s="620" t="s">
        <v>452</v>
      </c>
      <c r="B71" s="626"/>
      <c r="C71" s="627">
        <f>SUM(C69:C70)</f>
        <v>0</v>
      </c>
      <c r="D71" s="627">
        <f t="shared" ref="D71:P71" si="17">SUM(D69:D70)</f>
        <v>0</v>
      </c>
      <c r="E71" s="627">
        <f t="shared" si="17"/>
        <v>1210</v>
      </c>
      <c r="F71" s="627">
        <f t="shared" si="17"/>
        <v>0</v>
      </c>
      <c r="G71" s="627">
        <f t="shared" si="17"/>
        <v>0</v>
      </c>
      <c r="H71" s="627">
        <f t="shared" si="17"/>
        <v>0</v>
      </c>
      <c r="I71" s="627">
        <f t="shared" si="17"/>
        <v>0</v>
      </c>
      <c r="J71" s="627">
        <f t="shared" si="17"/>
        <v>-6.0000000000400178E-2</v>
      </c>
      <c r="K71" s="627">
        <f t="shared" si="17"/>
        <v>148.23396359999924</v>
      </c>
      <c r="L71" s="627">
        <f t="shared" si="17"/>
        <v>235.45802561599839</v>
      </c>
      <c r="M71" s="627">
        <f t="shared" si="17"/>
        <v>210.47319364257646</v>
      </c>
      <c r="N71" s="627">
        <f t="shared" si="17"/>
        <v>72.089719934134337</v>
      </c>
      <c r="O71" s="627">
        <f t="shared" si="17"/>
        <v>-80.934855543683852</v>
      </c>
      <c r="P71" s="627">
        <f t="shared" si="17"/>
        <v>-349.89773567663065</v>
      </c>
    </row>
    <row r="72" spans="1:16" ht="11.25" collapsed="1" x14ac:dyDescent="0.2">
      <c r="A72" s="620"/>
      <c r="B72" s="626"/>
      <c r="C72" s="627"/>
      <c r="D72" s="627"/>
      <c r="E72" s="627"/>
      <c r="F72" s="627"/>
      <c r="G72" s="627"/>
      <c r="H72" s="627"/>
      <c r="I72" s="627"/>
      <c r="J72" s="627"/>
      <c r="K72" s="627"/>
      <c r="L72" s="627"/>
      <c r="M72" s="627"/>
      <c r="N72" s="627"/>
      <c r="O72" s="627"/>
      <c r="P72" s="627"/>
    </row>
    <row r="73" spans="1:16" s="631" customFormat="1" ht="11.25" hidden="1" outlineLevel="1" x14ac:dyDescent="0.2">
      <c r="A73" s="628" t="s">
        <v>611</v>
      </c>
      <c r="B73" s="629"/>
      <c r="C73" s="630"/>
      <c r="D73" s="630"/>
      <c r="E73" s="630"/>
      <c r="F73" s="630"/>
      <c r="G73" s="630"/>
      <c r="H73" s="630"/>
      <c r="I73" s="630"/>
      <c r="J73" s="630"/>
      <c r="K73" s="630">
        <f>J25*(1+'LTFP Assumptions'!$H13)</f>
        <v>944.33537999999999</v>
      </c>
      <c r="L73" s="630">
        <f>K73*(1+'LTFP Assumptions'!$H13)</f>
        <v>963.22208760000001</v>
      </c>
      <c r="M73" s="630">
        <f>L73*(1+'LTFP Assumptions'!$H13)</f>
        <v>982.48652935200005</v>
      </c>
      <c r="N73" s="630">
        <f>M73*(1+'LTFP Assumptions'!$H13)</f>
        <v>1002.1362599390401</v>
      </c>
      <c r="O73" s="630">
        <f>N73*(1+'LTFP Assumptions'!$H13)</f>
        <v>1022.1789851378209</v>
      </c>
      <c r="P73" s="630">
        <f>O73*(1+'LTFP Assumptions'!$H13)</f>
        <v>1042.6225648405773</v>
      </c>
    </row>
    <row r="74" spans="1:16" s="631" customFormat="1" ht="11.25" hidden="1" outlineLevel="1" x14ac:dyDescent="0.2">
      <c r="A74" s="628"/>
      <c r="B74" s="629"/>
      <c r="C74" s="630"/>
      <c r="D74" s="630"/>
      <c r="E74" s="630"/>
      <c r="F74" s="630"/>
      <c r="G74" s="630"/>
      <c r="H74" s="630"/>
      <c r="I74" s="630"/>
      <c r="J74" s="630"/>
      <c r="K74" s="630"/>
      <c r="L74" s="630"/>
      <c r="M74" s="630"/>
      <c r="N74" s="630"/>
      <c r="O74" s="630"/>
      <c r="P74" s="630"/>
    </row>
    <row r="75" spans="1:16" ht="12.75" collapsed="1" x14ac:dyDescent="0.2">
      <c r="A75" s="1091" t="s">
        <v>1362</v>
      </c>
    </row>
    <row r="76" spans="1:16" ht="12" x14ac:dyDescent="0.2">
      <c r="A76" s="632" t="s">
        <v>1065</v>
      </c>
      <c r="B76" s="586" t="s">
        <v>69</v>
      </c>
      <c r="C76" s="586" t="s">
        <v>69</v>
      </c>
      <c r="D76" s="586" t="s">
        <v>69</v>
      </c>
      <c r="E76" s="586" t="s">
        <v>69</v>
      </c>
      <c r="F76" s="586" t="s">
        <v>70</v>
      </c>
      <c r="G76" s="586" t="s">
        <v>70</v>
      </c>
      <c r="H76" s="586" t="s">
        <v>71</v>
      </c>
      <c r="I76" s="586" t="s">
        <v>71</v>
      </c>
      <c r="J76" s="586" t="s">
        <v>71</v>
      </c>
      <c r="K76" s="586" t="s">
        <v>71</v>
      </c>
      <c r="L76" s="586" t="s">
        <v>71</v>
      </c>
      <c r="M76" s="586" t="s">
        <v>71</v>
      </c>
      <c r="N76" s="586" t="s">
        <v>71</v>
      </c>
      <c r="O76" s="586" t="s">
        <v>71</v>
      </c>
      <c r="P76" s="586" t="s">
        <v>71</v>
      </c>
    </row>
    <row r="77" spans="1:16" ht="11.25" x14ac:dyDescent="0.2">
      <c r="A77" s="598" t="s">
        <v>73</v>
      </c>
      <c r="B77" s="741" t="s">
        <v>68</v>
      </c>
      <c r="C77" s="694" t="s">
        <v>0</v>
      </c>
      <c r="D77" s="694" t="s">
        <v>1</v>
      </c>
      <c r="E77" s="694" t="s">
        <v>2</v>
      </c>
      <c r="F77" s="694" t="s">
        <v>3</v>
      </c>
      <c r="G77" s="694" t="s">
        <v>4</v>
      </c>
      <c r="H77" s="694" t="s">
        <v>5</v>
      </c>
      <c r="I77" s="694" t="s">
        <v>6</v>
      </c>
      <c r="J77" s="694" t="s">
        <v>7</v>
      </c>
      <c r="K77" s="694" t="s">
        <v>8</v>
      </c>
      <c r="L77" s="694" t="s">
        <v>9</v>
      </c>
      <c r="M77" s="694" t="s">
        <v>514</v>
      </c>
      <c r="N77" s="694" t="s">
        <v>515</v>
      </c>
      <c r="O77" s="694" t="s">
        <v>904</v>
      </c>
      <c r="P77" s="694" t="s">
        <v>1046</v>
      </c>
    </row>
    <row r="78" spans="1:16" ht="11.25" x14ac:dyDescent="0.2">
      <c r="A78" s="604" t="s">
        <v>61</v>
      </c>
    </row>
    <row r="79" spans="1:16" ht="11.25" x14ac:dyDescent="0.2">
      <c r="A79" s="607" t="s">
        <v>62</v>
      </c>
    </row>
    <row r="80" spans="1:16" ht="11.25" x14ac:dyDescent="0.2">
      <c r="A80" s="600" t="s">
        <v>11</v>
      </c>
      <c r="B80" s="606">
        <f t="shared" ref="B80:E85" si="18">+B11</f>
        <v>0</v>
      </c>
      <c r="C80" s="606">
        <f t="shared" si="18"/>
        <v>0</v>
      </c>
      <c r="D80" s="606">
        <f t="shared" si="18"/>
        <v>0</v>
      </c>
      <c r="E80" s="606">
        <f t="shared" si="18"/>
        <v>3350</v>
      </c>
      <c r="F80" s="606">
        <f>-'Opex with SRV'!C223/1000</f>
        <v>4001.5</v>
      </c>
      <c r="G80" s="606">
        <f>-'Opex with SRV'!E223/1000</f>
        <v>3866</v>
      </c>
      <c r="H80" s="606">
        <f>-'Opex with SRV'!G223/1000</f>
        <v>4129.43</v>
      </c>
      <c r="I80" s="606">
        <f>-'Opex with SRV'!H223/1000</f>
        <v>4236.2120000000004</v>
      </c>
      <c r="J80" s="606">
        <f>-'Opex with SRV'!I223/1000</f>
        <v>4349.6570000000002</v>
      </c>
      <c r="K80" s="608">
        <f>J80*(1+'LTFP Assumptions'!$J6)</f>
        <v>4458.3984249999994</v>
      </c>
      <c r="L80" s="608">
        <f>K80*(1+'LTFP Assumptions'!$J6)</f>
        <v>4569.8583856249988</v>
      </c>
      <c r="M80" s="608">
        <f>L80*(1+'LTFP Assumptions'!$J6)</f>
        <v>4684.1048452656232</v>
      </c>
      <c r="N80" s="608">
        <f>M80*(1+'LTFP Assumptions'!$J6)</f>
        <v>4801.2074663972635</v>
      </c>
      <c r="O80" s="608">
        <f>N80*(1+'LTFP Assumptions'!$J6)</f>
        <v>4921.2376530571946</v>
      </c>
      <c r="P80" s="608">
        <f>O80*(1+'LTFP Assumptions'!$J6)</f>
        <v>5044.2685943836241</v>
      </c>
    </row>
    <row r="81" spans="1:16" ht="11.25" x14ac:dyDescent="0.2">
      <c r="A81" s="600" t="s">
        <v>12</v>
      </c>
      <c r="B81" s="606">
        <f t="shared" si="18"/>
        <v>0</v>
      </c>
      <c r="C81" s="606">
        <f t="shared" si="18"/>
        <v>0</v>
      </c>
      <c r="D81" s="606">
        <f t="shared" si="18"/>
        <v>0</v>
      </c>
      <c r="E81" s="606">
        <f t="shared" si="18"/>
        <v>430</v>
      </c>
      <c r="F81" s="606">
        <f>-'Opex with SRV'!C224/1000</f>
        <v>322.7</v>
      </c>
      <c r="G81" s="606">
        <f>-'Opex with SRV'!E224/1000</f>
        <v>364.5</v>
      </c>
      <c r="H81" s="606">
        <f>-'Opex with SRV'!G224/1000</f>
        <v>375.29</v>
      </c>
      <c r="I81" s="606">
        <f>-'Opex with SRV'!H224/1000</f>
        <v>386.4</v>
      </c>
      <c r="J81" s="606">
        <f>-'Opex with SRV'!I224/1000</f>
        <v>397.839</v>
      </c>
      <c r="K81" s="608">
        <f>J81*(1+'LTFP Assumptions'!$J12)</f>
        <v>405.79577999999998</v>
      </c>
      <c r="L81" s="608">
        <f>K81*(1+'LTFP Assumptions'!$J12)</f>
        <v>413.91169559999997</v>
      </c>
      <c r="M81" s="608">
        <f>L81*(1+'LTFP Assumptions'!$J12)</f>
        <v>422.18992951199999</v>
      </c>
      <c r="N81" s="608">
        <f>M81*(1+'LTFP Assumptions'!$J12)</f>
        <v>430.63372810224001</v>
      </c>
      <c r="O81" s="608">
        <f>N81*(1+'LTFP Assumptions'!$J12)</f>
        <v>439.2464026642848</v>
      </c>
      <c r="P81" s="608">
        <f>O81*(1+'LTFP Assumptions'!$J12)</f>
        <v>448.03133071757048</v>
      </c>
    </row>
    <row r="82" spans="1:16" ht="11.25" x14ac:dyDescent="0.2">
      <c r="A82" s="600" t="s">
        <v>13</v>
      </c>
      <c r="B82" s="606">
        <f t="shared" si="18"/>
        <v>0</v>
      </c>
      <c r="C82" s="606">
        <f t="shared" si="18"/>
        <v>0</v>
      </c>
      <c r="D82" s="606">
        <f t="shared" si="18"/>
        <v>0</v>
      </c>
      <c r="E82" s="606">
        <f t="shared" si="18"/>
        <v>557</v>
      </c>
      <c r="F82" s="606">
        <f>-'Opex with SRV'!C225/1000</f>
        <v>455</v>
      </c>
      <c r="G82" s="606">
        <f>-'Opex with SRV'!E225/1000</f>
        <v>405</v>
      </c>
      <c r="H82" s="606">
        <f>-'Opex with SRV'!G225/1000</f>
        <v>290.75</v>
      </c>
      <c r="I82" s="606">
        <f>-'Opex with SRV'!H225/1000</f>
        <v>216.52199999999999</v>
      </c>
      <c r="J82" s="606">
        <f>-'Opex with SRV'!I225/1000</f>
        <v>177.31800000000001</v>
      </c>
      <c r="K82" s="608">
        <f>'Sewer  Fund  Cash Flow'!J105*'LTFP Assumptions'!$J17</f>
        <v>61.38452000000003</v>
      </c>
      <c r="L82" s="608">
        <f>'Sewer  Fund  Cash Flow'!K105*'LTFP Assumptions'!$J17</f>
        <v>4.0459263440000361</v>
      </c>
      <c r="M82" s="608">
        <f>'Sewer  Fund  Cash Flow'!L105*'LTFP Assumptions'!$J17</f>
        <v>-55.453387844360059</v>
      </c>
      <c r="N82" s="608">
        <f>'Sewer  Fund  Cash Flow'!M105*'LTFP Assumptions'!$J17</f>
        <v>-117.18565368630192</v>
      </c>
      <c r="O82" s="608">
        <f>'Sewer  Fund  Cash Flow'!N105*'LTFP Assumptions'!$J17</f>
        <v>-181.22547376854538</v>
      </c>
      <c r="P82" s="608">
        <f>'Sewer  Fund  Cash Flow'!O105*'LTFP Assumptions'!$J17</f>
        <v>-247.64990244187368</v>
      </c>
    </row>
    <row r="83" spans="1:16" ht="11.25" x14ac:dyDescent="0.2">
      <c r="A83" s="600" t="s">
        <v>14</v>
      </c>
      <c r="B83" s="606">
        <f t="shared" si="18"/>
        <v>0</v>
      </c>
      <c r="C83" s="606">
        <f t="shared" si="18"/>
        <v>0</v>
      </c>
      <c r="D83" s="606">
        <f t="shared" si="18"/>
        <v>0</v>
      </c>
      <c r="E83" s="606">
        <f t="shared" si="18"/>
        <v>304</v>
      </c>
      <c r="F83" s="606">
        <f>+F14</f>
        <v>0</v>
      </c>
      <c r="G83" s="606">
        <f>+G14</f>
        <v>0</v>
      </c>
      <c r="H83" s="606">
        <f t="shared" ref="H83" si="19">+H14</f>
        <v>0</v>
      </c>
      <c r="I83" s="606">
        <f t="shared" ref="I83:J83" si="20">+I14</f>
        <v>0</v>
      </c>
      <c r="J83" s="606">
        <f t="shared" si="20"/>
        <v>0</v>
      </c>
      <c r="K83" s="608">
        <f>J83*(1+'LTFP Assumptions'!$J9)</f>
        <v>0</v>
      </c>
      <c r="L83" s="608">
        <f>K83*(1+'LTFP Assumptions'!$J9)</f>
        <v>0</v>
      </c>
      <c r="M83" s="608">
        <f>L83*(1+'LTFP Assumptions'!$J9)</f>
        <v>0</v>
      </c>
      <c r="N83" s="608">
        <f>M83*(1+'LTFP Assumptions'!$J9)</f>
        <v>0</v>
      </c>
      <c r="O83" s="608">
        <f>N83*(1+'LTFP Assumptions'!$J9)</f>
        <v>0</v>
      </c>
      <c r="P83" s="608">
        <f>O83*(1+'LTFP Assumptions'!$J9)</f>
        <v>0</v>
      </c>
    </row>
    <row r="84" spans="1:16" ht="22.5" x14ac:dyDescent="0.2">
      <c r="A84" s="600" t="s">
        <v>15</v>
      </c>
      <c r="B84" s="606">
        <f t="shared" si="18"/>
        <v>0</v>
      </c>
      <c r="C84" s="606">
        <f t="shared" si="18"/>
        <v>0</v>
      </c>
      <c r="D84" s="606">
        <f t="shared" si="18"/>
        <v>0</v>
      </c>
      <c r="E84" s="606">
        <f t="shared" si="18"/>
        <v>34</v>
      </c>
      <c r="F84" s="606">
        <f>-'Opex with SRV'!C226/1000</f>
        <v>37.5</v>
      </c>
      <c r="G84" s="606">
        <f>-'Opex with SRV'!E226/1000</f>
        <v>35</v>
      </c>
      <c r="H84" s="606">
        <f>-'Opex with SRV'!G226/1000</f>
        <v>35.700000000000003</v>
      </c>
      <c r="I84" s="606">
        <f>-'Opex with SRV'!H226/1000</f>
        <v>36.414000000000001</v>
      </c>
      <c r="J84" s="606">
        <f>-'Opex with SRV'!I226/1000</f>
        <v>37.142000000000003</v>
      </c>
      <c r="K84" s="608">
        <f>J84*(1+'LTFP Assumptions'!$J10)</f>
        <v>38.070549999999997</v>
      </c>
      <c r="L84" s="608">
        <f>K84*(1+'LTFP Assumptions'!$J10)</f>
        <v>39.022313749999995</v>
      </c>
      <c r="M84" s="608">
        <f>L84*(1+'LTFP Assumptions'!$J10)</f>
        <v>39.997871593749991</v>
      </c>
      <c r="N84" s="608">
        <f>M84*(1+'LTFP Assumptions'!$J10)</f>
        <v>40.997818383593739</v>
      </c>
      <c r="O84" s="608">
        <f>N84*(1+'LTFP Assumptions'!$J10)</f>
        <v>42.022763843183576</v>
      </c>
      <c r="P84" s="608">
        <f>O84*(1+'LTFP Assumptions'!$J10)</f>
        <v>43.07333293926316</v>
      </c>
    </row>
    <row r="85" spans="1:16" ht="22.5" x14ac:dyDescent="0.2">
      <c r="A85" s="600" t="s">
        <v>18</v>
      </c>
      <c r="B85" s="606">
        <f t="shared" si="18"/>
        <v>0</v>
      </c>
      <c r="C85" s="606">
        <f t="shared" si="18"/>
        <v>0</v>
      </c>
      <c r="D85" s="606">
        <f t="shared" si="18"/>
        <v>0</v>
      </c>
      <c r="E85" s="606">
        <f t="shared" si="18"/>
        <v>1091</v>
      </c>
      <c r="F85" s="606">
        <f>+F16</f>
        <v>1010</v>
      </c>
      <c r="G85" s="606">
        <f t="shared" ref="G85:P85" si="21">G129+G130+G131</f>
        <v>8690</v>
      </c>
      <c r="H85" s="606">
        <f t="shared" si="21"/>
        <v>50</v>
      </c>
      <c r="I85" s="606">
        <f t="shared" ref="I85:J85" si="22">I129+I130+I131</f>
        <v>50</v>
      </c>
      <c r="J85" s="606">
        <f t="shared" si="22"/>
        <v>50</v>
      </c>
      <c r="K85" s="606">
        <f t="shared" si="21"/>
        <v>51</v>
      </c>
      <c r="L85" s="606">
        <f t="shared" si="21"/>
        <v>52.02</v>
      </c>
      <c r="M85" s="606">
        <f t="shared" si="21"/>
        <v>53.060400000000001</v>
      </c>
      <c r="N85" s="606">
        <f t="shared" si="21"/>
        <v>54.121608000000002</v>
      </c>
      <c r="O85" s="606">
        <f t="shared" si="21"/>
        <v>55.204040160000005</v>
      </c>
      <c r="P85" s="606">
        <f t="shared" si="21"/>
        <v>56.308120963200004</v>
      </c>
    </row>
    <row r="86" spans="1:16" ht="11.25" x14ac:dyDescent="0.2">
      <c r="A86" s="1149" t="s">
        <v>1180</v>
      </c>
      <c r="B86" s="606"/>
      <c r="C86" s="606"/>
      <c r="D86" s="606"/>
      <c r="E86" s="606">
        <f>+E17</f>
        <v>0</v>
      </c>
      <c r="F86" s="606">
        <f t="shared" ref="F86:H86" si="23">+F17</f>
        <v>0</v>
      </c>
      <c r="G86" s="606">
        <f t="shared" si="23"/>
        <v>0</v>
      </c>
      <c r="H86" s="606">
        <f t="shared" si="23"/>
        <v>0</v>
      </c>
      <c r="I86" s="606">
        <f t="shared" ref="I86:J86" si="24">+I17</f>
        <v>0</v>
      </c>
      <c r="J86" s="606">
        <f t="shared" si="24"/>
        <v>0</v>
      </c>
      <c r="K86" s="608">
        <f>J86*(1+'LTFP Assumptions'!$J12)</f>
        <v>0</v>
      </c>
      <c r="L86" s="608">
        <f>K86*(1+'LTFP Assumptions'!$J12)</f>
        <v>0</v>
      </c>
      <c r="M86" s="608">
        <f>L86*(1+'LTFP Assumptions'!$J12)</f>
        <v>0</v>
      </c>
      <c r="N86" s="608">
        <f>M86*(1+'LTFP Assumptions'!$J12)</f>
        <v>0</v>
      </c>
      <c r="O86" s="608">
        <f>N86*(1+'LTFP Assumptions'!$J12)</f>
        <v>0</v>
      </c>
      <c r="P86" s="608">
        <f>O86*(1+'LTFP Assumptions'!$J12)</f>
        <v>0</v>
      </c>
    </row>
    <row r="87" spans="1:16" ht="11.25" x14ac:dyDescent="0.2">
      <c r="A87" s="607" t="s">
        <v>63</v>
      </c>
      <c r="B87" s="606"/>
      <c r="C87" s="606"/>
      <c r="D87" s="606"/>
      <c r="E87" s="606"/>
      <c r="F87" s="606"/>
    </row>
    <row r="88" spans="1:16" ht="11.25" x14ac:dyDescent="0.2">
      <c r="A88" s="764" t="s">
        <v>74</v>
      </c>
      <c r="B88" s="765">
        <f t="shared" ref="B88:H88" si="25">+B19</f>
        <v>0</v>
      </c>
      <c r="C88" s="765">
        <f t="shared" si="25"/>
        <v>0</v>
      </c>
      <c r="D88" s="765">
        <f t="shared" si="25"/>
        <v>0</v>
      </c>
      <c r="E88" s="765">
        <f t="shared" si="25"/>
        <v>0</v>
      </c>
      <c r="F88" s="765">
        <f t="shared" si="25"/>
        <v>0</v>
      </c>
      <c r="G88" s="765">
        <f t="shared" si="25"/>
        <v>0</v>
      </c>
      <c r="H88" s="765">
        <f t="shared" si="25"/>
        <v>0</v>
      </c>
      <c r="I88" s="765">
        <f t="shared" ref="I88:J88" si="26">+I19</f>
        <v>0</v>
      </c>
      <c r="J88" s="765">
        <f t="shared" si="26"/>
        <v>0</v>
      </c>
      <c r="K88" s="765">
        <f t="shared" ref="K88:P89" si="27">+K19</f>
        <v>0</v>
      </c>
      <c r="L88" s="765">
        <f t="shared" si="27"/>
        <v>0</v>
      </c>
      <c r="M88" s="765">
        <f t="shared" si="27"/>
        <v>0</v>
      </c>
      <c r="N88" s="765">
        <f t="shared" si="27"/>
        <v>0</v>
      </c>
      <c r="O88" s="765">
        <f t="shared" si="27"/>
        <v>0</v>
      </c>
      <c r="P88" s="765">
        <f t="shared" si="27"/>
        <v>0</v>
      </c>
    </row>
    <row r="89" spans="1:16" ht="11.25" x14ac:dyDescent="0.2">
      <c r="A89" s="758" t="s">
        <v>1047</v>
      </c>
      <c r="B89" s="765"/>
      <c r="C89" s="765"/>
      <c r="D89" s="765">
        <f>+D20</f>
        <v>0</v>
      </c>
      <c r="E89" s="765">
        <f>+E20</f>
        <v>0</v>
      </c>
      <c r="F89" s="765">
        <f>+F20</f>
        <v>0</v>
      </c>
      <c r="G89" s="765">
        <f>+G20</f>
        <v>0</v>
      </c>
      <c r="H89" s="765">
        <f>+H20</f>
        <v>0</v>
      </c>
      <c r="I89" s="765">
        <f t="shared" ref="I89:J89" si="28">+I20</f>
        <v>0</v>
      </c>
      <c r="J89" s="765">
        <f t="shared" si="28"/>
        <v>0</v>
      </c>
      <c r="K89" s="765">
        <f t="shared" si="27"/>
        <v>0</v>
      </c>
      <c r="L89" s="765">
        <f t="shared" si="27"/>
        <v>0</v>
      </c>
      <c r="M89" s="765">
        <f t="shared" si="27"/>
        <v>0</v>
      </c>
      <c r="N89" s="765">
        <f t="shared" si="27"/>
        <v>0</v>
      </c>
      <c r="O89" s="765">
        <f t="shared" si="27"/>
        <v>0</v>
      </c>
      <c r="P89" s="765">
        <f t="shared" si="27"/>
        <v>0</v>
      </c>
    </row>
    <row r="90" spans="1:16" ht="11.25" x14ac:dyDescent="0.2">
      <c r="A90" s="768" t="s">
        <v>64</v>
      </c>
      <c r="B90" s="767">
        <f>SUM(B80:B88)</f>
        <v>0</v>
      </c>
      <c r="C90" s="767">
        <f t="shared" ref="C90" si="29">SUM(C80:C88)</f>
        <v>0</v>
      </c>
      <c r="D90" s="767">
        <f>SUM(D80:D89)</f>
        <v>0</v>
      </c>
      <c r="E90" s="767">
        <f t="shared" ref="E90:P90" si="30">SUM(E80:E89)</f>
        <v>5766</v>
      </c>
      <c r="F90" s="767">
        <f t="shared" si="30"/>
        <v>5826.7</v>
      </c>
      <c r="G90" s="767">
        <f t="shared" si="30"/>
        <v>13360.5</v>
      </c>
      <c r="H90" s="767">
        <f t="shared" si="30"/>
        <v>4881.17</v>
      </c>
      <c r="I90" s="767">
        <f t="shared" ref="I90:J90" si="31">SUM(I80:I89)</f>
        <v>4925.5479999999998</v>
      </c>
      <c r="J90" s="767">
        <f t="shared" si="31"/>
        <v>5011.9560000000001</v>
      </c>
      <c r="K90" s="767">
        <f t="shared" si="30"/>
        <v>5014.6492749999998</v>
      </c>
      <c r="L90" s="767">
        <f t="shared" si="30"/>
        <v>5078.8583213189986</v>
      </c>
      <c r="M90" s="767">
        <f t="shared" si="30"/>
        <v>5143.8996585270133</v>
      </c>
      <c r="N90" s="767">
        <f t="shared" si="30"/>
        <v>5209.7749671967958</v>
      </c>
      <c r="O90" s="767">
        <f t="shared" si="30"/>
        <v>5276.4853859561172</v>
      </c>
      <c r="P90" s="767">
        <f t="shared" si="30"/>
        <v>5344.0314765617841</v>
      </c>
    </row>
    <row r="92" spans="1:16" ht="11.25" x14ac:dyDescent="0.2">
      <c r="A92" s="604" t="s">
        <v>65</v>
      </c>
    </row>
    <row r="93" spans="1:16" ht="11.25" x14ac:dyDescent="0.2">
      <c r="A93" s="600" t="str">
        <f>A23</f>
        <v>Employee Benefits and On-Costs</v>
      </c>
      <c r="B93" s="606">
        <f>+B23</f>
        <v>0</v>
      </c>
      <c r="C93" s="606">
        <f>+C23</f>
        <v>0</v>
      </c>
      <c r="D93" s="606">
        <f>+D23</f>
        <v>0</v>
      </c>
      <c r="E93" s="606">
        <f>+E23</f>
        <v>889</v>
      </c>
      <c r="F93" s="606">
        <f>'Opex with SRV'!C234/1000</f>
        <v>804.93100000000004</v>
      </c>
      <c r="G93" s="606">
        <f>'Opex with SRV'!E234/1000</f>
        <v>797.73099999999999</v>
      </c>
      <c r="H93" s="606">
        <f>'Opex with SRV'!G234/1000</f>
        <v>825.32899999999995</v>
      </c>
      <c r="I93" s="606">
        <f>'Opex with SRV'!H234/1000</f>
        <v>854.68700000000001</v>
      </c>
      <c r="J93" s="606">
        <f>'Opex with SRV'!I234/1000</f>
        <v>885.20299999999997</v>
      </c>
      <c r="K93" s="606">
        <f>J93*(1+'LTFP Assumptions'!$J9)</f>
        <v>911.75909000000001</v>
      </c>
      <c r="L93" s="606">
        <f>K93*(1+'LTFP Assumptions'!$J9)</f>
        <v>939.11186270000007</v>
      </c>
      <c r="M93" s="606">
        <f>L93*(1+'LTFP Assumptions'!$J9)</f>
        <v>967.28521858100009</v>
      </c>
      <c r="N93" s="606">
        <f>M93*(1+'LTFP Assumptions'!$J9)</f>
        <v>996.30377513843007</v>
      </c>
      <c r="O93" s="606">
        <f>N93*(1+'LTFP Assumptions'!$J9)</f>
        <v>1026.192888392583</v>
      </c>
      <c r="P93" s="606">
        <f>O93*(1+'LTFP Assumptions'!$J9)</f>
        <v>1056.9786750443604</v>
      </c>
    </row>
    <row r="94" spans="1:16" ht="11.25" x14ac:dyDescent="0.2">
      <c r="A94" s="600" t="str">
        <f>A24</f>
        <v>Borrowing Costs</v>
      </c>
      <c r="B94" s="606"/>
      <c r="C94" s="606"/>
      <c r="D94" s="606">
        <f>+D24</f>
        <v>0</v>
      </c>
      <c r="E94" s="606">
        <f>+E24</f>
        <v>59</v>
      </c>
      <c r="F94" s="606">
        <f>'Opex with SRV'!C237/1000</f>
        <v>54.21</v>
      </c>
      <c r="G94" s="606">
        <f>'Opex with SRV'!E237/1000</f>
        <v>485</v>
      </c>
      <c r="H94" s="606">
        <f>'Opex with SRV'!G237/1000</f>
        <v>813.04</v>
      </c>
      <c r="I94" s="606">
        <f>'Opex with SRV'!H237/1000</f>
        <v>810.45</v>
      </c>
      <c r="J94" s="606">
        <f>'Opex with SRV'!I237/1000</f>
        <v>807.78200000000004</v>
      </c>
      <c r="K94" s="1310">
        <f>J94+(('Sewer Fund  Bal Sheet'!K72+'Sewer Fund  Bal Sheet'!K78)-('Sewer Fund  Bal Sheet'!J72+'Sewer Fund  Bal Sheet'!J78))*'LTFP Assumptions'!$J$18</f>
        <v>804.08482640000011</v>
      </c>
      <c r="L94" s="1310">
        <f>K94+(('Sewer Fund  Bal Sheet'!L72+'Sewer Fund  Bal Sheet'!L78)-('Sewer Fund  Bal Sheet'!K72+'Sewer Fund  Bal Sheet'!K78))*'LTFP Assumptions'!$J$18</f>
        <v>800.31370932800007</v>
      </c>
      <c r="M94" s="1310">
        <f>L94+(('Sewer Fund  Bal Sheet'!M72+'Sewer Fund  Bal Sheet'!M78)-('Sewer Fund  Bal Sheet'!L72+'Sewer Fund  Bal Sheet'!L78))*'LTFP Assumptions'!$J$18</f>
        <v>796.46716991456003</v>
      </c>
      <c r="N94" s="1310">
        <f>M94+(('Sewer Fund  Bal Sheet'!N72+'Sewer Fund  Bal Sheet'!N78)-('Sewer Fund  Bal Sheet'!M72+'Sewer Fund  Bal Sheet'!M78))*'LTFP Assumptions'!$J$18</f>
        <v>792.54369971285121</v>
      </c>
      <c r="O94" s="1310">
        <f>N94+(('Sewer Fund  Bal Sheet'!O72+'Sewer Fund  Bal Sheet'!O78)-('Sewer Fund  Bal Sheet'!N72+'Sewer Fund  Bal Sheet'!N78))*'LTFP Assumptions'!$J$18</f>
        <v>788.5417601071083</v>
      </c>
      <c r="P94" s="1310">
        <f>O94+(('Sewer Fund  Bal Sheet'!P72+'Sewer Fund  Bal Sheet'!P78)-('Sewer Fund  Bal Sheet'!O72+'Sewer Fund  Bal Sheet'!O78))*'LTFP Assumptions'!$J$18</f>
        <v>784.45978170925036</v>
      </c>
    </row>
    <row r="95" spans="1:16" ht="11.25" x14ac:dyDescent="0.2">
      <c r="A95" s="600" t="str">
        <f>A25</f>
        <v>Materials and Contracts</v>
      </c>
      <c r="B95" s="606">
        <f>+B25</f>
        <v>0</v>
      </c>
      <c r="C95" s="606">
        <f>+C25</f>
        <v>0</v>
      </c>
      <c r="D95" s="606">
        <f>+D25</f>
        <v>0</v>
      </c>
      <c r="E95" s="606">
        <f>+E25</f>
        <v>1271</v>
      </c>
      <c r="F95" s="606">
        <f>'Opex with SRV'!C235/1000</f>
        <v>939.5</v>
      </c>
      <c r="G95" s="606">
        <f>'Opex with SRV'!E235/1000</f>
        <v>924.5</v>
      </c>
      <c r="H95" s="606">
        <f>'Opex with SRV'!G235/1000</f>
        <v>856.69</v>
      </c>
      <c r="I95" s="606">
        <f>'Opex with SRV'!H235/1000</f>
        <v>890.43399999999997</v>
      </c>
      <c r="J95" s="606">
        <f>'Opex with SRV'!I235/1000</f>
        <v>925.81899999999996</v>
      </c>
      <c r="K95" s="606">
        <f>J95*(1+'LTFP Assumptions'!$J13)</f>
        <v>944.33537999999999</v>
      </c>
      <c r="L95" s="606">
        <f>K95*(1+'LTFP Assumptions'!$J13)</f>
        <v>963.22208760000001</v>
      </c>
      <c r="M95" s="606">
        <f>L95*(1+'LTFP Assumptions'!$J13)</f>
        <v>982.48652935200005</v>
      </c>
      <c r="N95" s="606">
        <f>M95*(1+'LTFP Assumptions'!$J13)</f>
        <v>1002.1362599390401</v>
      </c>
      <c r="O95" s="606">
        <f>N95*(1+'LTFP Assumptions'!$J13)</f>
        <v>1022.1789851378209</v>
      </c>
      <c r="P95" s="606">
        <f>O95*(1+'LTFP Assumptions'!$J13)</f>
        <v>1042.6225648405773</v>
      </c>
    </row>
    <row r="96" spans="1:16" ht="11.25" x14ac:dyDescent="0.2">
      <c r="A96" s="600" t="s">
        <v>1077</v>
      </c>
      <c r="B96" s="606"/>
      <c r="C96" s="606"/>
      <c r="D96" s="606"/>
      <c r="E96" s="606">
        <f>+E26</f>
        <v>0</v>
      </c>
      <c r="F96" s="606">
        <f>'Opex with SRV'!C238/1000</f>
        <v>792</v>
      </c>
      <c r="G96" s="606">
        <f>'Opex with SRV'!E238/1000</f>
        <v>807.47500000000002</v>
      </c>
      <c r="H96" s="606">
        <f>'Opex with SRV'!G238/1000</f>
        <v>823.33600000000001</v>
      </c>
      <c r="I96" s="606">
        <f>'Opex with SRV'!H238/1000</f>
        <v>839.59500000000003</v>
      </c>
      <c r="J96" s="606">
        <f>'Opex with SRV'!I238/1000</f>
        <v>856.26</v>
      </c>
      <c r="K96" s="606">
        <f t="shared" ref="K96:P96" si="32">+K26</f>
        <v>856.26</v>
      </c>
      <c r="L96" s="606">
        <f t="shared" si="32"/>
        <v>873.38520000000005</v>
      </c>
      <c r="M96" s="606">
        <f t="shared" si="32"/>
        <v>890.85290400000008</v>
      </c>
      <c r="N96" s="606">
        <f t="shared" si="32"/>
        <v>908.66996208000012</v>
      </c>
      <c r="O96" s="606">
        <f t="shared" si="32"/>
        <v>926.84336132160013</v>
      </c>
      <c r="P96" s="606">
        <f t="shared" si="32"/>
        <v>945.38022854803216</v>
      </c>
    </row>
    <row r="97" spans="1:16" ht="11.25" x14ac:dyDescent="0.2">
      <c r="A97" s="600" t="str">
        <f>A27</f>
        <v>Depreciation and Amortisation</v>
      </c>
      <c r="B97" s="606">
        <f>+B27</f>
        <v>0</v>
      </c>
      <c r="C97" s="606">
        <f>+C27</f>
        <v>0</v>
      </c>
      <c r="D97" s="606">
        <f>+D27</f>
        <v>0</v>
      </c>
      <c r="E97" s="606">
        <f>+E27</f>
        <v>1210</v>
      </c>
      <c r="F97" s="606">
        <f>'Opex with SRV'!C239/1000</f>
        <v>1275.067</v>
      </c>
      <c r="G97" s="606">
        <f>'Opex with SRV'!E239/1000</f>
        <v>1268</v>
      </c>
      <c r="H97" s="606">
        <f>'Opex with SRV'!G239/1000</f>
        <v>1458.45</v>
      </c>
      <c r="I97" s="606">
        <f>'Opex with SRV'!H239/1000</f>
        <v>1479.9110000000001</v>
      </c>
      <c r="J97" s="606">
        <f>'Opex with SRV'!I239/1000</f>
        <v>1499.384</v>
      </c>
      <c r="K97" s="606">
        <f>J97*(1+'LTFP Assumptions'!$J16)</f>
        <v>1536.8685999999998</v>
      </c>
      <c r="L97" s="606">
        <f>K97*(1+'LTFP Assumptions'!$J16)</f>
        <v>1575.2903149999997</v>
      </c>
      <c r="M97" s="606">
        <f>L97*(1+'LTFP Assumptions'!$J16)</f>
        <v>1614.6725728749996</v>
      </c>
      <c r="N97" s="606">
        <f>M97*(1+'LTFP Assumptions'!$J16)</f>
        <v>1655.0393871968745</v>
      </c>
      <c r="O97" s="606">
        <f>N97*(1+'LTFP Assumptions'!$J16)</f>
        <v>1696.4153718767961</v>
      </c>
      <c r="P97" s="606">
        <f>O97*(1+'LTFP Assumptions'!$J16)</f>
        <v>1738.8257561737159</v>
      </c>
    </row>
    <row r="98" spans="1:16" ht="12" x14ac:dyDescent="0.2">
      <c r="A98" s="769" t="str">
        <f>A28</f>
        <v>Impairment</v>
      </c>
      <c r="B98" s="606"/>
      <c r="C98" s="606"/>
      <c r="D98" s="606">
        <f>+D28</f>
        <v>0</v>
      </c>
      <c r="E98" s="606">
        <f>+E28</f>
        <v>0</v>
      </c>
      <c r="F98" s="606">
        <f>+F28</f>
        <v>0</v>
      </c>
      <c r="G98" s="606">
        <f>+G28</f>
        <v>0</v>
      </c>
      <c r="H98" s="606">
        <f t="shared" ref="H98" si="33">+H28</f>
        <v>0</v>
      </c>
      <c r="I98" s="606">
        <f t="shared" ref="I98:J98" si="34">+I28</f>
        <v>0</v>
      </c>
      <c r="J98" s="606">
        <f t="shared" si="34"/>
        <v>0</v>
      </c>
      <c r="K98" s="606">
        <f t="shared" ref="K98:P99" si="35">+K28</f>
        <v>0</v>
      </c>
      <c r="L98" s="606">
        <f t="shared" si="35"/>
        <v>0</v>
      </c>
      <c r="M98" s="606">
        <f t="shared" si="35"/>
        <v>0</v>
      </c>
      <c r="N98" s="606">
        <f t="shared" si="35"/>
        <v>0</v>
      </c>
      <c r="O98" s="606">
        <f t="shared" si="35"/>
        <v>0</v>
      </c>
      <c r="P98" s="606">
        <f t="shared" si="35"/>
        <v>0</v>
      </c>
    </row>
    <row r="99" spans="1:16" ht="12" x14ac:dyDescent="0.2">
      <c r="A99" s="769" t="str">
        <f>A29</f>
        <v>Net Losses from the disposal of assets</v>
      </c>
      <c r="B99" s="606"/>
      <c r="C99" s="606"/>
      <c r="D99" s="606">
        <f>+D29</f>
        <v>0</v>
      </c>
      <c r="E99" s="606">
        <f>+E29</f>
        <v>0</v>
      </c>
      <c r="F99" s="606">
        <f>+F29</f>
        <v>0</v>
      </c>
      <c r="G99" s="606">
        <f>+G29</f>
        <v>0</v>
      </c>
      <c r="H99" s="606">
        <f t="shared" ref="H99" si="36">+H29</f>
        <v>0</v>
      </c>
      <c r="I99" s="606">
        <f t="shared" ref="I99:J99" si="37">+I29</f>
        <v>0</v>
      </c>
      <c r="J99" s="606">
        <f t="shared" si="37"/>
        <v>0</v>
      </c>
      <c r="K99" s="606">
        <f t="shared" si="35"/>
        <v>0</v>
      </c>
      <c r="L99" s="606">
        <f t="shared" si="35"/>
        <v>0</v>
      </c>
      <c r="M99" s="606">
        <f t="shared" si="35"/>
        <v>0</v>
      </c>
      <c r="N99" s="606">
        <f t="shared" si="35"/>
        <v>0</v>
      </c>
      <c r="O99" s="606">
        <f t="shared" si="35"/>
        <v>0</v>
      </c>
      <c r="P99" s="606">
        <f t="shared" si="35"/>
        <v>0</v>
      </c>
    </row>
    <row r="100" spans="1:16" ht="11.25" x14ac:dyDescent="0.2">
      <c r="A100" s="614" t="s">
        <v>28</v>
      </c>
      <c r="B100" s="606">
        <f>+B30</f>
        <v>0</v>
      </c>
      <c r="C100" s="606">
        <f>+C30</f>
        <v>0</v>
      </c>
      <c r="D100" s="606">
        <f>+D30</f>
        <v>0</v>
      </c>
      <c r="E100" s="606">
        <f>+E30</f>
        <v>200</v>
      </c>
      <c r="F100" s="606">
        <f>'Opex with SRV'!C236/1000</f>
        <v>210.95</v>
      </c>
      <c r="G100" s="606">
        <f>'Opex with SRV'!E236/1000</f>
        <v>229.55</v>
      </c>
      <c r="H100" s="606">
        <f>'Opex with SRV'!G236/1000</f>
        <v>234.14099999999999</v>
      </c>
      <c r="I100" s="606">
        <f>'Opex with SRV'!H236/1000</f>
        <v>238.905</v>
      </c>
      <c r="J100" s="606">
        <f>'Opex with SRV'!I236/1000</f>
        <v>243.57400000000001</v>
      </c>
      <c r="K100" s="606">
        <f>J100*(1+'LTFP Assumptions'!$J14)</f>
        <v>248.44548</v>
      </c>
      <c r="L100" s="606">
        <f>K100*(1+'LTFP Assumptions'!$J14)</f>
        <v>253.41438960000002</v>
      </c>
      <c r="M100" s="606">
        <f>L100*(1+'LTFP Assumptions'!$J14)</f>
        <v>258.48267739200003</v>
      </c>
      <c r="N100" s="606">
        <f>M100*(1+'LTFP Assumptions'!$J14)</f>
        <v>263.65233093984006</v>
      </c>
      <c r="O100" s="606">
        <f>N100*(1+'LTFP Assumptions'!$J14)</f>
        <v>268.92537755863685</v>
      </c>
      <c r="P100" s="606">
        <f>O100*(1+'LTFP Assumptions'!$J14)</f>
        <v>274.30388510980958</v>
      </c>
    </row>
    <row r="101" spans="1:16" ht="11.25" x14ac:dyDescent="0.2">
      <c r="A101" s="604" t="s">
        <v>66</v>
      </c>
      <c r="B101" s="610">
        <f t="shared" ref="B101:P101" si="38">SUM(B93:B100)</f>
        <v>0</v>
      </c>
      <c r="C101" s="610">
        <f t="shared" si="38"/>
        <v>0</v>
      </c>
      <c r="D101" s="610">
        <f t="shared" si="38"/>
        <v>0</v>
      </c>
      <c r="E101" s="610">
        <f t="shared" si="38"/>
        <v>3629</v>
      </c>
      <c r="F101" s="610">
        <f t="shared" si="38"/>
        <v>4076.6579999999999</v>
      </c>
      <c r="G101" s="610">
        <f t="shared" si="38"/>
        <v>4512.2560000000003</v>
      </c>
      <c r="H101" s="610">
        <f t="shared" si="38"/>
        <v>5010.9859999999999</v>
      </c>
      <c r="I101" s="610">
        <f t="shared" si="38"/>
        <v>5113.982</v>
      </c>
      <c r="J101" s="610">
        <f t="shared" si="38"/>
        <v>5218.0219999999999</v>
      </c>
      <c r="K101" s="610">
        <f t="shared" si="38"/>
        <v>5301.7533764</v>
      </c>
      <c r="L101" s="610">
        <f t="shared" si="38"/>
        <v>5404.7375642279994</v>
      </c>
      <c r="M101" s="610">
        <f t="shared" si="38"/>
        <v>5510.2470721145601</v>
      </c>
      <c r="N101" s="610">
        <f t="shared" si="38"/>
        <v>5618.3454150070356</v>
      </c>
      <c r="O101" s="610">
        <f t="shared" si="38"/>
        <v>5729.0977443945449</v>
      </c>
      <c r="P101" s="610">
        <f t="shared" si="38"/>
        <v>5842.5708914257466</v>
      </c>
    </row>
    <row r="103" spans="1:16" ht="12" thickBot="1" x14ac:dyDescent="0.25">
      <c r="A103" s="604" t="s">
        <v>67</v>
      </c>
      <c r="B103" s="633">
        <f t="shared" ref="B103:P103" si="39">+B90-B101</f>
        <v>0</v>
      </c>
      <c r="C103" s="633">
        <f t="shared" si="39"/>
        <v>0</v>
      </c>
      <c r="D103" s="633">
        <f t="shared" si="39"/>
        <v>0</v>
      </c>
      <c r="E103" s="633">
        <f t="shared" si="39"/>
        <v>2137</v>
      </c>
      <c r="F103" s="633">
        <f t="shared" si="39"/>
        <v>1750.0419999999999</v>
      </c>
      <c r="G103" s="633">
        <f t="shared" si="39"/>
        <v>8848.2439999999988</v>
      </c>
      <c r="H103" s="633">
        <f t="shared" si="39"/>
        <v>-129.8159999999998</v>
      </c>
      <c r="I103" s="633">
        <f t="shared" si="39"/>
        <v>-188.4340000000002</v>
      </c>
      <c r="J103" s="633">
        <f t="shared" si="39"/>
        <v>-206.0659999999998</v>
      </c>
      <c r="K103" s="633">
        <f t="shared" si="39"/>
        <v>-287.10410140000022</v>
      </c>
      <c r="L103" s="633">
        <f t="shared" si="39"/>
        <v>-325.87924290900082</v>
      </c>
      <c r="M103" s="633">
        <f t="shared" si="39"/>
        <v>-366.34741358754673</v>
      </c>
      <c r="N103" s="633">
        <f t="shared" si="39"/>
        <v>-408.57044781023978</v>
      </c>
      <c r="O103" s="633">
        <f t="shared" si="39"/>
        <v>-452.61235843842769</v>
      </c>
      <c r="P103" s="633">
        <f t="shared" si="39"/>
        <v>-498.53941486396252</v>
      </c>
    </row>
    <row r="104" spans="1:16" ht="11.25" x14ac:dyDescent="0.2">
      <c r="A104" s="616"/>
      <c r="B104" s="621"/>
      <c r="C104" s="621"/>
      <c r="D104" s="621"/>
      <c r="E104" s="621"/>
      <c r="F104" s="621"/>
      <c r="G104" s="621"/>
      <c r="H104" s="621"/>
      <c r="I104" s="621"/>
      <c r="J104" s="621"/>
      <c r="K104" s="621"/>
      <c r="L104" s="621"/>
      <c r="M104" s="621"/>
      <c r="N104" s="621"/>
      <c r="O104" s="621"/>
      <c r="P104" s="621"/>
    </row>
    <row r="105" spans="1:16" ht="11.25" x14ac:dyDescent="0.2">
      <c r="A105" s="604" t="s">
        <v>75</v>
      </c>
      <c r="B105" s="621"/>
      <c r="C105" s="621"/>
      <c r="D105" s="621"/>
      <c r="E105" s="621"/>
      <c r="F105" s="621"/>
      <c r="G105" s="621"/>
      <c r="H105" s="621"/>
      <c r="I105" s="621"/>
      <c r="J105" s="621"/>
      <c r="K105" s="621"/>
      <c r="L105" s="621"/>
      <c r="M105" s="621"/>
      <c r="N105" s="621"/>
      <c r="O105" s="621"/>
      <c r="P105" s="621"/>
    </row>
    <row r="106" spans="1:16" ht="11.25" x14ac:dyDescent="0.2">
      <c r="A106" s="614" t="s">
        <v>322</v>
      </c>
      <c r="B106" s="617">
        <v>0</v>
      </c>
      <c r="C106" s="617">
        <v>0</v>
      </c>
      <c r="D106" s="617">
        <v>0</v>
      </c>
      <c r="E106" s="617">
        <v>0</v>
      </c>
      <c r="F106" s="617">
        <v>0</v>
      </c>
      <c r="G106" s="617">
        <v>0</v>
      </c>
      <c r="H106" s="617">
        <v>0</v>
      </c>
      <c r="I106" s="617">
        <v>0</v>
      </c>
      <c r="J106" s="617">
        <v>0</v>
      </c>
      <c r="K106" s="617">
        <v>0</v>
      </c>
      <c r="L106" s="617">
        <v>0</v>
      </c>
      <c r="M106" s="617">
        <v>0</v>
      </c>
      <c r="N106" s="617">
        <v>0</v>
      </c>
      <c r="O106" s="617">
        <v>0</v>
      </c>
      <c r="P106" s="617">
        <v>0</v>
      </c>
    </row>
    <row r="107" spans="1:16" ht="11.25" x14ac:dyDescent="0.2">
      <c r="B107" s="621"/>
      <c r="C107" s="621"/>
      <c r="D107" s="621"/>
      <c r="E107" s="621"/>
      <c r="F107" s="621"/>
      <c r="G107" s="621"/>
      <c r="H107" s="621"/>
      <c r="I107" s="621"/>
      <c r="J107" s="621"/>
      <c r="K107" s="621"/>
      <c r="L107" s="621"/>
      <c r="M107" s="621"/>
      <c r="N107" s="621"/>
      <c r="O107" s="621"/>
      <c r="P107" s="621"/>
    </row>
    <row r="108" spans="1:16" ht="11.25" x14ac:dyDescent="0.2">
      <c r="A108" s="618" t="s">
        <v>76</v>
      </c>
      <c r="B108" s="634">
        <f>+B103+B106</f>
        <v>0</v>
      </c>
      <c r="C108" s="634">
        <f>+C103+C106</f>
        <v>0</v>
      </c>
      <c r="D108" s="634">
        <f>+D103+D106</f>
        <v>0</v>
      </c>
      <c r="E108" s="634">
        <f t="shared" ref="E108:P108" si="40">+E103+E106</f>
        <v>2137</v>
      </c>
      <c r="F108" s="634">
        <f t="shared" si="40"/>
        <v>1750.0419999999999</v>
      </c>
      <c r="G108" s="634">
        <f t="shared" si="40"/>
        <v>8848.2439999999988</v>
      </c>
      <c r="H108" s="634">
        <f t="shared" si="40"/>
        <v>-129.8159999999998</v>
      </c>
      <c r="I108" s="634">
        <f t="shared" si="40"/>
        <v>-188.4340000000002</v>
      </c>
      <c r="J108" s="634">
        <f t="shared" si="40"/>
        <v>-206.0659999999998</v>
      </c>
      <c r="K108" s="634">
        <f t="shared" si="40"/>
        <v>-287.10410140000022</v>
      </c>
      <c r="L108" s="634">
        <f t="shared" si="40"/>
        <v>-325.87924290900082</v>
      </c>
      <c r="M108" s="634">
        <f t="shared" si="40"/>
        <v>-366.34741358754673</v>
      </c>
      <c r="N108" s="634">
        <f t="shared" si="40"/>
        <v>-408.57044781023978</v>
      </c>
      <c r="O108" s="634">
        <f t="shared" si="40"/>
        <v>-452.61235843842769</v>
      </c>
      <c r="P108" s="634">
        <f t="shared" si="40"/>
        <v>-498.53941486396252</v>
      </c>
    </row>
    <row r="109" spans="1:16" ht="11.25" x14ac:dyDescent="0.2">
      <c r="B109" s="621"/>
      <c r="C109" s="621"/>
      <c r="D109" s="621"/>
      <c r="E109" s="621"/>
      <c r="F109" s="621"/>
      <c r="G109" s="621"/>
      <c r="H109" s="621"/>
      <c r="I109" s="621"/>
      <c r="J109" s="621"/>
      <c r="K109" s="621"/>
      <c r="L109" s="621"/>
      <c r="M109" s="621"/>
      <c r="N109" s="621"/>
      <c r="O109" s="621"/>
      <c r="P109" s="621"/>
    </row>
    <row r="110" spans="1:16" s="601" customFormat="1" ht="11.25" x14ac:dyDescent="0.2">
      <c r="A110" s="733" t="s">
        <v>77</v>
      </c>
      <c r="B110" s="715">
        <f>+B108</f>
        <v>0</v>
      </c>
      <c r="C110" s="734">
        <f>+C105+C108</f>
        <v>0</v>
      </c>
      <c r="D110" s="715">
        <f>+D108</f>
        <v>0</v>
      </c>
      <c r="E110" s="734">
        <f t="shared" ref="E110:P110" si="41">+E105+E108</f>
        <v>2137</v>
      </c>
      <c r="F110" s="734">
        <f t="shared" si="41"/>
        <v>1750.0419999999999</v>
      </c>
      <c r="G110" s="734">
        <f t="shared" si="41"/>
        <v>8848.2439999999988</v>
      </c>
      <c r="H110" s="734">
        <f t="shared" si="41"/>
        <v>-129.8159999999998</v>
      </c>
      <c r="I110" s="734">
        <f t="shared" si="41"/>
        <v>-188.4340000000002</v>
      </c>
      <c r="J110" s="734">
        <f t="shared" si="41"/>
        <v>-206.0659999999998</v>
      </c>
      <c r="K110" s="734">
        <f t="shared" si="41"/>
        <v>-287.10410140000022</v>
      </c>
      <c r="L110" s="734">
        <f t="shared" si="41"/>
        <v>-325.87924290900082</v>
      </c>
      <c r="M110" s="734">
        <f t="shared" si="41"/>
        <v>-366.34741358754673</v>
      </c>
      <c r="N110" s="734">
        <f t="shared" si="41"/>
        <v>-408.57044781023978</v>
      </c>
      <c r="O110" s="734">
        <f t="shared" si="41"/>
        <v>-452.61235843842769</v>
      </c>
      <c r="P110" s="734">
        <f t="shared" si="41"/>
        <v>-498.53941486396252</v>
      </c>
    </row>
    <row r="111" spans="1:16" s="601" customFormat="1" ht="10.5" customHeight="1" thickBot="1" x14ac:dyDescent="0.25">
      <c r="A111" s="739" t="s">
        <v>78</v>
      </c>
      <c r="B111" s="735">
        <v>0</v>
      </c>
      <c r="C111" s="735">
        <v>0</v>
      </c>
      <c r="D111" s="735">
        <v>0</v>
      </c>
      <c r="E111" s="735">
        <v>0</v>
      </c>
      <c r="F111" s="735"/>
      <c r="G111" s="735">
        <v>0</v>
      </c>
      <c r="H111" s="735">
        <v>0</v>
      </c>
      <c r="I111" s="735">
        <v>0</v>
      </c>
      <c r="J111" s="735">
        <v>0</v>
      </c>
      <c r="K111" s="735">
        <v>0</v>
      </c>
      <c r="L111" s="735">
        <v>0</v>
      </c>
      <c r="M111" s="735">
        <v>0</v>
      </c>
      <c r="N111" s="735">
        <v>0</v>
      </c>
      <c r="O111" s="735">
        <v>0</v>
      </c>
      <c r="P111" s="735">
        <v>0</v>
      </c>
    </row>
    <row r="112" spans="1:16" ht="3.75" customHeight="1" thickTop="1" x14ac:dyDescent="0.2">
      <c r="A112" s="726"/>
      <c r="B112" s="714"/>
      <c r="C112" s="714"/>
      <c r="D112" s="710"/>
      <c r="E112" s="710"/>
      <c r="F112" s="710"/>
      <c r="G112" s="710"/>
      <c r="H112" s="710"/>
      <c r="I112" s="710"/>
      <c r="J112" s="710"/>
      <c r="K112" s="710"/>
      <c r="L112" s="710"/>
      <c r="M112" s="710"/>
      <c r="N112" s="710"/>
      <c r="O112" s="710"/>
      <c r="P112" s="710"/>
    </row>
    <row r="113" spans="1:17" ht="31.5" customHeight="1" thickBot="1" x14ac:dyDescent="0.25">
      <c r="A113" s="705" t="s">
        <v>79</v>
      </c>
      <c r="B113" s="736">
        <f>+B108-B87-B89</f>
        <v>0</v>
      </c>
      <c r="C113" s="736">
        <f>+C108-C87-C89</f>
        <v>0</v>
      </c>
      <c r="D113" s="736">
        <f>+D108-D85-D88</f>
        <v>0</v>
      </c>
      <c r="E113" s="736">
        <f t="shared" ref="E113:P113" si="42">+E108-E85-E88</f>
        <v>1046</v>
      </c>
      <c r="F113" s="736">
        <f t="shared" si="42"/>
        <v>740.04199999999992</v>
      </c>
      <c r="G113" s="736">
        <f t="shared" si="42"/>
        <v>158.24399999999878</v>
      </c>
      <c r="H113" s="736">
        <f t="shared" si="42"/>
        <v>-179.8159999999998</v>
      </c>
      <c r="I113" s="736">
        <f t="shared" si="42"/>
        <v>-238.4340000000002</v>
      </c>
      <c r="J113" s="736">
        <f t="shared" si="42"/>
        <v>-256.0659999999998</v>
      </c>
      <c r="K113" s="736">
        <f t="shared" si="42"/>
        <v>-338.10410140000022</v>
      </c>
      <c r="L113" s="736">
        <f t="shared" si="42"/>
        <v>-377.8992429090008</v>
      </c>
      <c r="M113" s="736">
        <f t="shared" si="42"/>
        <v>-419.40781358754674</v>
      </c>
      <c r="N113" s="736">
        <f t="shared" si="42"/>
        <v>-462.69205581023976</v>
      </c>
      <c r="O113" s="736">
        <f t="shared" si="42"/>
        <v>-507.81639859842767</v>
      </c>
      <c r="P113" s="736">
        <f t="shared" si="42"/>
        <v>-554.84753582716257</v>
      </c>
    </row>
    <row r="114" spans="1:17" ht="4.5" customHeight="1" thickTop="1" x14ac:dyDescent="0.2">
      <c r="A114" s="705"/>
      <c r="B114" s="734"/>
      <c r="C114" s="734"/>
      <c r="D114" s="734"/>
      <c r="E114" s="734"/>
      <c r="F114" s="734"/>
      <c r="G114" s="734"/>
      <c r="H114" s="734"/>
      <c r="I114" s="734"/>
      <c r="J114" s="734"/>
      <c r="K114" s="734"/>
      <c r="L114" s="734"/>
      <c r="M114" s="734"/>
      <c r="N114" s="734"/>
      <c r="O114" s="734"/>
      <c r="P114" s="734"/>
    </row>
    <row r="115" spans="1:17" ht="11.25" x14ac:dyDescent="0.2">
      <c r="A115" s="730" t="s">
        <v>76</v>
      </c>
      <c r="B115" s="732">
        <f t="shared" ref="B115:P115" si="43">B108</f>
        <v>0</v>
      </c>
      <c r="C115" s="732">
        <f t="shared" si="43"/>
        <v>0</v>
      </c>
      <c r="D115" s="732">
        <f t="shared" si="43"/>
        <v>0</v>
      </c>
      <c r="E115" s="732">
        <f t="shared" si="43"/>
        <v>2137</v>
      </c>
      <c r="F115" s="732">
        <f t="shared" si="43"/>
        <v>1750.0419999999999</v>
      </c>
      <c r="G115" s="732">
        <f t="shared" si="43"/>
        <v>8848.2439999999988</v>
      </c>
      <c r="H115" s="732">
        <f t="shared" si="43"/>
        <v>-129.8159999999998</v>
      </c>
      <c r="I115" s="732">
        <f t="shared" si="43"/>
        <v>-188.4340000000002</v>
      </c>
      <c r="J115" s="732">
        <f t="shared" si="43"/>
        <v>-206.0659999999998</v>
      </c>
      <c r="K115" s="732">
        <f t="shared" si="43"/>
        <v>-287.10410140000022</v>
      </c>
      <c r="L115" s="732">
        <f t="shared" si="43"/>
        <v>-325.87924290900082</v>
      </c>
      <c r="M115" s="732">
        <f t="shared" si="43"/>
        <v>-366.34741358754673</v>
      </c>
      <c r="N115" s="732">
        <f t="shared" si="43"/>
        <v>-408.57044781023978</v>
      </c>
      <c r="O115" s="732">
        <f t="shared" si="43"/>
        <v>-452.61235843842769</v>
      </c>
      <c r="P115" s="732">
        <f t="shared" si="43"/>
        <v>-498.53941486396252</v>
      </c>
    </row>
    <row r="116" spans="1:17" ht="9.75" customHeight="1" x14ac:dyDescent="0.2">
      <c r="A116" s="737" t="s">
        <v>1015</v>
      </c>
      <c r="B116" s="734"/>
      <c r="C116" s="734"/>
      <c r="D116" s="734"/>
      <c r="E116" s="734"/>
      <c r="F116" s="734"/>
      <c r="G116" s="734"/>
      <c r="H116" s="734"/>
      <c r="I116" s="734"/>
      <c r="J116" s="734"/>
      <c r="K116" s="734"/>
      <c r="L116" s="734"/>
      <c r="M116" s="734"/>
      <c r="N116" s="734"/>
      <c r="O116" s="734"/>
      <c r="P116" s="734"/>
    </row>
    <row r="117" spans="1:17" ht="11.25" x14ac:dyDescent="0.2">
      <c r="A117" s="705" t="s">
        <v>1014</v>
      </c>
      <c r="B117" s="734"/>
      <c r="C117" s="734"/>
      <c r="D117" s="734">
        <v>-8350</v>
      </c>
      <c r="E117" s="734"/>
      <c r="F117" s="734"/>
      <c r="G117" s="734"/>
      <c r="H117" s="734"/>
      <c r="I117" s="734"/>
      <c r="J117" s="734"/>
      <c r="K117" s="734"/>
      <c r="L117" s="734"/>
      <c r="M117" s="734"/>
      <c r="N117" s="734"/>
      <c r="O117" s="734"/>
      <c r="P117" s="734"/>
    </row>
    <row r="118" spans="1:17" ht="1.5" customHeight="1" x14ac:dyDescent="0.2">
      <c r="A118" s="705"/>
      <c r="B118" s="734"/>
      <c r="C118" s="734"/>
      <c r="D118" s="734"/>
      <c r="E118" s="734"/>
      <c r="F118" s="734"/>
      <c r="G118" s="734"/>
      <c r="H118" s="734"/>
      <c r="I118" s="734"/>
      <c r="J118" s="734"/>
      <c r="K118" s="734"/>
      <c r="L118" s="734"/>
      <c r="M118" s="734"/>
      <c r="N118" s="734"/>
      <c r="O118" s="734"/>
      <c r="P118" s="734"/>
    </row>
    <row r="119" spans="1:17" ht="12" thickBot="1" x14ac:dyDescent="0.25">
      <c r="A119" s="705" t="s">
        <v>309</v>
      </c>
      <c r="B119" s="738">
        <f t="shared" ref="B119:P119" si="44">SUM(B115:B118)</f>
        <v>0</v>
      </c>
      <c r="C119" s="738">
        <f t="shared" si="44"/>
        <v>0</v>
      </c>
      <c r="D119" s="738">
        <f t="shared" si="44"/>
        <v>-8350</v>
      </c>
      <c r="E119" s="738">
        <f t="shared" si="44"/>
        <v>2137</v>
      </c>
      <c r="F119" s="738">
        <f t="shared" si="44"/>
        <v>1750.0419999999999</v>
      </c>
      <c r="G119" s="738">
        <f t="shared" si="44"/>
        <v>8848.2439999999988</v>
      </c>
      <c r="H119" s="738">
        <f t="shared" si="44"/>
        <v>-129.8159999999998</v>
      </c>
      <c r="I119" s="738">
        <f t="shared" si="44"/>
        <v>-188.4340000000002</v>
      </c>
      <c r="J119" s="738">
        <f t="shared" si="44"/>
        <v>-206.0659999999998</v>
      </c>
      <c r="K119" s="738">
        <f t="shared" si="44"/>
        <v>-287.10410140000022</v>
      </c>
      <c r="L119" s="738">
        <f t="shared" si="44"/>
        <v>-325.87924290900082</v>
      </c>
      <c r="M119" s="738">
        <f t="shared" si="44"/>
        <v>-366.34741358754673</v>
      </c>
      <c r="N119" s="738">
        <f t="shared" si="44"/>
        <v>-408.57044781023978</v>
      </c>
      <c r="O119" s="738">
        <f t="shared" si="44"/>
        <v>-452.61235843842769</v>
      </c>
      <c r="P119" s="738">
        <f t="shared" si="44"/>
        <v>-498.53941486396252</v>
      </c>
    </row>
    <row r="120" spans="1:17" ht="12" thickTop="1" x14ac:dyDescent="0.2">
      <c r="A120" s="616"/>
      <c r="B120" s="621"/>
      <c r="C120" s="621"/>
      <c r="D120" s="621"/>
      <c r="E120" s="621"/>
      <c r="F120" s="621"/>
      <c r="G120" s="621"/>
      <c r="H120" s="621"/>
      <c r="I120" s="621"/>
      <c r="J120" s="621"/>
      <c r="K120" s="621"/>
      <c r="L120" s="621"/>
      <c r="M120" s="621"/>
      <c r="N120" s="621"/>
      <c r="O120" s="621"/>
      <c r="P120" s="621"/>
    </row>
    <row r="121" spans="1:17" ht="11.25" hidden="1" outlineLevel="1" x14ac:dyDescent="0.2">
      <c r="A121" s="604" t="s">
        <v>1081</v>
      </c>
      <c r="B121" s="621"/>
      <c r="C121" s="621"/>
      <c r="D121" s="621"/>
      <c r="E121" s="622">
        <f>E51</f>
        <v>0</v>
      </c>
      <c r="F121" s="622">
        <f>'Capital Budget -  Incl SRV'!C197/1000</f>
        <v>16180</v>
      </c>
      <c r="G121" s="622">
        <f>'Capital Budget -  Incl SRV'!E197/1000</f>
        <v>28540</v>
      </c>
      <c r="H121" s="622">
        <f>'Capital Budget -  Incl SRV'!F197/1000</f>
        <v>3430</v>
      </c>
      <c r="I121" s="622">
        <f>'Capital Budget -  Incl SRV'!G197/1000</f>
        <v>3430</v>
      </c>
      <c r="J121" s="622">
        <f>'Capital Budget -  Incl SRV'!H197/1000</f>
        <v>2540</v>
      </c>
      <c r="K121" s="811">
        <f>J121*(1+'LTFP Assumptions'!$K$13)</f>
        <v>2590.8000000000002</v>
      </c>
      <c r="L121" s="811">
        <f>K121*(1+'LTFP Assumptions'!$K$13)</f>
        <v>2642.6160000000004</v>
      </c>
      <c r="M121" s="811">
        <f>L121*(1+'LTFP Assumptions'!$K$13)</f>
        <v>2695.4683200000004</v>
      </c>
      <c r="N121" s="811">
        <f>M121*(1+'LTFP Assumptions'!$K$13)</f>
        <v>2749.3776864000006</v>
      </c>
      <c r="O121" s="811">
        <f>N121*(1+'LTFP Assumptions'!$K$13)</f>
        <v>2804.3652401280006</v>
      </c>
      <c r="P121" s="811">
        <f>O121*(1+'LTFP Assumptions'!$K$13)</f>
        <v>2860.4525449305606</v>
      </c>
      <c r="Q121" s="599" t="s">
        <v>32</v>
      </c>
    </row>
    <row r="122" spans="1:17" ht="11.25" hidden="1" outlineLevel="1" x14ac:dyDescent="0.2">
      <c r="A122" s="604"/>
      <c r="B122" s="621"/>
      <c r="C122" s="621"/>
      <c r="D122" s="621"/>
      <c r="E122" s="622"/>
      <c r="F122" s="622"/>
      <c r="G122" s="622"/>
      <c r="H122" s="622"/>
      <c r="I122" s="622"/>
      <c r="J122" s="622"/>
      <c r="K122" s="811">
        <f>J122*(1+'LTFP Assumptions'!$K$13)</f>
        <v>0</v>
      </c>
      <c r="L122" s="811">
        <f>K122*(1+'LTFP Assumptions'!$K$13)</f>
        <v>0</v>
      </c>
      <c r="M122" s="811">
        <f>L122*(1+'LTFP Assumptions'!$K$13)</f>
        <v>0</v>
      </c>
      <c r="N122" s="811">
        <f>M122*(1+'LTFP Assumptions'!$K$13)</f>
        <v>0</v>
      </c>
      <c r="O122" s="811">
        <f>N122*(1+'LTFP Assumptions'!$K$13)</f>
        <v>0</v>
      </c>
      <c r="P122" s="811">
        <f>O122*(1+'LTFP Assumptions'!$K$13)</f>
        <v>0</v>
      </c>
    </row>
    <row r="123" spans="1:17" ht="11.25" hidden="1" outlineLevel="1" x14ac:dyDescent="0.2">
      <c r="A123" s="604" t="s">
        <v>1082</v>
      </c>
      <c r="B123" s="621"/>
      <c r="C123" s="621"/>
      <c r="D123" s="621"/>
      <c r="E123" s="622">
        <f>E53</f>
        <v>0</v>
      </c>
      <c r="F123" s="622">
        <f>F53</f>
        <v>0</v>
      </c>
      <c r="G123" s="622">
        <f>G53</f>
        <v>0</v>
      </c>
      <c r="H123" s="622">
        <f t="shared" ref="H123:J123" si="45">H53</f>
        <v>0</v>
      </c>
      <c r="I123" s="622">
        <f t="shared" si="45"/>
        <v>0</v>
      </c>
      <c r="J123" s="622">
        <f t="shared" si="45"/>
        <v>0</v>
      </c>
      <c r="K123" s="811">
        <f>J123*(1+'LTFP Assumptions'!$K$13)</f>
        <v>0</v>
      </c>
      <c r="L123" s="811">
        <f>K123*(1+'LTFP Assumptions'!$K$13)</f>
        <v>0</v>
      </c>
      <c r="M123" s="811">
        <f>L123*(1+'LTFP Assumptions'!$K$13)</f>
        <v>0</v>
      </c>
      <c r="N123" s="811">
        <f>M123*(1+'LTFP Assumptions'!$K$13)</f>
        <v>0</v>
      </c>
      <c r="O123" s="811">
        <f>N123*(1+'LTFP Assumptions'!$K$13)</f>
        <v>0</v>
      </c>
      <c r="P123" s="811">
        <f>O123*(1+'LTFP Assumptions'!$K$13)</f>
        <v>0</v>
      </c>
    </row>
    <row r="124" spans="1:17" ht="11.25" hidden="1" outlineLevel="1" x14ac:dyDescent="0.2">
      <c r="A124" s="604" t="s">
        <v>1083</v>
      </c>
      <c r="B124" s="621"/>
      <c r="C124" s="621"/>
      <c r="D124" s="621"/>
      <c r="E124" s="622">
        <f>E54</f>
        <v>0</v>
      </c>
      <c r="F124" s="622">
        <f>'Capital Budget -  Incl SRV'!C198/1000</f>
        <v>421</v>
      </c>
      <c r="G124" s="622">
        <f>'Capital Budget -  Incl SRV'!E198/1000</f>
        <v>82.426000000000002</v>
      </c>
      <c r="H124" s="622">
        <f>'Capital Budget -  Incl SRV'!F198/1000</f>
        <v>85.358999999999995</v>
      </c>
      <c r="I124" s="622">
        <f>'Capital Budget -  Incl SRV'!G198/1000</f>
        <v>87.948999999999998</v>
      </c>
      <c r="J124" s="622">
        <f>'Capital Budget -  Incl SRV'!H198/1000</f>
        <v>90.617000000000004</v>
      </c>
      <c r="K124" s="811">
        <f>J124*(1+'LTFP Assumptions'!$K$13)</f>
        <v>92.42934000000001</v>
      </c>
      <c r="L124" s="811">
        <f>K124*(1+'LTFP Assumptions'!$K$13)</f>
        <v>94.277926800000017</v>
      </c>
      <c r="M124" s="811">
        <f>L124*(1+'LTFP Assumptions'!$K$13)</f>
        <v>96.163485336000022</v>
      </c>
      <c r="N124" s="811">
        <f>M124*(1+'LTFP Assumptions'!$K$13)</f>
        <v>98.086755042720029</v>
      </c>
      <c r="O124" s="811">
        <f>N124*(1+'LTFP Assumptions'!$K$13)</f>
        <v>100.04849014357443</v>
      </c>
      <c r="P124" s="811">
        <f>O124*(1+'LTFP Assumptions'!$K$13)</f>
        <v>102.04945994644592</v>
      </c>
    </row>
    <row r="125" spans="1:17" ht="11.25" hidden="1" outlineLevel="1" x14ac:dyDescent="0.2">
      <c r="A125" s="604" t="s">
        <v>1089</v>
      </c>
      <c r="B125" s="621"/>
      <c r="C125" s="621"/>
      <c r="D125" s="621"/>
      <c r="E125" s="622">
        <f>E55</f>
        <v>0</v>
      </c>
      <c r="F125" s="622">
        <f>'Capital Budget -  Incl SRV'!C199/1000</f>
        <v>50</v>
      </c>
      <c r="G125" s="622">
        <f>'Capital Budget -  Incl SRV'!E199/1000</f>
        <v>50</v>
      </c>
      <c r="H125" s="622">
        <f>'Capital Budget -  Incl SRV'!F199/1000</f>
        <v>50</v>
      </c>
      <c r="I125" s="622">
        <f>'Capital Budget -  Incl SRV'!G199/1000</f>
        <v>50</v>
      </c>
      <c r="J125" s="622">
        <f>'Capital Budget -  Incl SRV'!H199/1000</f>
        <v>50</v>
      </c>
      <c r="K125" s="811">
        <f>J125*(1+'LTFP Assumptions'!$K$13)</f>
        <v>51</v>
      </c>
      <c r="L125" s="811">
        <f>K125*(1+'LTFP Assumptions'!$K$13)</f>
        <v>52.02</v>
      </c>
      <c r="M125" s="811">
        <f>L125*(1+'LTFP Assumptions'!$K$13)</f>
        <v>53.060400000000001</v>
      </c>
      <c r="N125" s="811">
        <f>M125*(1+'LTFP Assumptions'!$K$13)</f>
        <v>54.121608000000002</v>
      </c>
      <c r="O125" s="811">
        <f>N125*(1+'LTFP Assumptions'!$K$13)</f>
        <v>55.204040160000005</v>
      </c>
      <c r="P125" s="811">
        <f>O125*(1+'LTFP Assumptions'!$K$13)</f>
        <v>56.308120963200004</v>
      </c>
    </row>
    <row r="126" spans="1:17" ht="11.25" hidden="1" outlineLevel="1" x14ac:dyDescent="0.2">
      <c r="A126" s="604"/>
      <c r="B126" s="621"/>
      <c r="C126" s="621"/>
      <c r="D126" s="771">
        <f>SUM(D121:D125)</f>
        <v>0</v>
      </c>
      <c r="E126" s="771">
        <f t="shared" ref="E126:P126" si="46">SUM(E121:E125)</f>
        <v>0</v>
      </c>
      <c r="F126" s="771">
        <f t="shared" si="46"/>
        <v>16651</v>
      </c>
      <c r="G126" s="771">
        <f t="shared" si="46"/>
        <v>28672.425999999999</v>
      </c>
      <c r="H126" s="771">
        <f t="shared" si="46"/>
        <v>3565.3589999999999</v>
      </c>
      <c r="I126" s="771">
        <f t="shared" si="46"/>
        <v>3567.9490000000001</v>
      </c>
      <c r="J126" s="771">
        <f t="shared" si="46"/>
        <v>2680.6170000000002</v>
      </c>
      <c r="K126" s="771">
        <f t="shared" si="46"/>
        <v>2734.2293400000003</v>
      </c>
      <c r="L126" s="771">
        <f t="shared" si="46"/>
        <v>2788.9139268000004</v>
      </c>
      <c r="M126" s="771">
        <f t="shared" si="46"/>
        <v>2844.6922053360004</v>
      </c>
      <c r="N126" s="771">
        <f t="shared" si="46"/>
        <v>2901.5860494427207</v>
      </c>
      <c r="O126" s="771">
        <f t="shared" si="46"/>
        <v>2959.6177704315751</v>
      </c>
      <c r="P126" s="771">
        <f t="shared" si="46"/>
        <v>3018.8101258402066</v>
      </c>
    </row>
    <row r="127" spans="1:17" s="608" customFormat="1" ht="11.25" hidden="1" outlineLevel="1" x14ac:dyDescent="0.2">
      <c r="A127" s="623" t="s">
        <v>1084</v>
      </c>
      <c r="B127" s="621"/>
      <c r="C127" s="621"/>
      <c r="D127" s="621"/>
      <c r="E127" s="621"/>
      <c r="F127" s="621"/>
      <c r="G127" s="621"/>
      <c r="H127" s="621"/>
      <c r="I127" s="621"/>
      <c r="J127" s="621"/>
      <c r="K127" s="621"/>
      <c r="L127" s="621"/>
      <c r="M127" s="621"/>
      <c r="N127" s="621"/>
      <c r="O127" s="621"/>
      <c r="P127" s="621"/>
    </row>
    <row r="128" spans="1:17" ht="11.25" hidden="1" outlineLevel="1" x14ac:dyDescent="0.2">
      <c r="A128" s="604" t="s">
        <v>931</v>
      </c>
      <c r="B128" s="621"/>
      <c r="C128" s="621"/>
      <c r="D128" s="621"/>
      <c r="E128" s="622">
        <f t="shared" ref="E128:E135" si="47">E58</f>
        <v>0</v>
      </c>
      <c r="F128" s="622">
        <f>-'Capital Budget -  Incl SRV'!C187/1000</f>
        <v>740.04200000000003</v>
      </c>
      <c r="G128" s="622">
        <f>-'Capital Budget -  Incl SRV'!E187/1000</f>
        <v>158.244</v>
      </c>
      <c r="H128" s="622">
        <f>-'Capital Budget -  Incl SRV'!F187/1000</f>
        <v>-179.816</v>
      </c>
      <c r="I128" s="622">
        <f>-'Capital Budget -  Incl SRV'!G187/1000</f>
        <v>-238.434</v>
      </c>
      <c r="J128" s="622">
        <f>-'Capital Budget -  Incl SRV'!H187/1000</f>
        <v>-256.06599999999997</v>
      </c>
      <c r="K128" s="621">
        <f>K108</f>
        <v>-287.10410140000022</v>
      </c>
      <c r="L128" s="621">
        <f t="shared" ref="L128:P128" si="48">L108</f>
        <v>-325.87924290900082</v>
      </c>
      <c r="M128" s="621">
        <f t="shared" si="48"/>
        <v>-366.34741358754673</v>
      </c>
      <c r="N128" s="621">
        <f t="shared" si="48"/>
        <v>-408.57044781023978</v>
      </c>
      <c r="O128" s="621">
        <f t="shared" si="48"/>
        <v>-452.61235843842769</v>
      </c>
      <c r="P128" s="621">
        <f t="shared" si="48"/>
        <v>-498.53941486396252</v>
      </c>
    </row>
    <row r="129" spans="1:16" ht="11.25" hidden="1" outlineLevel="1" x14ac:dyDescent="0.2">
      <c r="A129" s="604" t="s">
        <v>244</v>
      </c>
      <c r="B129" s="621"/>
      <c r="C129" s="621"/>
      <c r="D129" s="621"/>
      <c r="E129" s="622">
        <f t="shared" si="47"/>
        <v>0</v>
      </c>
      <c r="F129" s="622">
        <f>-'Capital Budget -  Incl SRV'!C188/1000</f>
        <v>50</v>
      </c>
      <c r="G129" s="622">
        <f>-'Capital Budget -  Incl SRV'!E188/1000</f>
        <v>50</v>
      </c>
      <c r="H129" s="622">
        <f>-'Capital Budget -  Incl SRV'!F188/1000</f>
        <v>50</v>
      </c>
      <c r="I129" s="622">
        <f>-'Capital Budget -  Incl SRV'!G188/1000</f>
        <v>50</v>
      </c>
      <c r="J129" s="622">
        <f>-'Capital Budget -  Incl SRV'!H188/1000</f>
        <v>50</v>
      </c>
      <c r="K129" s="621">
        <f>J129*(1+'LTFP Assumptions'!$J12)</f>
        <v>51</v>
      </c>
      <c r="L129" s="621">
        <f>K129*(1+'LTFP Assumptions'!$J12)</f>
        <v>52.02</v>
      </c>
      <c r="M129" s="621">
        <f>L129*(1+'LTFP Assumptions'!$J12)</f>
        <v>53.060400000000001</v>
      </c>
      <c r="N129" s="621">
        <f>M129*(1+'LTFP Assumptions'!$J12)</f>
        <v>54.121608000000002</v>
      </c>
      <c r="O129" s="621">
        <f>N129*(1+'LTFP Assumptions'!$J12)</f>
        <v>55.204040160000005</v>
      </c>
      <c r="P129" s="621">
        <f>O129*(1+'LTFP Assumptions'!$J12)</f>
        <v>56.308120963200004</v>
      </c>
    </row>
    <row r="130" spans="1:16" ht="11.25" hidden="1" outlineLevel="1" x14ac:dyDescent="0.2">
      <c r="A130" s="604" t="s">
        <v>1085</v>
      </c>
      <c r="B130" s="621"/>
      <c r="C130" s="621"/>
      <c r="D130" s="621"/>
      <c r="E130" s="622">
        <f t="shared" si="47"/>
        <v>0</v>
      </c>
      <c r="F130" s="622">
        <f>-'Capital Budget -  Incl SRV'!C189/1000</f>
        <v>960</v>
      </c>
      <c r="G130" s="622">
        <f>-'Capital Budget -  Incl SRV'!E189/1000</f>
        <v>8640</v>
      </c>
      <c r="H130" s="622">
        <f>-'Capital Budget -  Incl SRV'!F189/1000</f>
        <v>0</v>
      </c>
      <c r="I130" s="622">
        <f>-'Capital Budget -  Incl SRV'!G189/1000</f>
        <v>0</v>
      </c>
      <c r="J130" s="622">
        <f>-'Capital Budget -  Incl SRV'!H189/1000</f>
        <v>0</v>
      </c>
      <c r="K130" s="621"/>
      <c r="L130" s="621"/>
      <c r="M130" s="621"/>
      <c r="N130" s="621"/>
      <c r="O130" s="621"/>
      <c r="P130" s="621"/>
    </row>
    <row r="131" spans="1:16" ht="11.25" hidden="1" outlineLevel="1" x14ac:dyDescent="0.2">
      <c r="A131" s="604" t="s">
        <v>1086</v>
      </c>
      <c r="B131" s="621"/>
      <c r="C131" s="621"/>
      <c r="D131" s="621"/>
      <c r="E131" s="622">
        <f t="shared" si="47"/>
        <v>0</v>
      </c>
      <c r="F131" s="622">
        <f>F61</f>
        <v>0</v>
      </c>
      <c r="G131" s="621"/>
      <c r="H131" s="621"/>
      <c r="I131" s="621"/>
      <c r="J131" s="621"/>
      <c r="K131" s="621"/>
      <c r="L131" s="621"/>
      <c r="M131" s="621"/>
      <c r="N131" s="621"/>
      <c r="O131" s="621"/>
      <c r="P131" s="621"/>
    </row>
    <row r="132" spans="1:16" ht="11.25" hidden="1" outlineLevel="1" x14ac:dyDescent="0.2">
      <c r="A132" s="604" t="s">
        <v>33</v>
      </c>
      <c r="B132" s="621">
        <f>+B97</f>
        <v>0</v>
      </c>
      <c r="C132" s="621">
        <f>C97</f>
        <v>0</v>
      </c>
      <c r="D132" s="621">
        <f>D97</f>
        <v>0</v>
      </c>
      <c r="E132" s="622">
        <f t="shared" si="47"/>
        <v>1210</v>
      </c>
      <c r="F132" s="622">
        <f>-'Capital Budget -  Incl SRV'!C190/1000</f>
        <v>1275.067</v>
      </c>
      <c r="G132" s="622">
        <f>-'Capital Budget -  Incl SRV'!E190/1000</f>
        <v>1268</v>
      </c>
      <c r="H132" s="622">
        <f>-'Capital Budget -  Incl SRV'!F190/1000</f>
        <v>1458.45</v>
      </c>
      <c r="I132" s="622">
        <f>-'Capital Budget -  Incl SRV'!G190/1000</f>
        <v>1479.9110000000001</v>
      </c>
      <c r="J132" s="622">
        <f>-'Capital Budget -  Incl SRV'!H190/1000</f>
        <v>1499.384</v>
      </c>
      <c r="K132" s="621">
        <f t="shared" ref="K132:P132" si="49">K97</f>
        <v>1536.8685999999998</v>
      </c>
      <c r="L132" s="621">
        <f t="shared" si="49"/>
        <v>1575.2903149999997</v>
      </c>
      <c r="M132" s="621">
        <f t="shared" si="49"/>
        <v>1614.6725728749996</v>
      </c>
      <c r="N132" s="621">
        <f t="shared" si="49"/>
        <v>1655.0393871968745</v>
      </c>
      <c r="O132" s="621">
        <f t="shared" si="49"/>
        <v>1696.4153718767961</v>
      </c>
      <c r="P132" s="621">
        <f t="shared" si="49"/>
        <v>1738.8257561737159</v>
      </c>
    </row>
    <row r="133" spans="1:16" ht="11.25" hidden="1" outlineLevel="1" x14ac:dyDescent="0.2">
      <c r="A133" s="604" t="s">
        <v>22</v>
      </c>
      <c r="B133" s="621"/>
      <c r="C133" s="621"/>
      <c r="D133" s="621"/>
      <c r="E133" s="622">
        <f t="shared" si="47"/>
        <v>0</v>
      </c>
      <c r="F133" s="622">
        <f>-'Capital Budget -  Incl SRV'!C192/1000</f>
        <v>3869.8910000000001</v>
      </c>
      <c r="G133" s="622">
        <f>-'Capital Budget -  Incl SRV'!E192/1000</f>
        <v>1200</v>
      </c>
      <c r="H133" s="622">
        <f>-'Capital Budget -  Incl SRV'!F192/1000</f>
        <v>2236.7249999999999</v>
      </c>
      <c r="I133" s="622">
        <f>-'Capital Budget -  Incl SRV'!G192/1000</f>
        <v>2276.4720000000002</v>
      </c>
      <c r="J133" s="622">
        <f>-'Capital Budget -  Incl SRV'!H192/1000</f>
        <v>1387.239</v>
      </c>
      <c r="K133" s="811">
        <f>J133*(1+'LTFP Assumptions'!$K$13)</f>
        <v>1414.98378</v>
      </c>
      <c r="L133" s="811">
        <f>K133*(1+'LTFP Assumptions'!$K$13)</f>
        <v>1443.2834556</v>
      </c>
      <c r="M133" s="811">
        <f>L133*(1+'LTFP Assumptions'!$K$13)</f>
        <v>1472.149124712</v>
      </c>
      <c r="N133" s="811">
        <f>M133*(1+'LTFP Assumptions'!$K$13)</f>
        <v>1501.5921072062399</v>
      </c>
      <c r="O133" s="811">
        <f>N133*(1+'LTFP Assumptions'!$K$13)</f>
        <v>1531.6239493503647</v>
      </c>
      <c r="P133" s="811">
        <f>O133*(1+'LTFP Assumptions'!$K$13)</f>
        <v>1562.256428337372</v>
      </c>
    </row>
    <row r="134" spans="1:16" ht="11.25" hidden="1" outlineLevel="1" x14ac:dyDescent="0.2">
      <c r="A134" s="604" t="s">
        <v>1087</v>
      </c>
      <c r="B134" s="621"/>
      <c r="C134" s="621"/>
      <c r="D134" s="621"/>
      <c r="E134" s="622">
        <f t="shared" si="47"/>
        <v>0</v>
      </c>
      <c r="F134" s="622">
        <f>-'Capital Budget -  Incl SRV'!C191/1000</f>
        <v>9756</v>
      </c>
      <c r="G134" s="622">
        <f>-'Capital Budget -  Incl SRV'!E191/1000</f>
        <v>17356.182000000001</v>
      </c>
      <c r="H134" s="622">
        <f>-'Capital Budget -  Incl SRV'!F191/1000</f>
        <v>0</v>
      </c>
      <c r="I134" s="622">
        <f>-'Capital Budget -  Incl SRV'!G191/1000</f>
        <v>0</v>
      </c>
      <c r="J134" s="622">
        <f>-'Capital Budget -  Incl SRV'!H191/1000</f>
        <v>0</v>
      </c>
      <c r="K134" s="621"/>
      <c r="L134" s="621"/>
      <c r="M134" s="621"/>
      <c r="N134" s="621"/>
      <c r="O134" s="621"/>
      <c r="P134" s="621"/>
    </row>
    <row r="135" spans="1:16" ht="11.25" hidden="1" outlineLevel="1" x14ac:dyDescent="0.2">
      <c r="A135" s="604" t="s">
        <v>1088</v>
      </c>
      <c r="B135" s="621"/>
      <c r="C135" s="621"/>
      <c r="D135" s="621"/>
      <c r="E135" s="622">
        <f t="shared" si="47"/>
        <v>0</v>
      </c>
      <c r="F135" s="622">
        <f>F65</f>
        <v>0</v>
      </c>
      <c r="G135" s="621"/>
      <c r="H135" s="621"/>
      <c r="I135" s="621"/>
      <c r="J135" s="621"/>
      <c r="K135" s="621"/>
      <c r="L135" s="621"/>
      <c r="M135" s="621"/>
      <c r="N135" s="621"/>
      <c r="O135" s="621"/>
      <c r="P135" s="621"/>
    </row>
    <row r="136" spans="1:16" ht="11.25" hidden="1" outlineLevel="1" x14ac:dyDescent="0.2">
      <c r="A136" s="604"/>
      <c r="B136" s="621"/>
      <c r="C136" s="621"/>
      <c r="D136" s="771">
        <f t="shared" ref="D136:P136" si="50">SUM(D128:D135)</f>
        <v>0</v>
      </c>
      <c r="E136" s="771">
        <f t="shared" si="50"/>
        <v>1210</v>
      </c>
      <c r="F136" s="771">
        <f t="shared" si="50"/>
        <v>16651</v>
      </c>
      <c r="G136" s="771">
        <f t="shared" si="50"/>
        <v>28672.425999999999</v>
      </c>
      <c r="H136" s="771">
        <f t="shared" si="50"/>
        <v>3565.3589999999999</v>
      </c>
      <c r="I136" s="771">
        <f t="shared" si="50"/>
        <v>3567.9490000000005</v>
      </c>
      <c r="J136" s="771">
        <f t="shared" si="50"/>
        <v>2680.5569999999998</v>
      </c>
      <c r="K136" s="771">
        <f t="shared" si="50"/>
        <v>2715.7482785999996</v>
      </c>
      <c r="L136" s="771">
        <f t="shared" si="50"/>
        <v>2744.7145276909987</v>
      </c>
      <c r="M136" s="771">
        <f t="shared" si="50"/>
        <v>2773.5346839994527</v>
      </c>
      <c r="N136" s="771">
        <f t="shared" si="50"/>
        <v>2802.1826545928743</v>
      </c>
      <c r="O136" s="771">
        <f t="shared" si="50"/>
        <v>2830.6310029487331</v>
      </c>
      <c r="P136" s="771">
        <f t="shared" si="50"/>
        <v>2858.8508906103252</v>
      </c>
    </row>
    <row r="137" spans="1:16" ht="11.25" hidden="1" outlineLevel="1" x14ac:dyDescent="0.2">
      <c r="A137" s="599"/>
      <c r="B137" s="621"/>
      <c r="C137" s="621"/>
      <c r="D137" s="622"/>
      <c r="E137" s="622"/>
      <c r="F137" s="622"/>
      <c r="G137" s="622"/>
      <c r="H137" s="622"/>
      <c r="I137" s="622"/>
      <c r="J137" s="624"/>
      <c r="K137" s="624"/>
      <c r="L137" s="624"/>
      <c r="M137" s="624"/>
      <c r="N137" s="624"/>
      <c r="O137" s="624"/>
      <c r="P137" s="624"/>
    </row>
    <row r="138" spans="1:16" ht="11.25" hidden="1" outlineLevel="1" x14ac:dyDescent="0.2">
      <c r="A138" s="604"/>
      <c r="B138" s="621"/>
      <c r="C138" s="621"/>
      <c r="D138" s="621"/>
      <c r="E138" s="621"/>
      <c r="F138" s="621"/>
      <c r="G138" s="621"/>
      <c r="H138" s="621"/>
      <c r="I138" s="621"/>
      <c r="J138" s="621"/>
      <c r="K138" s="621"/>
      <c r="L138" s="621"/>
      <c r="M138" s="621"/>
      <c r="N138" s="621"/>
      <c r="O138" s="621"/>
      <c r="P138" s="621"/>
    </row>
    <row r="139" spans="1:16" ht="11.25" hidden="1" outlineLevel="1" x14ac:dyDescent="0.2">
      <c r="A139" s="604" t="s">
        <v>34</v>
      </c>
      <c r="B139" s="621">
        <f>+B108+SUM(B121:B138)</f>
        <v>0</v>
      </c>
      <c r="C139" s="621">
        <f>+C108+SUM(C121:C138)</f>
        <v>0</v>
      </c>
      <c r="D139" s="625">
        <f>D136-D126</f>
        <v>0</v>
      </c>
      <c r="E139" s="625">
        <f t="shared" ref="E139:P139" si="51">E136-E126</f>
        <v>1210</v>
      </c>
      <c r="F139" s="625">
        <f t="shared" si="51"/>
        <v>0</v>
      </c>
      <c r="G139" s="625">
        <f t="shared" si="51"/>
        <v>0</v>
      </c>
      <c r="H139" s="625">
        <f t="shared" si="51"/>
        <v>0</v>
      </c>
      <c r="I139" s="625">
        <f t="shared" si="51"/>
        <v>0</v>
      </c>
      <c r="J139" s="625">
        <f t="shared" si="51"/>
        <v>-6.0000000000400178E-2</v>
      </c>
      <c r="K139" s="625">
        <f t="shared" si="51"/>
        <v>-18.481061400000726</v>
      </c>
      <c r="L139" s="625">
        <f t="shared" si="51"/>
        <v>-44.199399109001661</v>
      </c>
      <c r="M139" s="625">
        <f t="shared" si="51"/>
        <v>-71.157521336547688</v>
      </c>
      <c r="N139" s="625">
        <f t="shared" si="51"/>
        <v>-99.403394849846336</v>
      </c>
      <c r="O139" s="625">
        <f t="shared" si="51"/>
        <v>-128.98676748284197</v>
      </c>
      <c r="P139" s="625">
        <f t="shared" si="51"/>
        <v>-159.95923522988141</v>
      </c>
    </row>
    <row r="140" spans="1:16" ht="11.25" hidden="1" outlineLevel="1" x14ac:dyDescent="0.2">
      <c r="A140" s="600" t="s">
        <v>451</v>
      </c>
      <c r="C140" s="606">
        <f>B141</f>
        <v>0</v>
      </c>
      <c r="D140" s="606">
        <f t="shared" ref="D140:E140" si="52">C141</f>
        <v>0</v>
      </c>
      <c r="E140" s="606">
        <f t="shared" si="52"/>
        <v>0</v>
      </c>
      <c r="F140" s="606">
        <v>0</v>
      </c>
      <c r="G140" s="606">
        <f t="shared" ref="G140:P140" si="53">F141</f>
        <v>0</v>
      </c>
      <c r="H140" s="606">
        <f t="shared" si="53"/>
        <v>0</v>
      </c>
      <c r="I140" s="606">
        <f t="shared" si="53"/>
        <v>0</v>
      </c>
      <c r="J140" s="606">
        <f t="shared" si="53"/>
        <v>0</v>
      </c>
      <c r="K140" s="606">
        <f t="shared" si="53"/>
        <v>-6.0000000000400178E-2</v>
      </c>
      <c r="L140" s="606">
        <f t="shared" si="53"/>
        <v>-18.541061400001126</v>
      </c>
      <c r="M140" s="606">
        <f t="shared" si="53"/>
        <v>-62.740460509002787</v>
      </c>
      <c r="N140" s="606">
        <f t="shared" si="53"/>
        <v>-133.89798184555048</v>
      </c>
      <c r="O140" s="606">
        <f t="shared" si="53"/>
        <v>-233.30137669539681</v>
      </c>
      <c r="P140" s="606">
        <f t="shared" si="53"/>
        <v>-362.28814417823878</v>
      </c>
    </row>
    <row r="141" spans="1:16" ht="11.25" hidden="1" outlineLevel="1" x14ac:dyDescent="0.2">
      <c r="A141" s="620" t="s">
        <v>452</v>
      </c>
      <c r="B141" s="626"/>
      <c r="C141" s="627">
        <f>SUM(C139:C140)</f>
        <v>0</v>
      </c>
      <c r="D141" s="627">
        <f t="shared" ref="D141:P141" si="54">SUM(D139:D140)</f>
        <v>0</v>
      </c>
      <c r="E141" s="627">
        <f t="shared" si="54"/>
        <v>1210</v>
      </c>
      <c r="F141" s="627">
        <f t="shared" si="54"/>
        <v>0</v>
      </c>
      <c r="G141" s="627">
        <f t="shared" si="54"/>
        <v>0</v>
      </c>
      <c r="H141" s="627">
        <f t="shared" si="54"/>
        <v>0</v>
      </c>
      <c r="I141" s="627">
        <f t="shared" si="54"/>
        <v>0</v>
      </c>
      <c r="J141" s="627">
        <f t="shared" si="54"/>
        <v>-6.0000000000400178E-2</v>
      </c>
      <c r="K141" s="627">
        <f t="shared" si="54"/>
        <v>-18.541061400001126</v>
      </c>
      <c r="L141" s="627">
        <f t="shared" si="54"/>
        <v>-62.740460509002787</v>
      </c>
      <c r="M141" s="627">
        <f t="shared" si="54"/>
        <v>-133.89798184555048</v>
      </c>
      <c r="N141" s="627">
        <f t="shared" si="54"/>
        <v>-233.30137669539681</v>
      </c>
      <c r="O141" s="627">
        <f t="shared" si="54"/>
        <v>-362.28814417823878</v>
      </c>
      <c r="P141" s="627">
        <f t="shared" si="54"/>
        <v>-522.2473794081202</v>
      </c>
    </row>
    <row r="142" spans="1:16" ht="11.25" hidden="1" outlineLevel="1" x14ac:dyDescent="0.2">
      <c r="A142" s="620"/>
      <c r="B142" s="626"/>
      <c r="C142" s="627"/>
      <c r="D142" s="627"/>
      <c r="E142" s="627"/>
      <c r="F142" s="627"/>
      <c r="G142" s="627"/>
      <c r="H142" s="627"/>
      <c r="I142" s="627"/>
      <c r="J142" s="627"/>
      <c r="K142" s="627"/>
      <c r="L142" s="627"/>
      <c r="M142" s="627"/>
      <c r="N142" s="627"/>
      <c r="O142" s="627"/>
      <c r="P142" s="627"/>
    </row>
    <row r="143" spans="1:16" ht="12.75" collapsed="1" x14ac:dyDescent="0.2">
      <c r="A143" s="1091" t="s">
        <v>1362</v>
      </c>
    </row>
    <row r="144" spans="1:16" ht="12" x14ac:dyDescent="0.2">
      <c r="A144" s="635" t="s">
        <v>1066</v>
      </c>
      <c r="B144" s="586" t="s">
        <v>69</v>
      </c>
      <c r="C144" s="586" t="s">
        <v>69</v>
      </c>
      <c r="D144" s="586" t="s">
        <v>69</v>
      </c>
      <c r="E144" s="586" t="s">
        <v>69</v>
      </c>
      <c r="F144" s="586" t="s">
        <v>70</v>
      </c>
      <c r="G144" s="586" t="s">
        <v>70</v>
      </c>
      <c r="H144" s="586" t="s">
        <v>71</v>
      </c>
      <c r="I144" s="586" t="s">
        <v>71</v>
      </c>
      <c r="J144" s="586" t="s">
        <v>71</v>
      </c>
      <c r="K144" s="586" t="s">
        <v>71</v>
      </c>
      <c r="L144" s="586" t="s">
        <v>71</v>
      </c>
      <c r="M144" s="586" t="s">
        <v>71</v>
      </c>
      <c r="N144" s="586" t="s">
        <v>71</v>
      </c>
      <c r="O144" s="586" t="s">
        <v>71</v>
      </c>
      <c r="P144" s="586" t="s">
        <v>71</v>
      </c>
    </row>
    <row r="145" spans="1:16" ht="11.25" x14ac:dyDescent="0.2">
      <c r="A145" s="598" t="s">
        <v>73</v>
      </c>
      <c r="B145" s="741" t="s">
        <v>68</v>
      </c>
      <c r="C145" s="694" t="s">
        <v>0</v>
      </c>
      <c r="D145" s="694" t="s">
        <v>1</v>
      </c>
      <c r="E145" s="694" t="s">
        <v>2</v>
      </c>
      <c r="F145" s="694" t="s">
        <v>3</v>
      </c>
      <c r="G145" s="694" t="s">
        <v>4</v>
      </c>
      <c r="H145" s="694" t="s">
        <v>5</v>
      </c>
      <c r="I145" s="694" t="s">
        <v>6</v>
      </c>
      <c r="J145" s="694" t="s">
        <v>7</v>
      </c>
      <c r="K145" s="694" t="s">
        <v>8</v>
      </c>
      <c r="L145" s="694" t="s">
        <v>9</v>
      </c>
      <c r="M145" s="694" t="s">
        <v>514</v>
      </c>
      <c r="N145" s="694" t="s">
        <v>515</v>
      </c>
      <c r="O145" s="694" t="s">
        <v>904</v>
      </c>
      <c r="P145" s="694" t="s">
        <v>1046</v>
      </c>
    </row>
    <row r="146" spans="1:16" ht="11.25" x14ac:dyDescent="0.2">
      <c r="A146" s="604" t="s">
        <v>61</v>
      </c>
    </row>
    <row r="147" spans="1:16" ht="11.25" x14ac:dyDescent="0.2">
      <c r="A147" s="607" t="s">
        <v>62</v>
      </c>
    </row>
    <row r="148" spans="1:16" ht="11.25" x14ac:dyDescent="0.2">
      <c r="A148" s="600" t="s">
        <v>11</v>
      </c>
      <c r="B148" s="606">
        <f t="shared" ref="B148:C153" si="55">+B11</f>
        <v>0</v>
      </c>
      <c r="C148" s="606">
        <f t="shared" si="55"/>
        <v>0</v>
      </c>
      <c r="D148" s="606">
        <f t="shared" ref="D148:D153" si="56">D80</f>
        <v>0</v>
      </c>
      <c r="E148" s="606">
        <f t="shared" ref="E148:P148" si="57">E80</f>
        <v>3350</v>
      </c>
      <c r="F148" s="606">
        <f t="shared" si="57"/>
        <v>4001.5</v>
      </c>
      <c r="G148" s="606">
        <f t="shared" si="57"/>
        <v>3866</v>
      </c>
      <c r="H148" s="606">
        <f t="shared" si="57"/>
        <v>4129.43</v>
      </c>
      <c r="I148" s="606">
        <f t="shared" si="57"/>
        <v>4236.2120000000004</v>
      </c>
      <c r="J148" s="606">
        <f t="shared" si="57"/>
        <v>4349.6570000000002</v>
      </c>
      <c r="K148" s="606">
        <f t="shared" si="57"/>
        <v>4458.3984249999994</v>
      </c>
      <c r="L148" s="606">
        <f t="shared" si="57"/>
        <v>4569.8583856249988</v>
      </c>
      <c r="M148" s="606">
        <f t="shared" si="57"/>
        <v>4684.1048452656232</v>
      </c>
      <c r="N148" s="606">
        <f t="shared" si="57"/>
        <v>4801.2074663972635</v>
      </c>
      <c r="O148" s="606">
        <f t="shared" si="57"/>
        <v>4921.2376530571946</v>
      </c>
      <c r="P148" s="606">
        <f t="shared" si="57"/>
        <v>5044.2685943836241</v>
      </c>
    </row>
    <row r="149" spans="1:16" ht="11.25" x14ac:dyDescent="0.2">
      <c r="A149" s="600" t="s">
        <v>12</v>
      </c>
      <c r="B149" s="606">
        <f t="shared" si="55"/>
        <v>0</v>
      </c>
      <c r="C149" s="606">
        <f t="shared" si="55"/>
        <v>0</v>
      </c>
      <c r="D149" s="606">
        <f t="shared" si="56"/>
        <v>0</v>
      </c>
      <c r="E149" s="606">
        <f t="shared" ref="E149:P149" si="58">E81</f>
        <v>430</v>
      </c>
      <c r="F149" s="606">
        <f t="shared" si="58"/>
        <v>322.7</v>
      </c>
      <c r="G149" s="606">
        <f t="shared" si="58"/>
        <v>364.5</v>
      </c>
      <c r="H149" s="606">
        <f t="shared" si="58"/>
        <v>375.29</v>
      </c>
      <c r="I149" s="606">
        <f t="shared" si="58"/>
        <v>386.4</v>
      </c>
      <c r="J149" s="606">
        <f t="shared" si="58"/>
        <v>397.839</v>
      </c>
      <c r="K149" s="606">
        <f t="shared" si="58"/>
        <v>405.79577999999998</v>
      </c>
      <c r="L149" s="606">
        <f t="shared" si="58"/>
        <v>413.91169559999997</v>
      </c>
      <c r="M149" s="606">
        <f t="shared" si="58"/>
        <v>422.18992951199999</v>
      </c>
      <c r="N149" s="606">
        <f t="shared" si="58"/>
        <v>430.63372810224001</v>
      </c>
      <c r="O149" s="606">
        <f t="shared" si="58"/>
        <v>439.2464026642848</v>
      </c>
      <c r="P149" s="606">
        <f t="shared" si="58"/>
        <v>448.03133071757048</v>
      </c>
    </row>
    <row r="150" spans="1:16" ht="11.25" x14ac:dyDescent="0.2">
      <c r="A150" s="600" t="s">
        <v>13</v>
      </c>
      <c r="B150" s="606">
        <f t="shared" si="55"/>
        <v>0</v>
      </c>
      <c r="C150" s="606">
        <f t="shared" si="55"/>
        <v>0</v>
      </c>
      <c r="D150" s="606">
        <f t="shared" si="56"/>
        <v>0</v>
      </c>
      <c r="E150" s="606">
        <f t="shared" ref="E150:P150" si="59">E82</f>
        <v>557</v>
      </c>
      <c r="F150" s="606">
        <f t="shared" si="59"/>
        <v>455</v>
      </c>
      <c r="G150" s="606">
        <f t="shared" si="59"/>
        <v>405</v>
      </c>
      <c r="H150" s="606">
        <f t="shared" si="59"/>
        <v>290.75</v>
      </c>
      <c r="I150" s="606">
        <f t="shared" si="59"/>
        <v>216.52199999999999</v>
      </c>
      <c r="J150" s="606">
        <f t="shared" si="59"/>
        <v>177.31800000000001</v>
      </c>
      <c r="K150" s="606">
        <f t="shared" si="59"/>
        <v>61.38452000000003</v>
      </c>
      <c r="L150" s="606">
        <f t="shared" si="59"/>
        <v>4.0459263440000361</v>
      </c>
      <c r="M150" s="606">
        <f t="shared" si="59"/>
        <v>-55.453387844360059</v>
      </c>
      <c r="N150" s="606">
        <f t="shared" si="59"/>
        <v>-117.18565368630192</v>
      </c>
      <c r="O150" s="606">
        <f t="shared" si="59"/>
        <v>-181.22547376854538</v>
      </c>
      <c r="P150" s="606">
        <f t="shared" si="59"/>
        <v>-247.64990244187368</v>
      </c>
    </row>
    <row r="151" spans="1:16" ht="11.25" x14ac:dyDescent="0.2">
      <c r="A151" s="600" t="s">
        <v>14</v>
      </c>
      <c r="B151" s="606">
        <f t="shared" si="55"/>
        <v>0</v>
      </c>
      <c r="C151" s="606">
        <f t="shared" si="55"/>
        <v>0</v>
      </c>
      <c r="D151" s="606">
        <f t="shared" si="56"/>
        <v>0</v>
      </c>
      <c r="E151" s="606">
        <f t="shared" ref="E151:P151" si="60">E83</f>
        <v>304</v>
      </c>
      <c r="F151" s="606">
        <f t="shared" si="60"/>
        <v>0</v>
      </c>
      <c r="G151" s="606">
        <f t="shared" si="60"/>
        <v>0</v>
      </c>
      <c r="H151" s="606">
        <f t="shared" si="60"/>
        <v>0</v>
      </c>
      <c r="I151" s="606">
        <f t="shared" si="60"/>
        <v>0</v>
      </c>
      <c r="J151" s="606">
        <f t="shared" si="60"/>
        <v>0</v>
      </c>
      <c r="K151" s="606">
        <f t="shared" si="60"/>
        <v>0</v>
      </c>
      <c r="L151" s="606">
        <f t="shared" si="60"/>
        <v>0</v>
      </c>
      <c r="M151" s="606">
        <f t="shared" si="60"/>
        <v>0</v>
      </c>
      <c r="N151" s="606">
        <f t="shared" si="60"/>
        <v>0</v>
      </c>
      <c r="O151" s="606">
        <f t="shared" si="60"/>
        <v>0</v>
      </c>
      <c r="P151" s="606">
        <f t="shared" si="60"/>
        <v>0</v>
      </c>
    </row>
    <row r="152" spans="1:16" ht="22.5" x14ac:dyDescent="0.2">
      <c r="A152" s="600" t="s">
        <v>15</v>
      </c>
      <c r="B152" s="606">
        <f t="shared" si="55"/>
        <v>0</v>
      </c>
      <c r="C152" s="606">
        <f t="shared" si="55"/>
        <v>0</v>
      </c>
      <c r="D152" s="606">
        <f t="shared" si="56"/>
        <v>0</v>
      </c>
      <c r="E152" s="606">
        <f t="shared" ref="E152:P154" si="61">E84</f>
        <v>34</v>
      </c>
      <c r="F152" s="606">
        <f t="shared" si="61"/>
        <v>37.5</v>
      </c>
      <c r="G152" s="606">
        <f t="shared" si="61"/>
        <v>35</v>
      </c>
      <c r="H152" s="606">
        <f t="shared" si="61"/>
        <v>35.700000000000003</v>
      </c>
      <c r="I152" s="606">
        <f t="shared" si="61"/>
        <v>36.414000000000001</v>
      </c>
      <c r="J152" s="606">
        <f t="shared" si="61"/>
        <v>37.142000000000003</v>
      </c>
      <c r="K152" s="606">
        <f t="shared" si="61"/>
        <v>38.070549999999997</v>
      </c>
      <c r="L152" s="606">
        <f t="shared" si="61"/>
        <v>39.022313749999995</v>
      </c>
      <c r="M152" s="606">
        <f t="shared" si="61"/>
        <v>39.997871593749991</v>
      </c>
      <c r="N152" s="606">
        <f t="shared" si="61"/>
        <v>40.997818383593739</v>
      </c>
      <c r="O152" s="606">
        <f t="shared" si="61"/>
        <v>42.022763843183576</v>
      </c>
      <c r="P152" s="606">
        <f t="shared" si="61"/>
        <v>43.07333293926316</v>
      </c>
    </row>
    <row r="153" spans="1:16" ht="22.5" x14ac:dyDescent="0.2">
      <c r="A153" s="600" t="s">
        <v>18</v>
      </c>
      <c r="B153" s="606">
        <f t="shared" si="55"/>
        <v>0</v>
      </c>
      <c r="C153" s="606">
        <f t="shared" si="55"/>
        <v>0</v>
      </c>
      <c r="D153" s="606">
        <f t="shared" si="56"/>
        <v>0</v>
      </c>
      <c r="E153" s="606">
        <f t="shared" ref="E153:P153" si="62">E85</f>
        <v>1091</v>
      </c>
      <c r="F153" s="606">
        <f t="shared" si="62"/>
        <v>1010</v>
      </c>
      <c r="G153" s="606">
        <f t="shared" si="62"/>
        <v>8690</v>
      </c>
      <c r="H153" s="606">
        <f t="shared" si="62"/>
        <v>50</v>
      </c>
      <c r="I153" s="606">
        <f t="shared" si="62"/>
        <v>50</v>
      </c>
      <c r="J153" s="606">
        <f t="shared" si="62"/>
        <v>50</v>
      </c>
      <c r="K153" s="606">
        <f t="shared" si="62"/>
        <v>51</v>
      </c>
      <c r="L153" s="606">
        <f t="shared" si="62"/>
        <v>52.02</v>
      </c>
      <c r="M153" s="606">
        <f t="shared" si="62"/>
        <v>53.060400000000001</v>
      </c>
      <c r="N153" s="606">
        <f t="shared" si="62"/>
        <v>54.121608000000002</v>
      </c>
      <c r="O153" s="606">
        <f t="shared" si="62"/>
        <v>55.204040160000005</v>
      </c>
      <c r="P153" s="606">
        <f t="shared" si="62"/>
        <v>56.308120963200004</v>
      </c>
    </row>
    <row r="154" spans="1:16" x14ac:dyDescent="0.2">
      <c r="A154" s="1149" t="s">
        <v>1180</v>
      </c>
      <c r="B154" s="606"/>
      <c r="C154" s="606"/>
      <c r="D154" s="606"/>
      <c r="E154" s="606"/>
      <c r="F154" s="606"/>
      <c r="G154" s="606"/>
      <c r="H154" s="606"/>
      <c r="I154" s="606"/>
      <c r="J154" s="606"/>
      <c r="K154" s="606">
        <f t="shared" si="61"/>
        <v>0</v>
      </c>
      <c r="L154" s="606">
        <f t="shared" si="61"/>
        <v>0</v>
      </c>
      <c r="M154" s="606">
        <f t="shared" si="61"/>
        <v>0</v>
      </c>
      <c r="N154" s="606">
        <f t="shared" si="61"/>
        <v>0</v>
      </c>
      <c r="O154" s="606">
        <f t="shared" si="61"/>
        <v>0</v>
      </c>
      <c r="P154" s="606">
        <f t="shared" si="61"/>
        <v>0</v>
      </c>
    </row>
    <row r="155" spans="1:16" x14ac:dyDescent="0.2">
      <c r="A155" s="607" t="s">
        <v>63</v>
      </c>
      <c r="B155" s="606"/>
      <c r="C155" s="606"/>
      <c r="D155" s="606">
        <f t="shared" ref="D155:P155" si="63">D87</f>
        <v>0</v>
      </c>
      <c r="E155" s="606">
        <f t="shared" si="63"/>
        <v>0</v>
      </c>
      <c r="F155" s="606">
        <f t="shared" si="63"/>
        <v>0</v>
      </c>
      <c r="G155" s="606">
        <f t="shared" si="63"/>
        <v>0</v>
      </c>
      <c r="H155" s="606">
        <f t="shared" si="63"/>
        <v>0</v>
      </c>
      <c r="I155" s="606">
        <f t="shared" si="63"/>
        <v>0</v>
      </c>
      <c r="J155" s="606">
        <f t="shared" si="63"/>
        <v>0</v>
      </c>
      <c r="K155" s="606">
        <f t="shared" si="63"/>
        <v>0</v>
      </c>
      <c r="L155" s="606">
        <f t="shared" si="63"/>
        <v>0</v>
      </c>
      <c r="M155" s="606">
        <f t="shared" si="63"/>
        <v>0</v>
      </c>
      <c r="N155" s="606">
        <f t="shared" si="63"/>
        <v>0</v>
      </c>
      <c r="O155" s="606">
        <f t="shared" si="63"/>
        <v>0</v>
      </c>
      <c r="P155" s="606">
        <f t="shared" si="63"/>
        <v>0</v>
      </c>
    </row>
    <row r="156" spans="1:16" x14ac:dyDescent="0.2">
      <c r="A156" s="764" t="s">
        <v>74</v>
      </c>
      <c r="B156" s="765">
        <f>+B19</f>
        <v>0</v>
      </c>
      <c r="C156" s="765">
        <f>+C19</f>
        <v>0</v>
      </c>
      <c r="D156" s="606">
        <f t="shared" ref="D156:P156" si="64">D88</f>
        <v>0</v>
      </c>
      <c r="E156" s="606">
        <f t="shared" si="64"/>
        <v>0</v>
      </c>
      <c r="F156" s="606">
        <f t="shared" si="64"/>
        <v>0</v>
      </c>
      <c r="G156" s="606">
        <f t="shared" si="64"/>
        <v>0</v>
      </c>
      <c r="H156" s="606">
        <f t="shared" si="64"/>
        <v>0</v>
      </c>
      <c r="I156" s="606">
        <f t="shared" si="64"/>
        <v>0</v>
      </c>
      <c r="J156" s="606">
        <f t="shared" si="64"/>
        <v>0</v>
      </c>
      <c r="K156" s="606">
        <f t="shared" si="64"/>
        <v>0</v>
      </c>
      <c r="L156" s="606">
        <f t="shared" si="64"/>
        <v>0</v>
      </c>
      <c r="M156" s="606">
        <f t="shared" si="64"/>
        <v>0</v>
      </c>
      <c r="N156" s="606">
        <f t="shared" si="64"/>
        <v>0</v>
      </c>
      <c r="O156" s="606">
        <f t="shared" si="64"/>
        <v>0</v>
      </c>
      <c r="P156" s="606">
        <f t="shared" si="64"/>
        <v>0</v>
      </c>
    </row>
    <row r="157" spans="1:16" x14ac:dyDescent="0.2">
      <c r="A157" s="758" t="s">
        <v>1047</v>
      </c>
      <c r="B157" s="765"/>
      <c r="C157" s="765"/>
      <c r="D157" s="606">
        <f t="shared" ref="D157:P157" si="65">D89</f>
        <v>0</v>
      </c>
      <c r="E157" s="606">
        <f t="shared" si="65"/>
        <v>0</v>
      </c>
      <c r="F157" s="606">
        <f t="shared" si="65"/>
        <v>0</v>
      </c>
      <c r="G157" s="606">
        <f t="shared" si="65"/>
        <v>0</v>
      </c>
      <c r="H157" s="606">
        <f t="shared" si="65"/>
        <v>0</v>
      </c>
      <c r="I157" s="606">
        <f t="shared" si="65"/>
        <v>0</v>
      </c>
      <c r="J157" s="606">
        <f t="shared" si="65"/>
        <v>0</v>
      </c>
      <c r="K157" s="606">
        <f t="shared" si="65"/>
        <v>0</v>
      </c>
      <c r="L157" s="606">
        <f t="shared" si="65"/>
        <v>0</v>
      </c>
      <c r="M157" s="606">
        <f t="shared" si="65"/>
        <v>0</v>
      </c>
      <c r="N157" s="606">
        <f t="shared" si="65"/>
        <v>0</v>
      </c>
      <c r="O157" s="606">
        <f t="shared" si="65"/>
        <v>0</v>
      </c>
      <c r="P157" s="606">
        <f t="shared" si="65"/>
        <v>0</v>
      </c>
    </row>
    <row r="158" spans="1:16" x14ac:dyDescent="0.2">
      <c r="A158" s="604" t="s">
        <v>64</v>
      </c>
      <c r="B158" s="766">
        <f>SUM(B148:B156)</f>
        <v>0</v>
      </c>
      <c r="C158" s="766">
        <f t="shared" ref="C158" si="66">SUM(C148:C156)</f>
        <v>0</v>
      </c>
      <c r="D158" s="767">
        <f>SUM(D148:D157)</f>
        <v>0</v>
      </c>
      <c r="E158" s="767">
        <f t="shared" ref="E158:P158" si="67">SUM(E148:E157)</f>
        <v>5766</v>
      </c>
      <c r="F158" s="767">
        <f t="shared" si="67"/>
        <v>5826.7</v>
      </c>
      <c r="G158" s="767">
        <f t="shared" si="67"/>
        <v>13360.5</v>
      </c>
      <c r="H158" s="767">
        <f t="shared" si="67"/>
        <v>4881.17</v>
      </c>
      <c r="I158" s="767">
        <f t="shared" si="67"/>
        <v>4925.5479999999998</v>
      </c>
      <c r="J158" s="767">
        <f t="shared" si="67"/>
        <v>5011.9560000000001</v>
      </c>
      <c r="K158" s="767">
        <f t="shared" si="67"/>
        <v>5014.6492749999998</v>
      </c>
      <c r="L158" s="767">
        <f t="shared" si="67"/>
        <v>5078.8583213189986</v>
      </c>
      <c r="M158" s="767">
        <f t="shared" si="67"/>
        <v>5143.8996585270133</v>
      </c>
      <c r="N158" s="767">
        <f t="shared" si="67"/>
        <v>5209.7749671967958</v>
      </c>
      <c r="O158" s="767">
        <f t="shared" si="67"/>
        <v>5276.4853859561172</v>
      </c>
      <c r="P158" s="767">
        <f t="shared" si="67"/>
        <v>5344.0314765617841</v>
      </c>
    </row>
    <row r="160" spans="1:16" x14ac:dyDescent="0.2">
      <c r="A160" s="604" t="s">
        <v>65</v>
      </c>
    </row>
    <row r="161" spans="1:17" x14ac:dyDescent="0.2">
      <c r="A161" s="600" t="s">
        <v>25</v>
      </c>
      <c r="B161" s="606">
        <f>+B23</f>
        <v>0</v>
      </c>
      <c r="C161" s="606">
        <f>+C23</f>
        <v>0</v>
      </c>
      <c r="D161" s="606">
        <f>D93</f>
        <v>0</v>
      </c>
      <c r="E161" s="606">
        <f t="shared" ref="E161:P161" si="68">E93</f>
        <v>889</v>
      </c>
      <c r="F161" s="606">
        <f t="shared" si="68"/>
        <v>804.93100000000004</v>
      </c>
      <c r="G161" s="606">
        <f t="shared" si="68"/>
        <v>797.73099999999999</v>
      </c>
      <c r="H161" s="606">
        <f t="shared" si="68"/>
        <v>825.32899999999995</v>
      </c>
      <c r="I161" s="606">
        <f t="shared" si="68"/>
        <v>854.68700000000001</v>
      </c>
      <c r="J161" s="606">
        <f t="shared" si="68"/>
        <v>885.20299999999997</v>
      </c>
      <c r="K161" s="606">
        <f t="shared" si="68"/>
        <v>911.75909000000001</v>
      </c>
      <c r="L161" s="606">
        <f t="shared" si="68"/>
        <v>939.11186270000007</v>
      </c>
      <c r="M161" s="606">
        <f t="shared" si="68"/>
        <v>967.28521858100009</v>
      </c>
      <c r="N161" s="606">
        <f t="shared" si="68"/>
        <v>996.30377513843007</v>
      </c>
      <c r="O161" s="606">
        <f t="shared" si="68"/>
        <v>1026.192888392583</v>
      </c>
      <c r="P161" s="606">
        <f t="shared" si="68"/>
        <v>1056.9786750443604</v>
      </c>
    </row>
    <row r="162" spans="1:17" x14ac:dyDescent="0.2">
      <c r="A162" s="600" t="s">
        <v>926</v>
      </c>
      <c r="B162" s="606"/>
      <c r="C162" s="606"/>
      <c r="D162" s="606">
        <f>D94</f>
        <v>0</v>
      </c>
      <c r="E162" s="606">
        <f t="shared" ref="E162:J162" si="69">E94</f>
        <v>59</v>
      </c>
      <c r="F162" s="606">
        <f t="shared" si="69"/>
        <v>54.21</v>
      </c>
      <c r="G162" s="606">
        <f t="shared" si="69"/>
        <v>485</v>
      </c>
      <c r="H162" s="606">
        <f t="shared" si="69"/>
        <v>813.04</v>
      </c>
      <c r="I162" s="606">
        <f t="shared" si="69"/>
        <v>810.45</v>
      </c>
      <c r="J162" s="606">
        <f t="shared" si="69"/>
        <v>807.78200000000004</v>
      </c>
      <c r="K162" s="1310">
        <f>J162+(('Sewer Fund  Bal Sheet'!K118+'Sewer Fund  Bal Sheet'!K124)-('Sewer Fund  Bal Sheet'!J118+'Sewer Fund  Bal Sheet'!J124))*'LTFP Assumptions'!$K$18</f>
        <v>804.08482640000011</v>
      </c>
      <c r="L162" s="1310">
        <f>K162+(('Sewer Fund  Bal Sheet'!L118+'Sewer Fund  Bal Sheet'!L124)-('Sewer Fund  Bal Sheet'!K118+'Sewer Fund  Bal Sheet'!K124))*'LTFP Assumptions'!$K$18</f>
        <v>800.31370932800007</v>
      </c>
      <c r="M162" s="1310">
        <f>L162+(('Sewer Fund  Bal Sheet'!M118+'Sewer Fund  Bal Sheet'!M124)-('Sewer Fund  Bal Sheet'!L118+'Sewer Fund  Bal Sheet'!L124))*'LTFP Assumptions'!$K$18</f>
        <v>796.46716991456003</v>
      </c>
      <c r="N162" s="1310">
        <f>M162+(('Sewer Fund  Bal Sheet'!N118+'Sewer Fund  Bal Sheet'!N124)-('Sewer Fund  Bal Sheet'!M118+'Sewer Fund  Bal Sheet'!M124))*'LTFP Assumptions'!$K$18</f>
        <v>792.54369971285121</v>
      </c>
      <c r="O162" s="1310">
        <f>N162+(('Sewer Fund  Bal Sheet'!O118+'Sewer Fund  Bal Sheet'!O124)-('Sewer Fund  Bal Sheet'!N118+'Sewer Fund  Bal Sheet'!N124))*'LTFP Assumptions'!$K$18</f>
        <v>788.5417601071083</v>
      </c>
      <c r="P162" s="1310">
        <f>O162+(('Sewer Fund  Bal Sheet'!P118+'Sewer Fund  Bal Sheet'!P124)-('Sewer Fund  Bal Sheet'!O118+'Sewer Fund  Bal Sheet'!O124))*'LTFP Assumptions'!$K$18</f>
        <v>784.45978170925036</v>
      </c>
    </row>
    <row r="163" spans="1:17" x14ac:dyDescent="0.2">
      <c r="A163" s="600" t="s">
        <v>27</v>
      </c>
      <c r="B163" s="606">
        <f>+B25</f>
        <v>0</v>
      </c>
      <c r="C163" s="606">
        <f>+C25</f>
        <v>0</v>
      </c>
      <c r="D163" s="606">
        <f>D95</f>
        <v>0</v>
      </c>
      <c r="E163" s="606">
        <f t="shared" ref="E163:P163" si="70">E95</f>
        <v>1271</v>
      </c>
      <c r="F163" s="606">
        <f t="shared" si="70"/>
        <v>939.5</v>
      </c>
      <c r="G163" s="606">
        <f t="shared" si="70"/>
        <v>924.5</v>
      </c>
      <c r="H163" s="606">
        <f t="shared" si="70"/>
        <v>856.69</v>
      </c>
      <c r="I163" s="606">
        <f t="shared" si="70"/>
        <v>890.43399999999997</v>
      </c>
      <c r="J163" s="606">
        <f t="shared" si="70"/>
        <v>925.81899999999996</v>
      </c>
      <c r="K163" s="606">
        <f t="shared" si="70"/>
        <v>944.33537999999999</v>
      </c>
      <c r="L163" s="606">
        <f t="shared" si="70"/>
        <v>963.22208760000001</v>
      </c>
      <c r="M163" s="606">
        <f t="shared" si="70"/>
        <v>982.48652935200005</v>
      </c>
      <c r="N163" s="606">
        <f t="shared" si="70"/>
        <v>1002.1362599390401</v>
      </c>
      <c r="O163" s="606">
        <f t="shared" si="70"/>
        <v>1022.1789851378209</v>
      </c>
      <c r="P163" s="606">
        <f t="shared" si="70"/>
        <v>1042.6225648405773</v>
      </c>
    </row>
    <row r="164" spans="1:17" x14ac:dyDescent="0.2">
      <c r="A164" s="600" t="s">
        <v>1077</v>
      </c>
      <c r="B164" s="606"/>
      <c r="C164" s="606"/>
      <c r="D164" s="606"/>
      <c r="E164" s="606"/>
      <c r="F164" s="606">
        <f>F96</f>
        <v>792</v>
      </c>
      <c r="G164" s="606">
        <f t="shared" ref="G164:P164" si="71">G96</f>
        <v>807.47500000000002</v>
      </c>
      <c r="H164" s="606">
        <f t="shared" si="71"/>
        <v>823.33600000000001</v>
      </c>
      <c r="I164" s="606">
        <f t="shared" si="71"/>
        <v>839.59500000000003</v>
      </c>
      <c r="J164" s="606">
        <f t="shared" si="71"/>
        <v>856.26</v>
      </c>
      <c r="K164" s="606">
        <f t="shared" si="71"/>
        <v>856.26</v>
      </c>
      <c r="L164" s="606">
        <f t="shared" si="71"/>
        <v>873.38520000000005</v>
      </c>
      <c r="M164" s="606">
        <f t="shared" si="71"/>
        <v>890.85290400000008</v>
      </c>
      <c r="N164" s="606">
        <f t="shared" si="71"/>
        <v>908.66996208000012</v>
      </c>
      <c r="O164" s="606">
        <f t="shared" si="71"/>
        <v>926.84336132160013</v>
      </c>
      <c r="P164" s="606">
        <f t="shared" si="71"/>
        <v>945.38022854803216</v>
      </c>
    </row>
    <row r="165" spans="1:17" x14ac:dyDescent="0.2">
      <c r="A165" s="600" t="s">
        <v>29</v>
      </c>
      <c r="B165" s="606">
        <f>+B27</f>
        <v>0</v>
      </c>
      <c r="C165" s="606">
        <f>+C27</f>
        <v>0</v>
      </c>
      <c r="D165" s="606">
        <f t="shared" ref="D165:E168" si="72">D97</f>
        <v>0</v>
      </c>
      <c r="E165" s="606">
        <f t="shared" si="72"/>
        <v>1210</v>
      </c>
      <c r="F165" s="606">
        <f>F97</f>
        <v>1275.067</v>
      </c>
      <c r="G165" s="606">
        <f t="shared" ref="G165:P165" si="73">G97</f>
        <v>1268</v>
      </c>
      <c r="H165" s="606">
        <f t="shared" si="73"/>
        <v>1458.45</v>
      </c>
      <c r="I165" s="606">
        <f t="shared" si="73"/>
        <v>1479.9110000000001</v>
      </c>
      <c r="J165" s="606">
        <f t="shared" si="73"/>
        <v>1499.384</v>
      </c>
      <c r="K165" s="606">
        <f t="shared" si="73"/>
        <v>1536.8685999999998</v>
      </c>
      <c r="L165" s="606">
        <f t="shared" si="73"/>
        <v>1575.2903149999997</v>
      </c>
      <c r="M165" s="606">
        <f t="shared" si="73"/>
        <v>1614.6725728749996</v>
      </c>
      <c r="N165" s="606">
        <f t="shared" si="73"/>
        <v>1655.0393871968745</v>
      </c>
      <c r="O165" s="606">
        <f t="shared" si="73"/>
        <v>1696.4153718767961</v>
      </c>
      <c r="P165" s="606">
        <f t="shared" si="73"/>
        <v>1738.8257561737159</v>
      </c>
    </row>
    <row r="166" spans="1:17" x14ac:dyDescent="0.2">
      <c r="A166" s="600" t="str">
        <f>A98</f>
        <v>Impairment</v>
      </c>
      <c r="B166" s="606"/>
      <c r="C166" s="606"/>
      <c r="D166" s="606">
        <f t="shared" si="72"/>
        <v>0</v>
      </c>
      <c r="E166" s="606">
        <f t="shared" si="72"/>
        <v>0</v>
      </c>
      <c r="F166" s="606">
        <f>F98</f>
        <v>0</v>
      </c>
      <c r="G166" s="606">
        <f t="shared" ref="G166:P166" si="74">G98</f>
        <v>0</v>
      </c>
      <c r="H166" s="606">
        <f t="shared" si="74"/>
        <v>0</v>
      </c>
      <c r="I166" s="606">
        <f t="shared" si="74"/>
        <v>0</v>
      </c>
      <c r="J166" s="606">
        <f t="shared" si="74"/>
        <v>0</v>
      </c>
      <c r="K166" s="606">
        <f t="shared" si="74"/>
        <v>0</v>
      </c>
      <c r="L166" s="606">
        <f t="shared" si="74"/>
        <v>0</v>
      </c>
      <c r="M166" s="606">
        <f t="shared" si="74"/>
        <v>0</v>
      </c>
      <c r="N166" s="606">
        <f t="shared" si="74"/>
        <v>0</v>
      </c>
      <c r="O166" s="606">
        <f t="shared" si="74"/>
        <v>0</v>
      </c>
      <c r="P166" s="606">
        <f t="shared" si="74"/>
        <v>0</v>
      </c>
      <c r="Q166" s="606">
        <f>+Q28</f>
        <v>0</v>
      </c>
    </row>
    <row r="167" spans="1:17" x14ac:dyDescent="0.2">
      <c r="A167" s="600" t="str">
        <f>A99</f>
        <v>Net Losses from the disposal of assets</v>
      </c>
      <c r="B167" s="606"/>
      <c r="C167" s="606"/>
      <c r="D167" s="606">
        <f t="shared" si="72"/>
        <v>0</v>
      </c>
      <c r="E167" s="606">
        <f t="shared" si="72"/>
        <v>0</v>
      </c>
      <c r="F167" s="606">
        <f>F99</f>
        <v>0</v>
      </c>
      <c r="G167" s="606">
        <f t="shared" ref="G167:P167" si="75">G99</f>
        <v>0</v>
      </c>
      <c r="H167" s="606">
        <f t="shared" si="75"/>
        <v>0</v>
      </c>
      <c r="I167" s="606">
        <f t="shared" si="75"/>
        <v>0</v>
      </c>
      <c r="J167" s="606">
        <f t="shared" si="75"/>
        <v>0</v>
      </c>
      <c r="K167" s="606">
        <f t="shared" si="75"/>
        <v>0</v>
      </c>
      <c r="L167" s="606">
        <f t="shared" si="75"/>
        <v>0</v>
      </c>
      <c r="M167" s="606">
        <f t="shared" si="75"/>
        <v>0</v>
      </c>
      <c r="N167" s="606">
        <f t="shared" si="75"/>
        <v>0</v>
      </c>
      <c r="O167" s="606">
        <f t="shared" si="75"/>
        <v>0</v>
      </c>
      <c r="P167" s="606">
        <f t="shared" si="75"/>
        <v>0</v>
      </c>
      <c r="Q167" s="606">
        <f>+Q29</f>
        <v>0</v>
      </c>
    </row>
    <row r="168" spans="1:17" x14ac:dyDescent="0.2">
      <c r="A168" s="614" t="s">
        <v>28</v>
      </c>
      <c r="B168" s="606">
        <f>+B30</f>
        <v>0</v>
      </c>
      <c r="C168" s="606">
        <f>+C30</f>
        <v>0</v>
      </c>
      <c r="D168" s="606">
        <f t="shared" si="72"/>
        <v>0</v>
      </c>
      <c r="E168" s="606">
        <f t="shared" si="72"/>
        <v>200</v>
      </c>
      <c r="F168" s="606">
        <f>F100</f>
        <v>210.95</v>
      </c>
      <c r="G168" s="606">
        <f t="shared" ref="G168:P168" si="76">G100</f>
        <v>229.55</v>
      </c>
      <c r="H168" s="606">
        <f t="shared" si="76"/>
        <v>234.14099999999999</v>
      </c>
      <c r="I168" s="606">
        <f t="shared" si="76"/>
        <v>238.905</v>
      </c>
      <c r="J168" s="606">
        <f t="shared" si="76"/>
        <v>243.57400000000001</v>
      </c>
      <c r="K168" s="606">
        <f t="shared" si="76"/>
        <v>248.44548</v>
      </c>
      <c r="L168" s="606">
        <f t="shared" si="76"/>
        <v>253.41438960000002</v>
      </c>
      <c r="M168" s="606">
        <f t="shared" si="76"/>
        <v>258.48267739200003</v>
      </c>
      <c r="N168" s="606">
        <f t="shared" si="76"/>
        <v>263.65233093984006</v>
      </c>
      <c r="O168" s="606">
        <f t="shared" si="76"/>
        <v>268.92537755863685</v>
      </c>
      <c r="P168" s="606">
        <f t="shared" si="76"/>
        <v>274.30388510980958</v>
      </c>
    </row>
    <row r="169" spans="1:17" x14ac:dyDescent="0.2">
      <c r="A169" s="604" t="s">
        <v>66</v>
      </c>
      <c r="B169" s="610">
        <f>SUM(B161:B168)</f>
        <v>0</v>
      </c>
      <c r="C169" s="610">
        <f t="shared" ref="C169:P169" si="77">SUM(C161:C168)</f>
        <v>0</v>
      </c>
      <c r="D169" s="610">
        <f t="shared" si="77"/>
        <v>0</v>
      </c>
      <c r="E169" s="610">
        <f t="shared" si="77"/>
        <v>3629</v>
      </c>
      <c r="F169" s="610">
        <f t="shared" si="77"/>
        <v>4076.6579999999999</v>
      </c>
      <c r="G169" s="610">
        <f t="shared" si="77"/>
        <v>4512.2560000000003</v>
      </c>
      <c r="H169" s="610">
        <f t="shared" si="77"/>
        <v>5010.9859999999999</v>
      </c>
      <c r="I169" s="610">
        <f t="shared" si="77"/>
        <v>5113.982</v>
      </c>
      <c r="J169" s="610">
        <f t="shared" si="77"/>
        <v>5218.0219999999999</v>
      </c>
      <c r="K169" s="610">
        <f t="shared" si="77"/>
        <v>5301.7533764</v>
      </c>
      <c r="L169" s="610">
        <f t="shared" si="77"/>
        <v>5404.7375642279994</v>
      </c>
      <c r="M169" s="610">
        <f t="shared" si="77"/>
        <v>5510.2470721145601</v>
      </c>
      <c r="N169" s="610">
        <f t="shared" si="77"/>
        <v>5618.3454150070356</v>
      </c>
      <c r="O169" s="610">
        <f t="shared" si="77"/>
        <v>5729.0977443945449</v>
      </c>
      <c r="P169" s="610">
        <f t="shared" si="77"/>
        <v>5842.5708914257466</v>
      </c>
    </row>
    <row r="171" spans="1:17" ht="10.8" thickBot="1" x14ac:dyDescent="0.25">
      <c r="A171" s="604" t="s">
        <v>67</v>
      </c>
      <c r="B171" s="636">
        <f t="shared" ref="B171:P171" si="78">+B158-B169</f>
        <v>0</v>
      </c>
      <c r="C171" s="636">
        <f t="shared" si="78"/>
        <v>0</v>
      </c>
      <c r="D171" s="636">
        <f t="shared" si="78"/>
        <v>0</v>
      </c>
      <c r="E171" s="636">
        <f t="shared" si="78"/>
        <v>2137</v>
      </c>
      <c r="F171" s="636">
        <f t="shared" si="78"/>
        <v>1750.0419999999999</v>
      </c>
      <c r="G171" s="636">
        <f t="shared" si="78"/>
        <v>8848.2439999999988</v>
      </c>
      <c r="H171" s="636">
        <f t="shared" si="78"/>
        <v>-129.8159999999998</v>
      </c>
      <c r="I171" s="636">
        <f t="shared" si="78"/>
        <v>-188.4340000000002</v>
      </c>
      <c r="J171" s="636">
        <f t="shared" si="78"/>
        <v>-206.0659999999998</v>
      </c>
      <c r="K171" s="636">
        <f t="shared" si="78"/>
        <v>-287.10410140000022</v>
      </c>
      <c r="L171" s="636">
        <f t="shared" si="78"/>
        <v>-325.87924290900082</v>
      </c>
      <c r="M171" s="636">
        <f t="shared" si="78"/>
        <v>-366.34741358754673</v>
      </c>
      <c r="N171" s="636">
        <f t="shared" si="78"/>
        <v>-408.57044781023978</v>
      </c>
      <c r="O171" s="636">
        <f t="shared" si="78"/>
        <v>-452.61235843842769</v>
      </c>
      <c r="P171" s="636">
        <f t="shared" si="78"/>
        <v>-498.53941486396252</v>
      </c>
    </row>
    <row r="172" spans="1:17" x14ac:dyDescent="0.2">
      <c r="A172" s="616"/>
      <c r="B172" s="621"/>
      <c r="C172" s="621"/>
      <c r="D172" s="621"/>
      <c r="E172" s="621"/>
      <c r="F172" s="621"/>
      <c r="G172" s="621"/>
      <c r="H172" s="621"/>
      <c r="I172" s="621"/>
      <c r="J172" s="621"/>
      <c r="K172" s="621"/>
      <c r="L172" s="621"/>
      <c r="M172" s="621"/>
      <c r="N172" s="621"/>
      <c r="O172" s="621"/>
      <c r="P172" s="621"/>
    </row>
    <row r="173" spans="1:17" x14ac:dyDescent="0.2">
      <c r="A173" s="604" t="s">
        <v>75</v>
      </c>
      <c r="B173" s="621"/>
      <c r="C173" s="621"/>
      <c r="D173" s="621"/>
      <c r="E173" s="621"/>
      <c r="F173" s="621"/>
      <c r="G173" s="621"/>
      <c r="H173" s="621"/>
      <c r="I173" s="621"/>
      <c r="J173" s="621"/>
      <c r="K173" s="621"/>
      <c r="L173" s="621"/>
      <c r="M173" s="621"/>
      <c r="N173" s="621"/>
      <c r="O173" s="621"/>
      <c r="P173" s="621"/>
    </row>
    <row r="174" spans="1:17" x14ac:dyDescent="0.2">
      <c r="A174" s="614" t="s">
        <v>322</v>
      </c>
      <c r="B174" s="617">
        <v>0</v>
      </c>
      <c r="C174" s="617">
        <v>0</v>
      </c>
      <c r="D174" s="617">
        <v>0</v>
      </c>
      <c r="E174" s="617">
        <v>0</v>
      </c>
      <c r="F174" s="617">
        <v>0</v>
      </c>
      <c r="G174" s="617">
        <v>0</v>
      </c>
      <c r="H174" s="617">
        <v>0</v>
      </c>
      <c r="I174" s="617">
        <v>0</v>
      </c>
      <c r="J174" s="617">
        <v>0</v>
      </c>
      <c r="K174" s="617">
        <v>0</v>
      </c>
      <c r="L174" s="617">
        <v>0</v>
      </c>
      <c r="M174" s="617">
        <v>0</v>
      </c>
      <c r="N174" s="617">
        <v>0</v>
      </c>
      <c r="O174" s="617">
        <v>0</v>
      </c>
      <c r="P174" s="617">
        <v>0</v>
      </c>
    </row>
    <row r="175" spans="1:17" x14ac:dyDescent="0.2">
      <c r="B175" s="621"/>
      <c r="C175" s="621"/>
      <c r="D175" s="621"/>
      <c r="E175" s="621"/>
      <c r="F175" s="621"/>
      <c r="G175" s="621"/>
      <c r="H175" s="621"/>
      <c r="I175" s="621"/>
      <c r="J175" s="621"/>
      <c r="K175" s="621"/>
      <c r="L175" s="621"/>
      <c r="M175" s="621"/>
      <c r="N175" s="621"/>
      <c r="O175" s="621"/>
      <c r="P175" s="621"/>
    </row>
    <row r="176" spans="1:17" x14ac:dyDescent="0.2">
      <c r="A176" s="618" t="s">
        <v>76</v>
      </c>
      <c r="B176" s="634">
        <f>+B171+B174</f>
        <v>0</v>
      </c>
      <c r="C176" s="634">
        <f>+C171+C174</f>
        <v>0</v>
      </c>
      <c r="D176" s="634">
        <f>+D171+D174</f>
        <v>0</v>
      </c>
      <c r="E176" s="634">
        <f t="shared" ref="E176:P176" si="79">+E171+E174</f>
        <v>2137</v>
      </c>
      <c r="F176" s="634">
        <f t="shared" si="79"/>
        <v>1750.0419999999999</v>
      </c>
      <c r="G176" s="634">
        <f t="shared" si="79"/>
        <v>8848.2439999999988</v>
      </c>
      <c r="H176" s="634">
        <f t="shared" si="79"/>
        <v>-129.8159999999998</v>
      </c>
      <c r="I176" s="634">
        <f t="shared" si="79"/>
        <v>-188.4340000000002</v>
      </c>
      <c r="J176" s="634">
        <f t="shared" si="79"/>
        <v>-206.0659999999998</v>
      </c>
      <c r="K176" s="634">
        <f t="shared" si="79"/>
        <v>-287.10410140000022</v>
      </c>
      <c r="L176" s="634">
        <f t="shared" si="79"/>
        <v>-325.87924290900082</v>
      </c>
      <c r="M176" s="634">
        <f t="shared" si="79"/>
        <v>-366.34741358754673</v>
      </c>
      <c r="N176" s="634">
        <f t="shared" si="79"/>
        <v>-408.57044781023978</v>
      </c>
      <c r="O176" s="634">
        <f t="shared" si="79"/>
        <v>-452.61235843842769</v>
      </c>
      <c r="P176" s="634">
        <f t="shared" si="79"/>
        <v>-498.53941486396252</v>
      </c>
    </row>
    <row r="177" spans="1:17" x14ac:dyDescent="0.2">
      <c r="B177" s="621"/>
      <c r="C177" s="621"/>
      <c r="D177" s="621"/>
      <c r="E177" s="621"/>
      <c r="F177" s="621"/>
      <c r="G177" s="621"/>
      <c r="H177" s="621"/>
      <c r="I177" s="621"/>
      <c r="J177" s="621"/>
      <c r="K177" s="621"/>
      <c r="L177" s="621"/>
      <c r="M177" s="621"/>
      <c r="N177" s="621"/>
      <c r="O177" s="621"/>
      <c r="P177" s="621"/>
    </row>
    <row r="178" spans="1:17" s="601" customFormat="1" x14ac:dyDescent="0.2">
      <c r="A178" s="733" t="s">
        <v>77</v>
      </c>
      <c r="B178" s="715">
        <f>+B176</f>
        <v>0</v>
      </c>
      <c r="C178" s="734">
        <f>+C173+C176</f>
        <v>0</v>
      </c>
      <c r="D178" s="715">
        <f>+D176</f>
        <v>0</v>
      </c>
      <c r="E178" s="734">
        <f t="shared" ref="E178:P178" si="80">+E173+E176</f>
        <v>2137</v>
      </c>
      <c r="F178" s="734">
        <f t="shared" si="80"/>
        <v>1750.0419999999999</v>
      </c>
      <c r="G178" s="734">
        <f t="shared" si="80"/>
        <v>8848.2439999999988</v>
      </c>
      <c r="H178" s="734">
        <f t="shared" si="80"/>
        <v>-129.8159999999998</v>
      </c>
      <c r="I178" s="734">
        <f t="shared" si="80"/>
        <v>-188.4340000000002</v>
      </c>
      <c r="J178" s="734">
        <f t="shared" si="80"/>
        <v>-206.0659999999998</v>
      </c>
      <c r="K178" s="734">
        <f t="shared" si="80"/>
        <v>-287.10410140000022</v>
      </c>
      <c r="L178" s="734">
        <f t="shared" si="80"/>
        <v>-325.87924290900082</v>
      </c>
      <c r="M178" s="734">
        <f t="shared" si="80"/>
        <v>-366.34741358754673</v>
      </c>
      <c r="N178" s="734">
        <f t="shared" si="80"/>
        <v>-408.57044781023978</v>
      </c>
      <c r="O178" s="734">
        <f t="shared" si="80"/>
        <v>-452.61235843842769</v>
      </c>
      <c r="P178" s="734">
        <f t="shared" si="80"/>
        <v>-498.53941486396252</v>
      </c>
    </row>
    <row r="179" spans="1:17" s="601" customFormat="1" ht="10.5" customHeight="1" thickBot="1" x14ac:dyDescent="0.25">
      <c r="A179" s="739" t="s">
        <v>78</v>
      </c>
      <c r="B179" s="735">
        <v>0</v>
      </c>
      <c r="C179" s="735">
        <v>0</v>
      </c>
      <c r="D179" s="735">
        <v>0</v>
      </c>
      <c r="E179" s="735">
        <v>0</v>
      </c>
      <c r="F179" s="735"/>
      <c r="G179" s="735">
        <v>0</v>
      </c>
      <c r="H179" s="735">
        <v>0</v>
      </c>
      <c r="I179" s="735">
        <v>0</v>
      </c>
      <c r="J179" s="735">
        <v>0</v>
      </c>
      <c r="K179" s="735">
        <v>0</v>
      </c>
      <c r="L179" s="735">
        <v>0</v>
      </c>
      <c r="M179" s="735">
        <v>0</v>
      </c>
      <c r="N179" s="735">
        <v>0</v>
      </c>
      <c r="O179" s="735">
        <v>0</v>
      </c>
      <c r="P179" s="735">
        <v>0</v>
      </c>
    </row>
    <row r="180" spans="1:17" ht="3.75" customHeight="1" thickTop="1" x14ac:dyDescent="0.2">
      <c r="A180" s="726"/>
      <c r="B180" s="714"/>
      <c r="C180" s="714"/>
      <c r="D180" s="710"/>
      <c r="E180" s="710"/>
      <c r="F180" s="710"/>
      <c r="G180" s="710"/>
      <c r="H180" s="710"/>
      <c r="I180" s="710"/>
      <c r="J180" s="710"/>
      <c r="K180" s="710"/>
      <c r="L180" s="710"/>
      <c r="M180" s="710"/>
      <c r="N180" s="710"/>
      <c r="O180" s="710"/>
      <c r="P180" s="710"/>
    </row>
    <row r="181" spans="1:17" ht="31.5" customHeight="1" thickBot="1" x14ac:dyDescent="0.25">
      <c r="A181" s="705" t="s">
        <v>79</v>
      </c>
      <c r="B181" s="736">
        <f>+B176-B155-B157</f>
        <v>0</v>
      </c>
      <c r="C181" s="736">
        <f>+C176-C155-C157</f>
        <v>0</v>
      </c>
      <c r="D181" s="736">
        <f>+D176-D153-D156</f>
        <v>0</v>
      </c>
      <c r="E181" s="736">
        <f t="shared" ref="E181:P181" si="81">+E176-E153-E156</f>
        <v>1046</v>
      </c>
      <c r="F181" s="736">
        <f t="shared" si="81"/>
        <v>740.04199999999992</v>
      </c>
      <c r="G181" s="736">
        <f t="shared" si="81"/>
        <v>158.24399999999878</v>
      </c>
      <c r="H181" s="736">
        <f t="shared" si="81"/>
        <v>-179.8159999999998</v>
      </c>
      <c r="I181" s="736">
        <f t="shared" si="81"/>
        <v>-238.4340000000002</v>
      </c>
      <c r="J181" s="736">
        <f t="shared" si="81"/>
        <v>-256.0659999999998</v>
      </c>
      <c r="K181" s="736">
        <f t="shared" si="81"/>
        <v>-338.10410140000022</v>
      </c>
      <c r="L181" s="736">
        <f t="shared" si="81"/>
        <v>-377.8992429090008</v>
      </c>
      <c r="M181" s="736">
        <f t="shared" si="81"/>
        <v>-419.40781358754674</v>
      </c>
      <c r="N181" s="736">
        <f t="shared" si="81"/>
        <v>-462.69205581023976</v>
      </c>
      <c r="O181" s="736">
        <f t="shared" si="81"/>
        <v>-507.81639859842767</v>
      </c>
      <c r="P181" s="736">
        <f t="shared" si="81"/>
        <v>-554.84753582716257</v>
      </c>
    </row>
    <row r="182" spans="1:17" ht="4.5" customHeight="1" thickTop="1" x14ac:dyDescent="0.2">
      <c r="A182" s="705"/>
      <c r="B182" s="734"/>
      <c r="C182" s="734"/>
      <c r="D182" s="734"/>
      <c r="E182" s="734"/>
      <c r="F182" s="734"/>
      <c r="G182" s="734"/>
      <c r="H182" s="734"/>
      <c r="I182" s="734"/>
      <c r="J182" s="734"/>
      <c r="K182" s="734"/>
      <c r="L182" s="734"/>
      <c r="M182" s="734"/>
      <c r="N182" s="734"/>
      <c r="O182" s="734"/>
      <c r="P182" s="734"/>
    </row>
    <row r="183" spans="1:17" x14ac:dyDescent="0.2">
      <c r="A183" s="730" t="s">
        <v>76</v>
      </c>
      <c r="B183" s="732">
        <f t="shared" ref="B183:P183" si="82">B176</f>
        <v>0</v>
      </c>
      <c r="C183" s="732">
        <f t="shared" si="82"/>
        <v>0</v>
      </c>
      <c r="D183" s="732">
        <f t="shared" si="82"/>
        <v>0</v>
      </c>
      <c r="E183" s="732">
        <f t="shared" si="82"/>
        <v>2137</v>
      </c>
      <c r="F183" s="732">
        <f t="shared" si="82"/>
        <v>1750.0419999999999</v>
      </c>
      <c r="G183" s="732">
        <f t="shared" si="82"/>
        <v>8848.2439999999988</v>
      </c>
      <c r="H183" s="732">
        <f t="shared" si="82"/>
        <v>-129.8159999999998</v>
      </c>
      <c r="I183" s="732">
        <f t="shared" si="82"/>
        <v>-188.4340000000002</v>
      </c>
      <c r="J183" s="732">
        <f t="shared" si="82"/>
        <v>-206.0659999999998</v>
      </c>
      <c r="K183" s="732">
        <f t="shared" si="82"/>
        <v>-287.10410140000022</v>
      </c>
      <c r="L183" s="732">
        <f t="shared" si="82"/>
        <v>-325.87924290900082</v>
      </c>
      <c r="M183" s="732">
        <f t="shared" si="82"/>
        <v>-366.34741358754673</v>
      </c>
      <c r="N183" s="732">
        <f t="shared" si="82"/>
        <v>-408.57044781023978</v>
      </c>
      <c r="O183" s="732">
        <f t="shared" si="82"/>
        <v>-452.61235843842769</v>
      </c>
      <c r="P183" s="732">
        <f t="shared" si="82"/>
        <v>-498.53941486396252</v>
      </c>
    </row>
    <row r="184" spans="1:17" ht="9.75" customHeight="1" x14ac:dyDescent="0.2">
      <c r="A184" s="737" t="s">
        <v>1015</v>
      </c>
      <c r="B184" s="734"/>
      <c r="C184" s="734"/>
      <c r="D184" s="734"/>
      <c r="E184" s="734"/>
      <c r="F184" s="734"/>
      <c r="G184" s="734"/>
      <c r="H184" s="734"/>
      <c r="I184" s="734"/>
      <c r="J184" s="734"/>
      <c r="K184" s="734"/>
      <c r="L184" s="734"/>
      <c r="M184" s="734"/>
      <c r="N184" s="734"/>
      <c r="O184" s="734"/>
      <c r="P184" s="734"/>
    </row>
    <row r="185" spans="1:17" x14ac:dyDescent="0.2">
      <c r="A185" s="705" t="s">
        <v>1014</v>
      </c>
      <c r="B185" s="734"/>
      <c r="C185" s="734"/>
      <c r="D185" s="734">
        <f>D47</f>
        <v>-8350</v>
      </c>
      <c r="E185" s="734"/>
      <c r="F185" s="734"/>
      <c r="G185" s="734"/>
      <c r="H185" s="734"/>
      <c r="I185" s="734"/>
      <c r="J185" s="734"/>
      <c r="K185" s="734"/>
      <c r="L185" s="734"/>
      <c r="M185" s="734"/>
      <c r="N185" s="734"/>
      <c r="O185" s="734"/>
      <c r="P185" s="734"/>
    </row>
    <row r="186" spans="1:17" ht="1.5" customHeight="1" x14ac:dyDescent="0.2">
      <c r="A186" s="705"/>
      <c r="B186" s="734"/>
      <c r="C186" s="734"/>
      <c r="D186" s="734"/>
      <c r="E186" s="734"/>
      <c r="F186" s="734"/>
      <c r="G186" s="734"/>
      <c r="H186" s="734"/>
      <c r="I186" s="734"/>
      <c r="J186" s="734"/>
      <c r="K186" s="734"/>
      <c r="L186" s="734"/>
      <c r="M186" s="734"/>
      <c r="N186" s="734"/>
      <c r="O186" s="734"/>
      <c r="P186" s="734"/>
    </row>
    <row r="187" spans="1:17" ht="10.8" thickBot="1" x14ac:dyDescent="0.25">
      <c r="A187" s="705" t="s">
        <v>309</v>
      </c>
      <c r="B187" s="738">
        <f t="shared" ref="B187:P187" si="83">SUM(B183:B186)</f>
        <v>0</v>
      </c>
      <c r="C187" s="738">
        <f t="shared" si="83"/>
        <v>0</v>
      </c>
      <c r="D187" s="738">
        <f t="shared" si="83"/>
        <v>-8350</v>
      </c>
      <c r="E187" s="738">
        <f t="shared" si="83"/>
        <v>2137</v>
      </c>
      <c r="F187" s="738">
        <f t="shared" si="83"/>
        <v>1750.0419999999999</v>
      </c>
      <c r="G187" s="738">
        <f t="shared" si="83"/>
        <v>8848.2439999999988</v>
      </c>
      <c r="H187" s="738">
        <f t="shared" si="83"/>
        <v>-129.8159999999998</v>
      </c>
      <c r="I187" s="738">
        <f t="shared" si="83"/>
        <v>-188.4340000000002</v>
      </c>
      <c r="J187" s="738">
        <f t="shared" si="83"/>
        <v>-206.0659999999998</v>
      </c>
      <c r="K187" s="738">
        <f t="shared" si="83"/>
        <v>-287.10410140000022</v>
      </c>
      <c r="L187" s="738">
        <f t="shared" si="83"/>
        <v>-325.87924290900082</v>
      </c>
      <c r="M187" s="738">
        <f t="shared" si="83"/>
        <v>-366.34741358754673</v>
      </c>
      <c r="N187" s="738">
        <f t="shared" si="83"/>
        <v>-408.57044781023978</v>
      </c>
      <c r="O187" s="738">
        <f t="shared" si="83"/>
        <v>-452.61235843842769</v>
      </c>
      <c r="P187" s="738">
        <f t="shared" si="83"/>
        <v>-498.53941486396252</v>
      </c>
    </row>
    <row r="188" spans="1:17" ht="10.8" thickTop="1" x14ac:dyDescent="0.2">
      <c r="A188" s="616"/>
      <c r="B188" s="621"/>
      <c r="C188" s="621"/>
      <c r="D188" s="621"/>
      <c r="E188" s="621"/>
      <c r="F188" s="621"/>
      <c r="G188" s="621"/>
      <c r="H188" s="621"/>
      <c r="I188" s="621"/>
      <c r="J188" s="621"/>
      <c r="K188" s="621"/>
      <c r="L188" s="621"/>
      <c r="M188" s="621"/>
      <c r="N188" s="621"/>
      <c r="O188" s="621"/>
      <c r="P188" s="621"/>
    </row>
    <row r="189" spans="1:17" ht="11.25" hidden="1" outlineLevel="1" x14ac:dyDescent="0.2">
      <c r="A189" s="604" t="s">
        <v>1081</v>
      </c>
      <c r="B189" s="621"/>
      <c r="C189" s="621"/>
      <c r="D189" s="606">
        <f>D121</f>
        <v>0</v>
      </c>
      <c r="E189" s="606">
        <f t="shared" ref="E189:P189" si="84">E121</f>
        <v>0</v>
      </c>
      <c r="F189" s="606">
        <f t="shared" si="84"/>
        <v>16180</v>
      </c>
      <c r="G189" s="606">
        <f t="shared" si="84"/>
        <v>28540</v>
      </c>
      <c r="H189" s="606">
        <f t="shared" si="84"/>
        <v>3430</v>
      </c>
      <c r="I189" s="606">
        <f t="shared" si="84"/>
        <v>3430</v>
      </c>
      <c r="J189" s="606">
        <f t="shared" si="84"/>
        <v>2540</v>
      </c>
      <c r="K189" s="606">
        <f t="shared" si="84"/>
        <v>2590.8000000000002</v>
      </c>
      <c r="L189" s="606">
        <f t="shared" si="84"/>
        <v>2642.6160000000004</v>
      </c>
      <c r="M189" s="606">
        <f t="shared" si="84"/>
        <v>2695.4683200000004</v>
      </c>
      <c r="N189" s="606">
        <f t="shared" si="84"/>
        <v>2749.3776864000006</v>
      </c>
      <c r="O189" s="606">
        <f t="shared" si="84"/>
        <v>2804.3652401280006</v>
      </c>
      <c r="P189" s="606">
        <f t="shared" si="84"/>
        <v>2860.4525449305606</v>
      </c>
      <c r="Q189" s="599" t="s">
        <v>32</v>
      </c>
    </row>
    <row r="190" spans="1:17" ht="11.25" hidden="1" outlineLevel="1" x14ac:dyDescent="0.2">
      <c r="A190" s="604"/>
      <c r="B190" s="621"/>
      <c r="C190" s="621"/>
      <c r="D190" s="606">
        <f>D122</f>
        <v>0</v>
      </c>
      <c r="E190" s="606">
        <f t="shared" ref="E190:P190" si="85">E122</f>
        <v>0</v>
      </c>
      <c r="F190" s="606">
        <f t="shared" si="85"/>
        <v>0</v>
      </c>
      <c r="G190" s="606">
        <f t="shared" si="85"/>
        <v>0</v>
      </c>
      <c r="H190" s="606">
        <f t="shared" si="85"/>
        <v>0</v>
      </c>
      <c r="I190" s="606">
        <f t="shared" si="85"/>
        <v>0</v>
      </c>
      <c r="J190" s="606">
        <f t="shared" si="85"/>
        <v>0</v>
      </c>
      <c r="K190" s="606">
        <f t="shared" si="85"/>
        <v>0</v>
      </c>
      <c r="L190" s="606">
        <f t="shared" si="85"/>
        <v>0</v>
      </c>
      <c r="M190" s="606">
        <f t="shared" si="85"/>
        <v>0</v>
      </c>
      <c r="N190" s="606">
        <f t="shared" si="85"/>
        <v>0</v>
      </c>
      <c r="O190" s="606">
        <f t="shared" si="85"/>
        <v>0</v>
      </c>
      <c r="P190" s="606">
        <f t="shared" si="85"/>
        <v>0</v>
      </c>
    </row>
    <row r="191" spans="1:17" ht="11.25" hidden="1" outlineLevel="1" x14ac:dyDescent="0.2">
      <c r="A191" s="604" t="s">
        <v>1082</v>
      </c>
      <c r="B191" s="621"/>
      <c r="C191" s="621"/>
      <c r="D191" s="606">
        <f>D123</f>
        <v>0</v>
      </c>
      <c r="E191" s="606">
        <f t="shared" ref="E191:P191" si="86">E123</f>
        <v>0</v>
      </c>
      <c r="F191" s="606">
        <f t="shared" si="86"/>
        <v>0</v>
      </c>
      <c r="G191" s="606">
        <f t="shared" si="86"/>
        <v>0</v>
      </c>
      <c r="H191" s="606">
        <f t="shared" si="86"/>
        <v>0</v>
      </c>
      <c r="I191" s="606">
        <f t="shared" si="86"/>
        <v>0</v>
      </c>
      <c r="J191" s="606">
        <f t="shared" si="86"/>
        <v>0</v>
      </c>
      <c r="K191" s="606">
        <f t="shared" si="86"/>
        <v>0</v>
      </c>
      <c r="L191" s="606">
        <f t="shared" si="86"/>
        <v>0</v>
      </c>
      <c r="M191" s="606">
        <f t="shared" si="86"/>
        <v>0</v>
      </c>
      <c r="N191" s="606">
        <f t="shared" si="86"/>
        <v>0</v>
      </c>
      <c r="O191" s="606">
        <f t="shared" si="86"/>
        <v>0</v>
      </c>
      <c r="P191" s="606">
        <f t="shared" si="86"/>
        <v>0</v>
      </c>
    </row>
    <row r="192" spans="1:17" ht="11.25" hidden="1" outlineLevel="1" x14ac:dyDescent="0.2">
      <c r="A192" s="604" t="s">
        <v>1083</v>
      </c>
      <c r="B192" s="621"/>
      <c r="C192" s="621"/>
      <c r="D192" s="606">
        <f>D124</f>
        <v>0</v>
      </c>
      <c r="E192" s="606">
        <f t="shared" ref="E192:P192" si="87">E124</f>
        <v>0</v>
      </c>
      <c r="F192" s="606">
        <f t="shared" si="87"/>
        <v>421</v>
      </c>
      <c r="G192" s="606">
        <f t="shared" si="87"/>
        <v>82.426000000000002</v>
      </c>
      <c r="H192" s="606">
        <f t="shared" si="87"/>
        <v>85.358999999999995</v>
      </c>
      <c r="I192" s="606">
        <f t="shared" si="87"/>
        <v>87.948999999999998</v>
      </c>
      <c r="J192" s="606">
        <f t="shared" si="87"/>
        <v>90.617000000000004</v>
      </c>
      <c r="K192" s="606">
        <f t="shared" si="87"/>
        <v>92.42934000000001</v>
      </c>
      <c r="L192" s="606">
        <f t="shared" si="87"/>
        <v>94.277926800000017</v>
      </c>
      <c r="M192" s="606">
        <f t="shared" si="87"/>
        <v>96.163485336000022</v>
      </c>
      <c r="N192" s="606">
        <f t="shared" si="87"/>
        <v>98.086755042720029</v>
      </c>
      <c r="O192" s="606">
        <f t="shared" si="87"/>
        <v>100.04849014357443</v>
      </c>
      <c r="P192" s="606">
        <f t="shared" si="87"/>
        <v>102.04945994644592</v>
      </c>
    </row>
    <row r="193" spans="1:16" ht="11.25" hidden="1" outlineLevel="1" x14ac:dyDescent="0.2">
      <c r="A193" s="604" t="s">
        <v>1089</v>
      </c>
      <c r="B193" s="621"/>
      <c r="C193" s="621"/>
      <c r="D193" s="606">
        <f>D125</f>
        <v>0</v>
      </c>
      <c r="E193" s="606">
        <f t="shared" ref="E193:P193" si="88">E125</f>
        <v>0</v>
      </c>
      <c r="F193" s="606">
        <f t="shared" si="88"/>
        <v>50</v>
      </c>
      <c r="G193" s="606">
        <f t="shared" si="88"/>
        <v>50</v>
      </c>
      <c r="H193" s="606">
        <f t="shared" si="88"/>
        <v>50</v>
      </c>
      <c r="I193" s="606">
        <f t="shared" si="88"/>
        <v>50</v>
      </c>
      <c r="J193" s="606">
        <f t="shared" si="88"/>
        <v>50</v>
      </c>
      <c r="K193" s="606">
        <f t="shared" si="88"/>
        <v>51</v>
      </c>
      <c r="L193" s="606">
        <f t="shared" si="88"/>
        <v>52.02</v>
      </c>
      <c r="M193" s="606">
        <f t="shared" si="88"/>
        <v>53.060400000000001</v>
      </c>
      <c r="N193" s="606">
        <f t="shared" si="88"/>
        <v>54.121608000000002</v>
      </c>
      <c r="O193" s="606">
        <f t="shared" si="88"/>
        <v>55.204040160000005</v>
      </c>
      <c r="P193" s="606">
        <f t="shared" si="88"/>
        <v>56.308120963200004</v>
      </c>
    </row>
    <row r="194" spans="1:16" ht="11.25" hidden="1" outlineLevel="1" x14ac:dyDescent="0.2">
      <c r="A194" s="604"/>
      <c r="B194" s="621"/>
      <c r="C194" s="621"/>
      <c r="D194" s="771">
        <f>SUM(D189:D193)</f>
        <v>0</v>
      </c>
      <c r="E194" s="771">
        <f t="shared" ref="E194:P194" si="89">SUM(E189:E193)</f>
        <v>0</v>
      </c>
      <c r="F194" s="771">
        <f t="shared" si="89"/>
        <v>16651</v>
      </c>
      <c r="G194" s="771">
        <f t="shared" si="89"/>
        <v>28672.425999999999</v>
      </c>
      <c r="H194" s="771">
        <f t="shared" si="89"/>
        <v>3565.3589999999999</v>
      </c>
      <c r="I194" s="771">
        <f t="shared" si="89"/>
        <v>3567.9490000000001</v>
      </c>
      <c r="J194" s="771">
        <f t="shared" si="89"/>
        <v>2680.6170000000002</v>
      </c>
      <c r="K194" s="771">
        <f t="shared" si="89"/>
        <v>2734.2293400000003</v>
      </c>
      <c r="L194" s="771">
        <f t="shared" si="89"/>
        <v>2788.9139268000004</v>
      </c>
      <c r="M194" s="771">
        <f t="shared" si="89"/>
        <v>2844.6922053360004</v>
      </c>
      <c r="N194" s="771">
        <f t="shared" si="89"/>
        <v>2901.5860494427207</v>
      </c>
      <c r="O194" s="771">
        <f t="shared" si="89"/>
        <v>2959.6177704315751</v>
      </c>
      <c r="P194" s="771">
        <f t="shared" si="89"/>
        <v>3018.8101258402066</v>
      </c>
    </row>
    <row r="195" spans="1:16" s="608" customFormat="1" ht="11.25" hidden="1" outlineLevel="1" x14ac:dyDescent="0.2">
      <c r="A195" s="623" t="s">
        <v>1084</v>
      </c>
      <c r="B195" s="621"/>
      <c r="C195" s="621"/>
      <c r="D195" s="621"/>
      <c r="E195" s="621"/>
      <c r="F195" s="621"/>
      <c r="G195" s="621"/>
      <c r="H195" s="621"/>
      <c r="I195" s="621"/>
      <c r="J195" s="621"/>
      <c r="K195" s="621"/>
      <c r="L195" s="621"/>
      <c r="M195" s="621"/>
      <c r="N195" s="621"/>
      <c r="O195" s="621"/>
      <c r="P195" s="621"/>
    </row>
    <row r="196" spans="1:16" ht="11.25" hidden="1" outlineLevel="1" x14ac:dyDescent="0.2">
      <c r="A196" s="604" t="s">
        <v>931</v>
      </c>
      <c r="B196" s="621"/>
      <c r="C196" s="621"/>
      <c r="D196" s="606">
        <f t="shared" ref="D196:D203" si="90">D128</f>
        <v>0</v>
      </c>
      <c r="E196" s="606">
        <f t="shared" ref="E196:P196" si="91">E128</f>
        <v>0</v>
      </c>
      <c r="F196" s="606">
        <f t="shared" si="91"/>
        <v>740.04200000000003</v>
      </c>
      <c r="G196" s="606">
        <f t="shared" si="91"/>
        <v>158.244</v>
      </c>
      <c r="H196" s="606">
        <f t="shared" si="91"/>
        <v>-179.816</v>
      </c>
      <c r="I196" s="606">
        <f t="shared" si="91"/>
        <v>-238.434</v>
      </c>
      <c r="J196" s="606">
        <f t="shared" si="91"/>
        <v>-256.06599999999997</v>
      </c>
      <c r="K196" s="606">
        <f t="shared" si="91"/>
        <v>-287.10410140000022</v>
      </c>
      <c r="L196" s="606">
        <f t="shared" si="91"/>
        <v>-325.87924290900082</v>
      </c>
      <c r="M196" s="606">
        <f t="shared" si="91"/>
        <v>-366.34741358754673</v>
      </c>
      <c r="N196" s="606">
        <f t="shared" si="91"/>
        <v>-408.57044781023978</v>
      </c>
      <c r="O196" s="606">
        <f t="shared" si="91"/>
        <v>-452.61235843842769</v>
      </c>
      <c r="P196" s="606">
        <f t="shared" si="91"/>
        <v>-498.53941486396252</v>
      </c>
    </row>
    <row r="197" spans="1:16" ht="11.25" hidden="1" outlineLevel="1" x14ac:dyDescent="0.2">
      <c r="A197" s="604" t="s">
        <v>244</v>
      </c>
      <c r="B197" s="621"/>
      <c r="C197" s="621"/>
      <c r="D197" s="606">
        <f t="shared" si="90"/>
        <v>0</v>
      </c>
      <c r="E197" s="606">
        <f t="shared" ref="E197:P197" si="92">E129</f>
        <v>0</v>
      </c>
      <c r="F197" s="606">
        <f t="shared" si="92"/>
        <v>50</v>
      </c>
      <c r="G197" s="606">
        <f t="shared" si="92"/>
        <v>50</v>
      </c>
      <c r="H197" s="606">
        <f t="shared" si="92"/>
        <v>50</v>
      </c>
      <c r="I197" s="606">
        <f t="shared" si="92"/>
        <v>50</v>
      </c>
      <c r="J197" s="606">
        <f t="shared" si="92"/>
        <v>50</v>
      </c>
      <c r="K197" s="606">
        <f t="shared" si="92"/>
        <v>51</v>
      </c>
      <c r="L197" s="606">
        <f t="shared" si="92"/>
        <v>52.02</v>
      </c>
      <c r="M197" s="606">
        <f t="shared" si="92"/>
        <v>53.060400000000001</v>
      </c>
      <c r="N197" s="606">
        <f t="shared" si="92"/>
        <v>54.121608000000002</v>
      </c>
      <c r="O197" s="606">
        <f t="shared" si="92"/>
        <v>55.204040160000005</v>
      </c>
      <c r="P197" s="606">
        <f t="shared" si="92"/>
        <v>56.308120963200004</v>
      </c>
    </row>
    <row r="198" spans="1:16" ht="11.25" hidden="1" outlineLevel="1" x14ac:dyDescent="0.2">
      <c r="A198" s="604" t="s">
        <v>1085</v>
      </c>
      <c r="B198" s="621"/>
      <c r="C198" s="621"/>
      <c r="D198" s="606">
        <f t="shared" si="90"/>
        <v>0</v>
      </c>
      <c r="E198" s="606">
        <f t="shared" ref="E198:P198" si="93">E130</f>
        <v>0</v>
      </c>
      <c r="F198" s="606">
        <f t="shared" si="93"/>
        <v>960</v>
      </c>
      <c r="G198" s="606">
        <f t="shared" si="93"/>
        <v>8640</v>
      </c>
      <c r="H198" s="606">
        <f t="shared" si="93"/>
        <v>0</v>
      </c>
      <c r="I198" s="606">
        <f t="shared" si="93"/>
        <v>0</v>
      </c>
      <c r="J198" s="606">
        <f t="shared" si="93"/>
        <v>0</v>
      </c>
      <c r="K198" s="606">
        <f t="shared" si="93"/>
        <v>0</v>
      </c>
      <c r="L198" s="606">
        <f t="shared" si="93"/>
        <v>0</v>
      </c>
      <c r="M198" s="606">
        <f t="shared" si="93"/>
        <v>0</v>
      </c>
      <c r="N198" s="606">
        <f t="shared" si="93"/>
        <v>0</v>
      </c>
      <c r="O198" s="606">
        <f t="shared" si="93"/>
        <v>0</v>
      </c>
      <c r="P198" s="606">
        <f t="shared" si="93"/>
        <v>0</v>
      </c>
    </row>
    <row r="199" spans="1:16" ht="11.25" hidden="1" outlineLevel="1" x14ac:dyDescent="0.2">
      <c r="A199" s="604" t="s">
        <v>1086</v>
      </c>
      <c r="B199" s="621"/>
      <c r="C199" s="621"/>
      <c r="D199" s="606">
        <f t="shared" si="90"/>
        <v>0</v>
      </c>
      <c r="E199" s="606">
        <f t="shared" ref="E199:P199" si="94">E131</f>
        <v>0</v>
      </c>
      <c r="F199" s="606">
        <f t="shared" si="94"/>
        <v>0</v>
      </c>
      <c r="G199" s="606">
        <f t="shared" si="94"/>
        <v>0</v>
      </c>
      <c r="H199" s="606">
        <f t="shared" si="94"/>
        <v>0</v>
      </c>
      <c r="I199" s="606">
        <f t="shared" si="94"/>
        <v>0</v>
      </c>
      <c r="J199" s="606">
        <f t="shared" si="94"/>
        <v>0</v>
      </c>
      <c r="K199" s="606">
        <f t="shared" si="94"/>
        <v>0</v>
      </c>
      <c r="L199" s="606">
        <f t="shared" si="94"/>
        <v>0</v>
      </c>
      <c r="M199" s="606">
        <f t="shared" si="94"/>
        <v>0</v>
      </c>
      <c r="N199" s="606">
        <f t="shared" si="94"/>
        <v>0</v>
      </c>
      <c r="O199" s="606">
        <f t="shared" si="94"/>
        <v>0</v>
      </c>
      <c r="P199" s="606">
        <f t="shared" si="94"/>
        <v>0</v>
      </c>
    </row>
    <row r="200" spans="1:16" ht="11.25" hidden="1" outlineLevel="1" x14ac:dyDescent="0.2">
      <c r="A200" s="604" t="s">
        <v>33</v>
      </c>
      <c r="B200" s="621">
        <f>+B165</f>
        <v>0</v>
      </c>
      <c r="C200" s="621">
        <f>C165</f>
        <v>0</v>
      </c>
      <c r="D200" s="606">
        <f t="shared" si="90"/>
        <v>0</v>
      </c>
      <c r="E200" s="606">
        <f t="shared" ref="E200:P200" si="95">E132</f>
        <v>1210</v>
      </c>
      <c r="F200" s="606">
        <f t="shared" si="95"/>
        <v>1275.067</v>
      </c>
      <c r="G200" s="606">
        <f t="shared" si="95"/>
        <v>1268</v>
      </c>
      <c r="H200" s="606">
        <f t="shared" si="95"/>
        <v>1458.45</v>
      </c>
      <c r="I200" s="606">
        <f t="shared" si="95"/>
        <v>1479.9110000000001</v>
      </c>
      <c r="J200" s="606">
        <f t="shared" si="95"/>
        <v>1499.384</v>
      </c>
      <c r="K200" s="606">
        <f t="shared" si="95"/>
        <v>1536.8685999999998</v>
      </c>
      <c r="L200" s="606">
        <f t="shared" si="95"/>
        <v>1575.2903149999997</v>
      </c>
      <c r="M200" s="606">
        <f t="shared" si="95"/>
        <v>1614.6725728749996</v>
      </c>
      <c r="N200" s="606">
        <f t="shared" si="95"/>
        <v>1655.0393871968745</v>
      </c>
      <c r="O200" s="606">
        <f t="shared" si="95"/>
        <v>1696.4153718767961</v>
      </c>
      <c r="P200" s="606">
        <f t="shared" si="95"/>
        <v>1738.8257561737159</v>
      </c>
    </row>
    <row r="201" spans="1:16" ht="11.25" hidden="1" outlineLevel="1" x14ac:dyDescent="0.2">
      <c r="A201" s="604" t="s">
        <v>22</v>
      </c>
      <c r="B201" s="621"/>
      <c r="C201" s="621"/>
      <c r="D201" s="606">
        <f t="shared" si="90"/>
        <v>0</v>
      </c>
      <c r="E201" s="606">
        <f t="shared" ref="E201:P201" si="96">E133</f>
        <v>0</v>
      </c>
      <c r="F201" s="606">
        <f t="shared" si="96"/>
        <v>3869.8910000000001</v>
      </c>
      <c r="G201" s="606">
        <f t="shared" si="96"/>
        <v>1200</v>
      </c>
      <c r="H201" s="606">
        <f t="shared" si="96"/>
        <v>2236.7249999999999</v>
      </c>
      <c r="I201" s="606">
        <f t="shared" si="96"/>
        <v>2276.4720000000002</v>
      </c>
      <c r="J201" s="606">
        <f t="shared" si="96"/>
        <v>1387.239</v>
      </c>
      <c r="K201" s="606">
        <f t="shared" si="96"/>
        <v>1414.98378</v>
      </c>
      <c r="L201" s="606">
        <f t="shared" si="96"/>
        <v>1443.2834556</v>
      </c>
      <c r="M201" s="606">
        <f t="shared" si="96"/>
        <v>1472.149124712</v>
      </c>
      <c r="N201" s="606">
        <f t="shared" si="96"/>
        <v>1501.5921072062399</v>
      </c>
      <c r="O201" s="606">
        <f t="shared" si="96"/>
        <v>1531.6239493503647</v>
      </c>
      <c r="P201" s="606">
        <f t="shared" si="96"/>
        <v>1562.256428337372</v>
      </c>
    </row>
    <row r="202" spans="1:16" ht="11.25" hidden="1" outlineLevel="1" x14ac:dyDescent="0.2">
      <c r="A202" s="604" t="s">
        <v>1087</v>
      </c>
      <c r="B202" s="621"/>
      <c r="C202" s="621"/>
      <c r="D202" s="606">
        <f t="shared" si="90"/>
        <v>0</v>
      </c>
      <c r="E202" s="606">
        <f t="shared" ref="E202:P202" si="97">E134</f>
        <v>0</v>
      </c>
      <c r="F202" s="606">
        <f t="shared" si="97"/>
        <v>9756</v>
      </c>
      <c r="G202" s="606">
        <f t="shared" si="97"/>
        <v>17356.182000000001</v>
      </c>
      <c r="H202" s="606">
        <f t="shared" si="97"/>
        <v>0</v>
      </c>
      <c r="I202" s="606">
        <f t="shared" si="97"/>
        <v>0</v>
      </c>
      <c r="J202" s="606">
        <f t="shared" si="97"/>
        <v>0</v>
      </c>
      <c r="K202" s="606">
        <f t="shared" si="97"/>
        <v>0</v>
      </c>
      <c r="L202" s="606">
        <f t="shared" si="97"/>
        <v>0</v>
      </c>
      <c r="M202" s="606">
        <f t="shared" si="97"/>
        <v>0</v>
      </c>
      <c r="N202" s="606">
        <f t="shared" si="97"/>
        <v>0</v>
      </c>
      <c r="O202" s="606">
        <f t="shared" si="97"/>
        <v>0</v>
      </c>
      <c r="P202" s="606">
        <f t="shared" si="97"/>
        <v>0</v>
      </c>
    </row>
    <row r="203" spans="1:16" ht="11.25" hidden="1" outlineLevel="1" x14ac:dyDescent="0.2">
      <c r="A203" s="604" t="s">
        <v>1088</v>
      </c>
      <c r="B203" s="621"/>
      <c r="C203" s="621"/>
      <c r="D203" s="606">
        <f t="shared" si="90"/>
        <v>0</v>
      </c>
      <c r="E203" s="606">
        <f t="shared" ref="E203:P203" si="98">E135</f>
        <v>0</v>
      </c>
      <c r="F203" s="606">
        <f t="shared" si="98"/>
        <v>0</v>
      </c>
      <c r="G203" s="606">
        <f t="shared" si="98"/>
        <v>0</v>
      </c>
      <c r="H203" s="606">
        <f t="shared" si="98"/>
        <v>0</v>
      </c>
      <c r="I203" s="606">
        <f t="shared" si="98"/>
        <v>0</v>
      </c>
      <c r="J203" s="606">
        <f t="shared" si="98"/>
        <v>0</v>
      </c>
      <c r="K203" s="606">
        <f t="shared" si="98"/>
        <v>0</v>
      </c>
      <c r="L203" s="606">
        <f t="shared" si="98"/>
        <v>0</v>
      </c>
      <c r="M203" s="606">
        <f t="shared" si="98"/>
        <v>0</v>
      </c>
      <c r="N203" s="606">
        <f t="shared" si="98"/>
        <v>0</v>
      </c>
      <c r="O203" s="606">
        <f t="shared" si="98"/>
        <v>0</v>
      </c>
      <c r="P203" s="606">
        <f t="shared" si="98"/>
        <v>0</v>
      </c>
    </row>
    <row r="204" spans="1:16" ht="11.25" hidden="1" outlineLevel="1" x14ac:dyDescent="0.2">
      <c r="A204" s="604"/>
      <c r="B204" s="621"/>
      <c r="C204" s="621"/>
      <c r="D204" s="771">
        <f t="shared" ref="D204:P204" si="99">SUM(D196:D203)</f>
        <v>0</v>
      </c>
      <c r="E204" s="771">
        <f t="shared" si="99"/>
        <v>1210</v>
      </c>
      <c r="F204" s="771">
        <f t="shared" si="99"/>
        <v>16651</v>
      </c>
      <c r="G204" s="771">
        <f t="shared" si="99"/>
        <v>28672.425999999999</v>
      </c>
      <c r="H204" s="771">
        <f t="shared" si="99"/>
        <v>3565.3589999999999</v>
      </c>
      <c r="I204" s="771">
        <f t="shared" si="99"/>
        <v>3567.9490000000005</v>
      </c>
      <c r="J204" s="771">
        <f t="shared" si="99"/>
        <v>2680.5569999999998</v>
      </c>
      <c r="K204" s="771">
        <f t="shared" si="99"/>
        <v>2715.7482785999996</v>
      </c>
      <c r="L204" s="771">
        <f t="shared" si="99"/>
        <v>2744.7145276909987</v>
      </c>
      <c r="M204" s="771">
        <f t="shared" si="99"/>
        <v>2773.5346839994527</v>
      </c>
      <c r="N204" s="771">
        <f t="shared" si="99"/>
        <v>2802.1826545928743</v>
      </c>
      <c r="O204" s="771">
        <f t="shared" si="99"/>
        <v>2830.6310029487331</v>
      </c>
      <c r="P204" s="771">
        <f t="shared" si="99"/>
        <v>2858.8508906103252</v>
      </c>
    </row>
    <row r="205" spans="1:16" ht="11.25" hidden="1" outlineLevel="1" x14ac:dyDescent="0.2">
      <c r="A205" s="599"/>
      <c r="B205" s="621"/>
      <c r="C205" s="621"/>
      <c r="D205" s="622"/>
      <c r="E205" s="622"/>
      <c r="F205" s="622"/>
      <c r="G205" s="622"/>
      <c r="H205" s="622"/>
      <c r="I205" s="622"/>
      <c r="J205" s="624"/>
      <c r="K205" s="624"/>
      <c r="L205" s="624"/>
      <c r="M205" s="624"/>
      <c r="N205" s="624"/>
      <c r="O205" s="624"/>
      <c r="P205" s="624"/>
    </row>
    <row r="206" spans="1:16" ht="11.25" hidden="1" outlineLevel="1" x14ac:dyDescent="0.2">
      <c r="A206" s="604"/>
      <c r="B206" s="621"/>
      <c r="C206" s="621"/>
      <c r="D206" s="621"/>
      <c r="E206" s="621"/>
      <c r="F206" s="621"/>
      <c r="G206" s="621"/>
      <c r="H206" s="621"/>
      <c r="I206" s="621"/>
      <c r="J206" s="621"/>
      <c r="K206" s="621"/>
      <c r="L206" s="621"/>
      <c r="M206" s="621"/>
      <c r="N206" s="621"/>
      <c r="O206" s="621"/>
      <c r="P206" s="621"/>
    </row>
    <row r="207" spans="1:16" ht="11.25" hidden="1" outlineLevel="1" x14ac:dyDescent="0.2">
      <c r="A207" s="604" t="s">
        <v>34</v>
      </c>
      <c r="B207" s="621">
        <f>+B176+SUM(B189:B206)</f>
        <v>0</v>
      </c>
      <c r="C207" s="621">
        <f>+C176+SUM(C189:C206)</f>
        <v>0</v>
      </c>
      <c r="D207" s="625">
        <f>D204-D194</f>
        <v>0</v>
      </c>
      <c r="E207" s="625">
        <f t="shared" ref="E207:P207" si="100">E204-E194</f>
        <v>1210</v>
      </c>
      <c r="F207" s="625">
        <f t="shared" si="100"/>
        <v>0</v>
      </c>
      <c r="G207" s="625">
        <f t="shared" si="100"/>
        <v>0</v>
      </c>
      <c r="H207" s="625">
        <f t="shared" si="100"/>
        <v>0</v>
      </c>
      <c r="I207" s="625">
        <f t="shared" si="100"/>
        <v>0</v>
      </c>
      <c r="J207" s="625">
        <f t="shared" si="100"/>
        <v>-6.0000000000400178E-2</v>
      </c>
      <c r="K207" s="625">
        <f t="shared" si="100"/>
        <v>-18.481061400000726</v>
      </c>
      <c r="L207" s="625">
        <f t="shared" si="100"/>
        <v>-44.199399109001661</v>
      </c>
      <c r="M207" s="625">
        <f t="shared" si="100"/>
        <v>-71.157521336547688</v>
      </c>
      <c r="N207" s="625">
        <f t="shared" si="100"/>
        <v>-99.403394849846336</v>
      </c>
      <c r="O207" s="625">
        <f t="shared" si="100"/>
        <v>-128.98676748284197</v>
      </c>
      <c r="P207" s="625">
        <f t="shared" si="100"/>
        <v>-159.95923522988141</v>
      </c>
    </row>
    <row r="208" spans="1:16" ht="11.25" hidden="1" outlineLevel="1" x14ac:dyDescent="0.2">
      <c r="A208" s="600" t="s">
        <v>451</v>
      </c>
      <c r="C208" s="606">
        <f>B209</f>
        <v>0</v>
      </c>
      <c r="D208" s="606">
        <f t="shared" ref="D208:E208" si="101">C209</f>
        <v>0</v>
      </c>
      <c r="E208" s="606">
        <f t="shared" si="101"/>
        <v>0</v>
      </c>
      <c r="F208" s="606">
        <v>0</v>
      </c>
      <c r="G208" s="606">
        <f t="shared" ref="G208:P208" si="102">F209</f>
        <v>0</v>
      </c>
      <c r="H208" s="606">
        <f t="shared" si="102"/>
        <v>0</v>
      </c>
      <c r="I208" s="606">
        <f t="shared" si="102"/>
        <v>0</v>
      </c>
      <c r="J208" s="606">
        <f t="shared" si="102"/>
        <v>0</v>
      </c>
      <c r="K208" s="606">
        <f t="shared" si="102"/>
        <v>-6.0000000000400178E-2</v>
      </c>
      <c r="L208" s="606">
        <f t="shared" si="102"/>
        <v>-18.541061400001126</v>
      </c>
      <c r="M208" s="606">
        <f t="shared" si="102"/>
        <v>-62.740460509002787</v>
      </c>
      <c r="N208" s="606">
        <f t="shared" si="102"/>
        <v>-133.89798184555048</v>
      </c>
      <c r="O208" s="606">
        <f t="shared" si="102"/>
        <v>-233.30137669539681</v>
      </c>
      <c r="P208" s="606">
        <f t="shared" si="102"/>
        <v>-362.28814417823878</v>
      </c>
    </row>
    <row r="209" spans="1:16" ht="11.25" hidden="1" outlineLevel="1" x14ac:dyDescent="0.2">
      <c r="A209" s="620" t="s">
        <v>452</v>
      </c>
      <c r="B209" s="626"/>
      <c r="C209" s="627">
        <f>SUM(C207:C208)</f>
        <v>0</v>
      </c>
      <c r="D209" s="627">
        <f t="shared" ref="D209:P209" si="103">SUM(D207:D208)</f>
        <v>0</v>
      </c>
      <c r="E209" s="627">
        <f t="shared" si="103"/>
        <v>1210</v>
      </c>
      <c r="F209" s="627">
        <f t="shared" si="103"/>
        <v>0</v>
      </c>
      <c r="G209" s="627">
        <f t="shared" si="103"/>
        <v>0</v>
      </c>
      <c r="H209" s="627">
        <f t="shared" si="103"/>
        <v>0</v>
      </c>
      <c r="I209" s="627">
        <f t="shared" si="103"/>
        <v>0</v>
      </c>
      <c r="J209" s="627">
        <f t="shared" si="103"/>
        <v>-6.0000000000400178E-2</v>
      </c>
      <c r="K209" s="627">
        <f t="shared" si="103"/>
        <v>-18.541061400001126</v>
      </c>
      <c r="L209" s="627">
        <f t="shared" si="103"/>
        <v>-62.740460509002787</v>
      </c>
      <c r="M209" s="627">
        <f t="shared" si="103"/>
        <v>-133.89798184555048</v>
      </c>
      <c r="N209" s="627">
        <f t="shared" si="103"/>
        <v>-233.30137669539681</v>
      </c>
      <c r="O209" s="627">
        <f t="shared" si="103"/>
        <v>-362.28814417823878</v>
      </c>
      <c r="P209" s="627">
        <f t="shared" si="103"/>
        <v>-522.2473794081202</v>
      </c>
    </row>
    <row r="210" spans="1:16" collapsed="1" x14ac:dyDescent="0.2"/>
  </sheetData>
  <pageMargins left="0.74803149606299213" right="0.74803149606299213" top="0.6692913385826772" bottom="0.6692913385826772" header="0.51181102362204722" footer="0.51181102362204722"/>
  <pageSetup paperSize="9" scale="89" fitToHeight="0" orientation="landscape" r:id="rId1"/>
  <headerFooter alignWithMargins="0"/>
  <rowBreaks count="2" manualBreakCount="2">
    <brk id="71" max="16383" man="1"/>
    <brk id="142" max="16383" man="1"/>
  </rowBreaks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1:R159"/>
  <sheetViews>
    <sheetView zoomScaleNormal="100" workbookViewId="0">
      <pane xSplit="3" ySplit="3" topLeftCell="D37" activePane="bottomRight" state="frozen"/>
      <selection pane="topRight" activeCell="D1" sqref="D1"/>
      <selection pane="bottomLeft" activeCell="A3" sqref="A3"/>
      <selection pane="bottomRight" activeCell="A14" sqref="A14"/>
    </sheetView>
  </sheetViews>
  <sheetFormatPr defaultColWidth="9.109375" defaultRowHeight="12" outlineLevelRow="2" outlineLevelCol="1" x14ac:dyDescent="0.25"/>
  <cols>
    <col min="1" max="1" width="38.88671875" style="639" customWidth="1"/>
    <col min="2" max="2" width="16.44140625" style="639" hidden="1" customWidth="1" outlineLevel="1"/>
    <col min="3" max="3" width="12.109375" style="639" hidden="1" customWidth="1" outlineLevel="1"/>
    <col min="4" max="4" width="13.109375" style="639" hidden="1" customWidth="1" outlineLevel="1" collapsed="1"/>
    <col min="5" max="5" width="10.33203125" style="639" hidden="1" customWidth="1" outlineLevel="1"/>
    <col min="6" max="6" width="9.88671875" style="639" bestFit="1" customWidth="1" collapsed="1"/>
    <col min="7" max="16" width="9.88671875" style="639" bestFit="1" customWidth="1"/>
    <col min="17" max="16384" width="9.109375" style="639"/>
  </cols>
  <sheetData>
    <row r="1" spans="1:16" ht="12.75" x14ac:dyDescent="0.2">
      <c r="A1" s="1091" t="s">
        <v>1362</v>
      </c>
    </row>
    <row r="2" spans="1:16" s="637" customFormat="1" x14ac:dyDescent="0.2">
      <c r="A2" s="585" t="s">
        <v>1110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16" x14ac:dyDescent="0.2">
      <c r="A3" s="585" t="s">
        <v>73</v>
      </c>
      <c r="B3" s="638" t="s">
        <v>68</v>
      </c>
      <c r="C3" s="586" t="s">
        <v>0</v>
      </c>
      <c r="D3" s="586" t="s">
        <v>1</v>
      </c>
      <c r="E3" s="586" t="s">
        <v>2</v>
      </c>
      <c r="F3" s="586" t="s">
        <v>3</v>
      </c>
      <c r="G3" s="586" t="s">
        <v>4</v>
      </c>
      <c r="H3" s="586" t="s">
        <v>5</v>
      </c>
      <c r="I3" s="586" t="s">
        <v>6</v>
      </c>
      <c r="J3" s="586" t="s">
        <v>7</v>
      </c>
      <c r="K3" s="586" t="s">
        <v>8</v>
      </c>
      <c r="L3" s="586" t="s">
        <v>9</v>
      </c>
      <c r="M3" s="586" t="s">
        <v>514</v>
      </c>
      <c r="N3" s="586" t="s">
        <v>515</v>
      </c>
      <c r="O3" s="586" t="s">
        <v>904</v>
      </c>
      <c r="P3" s="586" t="s">
        <v>1046</v>
      </c>
    </row>
    <row r="5" spans="1:16" x14ac:dyDescent="0.2">
      <c r="A5" s="592" t="s">
        <v>82</v>
      </c>
    </row>
    <row r="6" spans="1:16" x14ac:dyDescent="0.2">
      <c r="A6" s="640" t="s">
        <v>83</v>
      </c>
      <c r="B6" s="590"/>
      <c r="C6" s="590"/>
      <c r="D6" s="590" t="s">
        <v>516</v>
      </c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</row>
    <row r="7" spans="1:16" x14ac:dyDescent="0.2">
      <c r="A7" s="639" t="s">
        <v>11</v>
      </c>
      <c r="B7" s="594"/>
      <c r="C7" s="594"/>
      <c r="D7" s="594">
        <v>18724</v>
      </c>
      <c r="E7" s="590"/>
      <c r="F7" s="594">
        <f>'Sewer  Fund  Inc Exp Statem'!F11</f>
        <v>4001.5</v>
      </c>
      <c r="G7" s="594">
        <f>'Sewer  Fund  Inc Exp Statem'!G11</f>
        <v>3866</v>
      </c>
      <c r="H7" s="594">
        <f>'Sewer  Fund  Inc Exp Statem'!H11</f>
        <v>4129.43</v>
      </c>
      <c r="I7" s="594">
        <f>'Sewer  Fund  Inc Exp Statem'!I11</f>
        <v>4236.2120000000004</v>
      </c>
      <c r="J7" s="594">
        <f>'Sewer  Fund  Inc Exp Statem'!J11</f>
        <v>4349.6570000000002</v>
      </c>
      <c r="K7" s="594">
        <f>'Sewer  Fund  Inc Exp Statem'!K11</f>
        <v>4458.3984249999994</v>
      </c>
      <c r="L7" s="594">
        <f>'Sewer  Fund  Inc Exp Statem'!L11</f>
        <v>4569.8583856249988</v>
      </c>
      <c r="M7" s="594">
        <f>'Sewer  Fund  Inc Exp Statem'!M11</f>
        <v>4684.1048452656232</v>
      </c>
      <c r="N7" s="594">
        <f>'Sewer  Fund  Inc Exp Statem'!N11</f>
        <v>4801.2074663972635</v>
      </c>
      <c r="O7" s="594">
        <f>'Sewer  Fund  Inc Exp Statem'!O11</f>
        <v>4921.2376530571946</v>
      </c>
      <c r="P7" s="594">
        <f>'Sewer  Fund  Inc Exp Statem'!P11</f>
        <v>5044.2685943836241</v>
      </c>
    </row>
    <row r="8" spans="1:16" x14ac:dyDescent="0.2">
      <c r="A8" s="639" t="s">
        <v>12</v>
      </c>
      <c r="B8" s="594"/>
      <c r="C8" s="594"/>
      <c r="D8" s="594">
        <v>11585</v>
      </c>
      <c r="E8" s="590"/>
      <c r="F8" s="594">
        <f>'Sewer  Fund  Inc Exp Statem'!F12</f>
        <v>322.7</v>
      </c>
      <c r="G8" s="594">
        <f>'Sewer  Fund  Inc Exp Statem'!G12</f>
        <v>364.5</v>
      </c>
      <c r="H8" s="594">
        <f>'Sewer  Fund  Inc Exp Statem'!H12</f>
        <v>375.29</v>
      </c>
      <c r="I8" s="594">
        <f>'Sewer  Fund  Inc Exp Statem'!I12</f>
        <v>386.4</v>
      </c>
      <c r="J8" s="594">
        <f>'Sewer  Fund  Inc Exp Statem'!J12</f>
        <v>397.839</v>
      </c>
      <c r="K8" s="594">
        <f>'Sewer  Fund  Inc Exp Statem'!K12</f>
        <v>405.79577999999998</v>
      </c>
      <c r="L8" s="594">
        <f>'Sewer  Fund  Inc Exp Statem'!L12</f>
        <v>413.91169559999997</v>
      </c>
      <c r="M8" s="594">
        <f>'Sewer  Fund  Inc Exp Statem'!M12</f>
        <v>422.18992951199999</v>
      </c>
      <c r="N8" s="594">
        <f>'Sewer  Fund  Inc Exp Statem'!N12</f>
        <v>430.63372810224001</v>
      </c>
      <c r="O8" s="594">
        <f>'Sewer  Fund  Inc Exp Statem'!O12</f>
        <v>439.2464026642848</v>
      </c>
      <c r="P8" s="594">
        <f>'Sewer  Fund  Inc Exp Statem'!P12</f>
        <v>448.03133071757048</v>
      </c>
    </row>
    <row r="9" spans="1:16" x14ac:dyDescent="0.2">
      <c r="A9" s="639" t="s">
        <v>84</v>
      </c>
      <c r="B9" s="594"/>
      <c r="C9" s="594"/>
      <c r="D9" s="594">
        <v>2499</v>
      </c>
      <c r="E9" s="590"/>
      <c r="F9" s="594">
        <f>'Sewer  Fund  Inc Exp Statem'!F13</f>
        <v>455</v>
      </c>
      <c r="G9" s="594">
        <f>'Sewer  Fund  Inc Exp Statem'!G13</f>
        <v>405</v>
      </c>
      <c r="H9" s="594">
        <f>'Sewer  Fund  Inc Exp Statem'!H13</f>
        <v>290.75</v>
      </c>
      <c r="I9" s="594">
        <f>'Sewer  Fund  Inc Exp Statem'!I13</f>
        <v>216.52199999999999</v>
      </c>
      <c r="J9" s="594">
        <f>'Sewer  Fund  Inc Exp Statem'!J13</f>
        <v>177.31800000000001</v>
      </c>
      <c r="K9" s="594">
        <f>'Sewer  Fund  Inc Exp Statem'!K13</f>
        <v>61.38452000000003</v>
      </c>
      <c r="L9" s="594">
        <f>'Sewer  Fund  Inc Exp Statem'!L13</f>
        <v>4.0459263440000361</v>
      </c>
      <c r="M9" s="594">
        <f>'Sewer  Fund  Inc Exp Statem'!M13</f>
        <v>-55.453387844360059</v>
      </c>
      <c r="N9" s="594">
        <f>'Sewer  Fund  Inc Exp Statem'!N13</f>
        <v>-117.18565368630192</v>
      </c>
      <c r="O9" s="594">
        <f>'Sewer  Fund  Inc Exp Statem'!O13</f>
        <v>-181.22547376854538</v>
      </c>
      <c r="P9" s="594">
        <f>'Sewer  Fund  Inc Exp Statem'!P13</f>
        <v>-247.64990244187368</v>
      </c>
    </row>
    <row r="10" spans="1:16" x14ac:dyDescent="0.2">
      <c r="A10" s="639" t="s">
        <v>85</v>
      </c>
      <c r="B10" s="594"/>
      <c r="C10" s="594"/>
      <c r="D10" s="594">
        <v>26703</v>
      </c>
      <c r="E10" s="590"/>
      <c r="F10" s="594">
        <f>'Sewer  Fund  Inc Exp Statem'!F15+'Sewer  Fund  Inc Exp Statem'!F16</f>
        <v>1048.5</v>
      </c>
      <c r="G10" s="594">
        <f>'Sewer  Fund  Inc Exp Statem'!G15+'Sewer  Fund  Inc Exp Statem'!G16</f>
        <v>8724.5</v>
      </c>
      <c r="H10" s="594">
        <f>'Sewer  Fund  Inc Exp Statem'!H15+'Sewer  Fund  Inc Exp Statem'!H16</f>
        <v>85.19</v>
      </c>
      <c r="I10" s="594">
        <f>'Sewer  Fund  Inc Exp Statem'!I15+'Sewer  Fund  Inc Exp Statem'!I16</f>
        <v>85.893000000000001</v>
      </c>
      <c r="J10" s="594">
        <f>'Sewer  Fund  Inc Exp Statem'!J15+'Sewer  Fund  Inc Exp Statem'!J16</f>
        <v>86.61099999999999</v>
      </c>
      <c r="K10" s="594">
        <f>'Sewer  Fund  Inc Exp Statem'!K15+'Sewer  Fund  Inc Exp Statem'!K16</f>
        <v>88.526274999999998</v>
      </c>
      <c r="L10" s="594">
        <f>'Sewer  Fund  Inc Exp Statem'!L15+'Sewer  Fund  Inc Exp Statem'!L16</f>
        <v>90.484431874999984</v>
      </c>
      <c r="M10" s="594">
        <f>'Sewer  Fund  Inc Exp Statem'!M15+'Sewer  Fund  Inc Exp Statem'!M16</f>
        <v>92.486442671874983</v>
      </c>
      <c r="N10" s="594">
        <f>'Sewer  Fund  Inc Exp Statem'!N15+'Sewer  Fund  Inc Exp Statem'!N16</f>
        <v>94.533301738671852</v>
      </c>
      <c r="O10" s="594">
        <f>'Sewer  Fund  Inc Exp Statem'!O15+'Sewer  Fund  Inc Exp Statem'!O16</f>
        <v>96.62602624213865</v>
      </c>
      <c r="P10" s="594">
        <f>'Sewer  Fund  Inc Exp Statem'!P15+'Sewer  Fund  Inc Exp Statem'!P16</f>
        <v>98.765656697392103</v>
      </c>
    </row>
    <row r="11" spans="1:16" hidden="1" outlineLevel="1" x14ac:dyDescent="0.2">
      <c r="A11" s="639" t="s">
        <v>86</v>
      </c>
      <c r="B11" s="594"/>
      <c r="C11" s="594"/>
      <c r="D11" s="594">
        <v>97</v>
      </c>
      <c r="E11" s="590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</row>
    <row r="12" spans="1:16" collapsed="1" x14ac:dyDescent="0.2">
      <c r="A12" s="639" t="s">
        <v>41</v>
      </c>
      <c r="B12" s="594"/>
      <c r="C12" s="594"/>
      <c r="D12" s="594">
        <v>5309</v>
      </c>
      <c r="E12" s="590"/>
      <c r="F12" s="594">
        <f>'Sewer  Fund  Inc Exp Statem'!F14+'Sewer  Fund  Inc Exp Statem'!F17</f>
        <v>0</v>
      </c>
      <c r="G12" s="594">
        <f>'Sewer  Fund  Inc Exp Statem'!G14+'Sewer  Fund  Inc Exp Statem'!G17</f>
        <v>0</v>
      </c>
      <c r="H12" s="594">
        <f>'Sewer  Fund  Inc Exp Statem'!H14+'Sewer  Fund  Inc Exp Statem'!H17</f>
        <v>0</v>
      </c>
      <c r="I12" s="594">
        <f>'Sewer  Fund  Inc Exp Statem'!I14+'Sewer  Fund  Inc Exp Statem'!I17</f>
        <v>0</v>
      </c>
      <c r="J12" s="594">
        <f>'Sewer  Fund  Inc Exp Statem'!J14+'Sewer  Fund  Inc Exp Statem'!J17</f>
        <v>0</v>
      </c>
      <c r="K12" s="594">
        <f>'Sewer  Fund  Inc Exp Statem'!K14+'Sewer  Fund  Inc Exp Statem'!K17</f>
        <v>0</v>
      </c>
      <c r="L12" s="594">
        <f>'Sewer  Fund  Inc Exp Statem'!L14+'Sewer  Fund  Inc Exp Statem'!L17</f>
        <v>0</v>
      </c>
      <c r="M12" s="594">
        <f>'Sewer  Fund  Inc Exp Statem'!M14+'Sewer  Fund  Inc Exp Statem'!M17</f>
        <v>0</v>
      </c>
      <c r="N12" s="594">
        <f>'Sewer  Fund  Inc Exp Statem'!N14+'Sewer  Fund  Inc Exp Statem'!N17</f>
        <v>0</v>
      </c>
      <c r="O12" s="594">
        <f>'Sewer  Fund  Inc Exp Statem'!O14+'Sewer  Fund  Inc Exp Statem'!O17</f>
        <v>0</v>
      </c>
      <c r="P12" s="594">
        <f>'Sewer  Fund  Inc Exp Statem'!P14+'Sewer  Fund  Inc Exp Statem'!P17</f>
        <v>0</v>
      </c>
    </row>
    <row r="13" spans="1:16" ht="6" customHeight="1" x14ac:dyDescent="0.2">
      <c r="B13" s="594"/>
      <c r="C13" s="594"/>
      <c r="D13" s="594"/>
      <c r="E13" s="590"/>
      <c r="F13" s="594"/>
      <c r="G13" s="594"/>
      <c r="H13" s="594"/>
      <c r="I13" s="594"/>
      <c r="J13" s="594"/>
      <c r="K13" s="594"/>
      <c r="L13" s="594"/>
      <c r="M13" s="594"/>
      <c r="N13" s="594"/>
      <c r="O13" s="594"/>
      <c r="P13" s="594"/>
    </row>
    <row r="14" spans="1:16" x14ac:dyDescent="0.2">
      <c r="A14" s="640" t="s">
        <v>87</v>
      </c>
      <c r="B14" s="594"/>
      <c r="C14" s="594"/>
      <c r="D14" s="594"/>
      <c r="E14" s="590"/>
      <c r="F14" s="594"/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">
      <c r="A15" s="639" t="s">
        <v>25</v>
      </c>
      <c r="B15" s="594"/>
      <c r="C15" s="594"/>
      <c r="D15" s="594">
        <v>-12900</v>
      </c>
      <c r="E15" s="590"/>
      <c r="F15" s="594">
        <f>-'Sewer  Fund  Inc Exp Statem'!F23</f>
        <v>-804.93100000000004</v>
      </c>
      <c r="G15" s="594">
        <f>-'Sewer  Fund  Inc Exp Statem'!G23</f>
        <v>-797.73099999999999</v>
      </c>
      <c r="H15" s="594">
        <f>-'Sewer  Fund  Inc Exp Statem'!H23</f>
        <v>-825.32899999999995</v>
      </c>
      <c r="I15" s="594">
        <f>-'Sewer  Fund  Inc Exp Statem'!I23</f>
        <v>-854.68700000000001</v>
      </c>
      <c r="J15" s="594">
        <f>-'Sewer  Fund  Inc Exp Statem'!J23</f>
        <v>-885.20299999999997</v>
      </c>
      <c r="K15" s="594">
        <f>-'Sewer  Fund  Inc Exp Statem'!K23</f>
        <v>-911.75909000000001</v>
      </c>
      <c r="L15" s="594">
        <f>-'Sewer  Fund  Inc Exp Statem'!L23</f>
        <v>-939.11186270000007</v>
      </c>
      <c r="M15" s="594">
        <f>-'Sewer  Fund  Inc Exp Statem'!M23</f>
        <v>-967.28521858100009</v>
      </c>
      <c r="N15" s="594">
        <f>-'Sewer  Fund  Inc Exp Statem'!N23</f>
        <v>-996.30377513843007</v>
      </c>
      <c r="O15" s="594">
        <f>-'Sewer  Fund  Inc Exp Statem'!O23</f>
        <v>-1026.192888392583</v>
      </c>
      <c r="P15" s="594">
        <f>-'Sewer  Fund  Inc Exp Statem'!P23</f>
        <v>-1056.9786750443604</v>
      </c>
    </row>
    <row r="16" spans="1:16" x14ac:dyDescent="0.2">
      <c r="A16" s="639" t="s">
        <v>27</v>
      </c>
      <c r="B16" s="594"/>
      <c r="C16" s="594"/>
      <c r="D16" s="594">
        <v>-9702</v>
      </c>
      <c r="E16" s="590"/>
      <c r="F16" s="594">
        <f>-'Sewer  Fund  Inc Exp Statem'!F25-'Sewer  Fund  Inc Exp Statem'!F26</f>
        <v>-1731.5</v>
      </c>
      <c r="G16" s="594">
        <f>-'Sewer  Fund  Inc Exp Statem'!G25-'Sewer  Fund  Inc Exp Statem'!G26</f>
        <v>-1731.9749999999999</v>
      </c>
      <c r="H16" s="594">
        <f>-'Sewer  Fund  Inc Exp Statem'!H25-'Sewer  Fund  Inc Exp Statem'!H26</f>
        <v>-1680.0260000000001</v>
      </c>
      <c r="I16" s="594">
        <f>-'Sewer  Fund  Inc Exp Statem'!I25-'Sewer  Fund  Inc Exp Statem'!I26</f>
        <v>-1730.029</v>
      </c>
      <c r="J16" s="594">
        <f>-'Sewer  Fund  Inc Exp Statem'!J25-'Sewer  Fund  Inc Exp Statem'!J26</f>
        <v>-1782.079</v>
      </c>
      <c r="K16" s="594">
        <f>-'Sewer  Fund  Inc Exp Statem'!K25-'Sewer  Fund  Inc Exp Statem'!K26</f>
        <v>-1800.59538</v>
      </c>
      <c r="L16" s="594">
        <f>-'Sewer  Fund  Inc Exp Statem'!L25-'Sewer  Fund  Inc Exp Statem'!L26</f>
        <v>-1836.6072876000001</v>
      </c>
      <c r="M16" s="594">
        <f>-'Sewer  Fund  Inc Exp Statem'!M25-'Sewer  Fund  Inc Exp Statem'!M26</f>
        <v>-1873.339433352</v>
      </c>
      <c r="N16" s="594">
        <f>-'Sewer  Fund  Inc Exp Statem'!N25-'Sewer  Fund  Inc Exp Statem'!N26</f>
        <v>-1910.8062220190402</v>
      </c>
      <c r="O16" s="594">
        <f>-'Sewer  Fund  Inc Exp Statem'!O25-'Sewer  Fund  Inc Exp Statem'!O26</f>
        <v>-1949.022346459421</v>
      </c>
      <c r="P16" s="594">
        <f>-'Sewer  Fund  Inc Exp Statem'!P25-'Sewer  Fund  Inc Exp Statem'!P26</f>
        <v>-1988.0027933886095</v>
      </c>
    </row>
    <row r="17" spans="1:18" x14ac:dyDescent="0.2">
      <c r="A17" s="639" t="s">
        <v>926</v>
      </c>
      <c r="B17" s="594"/>
      <c r="C17" s="594"/>
      <c r="D17" s="594">
        <v>-639</v>
      </c>
      <c r="E17" s="590"/>
      <c r="F17" s="594">
        <f>-'Sewer  Fund  Inc Exp Statem'!F24</f>
        <v>-54.21</v>
      </c>
      <c r="G17" s="594">
        <f>-'Sewer  Fund  Inc Exp Statem'!G24</f>
        <v>-485</v>
      </c>
      <c r="H17" s="594">
        <f>-'Sewer  Fund  Inc Exp Statem'!H24</f>
        <v>-813.04</v>
      </c>
      <c r="I17" s="594">
        <f>-'Sewer  Fund  Inc Exp Statem'!I24</f>
        <v>-810.45</v>
      </c>
      <c r="J17" s="594">
        <f>-'Sewer  Fund  Inc Exp Statem'!J24</f>
        <v>-807.78200000000004</v>
      </c>
      <c r="K17" s="594">
        <f>-'Sewer  Fund  Inc Exp Statem'!K24</f>
        <v>-804.08482640000011</v>
      </c>
      <c r="L17" s="594">
        <f>-'Sewer  Fund  Inc Exp Statem'!L24</f>
        <v>-800.31370932800007</v>
      </c>
      <c r="M17" s="594">
        <f>-'Sewer  Fund  Inc Exp Statem'!M24</f>
        <v>-796.46716991456003</v>
      </c>
      <c r="N17" s="594">
        <f>-'Sewer  Fund  Inc Exp Statem'!N24</f>
        <v>-792.54369971285121</v>
      </c>
      <c r="O17" s="594">
        <f>-'Sewer  Fund  Inc Exp Statem'!O24</f>
        <v>-788.5417601071083</v>
      </c>
      <c r="P17" s="594">
        <f>-'Sewer  Fund  Inc Exp Statem'!P24</f>
        <v>-784.45978170925036</v>
      </c>
    </row>
    <row r="18" spans="1:18" hidden="1" outlineLevel="1" x14ac:dyDescent="0.2">
      <c r="A18" s="639" t="s">
        <v>88</v>
      </c>
      <c r="B18" s="594"/>
      <c r="C18" s="594"/>
      <c r="D18" s="594">
        <v>-79</v>
      </c>
      <c r="E18" s="590"/>
      <c r="F18" s="594">
        <f>0</f>
        <v>0</v>
      </c>
      <c r="G18" s="594">
        <f>0</f>
        <v>0</v>
      </c>
      <c r="H18" s="594">
        <f>0</f>
        <v>0</v>
      </c>
      <c r="I18" s="594">
        <f>0</f>
        <v>0</v>
      </c>
      <c r="J18" s="594">
        <f>0</f>
        <v>0</v>
      </c>
      <c r="K18" s="594">
        <f>0</f>
        <v>0</v>
      </c>
      <c r="L18" s="594">
        <f>0</f>
        <v>0</v>
      </c>
      <c r="M18" s="594">
        <f>0</f>
        <v>0</v>
      </c>
      <c r="N18" s="594">
        <f>0</f>
        <v>0</v>
      </c>
      <c r="O18" s="594">
        <f>0</f>
        <v>0</v>
      </c>
      <c r="P18" s="594">
        <f>0</f>
        <v>0</v>
      </c>
    </row>
    <row r="19" spans="1:18" collapsed="1" x14ac:dyDescent="0.2">
      <c r="A19" s="641" t="s">
        <v>41</v>
      </c>
      <c r="B19" s="591"/>
      <c r="C19" s="591"/>
      <c r="D19" s="591">
        <v>-7816</v>
      </c>
      <c r="E19" s="590"/>
      <c r="F19" s="591">
        <f>-'Sewer  Fund  Inc Exp Statem'!F30</f>
        <v>-210.95</v>
      </c>
      <c r="G19" s="591">
        <f>-'Sewer  Fund  Inc Exp Statem'!G30</f>
        <v>-229.55</v>
      </c>
      <c r="H19" s="591">
        <f>-'Sewer  Fund  Inc Exp Statem'!H30</f>
        <v>-234.14099999999999</v>
      </c>
      <c r="I19" s="591">
        <f>-'Sewer  Fund  Inc Exp Statem'!I30</f>
        <v>-238.905</v>
      </c>
      <c r="J19" s="591">
        <f>-'Sewer  Fund  Inc Exp Statem'!J30</f>
        <v>-243.57400000000001</v>
      </c>
      <c r="K19" s="591">
        <f>-'Sewer  Fund  Inc Exp Statem'!K30</f>
        <v>-248.44548</v>
      </c>
      <c r="L19" s="591">
        <f>-'Sewer  Fund  Inc Exp Statem'!L30</f>
        <v>-253.41438960000002</v>
      </c>
      <c r="M19" s="591">
        <f>-'Sewer  Fund  Inc Exp Statem'!M30</f>
        <v>-258.48267739200003</v>
      </c>
      <c r="N19" s="591">
        <f>-'Sewer  Fund  Inc Exp Statem'!N30</f>
        <v>-263.65233093984006</v>
      </c>
      <c r="O19" s="591">
        <f>-'Sewer  Fund  Inc Exp Statem'!O30</f>
        <v>-268.92537755863685</v>
      </c>
      <c r="P19" s="591">
        <f>-'Sewer  Fund  Inc Exp Statem'!P30</f>
        <v>-274.30388510980958</v>
      </c>
    </row>
    <row r="20" spans="1:18" s="644" customFormat="1" x14ac:dyDescent="0.2">
      <c r="A20" s="642" t="s">
        <v>89</v>
      </c>
      <c r="B20" s="643">
        <f>SUM(B7:B19)</f>
        <v>0</v>
      </c>
      <c r="C20" s="643">
        <f t="shared" ref="C20:P20" si="0">SUM(C7:C19)</f>
        <v>0</v>
      </c>
      <c r="D20" s="643">
        <f t="shared" si="0"/>
        <v>33781</v>
      </c>
      <c r="E20" s="643">
        <f t="shared" si="0"/>
        <v>0</v>
      </c>
      <c r="F20" s="643">
        <f t="shared" si="0"/>
        <v>3026.1090000000004</v>
      </c>
      <c r="G20" s="643">
        <f t="shared" si="0"/>
        <v>10115.744000000001</v>
      </c>
      <c r="H20" s="643">
        <f t="shared" si="0"/>
        <v>1328.1240000000003</v>
      </c>
      <c r="I20" s="643">
        <f t="shared" si="0"/>
        <v>1290.9560000000001</v>
      </c>
      <c r="J20" s="643">
        <f t="shared" si="0"/>
        <v>1292.7869999999998</v>
      </c>
      <c r="K20" s="643">
        <f t="shared" si="0"/>
        <v>1249.2202236000001</v>
      </c>
      <c r="L20" s="643">
        <f t="shared" si="0"/>
        <v>1248.853190215998</v>
      </c>
      <c r="M20" s="643">
        <f t="shared" si="0"/>
        <v>1247.7533303655787</v>
      </c>
      <c r="N20" s="643">
        <f t="shared" si="0"/>
        <v>1245.8828147417119</v>
      </c>
      <c r="O20" s="643">
        <f t="shared" si="0"/>
        <v>1243.2022356773232</v>
      </c>
      <c r="P20" s="643">
        <f t="shared" si="0"/>
        <v>1239.6705441046834</v>
      </c>
    </row>
    <row r="21" spans="1:18" x14ac:dyDescent="0.2">
      <c r="B21" s="590"/>
      <c r="C21" s="590"/>
      <c r="D21" s="590"/>
      <c r="E21" s="590"/>
      <c r="F21" s="590"/>
      <c r="G21" s="590"/>
      <c r="H21" s="590"/>
      <c r="I21" s="590"/>
      <c r="J21" s="590"/>
      <c r="K21" s="590"/>
      <c r="L21" s="590"/>
      <c r="M21" s="590"/>
      <c r="N21" s="590"/>
      <c r="O21" s="590"/>
      <c r="P21" s="590"/>
    </row>
    <row r="22" spans="1:18" x14ac:dyDescent="0.2">
      <c r="A22" s="592" t="s">
        <v>90</v>
      </c>
      <c r="B22" s="590"/>
      <c r="C22" s="590"/>
      <c r="D22" s="590"/>
      <c r="E22" s="590"/>
      <c r="F22" s="590"/>
      <c r="G22" s="590"/>
      <c r="H22" s="590"/>
      <c r="I22" s="590"/>
      <c r="J22" s="590"/>
      <c r="K22" s="590"/>
      <c r="L22" s="590"/>
      <c r="M22" s="590"/>
      <c r="N22" s="590"/>
      <c r="O22" s="590"/>
      <c r="P22" s="590"/>
    </row>
    <row r="23" spans="1:18" x14ac:dyDescent="0.2">
      <c r="A23" s="640" t="s">
        <v>83</v>
      </c>
      <c r="B23" s="590"/>
      <c r="C23" s="590"/>
      <c r="D23" s="590"/>
      <c r="E23" s="590"/>
      <c r="F23" s="590"/>
      <c r="G23" s="590"/>
      <c r="H23" s="590"/>
      <c r="I23" s="590"/>
      <c r="J23" s="590"/>
      <c r="K23" s="590"/>
      <c r="L23" s="590"/>
      <c r="M23" s="590"/>
      <c r="N23" s="590"/>
      <c r="O23" s="590"/>
      <c r="P23" s="590"/>
    </row>
    <row r="24" spans="1:18" x14ac:dyDescent="0.2">
      <c r="A24" s="639" t="s">
        <v>431</v>
      </c>
      <c r="B24" s="594"/>
      <c r="C24" s="594"/>
      <c r="D24" s="594">
        <v>7491</v>
      </c>
      <c r="E24" s="594">
        <f>'Water  Fund  Inc Exp Statement '!E63</f>
        <v>0</v>
      </c>
      <c r="F24" s="594">
        <f>'Sewer  Fund  Inc Exp Statem'!F63</f>
        <v>3869.8910000000001</v>
      </c>
      <c r="G24" s="594">
        <f>'Sewer  Fund  Inc Exp Statem'!G63</f>
        <v>1200</v>
      </c>
      <c r="H24" s="594">
        <f>'Sewer  Fund  Inc Exp Statem'!H63</f>
        <v>2236.7249999999999</v>
      </c>
      <c r="I24" s="594">
        <f>'Sewer  Fund  Inc Exp Statem'!I63</f>
        <v>2276.4720000000002</v>
      </c>
      <c r="J24" s="594">
        <f>'Sewer  Fund  Inc Exp Statem'!J63</f>
        <v>1387.239</v>
      </c>
      <c r="K24" s="594">
        <f>'Sewer  Fund  Inc Exp Statem'!K63</f>
        <v>0</v>
      </c>
      <c r="L24" s="594">
        <f>'Sewer  Fund  Inc Exp Statem'!L63</f>
        <v>0</v>
      </c>
      <c r="M24" s="594">
        <f>'Sewer  Fund  Inc Exp Statem'!M63</f>
        <v>0</v>
      </c>
      <c r="N24" s="594">
        <f>'Sewer  Fund  Inc Exp Statem'!N63</f>
        <v>0</v>
      </c>
      <c r="O24" s="594">
        <f>'Sewer  Fund  Inc Exp Statem'!O63</f>
        <v>0</v>
      </c>
      <c r="P24" s="594">
        <f>'Sewer  Fund  Inc Exp Statem'!P63</f>
        <v>0</v>
      </c>
      <c r="Q24" s="659"/>
      <c r="R24" s="659" t="s">
        <v>1036</v>
      </c>
    </row>
    <row r="25" spans="1:18" x14ac:dyDescent="0.2">
      <c r="A25" s="639" t="s">
        <v>1052</v>
      </c>
      <c r="B25" s="594"/>
      <c r="C25" s="594"/>
      <c r="D25" s="594"/>
      <c r="E25" s="594"/>
      <c r="F25" s="594"/>
      <c r="G25" s="594"/>
      <c r="H25" s="594"/>
      <c r="I25" s="594"/>
      <c r="J25" s="594"/>
      <c r="K25" s="594"/>
      <c r="L25" s="594"/>
      <c r="M25" s="594"/>
      <c r="N25" s="594"/>
      <c r="O25" s="594"/>
      <c r="P25" s="594"/>
    </row>
    <row r="26" spans="1:18" x14ac:dyDescent="0.2">
      <c r="A26" s="639" t="s">
        <v>91</v>
      </c>
      <c r="B26" s="594"/>
      <c r="C26" s="594"/>
      <c r="D26" s="594"/>
      <c r="E26" s="594"/>
      <c r="F26" s="594"/>
      <c r="G26" s="594"/>
      <c r="H26" s="594"/>
      <c r="I26" s="594"/>
      <c r="J26" s="594"/>
      <c r="K26" s="594"/>
      <c r="L26" s="594"/>
      <c r="M26" s="594"/>
      <c r="N26" s="594"/>
      <c r="O26" s="594"/>
      <c r="P26" s="594"/>
    </row>
    <row r="27" spans="1:18" x14ac:dyDescent="0.2">
      <c r="A27" s="639" t="s">
        <v>92</v>
      </c>
      <c r="B27" s="594"/>
      <c r="C27" s="594"/>
      <c r="D27" s="594">
        <v>167</v>
      </c>
      <c r="E27" s="594">
        <f>'Water  Fund  Inc Exp Statement '!E65</f>
        <v>0</v>
      </c>
      <c r="F27" s="594">
        <f>'Sewer  Fund  Inc Exp Statem'!F65</f>
        <v>0</v>
      </c>
      <c r="G27" s="594">
        <f>'Sewer  Fund  Inc Exp Statem'!G65</f>
        <v>0</v>
      </c>
      <c r="H27" s="594">
        <f>'Sewer  Fund  Inc Exp Statem'!H65</f>
        <v>0</v>
      </c>
      <c r="I27" s="594">
        <f>'Sewer  Fund  Inc Exp Statem'!I65</f>
        <v>0</v>
      </c>
      <c r="J27" s="594">
        <f>'Sewer  Fund  Inc Exp Statem'!J65</f>
        <v>0</v>
      </c>
      <c r="K27" s="594">
        <f>'Sewer  Fund  Inc Exp Statem'!K65</f>
        <v>0</v>
      </c>
      <c r="L27" s="594">
        <f>'Sewer  Fund  Inc Exp Statem'!L65</f>
        <v>0</v>
      </c>
      <c r="M27" s="594">
        <f>'Sewer  Fund  Inc Exp Statem'!M65</f>
        <v>0</v>
      </c>
      <c r="N27" s="594">
        <f>'Sewer  Fund  Inc Exp Statem'!N65</f>
        <v>0</v>
      </c>
      <c r="O27" s="594">
        <f>'Sewer  Fund  Inc Exp Statem'!O65</f>
        <v>0</v>
      </c>
      <c r="P27" s="594">
        <f>'Sewer  Fund  Inc Exp Statem'!P65</f>
        <v>0</v>
      </c>
    </row>
    <row r="28" spans="1:18" ht="5.25" customHeight="1" x14ac:dyDescent="0.2"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594"/>
    </row>
    <row r="29" spans="1:18" x14ac:dyDescent="0.2">
      <c r="A29" s="640" t="s">
        <v>87</v>
      </c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P29" s="594"/>
    </row>
    <row r="30" spans="1:18" x14ac:dyDescent="0.2">
      <c r="A30" s="639" t="s">
        <v>93</v>
      </c>
      <c r="B30" s="594"/>
      <c r="C30" s="594"/>
      <c r="D30" s="594">
        <v>-10303</v>
      </c>
      <c r="E30" s="594">
        <f>-'Water  Fund  Inc Exp Statement '!E55</f>
        <v>0</v>
      </c>
      <c r="F30" s="594">
        <f>-'Sewer  Fund  Inc Exp Statem'!F55</f>
        <v>-50</v>
      </c>
      <c r="G30" s="594">
        <f>-'Sewer  Fund  Inc Exp Statem'!G55</f>
        <v>-50</v>
      </c>
      <c r="H30" s="594">
        <f>-'Sewer  Fund  Inc Exp Statem'!H55</f>
        <v>-50</v>
      </c>
      <c r="I30" s="594">
        <f>-'Sewer  Fund  Inc Exp Statem'!I55</f>
        <v>-50</v>
      </c>
      <c r="J30" s="594">
        <f>-'Sewer  Fund  Inc Exp Statem'!J55</f>
        <v>-50</v>
      </c>
      <c r="K30" s="594">
        <f>-'Sewer  Fund  Inc Exp Statem'!K55</f>
        <v>-51</v>
      </c>
      <c r="L30" s="594">
        <f>-'Sewer  Fund  Inc Exp Statem'!L55</f>
        <v>-52.02</v>
      </c>
      <c r="M30" s="594">
        <f>-'Sewer  Fund  Inc Exp Statem'!M55</f>
        <v>-53.060400000000001</v>
      </c>
      <c r="N30" s="594">
        <f>-'Sewer  Fund  Inc Exp Statem'!N55</f>
        <v>-54.121608000000002</v>
      </c>
      <c r="O30" s="594">
        <f>-'Sewer  Fund  Inc Exp Statem'!O55</f>
        <v>-55.204040160000005</v>
      </c>
      <c r="P30" s="594">
        <f>-'Sewer  Fund  Inc Exp Statem'!P55</f>
        <v>-56.308120963200004</v>
      </c>
      <c r="R30" s="639" t="s">
        <v>1036</v>
      </c>
    </row>
    <row r="31" spans="1:18" x14ac:dyDescent="0.2">
      <c r="A31" s="639" t="s">
        <v>1053</v>
      </c>
      <c r="B31" s="594"/>
      <c r="C31" s="594"/>
      <c r="D31" s="594">
        <v>-2531</v>
      </c>
      <c r="E31" s="594">
        <f>-'Water  Fund  Inc Exp Statement '!E52</f>
        <v>0</v>
      </c>
      <c r="F31" s="594">
        <f>-'Sewer  Fund  Inc Exp Statem'!F52</f>
        <v>0</v>
      </c>
      <c r="G31" s="594">
        <f>-'Sewer  Fund  Inc Exp Statem'!G52</f>
        <v>0</v>
      </c>
      <c r="H31" s="594">
        <f>-'Sewer  Fund  Inc Exp Statem'!H52</f>
        <v>0</v>
      </c>
      <c r="I31" s="594">
        <f>-'Sewer  Fund  Inc Exp Statem'!I52</f>
        <v>0</v>
      </c>
      <c r="J31" s="594">
        <f>-'Sewer  Fund  Inc Exp Statem'!J52</f>
        <v>0</v>
      </c>
      <c r="K31" s="594">
        <f>-'Sewer  Fund  Inc Exp Statem'!K52</f>
        <v>0</v>
      </c>
      <c r="L31" s="594">
        <f>-'Sewer  Fund  Inc Exp Statem'!L52</f>
        <v>0</v>
      </c>
      <c r="M31" s="594">
        <f>-'Sewer  Fund  Inc Exp Statem'!M52</f>
        <v>0</v>
      </c>
      <c r="N31" s="594">
        <f>-'Sewer  Fund  Inc Exp Statem'!N52</f>
        <v>0</v>
      </c>
      <c r="O31" s="594">
        <f>-'Sewer  Fund  Inc Exp Statem'!O52</f>
        <v>0</v>
      </c>
      <c r="P31" s="594">
        <f>-'Sewer  Fund  Inc Exp Statem'!P52</f>
        <v>0</v>
      </c>
    </row>
    <row r="32" spans="1:18" x14ac:dyDescent="0.2">
      <c r="A32" s="639" t="s">
        <v>94</v>
      </c>
      <c r="B32" s="594"/>
      <c r="C32" s="594"/>
      <c r="D32" s="594">
        <v>-26369</v>
      </c>
      <c r="E32" s="594">
        <f>-SUM('Water  Fund  Inc Exp Statement '!E51:E53)+'Water  Fund  Inc Exp Statement '!E52</f>
        <v>0</v>
      </c>
      <c r="F32" s="594">
        <f>-SUM('Sewer  Fund  Inc Exp Statem'!F51:F53)+'Sewer  Fund  Inc Exp Statem'!F52</f>
        <v>-16180</v>
      </c>
      <c r="G32" s="594">
        <f>-SUM('Sewer  Fund  Inc Exp Statem'!G51:G53)+'Sewer  Fund  Inc Exp Statem'!G52</f>
        <v>-28540</v>
      </c>
      <c r="H32" s="594">
        <f>-SUM('Sewer  Fund  Inc Exp Statem'!H51:H53)+'Sewer  Fund  Inc Exp Statem'!H52</f>
        <v>-3430</v>
      </c>
      <c r="I32" s="594">
        <f>-SUM('Sewer  Fund  Inc Exp Statem'!I51:I53)+'Sewer  Fund  Inc Exp Statem'!I52</f>
        <v>-3430</v>
      </c>
      <c r="J32" s="594">
        <f>-SUM('Sewer  Fund  Inc Exp Statem'!J51:J53)+'Sewer  Fund  Inc Exp Statem'!J52</f>
        <v>-2540</v>
      </c>
      <c r="K32" s="594">
        <f>-SUM('Sewer  Fund  Inc Exp Statem'!K51:K53)+'Sewer  Fund  Inc Exp Statem'!K52</f>
        <v>-950</v>
      </c>
      <c r="L32" s="594">
        <f>-SUM('Sewer  Fund  Inc Exp Statem'!L51:L53)+'Sewer  Fund  Inc Exp Statem'!L52</f>
        <v>-1000</v>
      </c>
      <c r="M32" s="594">
        <f>-SUM('Sewer  Fund  Inc Exp Statem'!M51:M53)+'Sewer  Fund  Inc Exp Statem'!M52</f>
        <v>-1100</v>
      </c>
      <c r="N32" s="594">
        <f>-SUM('Sewer  Fund  Inc Exp Statem'!N51:N53)+'Sewer  Fund  Inc Exp Statem'!N52</f>
        <v>-1200</v>
      </c>
      <c r="O32" s="594">
        <f>-SUM('Sewer  Fund  Inc Exp Statem'!O51:O53)+'Sewer  Fund  Inc Exp Statem'!O52</f>
        <v>-1200</v>
      </c>
      <c r="P32" s="594">
        <f>-SUM('Sewer  Fund  Inc Exp Statem'!P51:P53)+'Sewer  Fund  Inc Exp Statem'!P52</f>
        <v>-1300</v>
      </c>
    </row>
    <row r="33" spans="1:16" x14ac:dyDescent="0.2">
      <c r="A33" s="641" t="s">
        <v>95</v>
      </c>
      <c r="B33" s="591"/>
      <c r="C33" s="591"/>
      <c r="D33" s="591">
        <v>-26</v>
      </c>
      <c r="E33" s="591">
        <f>0</f>
        <v>0</v>
      </c>
      <c r="F33" s="591">
        <f>0</f>
        <v>0</v>
      </c>
      <c r="G33" s="591">
        <f>0</f>
        <v>0</v>
      </c>
      <c r="H33" s="591">
        <f>0</f>
        <v>0</v>
      </c>
      <c r="I33" s="591">
        <f>0</f>
        <v>0</v>
      </c>
      <c r="J33" s="591">
        <f>0</f>
        <v>0</v>
      </c>
      <c r="K33" s="591">
        <f>0</f>
        <v>0</v>
      </c>
      <c r="L33" s="591">
        <f>0</f>
        <v>0</v>
      </c>
      <c r="M33" s="591">
        <f>0</f>
        <v>0</v>
      </c>
      <c r="N33" s="591">
        <f>0</f>
        <v>0</v>
      </c>
      <c r="O33" s="591">
        <f>0</f>
        <v>0</v>
      </c>
      <c r="P33" s="591">
        <f>0</f>
        <v>0</v>
      </c>
    </row>
    <row r="34" spans="1:16" s="644" customFormat="1" x14ac:dyDescent="0.2">
      <c r="A34" s="642" t="s">
        <v>110</v>
      </c>
      <c r="B34" s="593">
        <f>SUM(B24:B33)</f>
        <v>0</v>
      </c>
      <c r="C34" s="593">
        <f t="shared" ref="C34:P34" si="1">SUM(C24:C33)</f>
        <v>0</v>
      </c>
      <c r="D34" s="593">
        <f t="shared" si="1"/>
        <v>-31571</v>
      </c>
      <c r="E34" s="593">
        <f t="shared" si="1"/>
        <v>0</v>
      </c>
      <c r="F34" s="593">
        <f t="shared" si="1"/>
        <v>-12360.109</v>
      </c>
      <c r="G34" s="593">
        <f t="shared" si="1"/>
        <v>-27390</v>
      </c>
      <c r="H34" s="593">
        <f t="shared" si="1"/>
        <v>-1243.2750000000001</v>
      </c>
      <c r="I34" s="593">
        <f t="shared" si="1"/>
        <v>-1203.5279999999998</v>
      </c>
      <c r="J34" s="593">
        <f t="shared" si="1"/>
        <v>-1202.761</v>
      </c>
      <c r="K34" s="593">
        <f t="shared" si="1"/>
        <v>-1001</v>
      </c>
      <c r="L34" s="593">
        <f t="shared" si="1"/>
        <v>-1052.02</v>
      </c>
      <c r="M34" s="593">
        <f t="shared" si="1"/>
        <v>-1153.0604000000001</v>
      </c>
      <c r="N34" s="593">
        <f t="shared" si="1"/>
        <v>-1254.1216079999999</v>
      </c>
      <c r="O34" s="593">
        <f t="shared" si="1"/>
        <v>-1255.20404016</v>
      </c>
      <c r="P34" s="593">
        <f t="shared" si="1"/>
        <v>-1356.3081209632001</v>
      </c>
    </row>
    <row r="35" spans="1:16" ht="9" customHeight="1" x14ac:dyDescent="0.2">
      <c r="B35" s="594"/>
      <c r="C35" s="594"/>
      <c r="D35" s="594"/>
      <c r="E35" s="594"/>
      <c r="F35" s="594"/>
      <c r="G35" s="594"/>
      <c r="H35" s="594"/>
      <c r="I35" s="594"/>
      <c r="J35" s="594"/>
      <c r="K35" s="594"/>
      <c r="L35" s="594"/>
      <c r="M35" s="594"/>
      <c r="N35" s="594"/>
      <c r="O35" s="594"/>
      <c r="P35" s="594"/>
    </row>
    <row r="36" spans="1:16" x14ac:dyDescent="0.2">
      <c r="A36" s="592" t="s">
        <v>1054</v>
      </c>
      <c r="B36" s="590"/>
      <c r="C36" s="590"/>
      <c r="D36" s="590"/>
      <c r="E36" s="590"/>
      <c r="F36" s="590"/>
      <c r="G36" s="590"/>
      <c r="H36" s="590"/>
      <c r="I36" s="590"/>
      <c r="J36" s="590"/>
      <c r="K36" s="590"/>
      <c r="L36" s="590"/>
      <c r="M36" s="590"/>
      <c r="N36" s="590"/>
      <c r="O36" s="590"/>
      <c r="P36" s="590"/>
    </row>
    <row r="37" spans="1:16" x14ac:dyDescent="0.2">
      <c r="A37" s="640" t="s">
        <v>83</v>
      </c>
      <c r="B37" s="590"/>
      <c r="C37" s="590"/>
      <c r="D37" s="590"/>
      <c r="E37" s="590"/>
      <c r="F37" s="590"/>
      <c r="G37" s="590"/>
      <c r="H37" s="590"/>
      <c r="I37" s="590"/>
      <c r="J37" s="590"/>
      <c r="K37" s="590"/>
      <c r="L37" s="590"/>
      <c r="M37" s="590"/>
      <c r="N37" s="590"/>
      <c r="O37" s="590"/>
      <c r="P37" s="590"/>
    </row>
    <row r="38" spans="1:16" x14ac:dyDescent="0.2">
      <c r="A38" s="639" t="s">
        <v>1055</v>
      </c>
      <c r="B38" s="594"/>
      <c r="C38" s="594"/>
      <c r="D38" s="594">
        <v>5350</v>
      </c>
      <c r="E38" s="594">
        <f>'Water  Fund  Inc Exp Statement '!E64</f>
        <v>0</v>
      </c>
      <c r="F38" s="594">
        <f>'Sewer  Fund  Inc Exp Statem'!F64</f>
        <v>9756</v>
      </c>
      <c r="G38" s="594">
        <f>'Sewer  Fund  Inc Exp Statem'!G64</f>
        <v>17356.182000000001</v>
      </c>
      <c r="H38" s="594">
        <f>'Sewer  Fund  Inc Exp Statem'!H64</f>
        <v>0</v>
      </c>
      <c r="I38" s="594">
        <f>'Sewer  Fund  Inc Exp Statem'!I64</f>
        <v>0</v>
      </c>
      <c r="J38" s="594">
        <f>'Sewer  Fund  Inc Exp Statem'!J64</f>
        <v>0</v>
      </c>
      <c r="K38" s="594">
        <f>'Sewer  Fund  Inc Exp Statem'!K64</f>
        <v>0</v>
      </c>
      <c r="L38" s="594">
        <f>'Sewer  Fund  Inc Exp Statem'!L64</f>
        <v>0</v>
      </c>
      <c r="M38" s="594">
        <f>'Sewer  Fund  Inc Exp Statem'!M64</f>
        <v>0</v>
      </c>
      <c r="N38" s="594">
        <f>'Sewer  Fund  Inc Exp Statem'!N64</f>
        <v>0</v>
      </c>
      <c r="O38" s="594">
        <f>'Sewer  Fund  Inc Exp Statem'!O64</f>
        <v>0</v>
      </c>
      <c r="P38" s="594">
        <f>'Sewer  Fund  Inc Exp Statem'!P64</f>
        <v>0</v>
      </c>
    </row>
    <row r="39" spans="1:16" ht="5.25" customHeight="1" x14ac:dyDescent="0.2">
      <c r="B39" s="594"/>
      <c r="C39" s="594"/>
      <c r="D39" s="594"/>
      <c r="E39" s="594"/>
      <c r="F39" s="594"/>
      <c r="G39" s="594"/>
      <c r="H39" s="594"/>
      <c r="I39" s="594"/>
      <c r="J39" s="594"/>
      <c r="K39" s="594"/>
      <c r="L39" s="594"/>
      <c r="M39" s="594"/>
      <c r="N39" s="594"/>
      <c r="O39" s="594"/>
      <c r="P39" s="594"/>
    </row>
    <row r="40" spans="1:16" x14ac:dyDescent="0.2">
      <c r="A40" s="640" t="s">
        <v>87</v>
      </c>
      <c r="B40" s="594"/>
      <c r="C40" s="594"/>
      <c r="D40" s="594"/>
      <c r="E40" s="594"/>
      <c r="F40" s="594"/>
      <c r="G40" s="594"/>
      <c r="H40" s="594"/>
      <c r="I40" s="594"/>
      <c r="J40" s="594"/>
      <c r="K40" s="594"/>
      <c r="L40" s="594"/>
      <c r="M40" s="594"/>
      <c r="N40" s="594"/>
      <c r="O40" s="594"/>
      <c r="P40" s="594"/>
    </row>
    <row r="41" spans="1:16" x14ac:dyDescent="0.2">
      <c r="A41" s="639" t="s">
        <v>1056</v>
      </c>
      <c r="B41" s="594"/>
      <c r="C41" s="594"/>
      <c r="D41" s="594">
        <v>-1616</v>
      </c>
      <c r="E41" s="594">
        <f>-'Water  Fund  Inc Exp Statement '!E54</f>
        <v>0</v>
      </c>
      <c r="F41" s="594">
        <f>-'Sewer  Fund  Inc Exp Statem'!F54</f>
        <v>-421</v>
      </c>
      <c r="G41" s="594">
        <f>-'Sewer  Fund  Inc Exp Statem'!G54</f>
        <v>-82.426000000000002</v>
      </c>
      <c r="H41" s="594">
        <f>-'Sewer  Fund  Inc Exp Statem'!H54</f>
        <v>-85.358999999999995</v>
      </c>
      <c r="I41" s="594">
        <f>-'Sewer  Fund  Inc Exp Statem'!I54</f>
        <v>-87.948999999999998</v>
      </c>
      <c r="J41" s="594">
        <f>-'Sewer  Fund  Inc Exp Statem'!J54</f>
        <v>-90.617000000000004</v>
      </c>
      <c r="K41" s="594">
        <f>-'Sewer  Fund  Inc Exp Statem'!K54</f>
        <v>-92.42934000000001</v>
      </c>
      <c r="L41" s="594">
        <f>-'Sewer  Fund  Inc Exp Statem'!L54</f>
        <v>-94.277926800000017</v>
      </c>
      <c r="M41" s="594">
        <f>-'Sewer  Fund  Inc Exp Statem'!M54</f>
        <v>-96.163485336000022</v>
      </c>
      <c r="N41" s="594">
        <f>-'Sewer  Fund  Inc Exp Statem'!N54</f>
        <v>-98.086755042720029</v>
      </c>
      <c r="O41" s="594">
        <f>-'Sewer  Fund  Inc Exp Statem'!O54</f>
        <v>-100.04849014357443</v>
      </c>
      <c r="P41" s="594">
        <f>-'Sewer  Fund  Inc Exp Statem'!P54</f>
        <v>-102.04945994644592</v>
      </c>
    </row>
    <row r="42" spans="1:16" s="644" customFormat="1" x14ac:dyDescent="0.2">
      <c r="A42" s="770" t="s">
        <v>110</v>
      </c>
      <c r="B42" s="772">
        <f t="shared" ref="B42:P42" si="2">SUM(B38:B41)</f>
        <v>0</v>
      </c>
      <c r="C42" s="772">
        <f t="shared" si="2"/>
        <v>0</v>
      </c>
      <c r="D42" s="772">
        <f t="shared" si="2"/>
        <v>3734</v>
      </c>
      <c r="E42" s="772">
        <f t="shared" si="2"/>
        <v>0</v>
      </c>
      <c r="F42" s="772">
        <f t="shared" si="2"/>
        <v>9335</v>
      </c>
      <c r="G42" s="772">
        <f t="shared" si="2"/>
        <v>17273.756000000001</v>
      </c>
      <c r="H42" s="772">
        <f t="shared" si="2"/>
        <v>-85.358999999999995</v>
      </c>
      <c r="I42" s="772">
        <f t="shared" si="2"/>
        <v>-87.948999999999998</v>
      </c>
      <c r="J42" s="772">
        <f t="shared" si="2"/>
        <v>-90.617000000000004</v>
      </c>
      <c r="K42" s="772">
        <f t="shared" si="2"/>
        <v>-92.42934000000001</v>
      </c>
      <c r="L42" s="772">
        <f t="shared" si="2"/>
        <v>-94.277926800000017</v>
      </c>
      <c r="M42" s="772">
        <f t="shared" si="2"/>
        <v>-96.163485336000022</v>
      </c>
      <c r="N42" s="772">
        <f t="shared" si="2"/>
        <v>-98.086755042720029</v>
      </c>
      <c r="O42" s="772">
        <f t="shared" si="2"/>
        <v>-100.04849014357443</v>
      </c>
      <c r="P42" s="772">
        <f t="shared" si="2"/>
        <v>-102.04945994644592</v>
      </c>
    </row>
    <row r="43" spans="1:16" ht="3.75" customHeight="1" x14ac:dyDescent="0.2">
      <c r="B43" s="594"/>
      <c r="C43" s="594"/>
      <c r="D43" s="594"/>
      <c r="E43" s="594"/>
      <c r="F43" s="594"/>
      <c r="G43" s="594"/>
      <c r="H43" s="594"/>
      <c r="I43" s="594"/>
      <c r="J43" s="594"/>
      <c r="K43" s="594"/>
      <c r="L43" s="594"/>
      <c r="M43" s="594"/>
      <c r="N43" s="594"/>
      <c r="O43" s="594"/>
      <c r="P43" s="594"/>
    </row>
    <row r="44" spans="1:16" x14ac:dyDescent="0.2">
      <c r="A44" s="592" t="s">
        <v>321</v>
      </c>
      <c r="B44" s="594">
        <f>+B20+B34</f>
        <v>0</v>
      </c>
      <c r="C44" s="594">
        <f>+C20+C34</f>
        <v>0</v>
      </c>
      <c r="D44" s="594">
        <f>+D20+D34+D42</f>
        <v>5944</v>
      </c>
      <c r="E44" s="594">
        <f t="shared" ref="E44:P44" si="3">+E20+E34+E42</f>
        <v>0</v>
      </c>
      <c r="F44" s="594">
        <f t="shared" si="3"/>
        <v>1</v>
      </c>
      <c r="G44" s="594">
        <f t="shared" si="3"/>
        <v>-0.5</v>
      </c>
      <c r="H44" s="594">
        <f t="shared" si="3"/>
        <v>-0.50999999999983459</v>
      </c>
      <c r="I44" s="594">
        <f t="shared" si="3"/>
        <v>-0.52099999999965974</v>
      </c>
      <c r="J44" s="594">
        <f t="shared" si="3"/>
        <v>-0.5910000000001645</v>
      </c>
      <c r="K44" s="594">
        <f t="shared" si="3"/>
        <v>155.79088360000003</v>
      </c>
      <c r="L44" s="594">
        <f t="shared" si="3"/>
        <v>102.55526341599798</v>
      </c>
      <c r="M44" s="594">
        <f t="shared" si="3"/>
        <v>-1.4705549704214178</v>
      </c>
      <c r="N44" s="594">
        <f t="shared" si="3"/>
        <v>-106.3255483010081</v>
      </c>
      <c r="O44" s="594">
        <f t="shared" si="3"/>
        <v>-112.05029462625122</v>
      </c>
      <c r="P44" s="594">
        <f t="shared" si="3"/>
        <v>-218.68703680496262</v>
      </c>
    </row>
    <row r="45" spans="1:16" ht="3.75" customHeight="1" x14ac:dyDescent="0.2">
      <c r="A45" s="644"/>
      <c r="B45" s="594"/>
      <c r="C45" s="594"/>
      <c r="D45" s="594"/>
      <c r="E45" s="594"/>
      <c r="F45" s="594"/>
      <c r="G45" s="594"/>
      <c r="H45" s="594"/>
      <c r="I45" s="594"/>
      <c r="J45" s="594"/>
      <c r="K45" s="594"/>
      <c r="L45" s="594"/>
      <c r="M45" s="594"/>
      <c r="N45" s="594"/>
      <c r="O45" s="594"/>
      <c r="P45" s="594"/>
    </row>
    <row r="46" spans="1:16" x14ac:dyDescent="0.2">
      <c r="A46" s="592" t="s">
        <v>96</v>
      </c>
      <c r="B46" s="594"/>
      <c r="C46" s="594">
        <f>+B48</f>
        <v>0</v>
      </c>
      <c r="D46" s="594">
        <v>3352</v>
      </c>
      <c r="E46" s="594">
        <v>0</v>
      </c>
      <c r="F46" s="594">
        <f t="shared" ref="F46:P46" si="4">+E48</f>
        <v>0</v>
      </c>
      <c r="G46" s="594">
        <f t="shared" si="4"/>
        <v>1</v>
      </c>
      <c r="H46" s="594">
        <f t="shared" si="4"/>
        <v>0.5</v>
      </c>
      <c r="I46" s="594">
        <f t="shared" si="4"/>
        <v>-9.9999999998345857E-3</v>
      </c>
      <c r="J46" s="594">
        <f t="shared" si="4"/>
        <v>-0.53099999999949432</v>
      </c>
      <c r="K46" s="594">
        <f t="shared" si="4"/>
        <v>-1.1219999999996588</v>
      </c>
      <c r="L46" s="594">
        <f t="shared" si="4"/>
        <v>154.66888360000036</v>
      </c>
      <c r="M46" s="594">
        <f t="shared" si="4"/>
        <v>257.22414701599837</v>
      </c>
      <c r="N46" s="594">
        <f t="shared" si="4"/>
        <v>255.75359204557697</v>
      </c>
      <c r="O46" s="594">
        <f t="shared" si="4"/>
        <v>149.42804374456887</v>
      </c>
      <c r="P46" s="594">
        <f t="shared" si="4"/>
        <v>37.377749118317652</v>
      </c>
    </row>
    <row r="47" spans="1:16" ht="4.5" customHeight="1" x14ac:dyDescent="0.2">
      <c r="B47" s="594"/>
      <c r="C47" s="594"/>
      <c r="D47" s="594"/>
      <c r="E47" s="594"/>
      <c r="F47" s="594"/>
      <c r="G47" s="594"/>
      <c r="H47" s="594"/>
      <c r="I47" s="594"/>
      <c r="J47" s="594"/>
      <c r="K47" s="594"/>
      <c r="L47" s="594"/>
      <c r="M47" s="594"/>
      <c r="N47" s="594"/>
      <c r="O47" s="594"/>
      <c r="P47" s="594"/>
    </row>
    <row r="48" spans="1:16" s="592" customFormat="1" ht="12.75" thickBot="1" x14ac:dyDescent="0.25">
      <c r="A48" s="592" t="s">
        <v>97</v>
      </c>
      <c r="B48" s="645">
        <f>+B44+B46</f>
        <v>0</v>
      </c>
      <c r="C48" s="645">
        <f t="shared" ref="C48:P48" si="5">+C44+C46</f>
        <v>0</v>
      </c>
      <c r="D48" s="645">
        <f t="shared" si="5"/>
        <v>9296</v>
      </c>
      <c r="E48" s="645">
        <f t="shared" si="5"/>
        <v>0</v>
      </c>
      <c r="F48" s="645">
        <f t="shared" si="5"/>
        <v>1</v>
      </c>
      <c r="G48" s="645">
        <f t="shared" si="5"/>
        <v>0.5</v>
      </c>
      <c r="H48" s="645">
        <f t="shared" si="5"/>
        <v>-9.9999999998345857E-3</v>
      </c>
      <c r="I48" s="645">
        <f t="shared" si="5"/>
        <v>-0.53099999999949432</v>
      </c>
      <c r="J48" s="645">
        <f t="shared" si="5"/>
        <v>-1.1219999999996588</v>
      </c>
      <c r="K48" s="645">
        <f t="shared" si="5"/>
        <v>154.66888360000036</v>
      </c>
      <c r="L48" s="645">
        <f t="shared" si="5"/>
        <v>257.22414701599837</v>
      </c>
      <c r="M48" s="645">
        <f t="shared" si="5"/>
        <v>255.75359204557697</v>
      </c>
      <c r="N48" s="645">
        <f t="shared" si="5"/>
        <v>149.42804374456887</v>
      </c>
      <c r="O48" s="645">
        <f t="shared" si="5"/>
        <v>37.377749118317652</v>
      </c>
      <c r="P48" s="645">
        <f t="shared" si="5"/>
        <v>-181.30928768664495</v>
      </c>
    </row>
    <row r="49" spans="1:16" ht="4.5" customHeight="1" x14ac:dyDescent="0.2"/>
    <row r="50" spans="1:16" x14ac:dyDescent="0.2">
      <c r="A50" s="639" t="s">
        <v>98</v>
      </c>
      <c r="B50" s="590"/>
      <c r="C50" s="590">
        <f>B50-C30-C24</f>
        <v>0</v>
      </c>
      <c r="D50" s="590">
        <v>46112</v>
      </c>
      <c r="E50" s="590">
        <f>'Sewer Fund  Bal Sheet'!E8+'Sewer Fund  Bal Sheet'!E15</f>
        <v>12255</v>
      </c>
      <c r="F50" s="590">
        <f t="shared" ref="F50:P50" si="6">E50-F30-F24</f>
        <v>8435.1090000000004</v>
      </c>
      <c r="G50" s="590">
        <f t="shared" si="6"/>
        <v>7285.1090000000004</v>
      </c>
      <c r="H50" s="590">
        <f t="shared" si="6"/>
        <v>5098.384</v>
      </c>
      <c r="I50" s="590">
        <f t="shared" si="6"/>
        <v>2871.9119999999998</v>
      </c>
      <c r="J50" s="590">
        <f t="shared" si="6"/>
        <v>1534.6729999999998</v>
      </c>
      <c r="K50" s="590">
        <f t="shared" si="6"/>
        <v>1585.6729999999998</v>
      </c>
      <c r="L50" s="590">
        <f t="shared" si="6"/>
        <v>1637.6929999999998</v>
      </c>
      <c r="M50" s="590">
        <f t="shared" si="6"/>
        <v>1690.7533999999998</v>
      </c>
      <c r="N50" s="590">
        <f t="shared" si="6"/>
        <v>1744.8750079999998</v>
      </c>
      <c r="O50" s="590">
        <f t="shared" si="6"/>
        <v>1800.0790481599997</v>
      </c>
      <c r="P50" s="590">
        <f t="shared" si="6"/>
        <v>1856.3871691231998</v>
      </c>
    </row>
    <row r="51" spans="1:16" ht="3.75" customHeight="1" x14ac:dyDescent="0.2">
      <c r="B51" s="590"/>
      <c r="C51" s="590"/>
      <c r="D51" s="590"/>
      <c r="E51" s="590"/>
      <c r="F51" s="590"/>
      <c r="G51" s="590"/>
      <c r="H51" s="590"/>
      <c r="I51" s="590"/>
      <c r="J51" s="590"/>
      <c r="K51" s="590"/>
      <c r="L51" s="590"/>
      <c r="M51" s="590"/>
      <c r="N51" s="590"/>
      <c r="O51" s="590"/>
      <c r="P51" s="590"/>
    </row>
    <row r="52" spans="1:16" s="644" customFormat="1" ht="12.75" thickBot="1" x14ac:dyDescent="0.25">
      <c r="A52" s="592" t="s">
        <v>99</v>
      </c>
      <c r="B52" s="646">
        <f>+B48+B50</f>
        <v>0</v>
      </c>
      <c r="C52" s="646">
        <f t="shared" ref="C52:P52" si="7">+C48+C50</f>
        <v>0</v>
      </c>
      <c r="D52" s="646">
        <f t="shared" si="7"/>
        <v>55408</v>
      </c>
      <c r="E52" s="646">
        <f t="shared" si="7"/>
        <v>12255</v>
      </c>
      <c r="F52" s="646">
        <f t="shared" si="7"/>
        <v>8436.1090000000004</v>
      </c>
      <c r="G52" s="646">
        <f t="shared" si="7"/>
        <v>7285.6090000000004</v>
      </c>
      <c r="H52" s="646">
        <f t="shared" si="7"/>
        <v>5098.3739999999998</v>
      </c>
      <c r="I52" s="646">
        <f t="shared" si="7"/>
        <v>2871.3810000000003</v>
      </c>
      <c r="J52" s="646">
        <f t="shared" si="7"/>
        <v>1533.5510000000002</v>
      </c>
      <c r="K52" s="646">
        <f t="shared" si="7"/>
        <v>1740.3418836000001</v>
      </c>
      <c r="L52" s="646">
        <f t="shared" si="7"/>
        <v>1894.9171470159981</v>
      </c>
      <c r="M52" s="646">
        <f t="shared" si="7"/>
        <v>1946.5069920455767</v>
      </c>
      <c r="N52" s="646">
        <f t="shared" si="7"/>
        <v>1894.3030517445686</v>
      </c>
      <c r="O52" s="646">
        <f t="shared" si="7"/>
        <v>1837.4567972783175</v>
      </c>
      <c r="P52" s="646">
        <f t="shared" si="7"/>
        <v>1675.0778814365549</v>
      </c>
    </row>
    <row r="53" spans="1:16" ht="12.75" thickTop="1" x14ac:dyDescent="0.2">
      <c r="B53" s="590"/>
      <c r="C53" s="590"/>
      <c r="D53" s="590"/>
      <c r="E53" s="590"/>
      <c r="F53" s="590"/>
      <c r="G53" s="590"/>
      <c r="H53" s="590"/>
      <c r="I53" s="590"/>
      <c r="J53" s="590"/>
      <c r="K53" s="590"/>
      <c r="L53" s="590"/>
      <c r="M53" s="590"/>
      <c r="N53" s="590"/>
      <c r="O53" s="590"/>
      <c r="P53" s="590"/>
    </row>
    <row r="54" spans="1:16" ht="12.75" x14ac:dyDescent="0.2">
      <c r="A54" s="1091" t="s">
        <v>1362</v>
      </c>
      <c r="B54" s="590"/>
      <c r="C54" s="590"/>
      <c r="D54" s="590"/>
      <c r="E54" s="590"/>
      <c r="F54" s="590"/>
      <c r="G54" s="590"/>
      <c r="H54" s="590"/>
      <c r="I54" s="590"/>
      <c r="J54" s="590"/>
      <c r="K54" s="590"/>
      <c r="L54" s="590"/>
      <c r="M54" s="590"/>
      <c r="N54" s="590"/>
      <c r="O54" s="590"/>
      <c r="P54" s="590"/>
    </row>
    <row r="55" spans="1:16" x14ac:dyDescent="0.2">
      <c r="A55" s="596" t="s">
        <v>1068</v>
      </c>
      <c r="B55" s="586" t="s">
        <v>69</v>
      </c>
      <c r="C55" s="586" t="s">
        <v>69</v>
      </c>
      <c r="D55" s="586" t="str">
        <f t="shared" ref="D55:P55" si="8">D2</f>
        <v>Actual</v>
      </c>
      <c r="E55" s="586" t="str">
        <f t="shared" si="8"/>
        <v>Actual</v>
      </c>
      <c r="F55" s="586" t="str">
        <f t="shared" si="8"/>
        <v>Budget</v>
      </c>
      <c r="G55" s="586" t="str">
        <f t="shared" si="8"/>
        <v>Budget</v>
      </c>
      <c r="H55" s="586" t="str">
        <f t="shared" si="8"/>
        <v>Projected</v>
      </c>
      <c r="I55" s="586" t="str">
        <f t="shared" si="8"/>
        <v>Projected</v>
      </c>
      <c r="J55" s="586" t="str">
        <f t="shared" si="8"/>
        <v>Projected</v>
      </c>
      <c r="K55" s="586" t="str">
        <f t="shared" si="8"/>
        <v>Projected</v>
      </c>
      <c r="L55" s="586" t="str">
        <f t="shared" si="8"/>
        <v>Projected</v>
      </c>
      <c r="M55" s="586" t="str">
        <f t="shared" si="8"/>
        <v>Projected</v>
      </c>
      <c r="N55" s="586" t="str">
        <f t="shared" si="8"/>
        <v>Projected</v>
      </c>
      <c r="O55" s="586" t="str">
        <f t="shared" si="8"/>
        <v>Projected</v>
      </c>
      <c r="P55" s="586" t="str">
        <f t="shared" si="8"/>
        <v>Projected</v>
      </c>
    </row>
    <row r="56" spans="1:16" x14ac:dyDescent="0.2">
      <c r="A56" s="585" t="s">
        <v>73</v>
      </c>
      <c r="B56" s="638" t="s">
        <v>68</v>
      </c>
      <c r="C56" s="586" t="s">
        <v>0</v>
      </c>
      <c r="D56" s="586" t="s">
        <v>1</v>
      </c>
      <c r="E56" s="586" t="s">
        <v>2</v>
      </c>
      <c r="F56" s="586" t="s">
        <v>3</v>
      </c>
      <c r="G56" s="586" t="s">
        <v>4</v>
      </c>
      <c r="H56" s="586" t="s">
        <v>5</v>
      </c>
      <c r="I56" s="586" t="s">
        <v>6</v>
      </c>
      <c r="J56" s="586" t="s">
        <v>7</v>
      </c>
      <c r="K56" s="586" t="s">
        <v>8</v>
      </c>
      <c r="L56" s="586" t="s">
        <v>9</v>
      </c>
      <c r="M56" s="586" t="s">
        <v>514</v>
      </c>
      <c r="N56" s="586" t="s">
        <v>515</v>
      </c>
      <c r="O56" s="586" t="s">
        <v>904</v>
      </c>
      <c r="P56" s="586" t="s">
        <v>1046</v>
      </c>
    </row>
    <row r="58" spans="1:16" x14ac:dyDescent="0.2">
      <c r="A58" s="592" t="s">
        <v>82</v>
      </c>
    </row>
    <row r="59" spans="1:16" x14ac:dyDescent="0.2">
      <c r="A59" s="640" t="s">
        <v>83</v>
      </c>
      <c r="B59" s="590"/>
      <c r="C59" s="590"/>
      <c r="D59" s="590"/>
      <c r="E59" s="590"/>
      <c r="F59" s="590"/>
      <c r="G59" s="590"/>
      <c r="H59" s="590"/>
      <c r="I59" s="590"/>
      <c r="J59" s="590"/>
      <c r="K59" s="590"/>
      <c r="L59" s="590"/>
      <c r="M59" s="590"/>
      <c r="N59" s="590"/>
      <c r="O59" s="590"/>
      <c r="P59" s="590"/>
    </row>
    <row r="60" spans="1:16" x14ac:dyDescent="0.2">
      <c r="A60" s="639" t="s">
        <v>11</v>
      </c>
      <c r="B60" s="594"/>
      <c r="C60" s="594">
        <f t="shared" ref="C60:E65" si="9">C7</f>
        <v>0</v>
      </c>
      <c r="D60" s="594">
        <f t="shared" si="9"/>
        <v>18724</v>
      </c>
      <c r="E60" s="594">
        <f t="shared" si="9"/>
        <v>0</v>
      </c>
      <c r="F60" s="594">
        <f>'Sewer  Fund  Inc Exp Statem'!F80</f>
        <v>4001.5</v>
      </c>
      <c r="G60" s="594">
        <f>'Sewer  Fund  Inc Exp Statem'!G80</f>
        <v>3866</v>
      </c>
      <c r="H60" s="594">
        <f>'Sewer  Fund  Inc Exp Statem'!H80</f>
        <v>4129.43</v>
      </c>
      <c r="I60" s="594">
        <f>'Sewer  Fund  Inc Exp Statem'!I80</f>
        <v>4236.2120000000004</v>
      </c>
      <c r="J60" s="594">
        <f>'Sewer  Fund  Inc Exp Statem'!J80</f>
        <v>4349.6570000000002</v>
      </c>
      <c r="K60" s="594">
        <f>'Sewer  Fund  Inc Exp Statem'!K80</f>
        <v>4458.3984249999994</v>
      </c>
      <c r="L60" s="594">
        <f>'Sewer  Fund  Inc Exp Statem'!L80</f>
        <v>4569.8583856249988</v>
      </c>
      <c r="M60" s="594">
        <f>'Sewer  Fund  Inc Exp Statem'!M80</f>
        <v>4684.1048452656232</v>
      </c>
      <c r="N60" s="594">
        <f>'Sewer  Fund  Inc Exp Statem'!N80</f>
        <v>4801.2074663972635</v>
      </c>
      <c r="O60" s="594">
        <f>'Sewer  Fund  Inc Exp Statem'!O80</f>
        <v>4921.2376530571946</v>
      </c>
      <c r="P60" s="594">
        <f>'Sewer  Fund  Inc Exp Statem'!P80</f>
        <v>5044.2685943836241</v>
      </c>
    </row>
    <row r="61" spans="1:16" x14ac:dyDescent="0.2">
      <c r="A61" s="639" t="s">
        <v>12</v>
      </c>
      <c r="B61" s="594"/>
      <c r="C61" s="594">
        <f t="shared" si="9"/>
        <v>0</v>
      </c>
      <c r="D61" s="594">
        <f t="shared" si="9"/>
        <v>11585</v>
      </c>
      <c r="E61" s="594">
        <f t="shared" si="9"/>
        <v>0</v>
      </c>
      <c r="F61" s="594">
        <f>'Sewer  Fund  Inc Exp Statem'!F81</f>
        <v>322.7</v>
      </c>
      <c r="G61" s="594">
        <f>'Sewer  Fund  Inc Exp Statem'!G81</f>
        <v>364.5</v>
      </c>
      <c r="H61" s="594">
        <f>'Sewer  Fund  Inc Exp Statem'!H81</f>
        <v>375.29</v>
      </c>
      <c r="I61" s="594">
        <f>'Sewer  Fund  Inc Exp Statem'!I81</f>
        <v>386.4</v>
      </c>
      <c r="J61" s="594">
        <f>'Sewer  Fund  Inc Exp Statem'!J81</f>
        <v>397.839</v>
      </c>
      <c r="K61" s="594">
        <f>'Sewer  Fund  Inc Exp Statem'!K81</f>
        <v>405.79577999999998</v>
      </c>
      <c r="L61" s="594">
        <f>'Sewer  Fund  Inc Exp Statem'!L81</f>
        <v>413.91169559999997</v>
      </c>
      <c r="M61" s="594">
        <f>'Sewer  Fund  Inc Exp Statem'!M81</f>
        <v>422.18992951199999</v>
      </c>
      <c r="N61" s="594">
        <f>'Sewer  Fund  Inc Exp Statem'!N81</f>
        <v>430.63372810224001</v>
      </c>
      <c r="O61" s="594">
        <f>'Sewer  Fund  Inc Exp Statem'!O81</f>
        <v>439.2464026642848</v>
      </c>
      <c r="P61" s="594">
        <f>'Sewer  Fund  Inc Exp Statem'!P81</f>
        <v>448.03133071757048</v>
      </c>
    </row>
    <row r="62" spans="1:16" x14ac:dyDescent="0.2">
      <c r="A62" s="639" t="s">
        <v>84</v>
      </c>
      <c r="B62" s="594"/>
      <c r="C62" s="594">
        <f t="shared" si="9"/>
        <v>0</v>
      </c>
      <c r="D62" s="594">
        <f t="shared" si="9"/>
        <v>2499</v>
      </c>
      <c r="E62" s="594">
        <f t="shared" si="9"/>
        <v>0</v>
      </c>
      <c r="F62" s="594">
        <f>'Sewer  Fund  Inc Exp Statem'!F82</f>
        <v>455</v>
      </c>
      <c r="G62" s="594">
        <f>'Sewer  Fund  Inc Exp Statem'!G82</f>
        <v>405</v>
      </c>
      <c r="H62" s="594">
        <f>'Sewer  Fund  Inc Exp Statem'!H82</f>
        <v>290.75</v>
      </c>
      <c r="I62" s="594">
        <f>'Sewer  Fund  Inc Exp Statem'!I82</f>
        <v>216.52199999999999</v>
      </c>
      <c r="J62" s="594">
        <f>'Sewer  Fund  Inc Exp Statem'!J82</f>
        <v>177.31800000000001</v>
      </c>
      <c r="K62" s="594">
        <f>'Sewer  Fund  Inc Exp Statem'!K82</f>
        <v>61.38452000000003</v>
      </c>
      <c r="L62" s="594">
        <f>'Sewer  Fund  Inc Exp Statem'!L82</f>
        <v>4.0459263440000361</v>
      </c>
      <c r="M62" s="594">
        <f>'Sewer  Fund  Inc Exp Statem'!M82</f>
        <v>-55.453387844360059</v>
      </c>
      <c r="N62" s="594">
        <f>'Sewer  Fund  Inc Exp Statem'!N82</f>
        <v>-117.18565368630192</v>
      </c>
      <c r="O62" s="594">
        <f>'Sewer  Fund  Inc Exp Statem'!O82</f>
        <v>-181.22547376854538</v>
      </c>
      <c r="P62" s="594">
        <f>'Sewer  Fund  Inc Exp Statem'!P82</f>
        <v>-247.64990244187368</v>
      </c>
    </row>
    <row r="63" spans="1:16" x14ac:dyDescent="0.2">
      <c r="A63" s="639" t="s">
        <v>85</v>
      </c>
      <c r="B63" s="594"/>
      <c r="C63" s="594">
        <f t="shared" si="9"/>
        <v>0</v>
      </c>
      <c r="D63" s="594">
        <f t="shared" si="9"/>
        <v>26703</v>
      </c>
      <c r="E63" s="594">
        <f t="shared" si="9"/>
        <v>0</v>
      </c>
      <c r="F63" s="594">
        <f>'Sewer  Fund  Inc Exp Statem'!F84+'Sewer  Fund  Inc Exp Statem'!F85</f>
        <v>1047.5</v>
      </c>
      <c r="G63" s="594">
        <f>'Sewer  Fund  Inc Exp Statem'!G84+'Sewer  Fund  Inc Exp Statem'!G85</f>
        <v>8725</v>
      </c>
      <c r="H63" s="594">
        <f>'Sewer  Fund  Inc Exp Statem'!H84+'Sewer  Fund  Inc Exp Statem'!H85</f>
        <v>85.7</v>
      </c>
      <c r="I63" s="594">
        <f>'Sewer  Fund  Inc Exp Statem'!I84+'Sewer  Fund  Inc Exp Statem'!I85</f>
        <v>86.414000000000001</v>
      </c>
      <c r="J63" s="594">
        <f>'Sewer  Fund  Inc Exp Statem'!J84+'Sewer  Fund  Inc Exp Statem'!J85</f>
        <v>87.141999999999996</v>
      </c>
      <c r="K63" s="594">
        <f>'Sewer  Fund  Inc Exp Statem'!K84+'Sewer  Fund  Inc Exp Statem'!K85</f>
        <v>89.070549999999997</v>
      </c>
      <c r="L63" s="594">
        <f>'Sewer  Fund  Inc Exp Statem'!L84+'Sewer  Fund  Inc Exp Statem'!L85</f>
        <v>91.042313750000005</v>
      </c>
      <c r="M63" s="594">
        <f>'Sewer  Fund  Inc Exp Statem'!M84+'Sewer  Fund  Inc Exp Statem'!M85</f>
        <v>93.058271593749993</v>
      </c>
      <c r="N63" s="594">
        <f>'Sewer  Fund  Inc Exp Statem'!N84+'Sewer  Fund  Inc Exp Statem'!N85</f>
        <v>95.119426383593748</v>
      </c>
      <c r="O63" s="594">
        <f>'Sewer  Fund  Inc Exp Statem'!O84+'Sewer  Fund  Inc Exp Statem'!O85</f>
        <v>97.226804003183588</v>
      </c>
      <c r="P63" s="594">
        <f>'Sewer  Fund  Inc Exp Statem'!P84+'Sewer  Fund  Inc Exp Statem'!P85</f>
        <v>99.381453902463164</v>
      </c>
    </row>
    <row r="64" spans="1:16" hidden="1" outlineLevel="1" x14ac:dyDescent="0.2">
      <c r="A64" s="639" t="s">
        <v>86</v>
      </c>
      <c r="B64" s="594"/>
      <c r="C64" s="594">
        <f t="shared" si="9"/>
        <v>0</v>
      </c>
      <c r="D64" s="594">
        <f t="shared" si="9"/>
        <v>97</v>
      </c>
      <c r="E64" s="594">
        <f t="shared" si="9"/>
        <v>0</v>
      </c>
      <c r="F64" s="594">
        <v>0</v>
      </c>
      <c r="G64" s="594">
        <v>0</v>
      </c>
      <c r="H64" s="594">
        <v>0</v>
      </c>
      <c r="I64" s="594">
        <v>0</v>
      </c>
      <c r="J64" s="594">
        <v>0</v>
      </c>
      <c r="K64" s="594">
        <v>0</v>
      </c>
      <c r="L64" s="594">
        <v>0</v>
      </c>
      <c r="M64" s="594">
        <v>0</v>
      </c>
      <c r="N64" s="594">
        <v>0</v>
      </c>
      <c r="O64" s="594">
        <v>0</v>
      </c>
      <c r="P64" s="594">
        <v>0</v>
      </c>
    </row>
    <row r="65" spans="1:16" collapsed="1" x14ac:dyDescent="0.2">
      <c r="A65" s="639" t="s">
        <v>41</v>
      </c>
      <c r="B65" s="594"/>
      <c r="C65" s="594">
        <f t="shared" si="9"/>
        <v>0</v>
      </c>
      <c r="D65" s="594">
        <f t="shared" si="9"/>
        <v>5309</v>
      </c>
      <c r="E65" s="594">
        <f t="shared" si="9"/>
        <v>0</v>
      </c>
      <c r="F65" s="594">
        <f>'Sewer  Fund  Inc Exp Statem'!F83+'Sewer  Fund  Inc Exp Statem'!F86</f>
        <v>0</v>
      </c>
      <c r="G65" s="594">
        <f>'Sewer  Fund  Inc Exp Statem'!G83+'Sewer  Fund  Inc Exp Statem'!G86</f>
        <v>0</v>
      </c>
      <c r="H65" s="594">
        <f>'Sewer  Fund  Inc Exp Statem'!H83+'Sewer  Fund  Inc Exp Statem'!H86</f>
        <v>0</v>
      </c>
      <c r="I65" s="594">
        <f>'Sewer  Fund  Inc Exp Statem'!I83+'Sewer  Fund  Inc Exp Statem'!I86</f>
        <v>0</v>
      </c>
      <c r="J65" s="594">
        <f>'Sewer  Fund  Inc Exp Statem'!J83+'Sewer  Fund  Inc Exp Statem'!J86</f>
        <v>0</v>
      </c>
      <c r="K65" s="594">
        <f>'Sewer  Fund  Inc Exp Statem'!K83+'Sewer  Fund  Inc Exp Statem'!K86</f>
        <v>0</v>
      </c>
      <c r="L65" s="594">
        <f>'Sewer  Fund  Inc Exp Statem'!L83+'Sewer  Fund  Inc Exp Statem'!L86</f>
        <v>0</v>
      </c>
      <c r="M65" s="594">
        <f>'Sewer  Fund  Inc Exp Statem'!M83+'Sewer  Fund  Inc Exp Statem'!M86</f>
        <v>0</v>
      </c>
      <c r="N65" s="594">
        <f>'Sewer  Fund  Inc Exp Statem'!N83+'Sewer  Fund  Inc Exp Statem'!N86</f>
        <v>0</v>
      </c>
      <c r="O65" s="594">
        <f>'Sewer  Fund  Inc Exp Statem'!O83+'Sewer  Fund  Inc Exp Statem'!O86</f>
        <v>0</v>
      </c>
      <c r="P65" s="594">
        <f>'Sewer  Fund  Inc Exp Statem'!P83+'Sewer  Fund  Inc Exp Statem'!P86</f>
        <v>0</v>
      </c>
    </row>
    <row r="66" spans="1:16" x14ac:dyDescent="0.2">
      <c r="B66" s="594"/>
      <c r="C66" s="594"/>
      <c r="D66" s="594"/>
      <c r="E66" s="594"/>
      <c r="F66" s="594"/>
      <c r="G66" s="594"/>
      <c r="H66" s="594"/>
      <c r="I66" s="594"/>
      <c r="J66" s="594"/>
      <c r="K66" s="594"/>
      <c r="L66" s="594"/>
      <c r="M66" s="594"/>
      <c r="N66" s="594"/>
      <c r="O66" s="594"/>
      <c r="P66" s="594"/>
    </row>
    <row r="67" spans="1:16" x14ac:dyDescent="0.2">
      <c r="A67" s="640" t="s">
        <v>87</v>
      </c>
      <c r="B67" s="594"/>
      <c r="C67" s="594"/>
      <c r="D67" s="594"/>
      <c r="E67" s="594"/>
      <c r="F67" s="594"/>
      <c r="G67" s="594"/>
      <c r="H67" s="594"/>
      <c r="I67" s="594"/>
      <c r="J67" s="594"/>
      <c r="K67" s="594"/>
      <c r="L67" s="594"/>
      <c r="M67" s="594"/>
      <c r="N67" s="594"/>
      <c r="O67" s="594"/>
      <c r="P67" s="594"/>
    </row>
    <row r="68" spans="1:16" x14ac:dyDescent="0.2">
      <c r="A68" s="639" t="s">
        <v>25</v>
      </c>
      <c r="B68" s="594"/>
      <c r="C68" s="594">
        <f t="shared" ref="C68:E70" si="10">C15</f>
        <v>0</v>
      </c>
      <c r="D68" s="594">
        <f t="shared" si="10"/>
        <v>-12900</v>
      </c>
      <c r="E68" s="594">
        <f t="shared" si="10"/>
        <v>0</v>
      </c>
      <c r="F68" s="594">
        <f>-'Sewer  Fund  Inc Exp Statem'!F93</f>
        <v>-804.93100000000004</v>
      </c>
      <c r="G68" s="594">
        <f>-'Sewer  Fund  Inc Exp Statem'!G93</f>
        <v>-797.73099999999999</v>
      </c>
      <c r="H68" s="594">
        <f>-'Sewer  Fund  Inc Exp Statem'!H93</f>
        <v>-825.32899999999995</v>
      </c>
      <c r="I68" s="594">
        <f>-'Sewer  Fund  Inc Exp Statem'!I93</f>
        <v>-854.68700000000001</v>
      </c>
      <c r="J68" s="594">
        <f>-'Sewer  Fund  Inc Exp Statem'!J93</f>
        <v>-885.20299999999997</v>
      </c>
      <c r="K68" s="594">
        <f>-'Sewer  Fund  Inc Exp Statem'!K93</f>
        <v>-911.75909000000001</v>
      </c>
      <c r="L68" s="594">
        <f>-'Sewer  Fund  Inc Exp Statem'!L93</f>
        <v>-939.11186270000007</v>
      </c>
      <c r="M68" s="594">
        <f>-'Sewer  Fund  Inc Exp Statem'!M93</f>
        <v>-967.28521858100009</v>
      </c>
      <c r="N68" s="594">
        <f>-'Sewer  Fund  Inc Exp Statem'!N93</f>
        <v>-996.30377513843007</v>
      </c>
      <c r="O68" s="594">
        <f>-'Sewer  Fund  Inc Exp Statem'!O93</f>
        <v>-1026.192888392583</v>
      </c>
      <c r="P68" s="594">
        <f>-'Sewer  Fund  Inc Exp Statem'!P93</f>
        <v>-1056.9786750443604</v>
      </c>
    </row>
    <row r="69" spans="1:16" x14ac:dyDescent="0.2">
      <c r="A69" s="639" t="s">
        <v>27</v>
      </c>
      <c r="B69" s="594"/>
      <c r="C69" s="594">
        <f t="shared" si="10"/>
        <v>0</v>
      </c>
      <c r="D69" s="594">
        <f t="shared" si="10"/>
        <v>-9702</v>
      </c>
      <c r="E69" s="594">
        <f t="shared" si="10"/>
        <v>0</v>
      </c>
      <c r="F69" s="594">
        <f>-'Sewer  Fund  Inc Exp Statem'!F95-'Sewer  Fund  Inc Exp Statem'!F96</f>
        <v>-1731.5</v>
      </c>
      <c r="G69" s="594">
        <f>-'Sewer  Fund  Inc Exp Statem'!G95-'Sewer  Fund  Inc Exp Statem'!G96</f>
        <v>-1731.9749999999999</v>
      </c>
      <c r="H69" s="594">
        <f>-'Sewer  Fund  Inc Exp Statem'!H95-'Sewer  Fund  Inc Exp Statem'!H96</f>
        <v>-1680.0260000000001</v>
      </c>
      <c r="I69" s="594">
        <f>-'Sewer  Fund  Inc Exp Statem'!I95-'Sewer  Fund  Inc Exp Statem'!I96</f>
        <v>-1730.029</v>
      </c>
      <c r="J69" s="594">
        <f>-'Sewer  Fund  Inc Exp Statem'!J95-'Sewer  Fund  Inc Exp Statem'!J96</f>
        <v>-1782.079</v>
      </c>
      <c r="K69" s="594">
        <f>-'Sewer  Fund  Inc Exp Statem'!K95-'Sewer  Fund  Inc Exp Statem'!K96</f>
        <v>-1800.59538</v>
      </c>
      <c r="L69" s="594">
        <f>-'Sewer  Fund  Inc Exp Statem'!L95-'Sewer  Fund  Inc Exp Statem'!L96</f>
        <v>-1836.6072876000001</v>
      </c>
      <c r="M69" s="594">
        <f>-'Sewer  Fund  Inc Exp Statem'!M95-'Sewer  Fund  Inc Exp Statem'!M96</f>
        <v>-1873.339433352</v>
      </c>
      <c r="N69" s="594">
        <f>-'Sewer  Fund  Inc Exp Statem'!N95-'Sewer  Fund  Inc Exp Statem'!N96</f>
        <v>-1910.8062220190402</v>
      </c>
      <c r="O69" s="594">
        <f>-'Sewer  Fund  Inc Exp Statem'!O95-'Sewer  Fund  Inc Exp Statem'!O96</f>
        <v>-1949.022346459421</v>
      </c>
      <c r="P69" s="594">
        <f>-'Sewer  Fund  Inc Exp Statem'!P95-'Sewer  Fund  Inc Exp Statem'!P96</f>
        <v>-1988.0027933886095</v>
      </c>
    </row>
    <row r="70" spans="1:16" x14ac:dyDescent="0.2">
      <c r="A70" s="639" t="s">
        <v>926</v>
      </c>
      <c r="B70" s="594"/>
      <c r="C70" s="594"/>
      <c r="D70" s="594">
        <f>D17</f>
        <v>-639</v>
      </c>
      <c r="E70" s="594">
        <f t="shared" si="10"/>
        <v>0</v>
      </c>
      <c r="F70" s="594">
        <f>-'Sewer  Fund  Inc Exp Statem'!F94</f>
        <v>-54.21</v>
      </c>
      <c r="G70" s="594">
        <f>-'Sewer  Fund  Inc Exp Statem'!G94</f>
        <v>-485</v>
      </c>
      <c r="H70" s="594">
        <f>-'Sewer  Fund  Inc Exp Statem'!H94</f>
        <v>-813.04</v>
      </c>
      <c r="I70" s="594">
        <f>-'Sewer  Fund  Inc Exp Statem'!I94</f>
        <v>-810.45</v>
      </c>
      <c r="J70" s="594">
        <f>-'Sewer  Fund  Inc Exp Statem'!J94</f>
        <v>-807.78200000000004</v>
      </c>
      <c r="K70" s="594">
        <f>-'Sewer  Fund  Inc Exp Statem'!K94</f>
        <v>-804.08482640000011</v>
      </c>
      <c r="L70" s="594">
        <f>-'Sewer  Fund  Inc Exp Statem'!L94</f>
        <v>-800.31370932800007</v>
      </c>
      <c r="M70" s="594">
        <f>-'Sewer  Fund  Inc Exp Statem'!M94</f>
        <v>-796.46716991456003</v>
      </c>
      <c r="N70" s="594">
        <f>-'Sewer  Fund  Inc Exp Statem'!N94</f>
        <v>-792.54369971285121</v>
      </c>
      <c r="O70" s="594">
        <f>-'Sewer  Fund  Inc Exp Statem'!O94</f>
        <v>-788.5417601071083</v>
      </c>
      <c r="P70" s="594">
        <f>-'Sewer  Fund  Inc Exp Statem'!P94</f>
        <v>-784.45978170925036</v>
      </c>
    </row>
    <row r="71" spans="1:16" hidden="1" outlineLevel="1" x14ac:dyDescent="0.2">
      <c r="A71" s="639" t="s">
        <v>88</v>
      </c>
      <c r="B71" s="594"/>
      <c r="C71" s="594">
        <f>C18</f>
        <v>0</v>
      </c>
      <c r="D71" s="594">
        <f>D18</f>
        <v>-79</v>
      </c>
      <c r="E71" s="594">
        <f>E18</f>
        <v>0</v>
      </c>
      <c r="F71" s="594">
        <v>0</v>
      </c>
      <c r="G71" s="594">
        <v>0</v>
      </c>
      <c r="H71" s="594">
        <v>0</v>
      </c>
      <c r="I71" s="594">
        <v>0</v>
      </c>
      <c r="J71" s="594">
        <v>0</v>
      </c>
      <c r="K71" s="594">
        <v>0</v>
      </c>
      <c r="L71" s="594">
        <v>0</v>
      </c>
      <c r="M71" s="594">
        <v>0</v>
      </c>
      <c r="N71" s="594">
        <v>0</v>
      </c>
      <c r="O71" s="594">
        <v>0</v>
      </c>
      <c r="P71" s="594">
        <v>0</v>
      </c>
    </row>
    <row r="72" spans="1:16" collapsed="1" x14ac:dyDescent="0.2">
      <c r="A72" s="641" t="s">
        <v>41</v>
      </c>
      <c r="B72" s="591"/>
      <c r="C72" s="594">
        <f>C19</f>
        <v>0</v>
      </c>
      <c r="D72" s="594">
        <f>D19</f>
        <v>-7816</v>
      </c>
      <c r="E72" s="594">
        <f>E19</f>
        <v>0</v>
      </c>
      <c r="F72" s="591">
        <f>-'Sewer  Fund  Inc Exp Statem'!F100</f>
        <v>-210.95</v>
      </c>
      <c r="G72" s="591">
        <f>-'Sewer  Fund  Inc Exp Statem'!G100</f>
        <v>-229.55</v>
      </c>
      <c r="H72" s="591">
        <f>-'Sewer  Fund  Inc Exp Statem'!H100</f>
        <v>-234.14099999999999</v>
      </c>
      <c r="I72" s="591">
        <f>-'Sewer  Fund  Inc Exp Statem'!I100</f>
        <v>-238.905</v>
      </c>
      <c r="J72" s="591">
        <f>-'Sewer  Fund  Inc Exp Statem'!J100</f>
        <v>-243.57400000000001</v>
      </c>
      <c r="K72" s="591">
        <f>-'Sewer  Fund  Inc Exp Statem'!K100</f>
        <v>-248.44548</v>
      </c>
      <c r="L72" s="591">
        <f>-'Sewer  Fund  Inc Exp Statem'!L100</f>
        <v>-253.41438960000002</v>
      </c>
      <c r="M72" s="591">
        <f>-'Sewer  Fund  Inc Exp Statem'!M100</f>
        <v>-258.48267739200003</v>
      </c>
      <c r="N72" s="591">
        <f>-'Sewer  Fund  Inc Exp Statem'!N100</f>
        <v>-263.65233093984006</v>
      </c>
      <c r="O72" s="591">
        <f>-'Sewer  Fund  Inc Exp Statem'!O100</f>
        <v>-268.92537755863685</v>
      </c>
      <c r="P72" s="591">
        <f>-'Sewer  Fund  Inc Exp Statem'!P100</f>
        <v>-274.30388510980958</v>
      </c>
    </row>
    <row r="73" spans="1:16" x14ac:dyDescent="0.2">
      <c r="A73" s="642" t="s">
        <v>89</v>
      </c>
      <c r="B73" s="643">
        <f>SUM(B60:B72)</f>
        <v>0</v>
      </c>
      <c r="C73" s="643">
        <f t="shared" ref="C73:P73" si="11">SUM(C60:C72)</f>
        <v>0</v>
      </c>
      <c r="D73" s="643">
        <f t="shared" si="11"/>
        <v>33781</v>
      </c>
      <c r="E73" s="643">
        <f t="shared" si="11"/>
        <v>0</v>
      </c>
      <c r="F73" s="643">
        <f t="shared" si="11"/>
        <v>3025.1090000000004</v>
      </c>
      <c r="G73" s="643">
        <f t="shared" si="11"/>
        <v>10116.244000000001</v>
      </c>
      <c r="H73" s="643">
        <f t="shared" si="11"/>
        <v>1328.6340000000005</v>
      </c>
      <c r="I73" s="643">
        <f t="shared" si="11"/>
        <v>1291.4769999999999</v>
      </c>
      <c r="J73" s="643">
        <f t="shared" si="11"/>
        <v>1293.3180000000007</v>
      </c>
      <c r="K73" s="647">
        <f t="shared" si="11"/>
        <v>1249.7644986000003</v>
      </c>
      <c r="L73" s="647">
        <f t="shared" si="11"/>
        <v>1249.411072090998</v>
      </c>
      <c r="M73" s="647">
        <f t="shared" si="11"/>
        <v>1248.3251592874535</v>
      </c>
      <c r="N73" s="647">
        <f t="shared" si="11"/>
        <v>1246.468939386634</v>
      </c>
      <c r="O73" s="647">
        <f t="shared" si="11"/>
        <v>1243.803013438368</v>
      </c>
      <c r="P73" s="647">
        <f t="shared" si="11"/>
        <v>1240.2863413097548</v>
      </c>
    </row>
    <row r="74" spans="1:16" x14ac:dyDescent="0.2">
      <c r="B74" s="590"/>
      <c r="C74" s="590"/>
      <c r="D74" s="590"/>
      <c r="E74" s="590"/>
      <c r="F74" s="590"/>
      <c r="G74" s="590"/>
      <c r="H74" s="590"/>
      <c r="I74" s="590"/>
      <c r="J74" s="590"/>
      <c r="K74" s="590"/>
      <c r="L74" s="590"/>
      <c r="M74" s="590"/>
      <c r="N74" s="590"/>
      <c r="O74" s="590"/>
      <c r="P74" s="590"/>
    </row>
    <row r="75" spans="1:16" x14ac:dyDescent="0.2">
      <c r="A75" s="592" t="s">
        <v>90</v>
      </c>
      <c r="B75" s="590"/>
      <c r="C75" s="590"/>
      <c r="D75" s="590"/>
      <c r="E75" s="590"/>
      <c r="F75" s="590"/>
      <c r="G75" s="590"/>
      <c r="H75" s="590"/>
      <c r="I75" s="590"/>
      <c r="J75" s="590"/>
      <c r="K75" s="590"/>
      <c r="L75" s="590"/>
      <c r="M75" s="590"/>
      <c r="N75" s="590"/>
      <c r="O75" s="590"/>
      <c r="P75" s="590"/>
    </row>
    <row r="76" spans="1:16" x14ac:dyDescent="0.2">
      <c r="A76" s="640" t="s">
        <v>83</v>
      </c>
      <c r="B76" s="590"/>
      <c r="C76" s="590"/>
      <c r="D76" s="590"/>
      <c r="E76" s="590"/>
      <c r="F76" s="590"/>
      <c r="G76" s="590"/>
      <c r="H76" s="590"/>
      <c r="I76" s="590"/>
      <c r="J76" s="590"/>
      <c r="K76" s="590"/>
      <c r="L76" s="590"/>
      <c r="M76" s="590"/>
      <c r="N76" s="590"/>
      <c r="O76" s="590"/>
      <c r="P76" s="590"/>
    </row>
    <row r="77" spans="1:16" x14ac:dyDescent="0.2">
      <c r="A77" s="639" t="s">
        <v>431</v>
      </c>
      <c r="B77" s="590"/>
      <c r="C77" s="590">
        <f>C24</f>
        <v>0</v>
      </c>
      <c r="D77" s="590">
        <f>D24</f>
        <v>7491</v>
      </c>
      <c r="E77" s="590">
        <f>E24</f>
        <v>0</v>
      </c>
      <c r="F77" s="590">
        <f>'Sewer  Fund  Inc Exp Statem'!F133</f>
        <v>3869.8910000000001</v>
      </c>
      <c r="G77" s="590">
        <f>'Sewer  Fund  Inc Exp Statem'!G133</f>
        <v>1200</v>
      </c>
      <c r="H77" s="590">
        <f>'Sewer  Fund  Inc Exp Statem'!H133</f>
        <v>2236.7249999999999</v>
      </c>
      <c r="I77" s="590">
        <f>'Sewer  Fund  Inc Exp Statem'!I133</f>
        <v>2276.4720000000002</v>
      </c>
      <c r="J77" s="590">
        <f>'Sewer  Fund  Inc Exp Statem'!J133</f>
        <v>1387.239</v>
      </c>
      <c r="K77" s="590">
        <f>'Sewer  Fund  Inc Exp Statem'!K133</f>
        <v>1414.98378</v>
      </c>
      <c r="L77" s="590">
        <f>'Sewer  Fund  Inc Exp Statem'!L133</f>
        <v>1443.2834556</v>
      </c>
      <c r="M77" s="590">
        <f>'Sewer  Fund  Inc Exp Statem'!M133</f>
        <v>1472.149124712</v>
      </c>
      <c r="N77" s="590">
        <f>'Sewer  Fund  Inc Exp Statem'!N133</f>
        <v>1501.5921072062399</v>
      </c>
      <c r="O77" s="590">
        <f>'Sewer  Fund  Inc Exp Statem'!O133</f>
        <v>1531.6239493503647</v>
      </c>
      <c r="P77" s="590">
        <f>'Sewer  Fund  Inc Exp Statem'!P133</f>
        <v>1562.256428337372</v>
      </c>
    </row>
    <row r="78" spans="1:16" x14ac:dyDescent="0.2">
      <c r="A78" s="590" t="str">
        <f>A25</f>
        <v>Sale of Investment Property</v>
      </c>
      <c r="B78" s="590"/>
      <c r="C78" s="590"/>
      <c r="D78" s="590">
        <f>D25</f>
        <v>0</v>
      </c>
      <c r="E78" s="590">
        <f t="shared" ref="E78" si="12">E25</f>
        <v>0</v>
      </c>
      <c r="F78" s="594">
        <v>0</v>
      </c>
      <c r="G78" s="594">
        <v>0</v>
      </c>
      <c r="H78" s="594">
        <v>0</v>
      </c>
      <c r="I78" s="594">
        <v>0</v>
      </c>
      <c r="J78" s="594">
        <v>0</v>
      </c>
      <c r="K78" s="594">
        <v>0</v>
      </c>
      <c r="L78" s="594">
        <v>0</v>
      </c>
      <c r="M78" s="594">
        <v>0</v>
      </c>
      <c r="N78" s="594">
        <v>0</v>
      </c>
      <c r="O78" s="594">
        <v>0</v>
      </c>
      <c r="P78" s="594">
        <v>0</v>
      </c>
    </row>
    <row r="79" spans="1:16" x14ac:dyDescent="0.2">
      <c r="A79" s="639" t="s">
        <v>91</v>
      </c>
      <c r="B79" s="594"/>
      <c r="C79" s="590">
        <f>C26</f>
        <v>0</v>
      </c>
      <c r="D79" s="590">
        <f>D26</f>
        <v>0</v>
      </c>
      <c r="E79" s="590">
        <f>E26</f>
        <v>0</v>
      </c>
      <c r="F79" s="594">
        <v>0</v>
      </c>
      <c r="G79" s="594">
        <v>0</v>
      </c>
      <c r="H79" s="594">
        <v>0</v>
      </c>
      <c r="I79" s="594">
        <v>0</v>
      </c>
      <c r="J79" s="594">
        <v>0</v>
      </c>
      <c r="K79" s="594">
        <v>0</v>
      </c>
      <c r="L79" s="594">
        <v>0</v>
      </c>
      <c r="M79" s="594">
        <v>0</v>
      </c>
      <c r="N79" s="594">
        <v>0</v>
      </c>
      <c r="O79" s="594">
        <v>0</v>
      </c>
      <c r="P79" s="594">
        <v>0</v>
      </c>
    </row>
    <row r="80" spans="1:16" x14ac:dyDescent="0.2">
      <c r="A80" s="639" t="s">
        <v>92</v>
      </c>
      <c r="B80" s="594"/>
      <c r="C80" s="590">
        <f>C27</f>
        <v>0</v>
      </c>
      <c r="D80" s="590">
        <f>D27</f>
        <v>167</v>
      </c>
      <c r="E80" s="590">
        <f>E27</f>
        <v>0</v>
      </c>
      <c r="F80" s="594">
        <f>'Sewer  Fund  Inc Exp Statem'!F135</f>
        <v>0</v>
      </c>
      <c r="G80" s="594">
        <f>'Sewer  Fund  Inc Exp Statem'!G135</f>
        <v>0</v>
      </c>
      <c r="H80" s="594">
        <f>'Sewer  Fund  Inc Exp Statem'!H135</f>
        <v>0</v>
      </c>
      <c r="I80" s="594">
        <f>'Sewer  Fund  Inc Exp Statem'!I135</f>
        <v>0</v>
      </c>
      <c r="J80" s="594">
        <f>'Sewer  Fund  Inc Exp Statem'!J135</f>
        <v>0</v>
      </c>
      <c r="K80" s="594">
        <f>'Sewer  Fund  Inc Exp Statem'!K135</f>
        <v>0</v>
      </c>
      <c r="L80" s="594">
        <f>'Sewer  Fund  Inc Exp Statem'!L135</f>
        <v>0</v>
      </c>
      <c r="M80" s="594">
        <f>'Sewer  Fund  Inc Exp Statem'!M135</f>
        <v>0</v>
      </c>
      <c r="N80" s="594">
        <f>'Sewer  Fund  Inc Exp Statem'!N135</f>
        <v>0</v>
      </c>
      <c r="O80" s="594">
        <f>'Sewer  Fund  Inc Exp Statem'!O135</f>
        <v>0</v>
      </c>
      <c r="P80" s="594">
        <f>'Sewer  Fund  Inc Exp Statem'!P135</f>
        <v>0</v>
      </c>
    </row>
    <row r="81" spans="1:18" ht="6" customHeight="1" x14ac:dyDescent="0.2">
      <c r="B81" s="594"/>
      <c r="C81" s="594"/>
      <c r="D81" s="594"/>
      <c r="E81" s="594"/>
      <c r="F81" s="594"/>
      <c r="G81" s="594"/>
      <c r="H81" s="594"/>
      <c r="I81" s="594"/>
      <c r="J81" s="594"/>
      <c r="K81" s="594"/>
      <c r="L81" s="594"/>
      <c r="M81" s="594"/>
      <c r="N81" s="594"/>
      <c r="O81" s="594"/>
      <c r="P81" s="594"/>
    </row>
    <row r="82" spans="1:18" x14ac:dyDescent="0.25">
      <c r="A82" s="640" t="s">
        <v>87</v>
      </c>
      <c r="B82" s="594"/>
      <c r="C82" s="594"/>
      <c r="D82" s="594"/>
      <c r="E82" s="594"/>
      <c r="F82" s="594"/>
      <c r="G82" s="594"/>
      <c r="H82" s="594"/>
      <c r="I82" s="594"/>
      <c r="J82" s="594"/>
      <c r="K82" s="594"/>
      <c r="L82" s="594"/>
      <c r="M82" s="594"/>
      <c r="N82" s="594"/>
      <c r="O82" s="594"/>
      <c r="P82" s="594"/>
    </row>
    <row r="83" spans="1:18" x14ac:dyDescent="0.25">
      <c r="A83" s="639" t="s">
        <v>93</v>
      </c>
      <c r="B83" s="594"/>
      <c r="C83" s="648">
        <f>C30</f>
        <v>0</v>
      </c>
      <c r="D83" s="648">
        <f>D30</f>
        <v>-10303</v>
      </c>
      <c r="E83" s="648">
        <f>E30</f>
        <v>0</v>
      </c>
      <c r="F83" s="594">
        <f>-'Sewer  Fund  Inc Exp Statem'!F125</f>
        <v>-50</v>
      </c>
      <c r="G83" s="594">
        <f>-'Sewer  Fund  Inc Exp Statem'!G125</f>
        <v>-50</v>
      </c>
      <c r="H83" s="594">
        <f>-'Sewer  Fund  Inc Exp Statem'!H125</f>
        <v>-50</v>
      </c>
      <c r="I83" s="594">
        <f>-'Sewer  Fund  Inc Exp Statem'!I125</f>
        <v>-50</v>
      </c>
      <c r="J83" s="594">
        <f>-'Sewer  Fund  Inc Exp Statem'!J125</f>
        <v>-50</v>
      </c>
      <c r="K83" s="594">
        <f>-'Sewer  Fund  Inc Exp Statem'!K125</f>
        <v>-51</v>
      </c>
      <c r="L83" s="594">
        <f>-'Sewer  Fund  Inc Exp Statem'!L125</f>
        <v>-52.02</v>
      </c>
      <c r="M83" s="594">
        <f>-'Sewer  Fund  Inc Exp Statem'!M125</f>
        <v>-53.060400000000001</v>
      </c>
      <c r="N83" s="594">
        <f>-'Sewer  Fund  Inc Exp Statem'!N125</f>
        <v>-54.121608000000002</v>
      </c>
      <c r="O83" s="594">
        <f>-'Sewer  Fund  Inc Exp Statem'!O125</f>
        <v>-55.204040160000005</v>
      </c>
      <c r="P83" s="594">
        <f>-'Sewer  Fund  Inc Exp Statem'!P125</f>
        <v>-56.308120963200004</v>
      </c>
    </row>
    <row r="84" spans="1:18" x14ac:dyDescent="0.25">
      <c r="A84" s="648" t="str">
        <f>A31</f>
        <v>Purchase of Investment Property</v>
      </c>
      <c r="B84" s="594"/>
      <c r="C84" s="648"/>
      <c r="D84" s="648">
        <f>D31</f>
        <v>-2531</v>
      </c>
      <c r="E84" s="648">
        <f t="shared" ref="E84" si="13">E31</f>
        <v>0</v>
      </c>
      <c r="F84" s="594">
        <v>0</v>
      </c>
      <c r="G84" s="594">
        <v>0</v>
      </c>
      <c r="H84" s="594">
        <v>0</v>
      </c>
      <c r="I84" s="594">
        <v>0</v>
      </c>
      <c r="J84" s="594">
        <v>0</v>
      </c>
      <c r="K84" s="594">
        <v>0</v>
      </c>
      <c r="L84" s="594">
        <v>0</v>
      </c>
      <c r="M84" s="594">
        <v>0</v>
      </c>
      <c r="N84" s="594">
        <v>0</v>
      </c>
      <c r="O84" s="594">
        <v>0</v>
      </c>
      <c r="P84" s="594">
        <v>0</v>
      </c>
    </row>
    <row r="85" spans="1:18" x14ac:dyDescent="0.25">
      <c r="A85" s="639" t="s">
        <v>94</v>
      </c>
      <c r="B85" s="594"/>
      <c r="C85" s="648">
        <f>C32</f>
        <v>0</v>
      </c>
      <c r="D85" s="648">
        <f>D32</f>
        <v>-26369</v>
      </c>
      <c r="E85" s="648">
        <f>E32</f>
        <v>0</v>
      </c>
      <c r="F85" s="594">
        <f>-SUM('Sewer  Fund  Inc Exp Statem'!F121:F123)+'Sewer  Fund  Inc Exp Statem'!F122</f>
        <v>-16180</v>
      </c>
      <c r="G85" s="594">
        <f>-SUM('Sewer  Fund  Inc Exp Statem'!G121:G123)+'Sewer  Fund  Inc Exp Statem'!G122</f>
        <v>-28540</v>
      </c>
      <c r="H85" s="594">
        <f>-SUM('Sewer  Fund  Inc Exp Statem'!H121:H123)+'Sewer  Fund  Inc Exp Statem'!H122</f>
        <v>-3430</v>
      </c>
      <c r="I85" s="594">
        <f>-SUM('Sewer  Fund  Inc Exp Statem'!I121:I123)+'Sewer  Fund  Inc Exp Statem'!I122</f>
        <v>-3430</v>
      </c>
      <c r="J85" s="594">
        <f>-SUM('Sewer  Fund  Inc Exp Statem'!J121:J123)+'Sewer  Fund  Inc Exp Statem'!J122</f>
        <v>-2540</v>
      </c>
      <c r="K85" s="594">
        <f>-SUM('Sewer  Fund  Inc Exp Statem'!K121:K123)+'Sewer  Fund  Inc Exp Statem'!K122</f>
        <v>-2590.8000000000002</v>
      </c>
      <c r="L85" s="594">
        <f>-SUM('Sewer  Fund  Inc Exp Statem'!L121:L123)+'Sewer  Fund  Inc Exp Statem'!L122</f>
        <v>-2642.6160000000004</v>
      </c>
      <c r="M85" s="594">
        <f>-SUM('Sewer  Fund  Inc Exp Statem'!M121:M123)+'Sewer  Fund  Inc Exp Statem'!M122</f>
        <v>-2695.4683200000004</v>
      </c>
      <c r="N85" s="594">
        <f>-SUM('Sewer  Fund  Inc Exp Statem'!N121:N123)+'Sewer  Fund  Inc Exp Statem'!N122</f>
        <v>-2749.3776864000006</v>
      </c>
      <c r="O85" s="594">
        <f>-SUM('Sewer  Fund  Inc Exp Statem'!O121:O123)+'Sewer  Fund  Inc Exp Statem'!O122</f>
        <v>-2804.3652401280006</v>
      </c>
      <c r="P85" s="594">
        <f>-SUM('Sewer  Fund  Inc Exp Statem'!P121:P123)+'Sewer  Fund  Inc Exp Statem'!P122</f>
        <v>-2860.4525449305606</v>
      </c>
    </row>
    <row r="86" spans="1:18" x14ac:dyDescent="0.25">
      <c r="A86" s="641" t="s">
        <v>95</v>
      </c>
      <c r="B86" s="591"/>
      <c r="C86" s="649">
        <f>C33</f>
        <v>0</v>
      </c>
      <c r="D86" s="648">
        <f>D33</f>
        <v>-26</v>
      </c>
      <c r="E86" s="648">
        <f t="shared" ref="E86" si="14">E33</f>
        <v>0</v>
      </c>
      <c r="F86" s="594">
        <v>0</v>
      </c>
      <c r="G86" s="594">
        <v>0</v>
      </c>
      <c r="H86" s="594">
        <v>0</v>
      </c>
      <c r="I86" s="594">
        <v>0</v>
      </c>
      <c r="J86" s="594">
        <v>0</v>
      </c>
      <c r="K86" s="594">
        <v>0</v>
      </c>
      <c r="L86" s="594">
        <v>0</v>
      </c>
      <c r="M86" s="594">
        <v>0</v>
      </c>
      <c r="N86" s="594">
        <v>0</v>
      </c>
      <c r="O86" s="594">
        <v>0</v>
      </c>
      <c r="P86" s="594">
        <v>0</v>
      </c>
    </row>
    <row r="87" spans="1:18" x14ac:dyDescent="0.25">
      <c r="A87" s="642" t="s">
        <v>110</v>
      </c>
      <c r="B87" s="593">
        <f>SUM(B77:B86)</f>
        <v>0</v>
      </c>
      <c r="C87" s="593">
        <f t="shared" ref="C87:P87" si="15">SUM(C77:C86)</f>
        <v>0</v>
      </c>
      <c r="D87" s="772">
        <f t="shared" si="15"/>
        <v>-31571</v>
      </c>
      <c r="E87" s="772">
        <f t="shared" si="15"/>
        <v>0</v>
      </c>
      <c r="F87" s="772">
        <f t="shared" si="15"/>
        <v>-12360.109</v>
      </c>
      <c r="G87" s="772">
        <f t="shared" si="15"/>
        <v>-27390</v>
      </c>
      <c r="H87" s="772">
        <f t="shared" si="15"/>
        <v>-1243.2750000000001</v>
      </c>
      <c r="I87" s="772">
        <f t="shared" si="15"/>
        <v>-1203.5279999999998</v>
      </c>
      <c r="J87" s="772">
        <f t="shared" si="15"/>
        <v>-1202.761</v>
      </c>
      <c r="K87" s="772">
        <f t="shared" si="15"/>
        <v>-1226.8162200000002</v>
      </c>
      <c r="L87" s="772">
        <f t="shared" si="15"/>
        <v>-1251.3525444000004</v>
      </c>
      <c r="M87" s="772">
        <f t="shared" si="15"/>
        <v>-1276.3795952880005</v>
      </c>
      <c r="N87" s="772">
        <f t="shared" si="15"/>
        <v>-1301.9071871937606</v>
      </c>
      <c r="O87" s="772">
        <f t="shared" si="15"/>
        <v>-1327.9453309376358</v>
      </c>
      <c r="P87" s="772">
        <f t="shared" si="15"/>
        <v>-1354.5042375563887</v>
      </c>
    </row>
    <row r="88" spans="1:18" x14ac:dyDescent="0.25">
      <c r="B88" s="594"/>
      <c r="C88" s="594"/>
      <c r="D88" s="594"/>
      <c r="E88" s="594"/>
      <c r="F88" s="594"/>
      <c r="G88" s="594"/>
      <c r="H88" s="594"/>
      <c r="I88" s="594"/>
      <c r="J88" s="594"/>
      <c r="K88" s="594"/>
      <c r="L88" s="594"/>
      <c r="M88" s="594"/>
      <c r="N88" s="594"/>
      <c r="O88" s="594"/>
      <c r="P88" s="594"/>
    </row>
    <row r="89" spans="1:18" x14ac:dyDescent="0.25">
      <c r="A89" s="592" t="s">
        <v>1054</v>
      </c>
      <c r="B89" s="590"/>
      <c r="C89" s="590"/>
      <c r="D89" s="590"/>
      <c r="E89" s="590"/>
      <c r="F89" s="590"/>
      <c r="G89" s="590"/>
      <c r="H89" s="590"/>
      <c r="I89" s="590"/>
      <c r="J89" s="590"/>
      <c r="K89" s="590"/>
      <c r="L89" s="590"/>
      <c r="M89" s="590"/>
      <c r="N89" s="590"/>
      <c r="O89" s="590"/>
      <c r="P89" s="590"/>
    </row>
    <row r="90" spans="1:18" x14ac:dyDescent="0.25">
      <c r="A90" s="640" t="s">
        <v>83</v>
      </c>
      <c r="B90" s="590"/>
      <c r="C90" s="590"/>
      <c r="D90" s="590"/>
      <c r="E90" s="590"/>
      <c r="F90" s="590"/>
      <c r="G90" s="590"/>
      <c r="H90" s="590"/>
      <c r="I90" s="590"/>
      <c r="J90" s="590"/>
      <c r="K90" s="590"/>
      <c r="L90" s="590"/>
      <c r="M90" s="590"/>
      <c r="N90" s="590"/>
      <c r="O90" s="590"/>
      <c r="P90" s="590"/>
    </row>
    <row r="91" spans="1:18" x14ac:dyDescent="0.25">
      <c r="A91" s="639" t="s">
        <v>1055</v>
      </c>
      <c r="B91" s="594"/>
      <c r="C91" s="594"/>
      <c r="D91" s="594">
        <f>D38</f>
        <v>5350</v>
      </c>
      <c r="E91" s="594">
        <f t="shared" ref="E91" si="16">E38</f>
        <v>0</v>
      </c>
      <c r="F91" s="594">
        <f>'Sewer  Fund  Inc Exp Statem'!F134</f>
        <v>9756</v>
      </c>
      <c r="G91" s="594">
        <f>'Sewer  Fund  Inc Exp Statem'!G134</f>
        <v>17356.182000000001</v>
      </c>
      <c r="H91" s="594">
        <f>'Sewer  Fund  Inc Exp Statem'!H134</f>
        <v>0</v>
      </c>
      <c r="I91" s="594">
        <f>'Sewer  Fund  Inc Exp Statem'!I134</f>
        <v>0</v>
      </c>
      <c r="J91" s="594">
        <f>'Sewer  Fund  Inc Exp Statem'!J134</f>
        <v>0</v>
      </c>
      <c r="K91" s="594">
        <f>'Sewer  Fund  Inc Exp Statem'!K134</f>
        <v>0</v>
      </c>
      <c r="L91" s="594">
        <f>'Sewer  Fund  Inc Exp Statem'!L134</f>
        <v>0</v>
      </c>
      <c r="M91" s="594">
        <f>'Sewer  Fund  Inc Exp Statem'!M134</f>
        <v>0</v>
      </c>
      <c r="N91" s="594">
        <f>'Sewer  Fund  Inc Exp Statem'!N134</f>
        <v>0</v>
      </c>
      <c r="O91" s="594">
        <f>'Sewer  Fund  Inc Exp Statem'!O134</f>
        <v>0</v>
      </c>
      <c r="P91" s="594">
        <f>'Sewer  Fund  Inc Exp Statem'!P134</f>
        <v>0</v>
      </c>
    </row>
    <row r="92" spans="1:18" ht="5.25" customHeight="1" x14ac:dyDescent="0.25">
      <c r="B92" s="594"/>
      <c r="C92" s="594"/>
      <c r="D92" s="594"/>
      <c r="E92" s="594"/>
      <c r="F92" s="594"/>
      <c r="G92" s="594"/>
      <c r="H92" s="594"/>
      <c r="I92" s="594"/>
      <c r="J92" s="594"/>
      <c r="K92" s="594"/>
      <c r="L92" s="594"/>
      <c r="M92" s="594"/>
      <c r="N92" s="594"/>
      <c r="O92" s="594"/>
      <c r="P92" s="594"/>
    </row>
    <row r="93" spans="1:18" x14ac:dyDescent="0.25">
      <c r="A93" s="640" t="s">
        <v>87</v>
      </c>
      <c r="B93" s="594"/>
      <c r="C93" s="594"/>
      <c r="D93" s="594"/>
      <c r="E93" s="594"/>
      <c r="F93" s="594"/>
      <c r="G93" s="594"/>
      <c r="H93" s="594"/>
      <c r="I93" s="594"/>
      <c r="J93" s="594"/>
      <c r="K93" s="594"/>
      <c r="L93" s="594"/>
      <c r="M93" s="594"/>
      <c r="N93" s="594"/>
      <c r="O93" s="594"/>
      <c r="P93" s="594"/>
    </row>
    <row r="94" spans="1:18" x14ac:dyDescent="0.25">
      <c r="A94" s="639" t="s">
        <v>1056</v>
      </c>
      <c r="B94" s="594"/>
      <c r="C94" s="594"/>
      <c r="D94" s="594">
        <f>D41</f>
        <v>-1616</v>
      </c>
      <c r="E94" s="594">
        <f t="shared" ref="E94" si="17">E41</f>
        <v>0</v>
      </c>
      <c r="F94" s="594">
        <f>-'Sewer  Fund  Inc Exp Statem'!F124</f>
        <v>-421</v>
      </c>
      <c r="G94" s="594">
        <f>-'Sewer  Fund  Inc Exp Statem'!G124</f>
        <v>-82.426000000000002</v>
      </c>
      <c r="H94" s="594">
        <f>-'Sewer  Fund  Inc Exp Statem'!H124</f>
        <v>-85.358999999999995</v>
      </c>
      <c r="I94" s="594">
        <f>-'Sewer  Fund  Inc Exp Statem'!I124</f>
        <v>-87.948999999999998</v>
      </c>
      <c r="J94" s="594">
        <f>-'Sewer  Fund  Inc Exp Statem'!J124</f>
        <v>-90.617000000000004</v>
      </c>
      <c r="K94" s="594">
        <f>-'Sewer  Fund  Inc Exp Statem'!K124</f>
        <v>-92.42934000000001</v>
      </c>
      <c r="L94" s="594">
        <f>-'Sewer  Fund  Inc Exp Statem'!L124</f>
        <v>-94.277926800000017</v>
      </c>
      <c r="M94" s="594">
        <f>-'Sewer  Fund  Inc Exp Statem'!M124</f>
        <v>-96.163485336000022</v>
      </c>
      <c r="N94" s="594">
        <f>-'Sewer  Fund  Inc Exp Statem'!N124</f>
        <v>-98.086755042720029</v>
      </c>
      <c r="O94" s="594">
        <f>-'Sewer  Fund  Inc Exp Statem'!O124</f>
        <v>-100.04849014357443</v>
      </c>
      <c r="P94" s="594">
        <f>-'Sewer  Fund  Inc Exp Statem'!P124</f>
        <v>-102.04945994644592</v>
      </c>
    </row>
    <row r="95" spans="1:18" s="644" customFormat="1" x14ac:dyDescent="0.25">
      <c r="A95" s="770" t="s">
        <v>110</v>
      </c>
      <c r="B95" s="772">
        <f t="shared" ref="B95:P95" si="18">SUM(B91:B94)</f>
        <v>0</v>
      </c>
      <c r="C95" s="772">
        <f t="shared" si="18"/>
        <v>0</v>
      </c>
      <c r="D95" s="772">
        <f t="shared" si="18"/>
        <v>3734</v>
      </c>
      <c r="E95" s="772">
        <f t="shared" si="18"/>
        <v>0</v>
      </c>
      <c r="F95" s="772">
        <f t="shared" si="18"/>
        <v>9335</v>
      </c>
      <c r="G95" s="772">
        <f t="shared" si="18"/>
        <v>17273.756000000001</v>
      </c>
      <c r="H95" s="772">
        <f t="shared" si="18"/>
        <v>-85.358999999999995</v>
      </c>
      <c r="I95" s="772">
        <f t="shared" si="18"/>
        <v>-87.948999999999998</v>
      </c>
      <c r="J95" s="772">
        <f t="shared" si="18"/>
        <v>-90.617000000000004</v>
      </c>
      <c r="K95" s="772">
        <f t="shared" si="18"/>
        <v>-92.42934000000001</v>
      </c>
      <c r="L95" s="772">
        <f t="shared" si="18"/>
        <v>-94.277926800000017</v>
      </c>
      <c r="M95" s="772">
        <f t="shared" si="18"/>
        <v>-96.163485336000022</v>
      </c>
      <c r="N95" s="772">
        <f t="shared" si="18"/>
        <v>-98.086755042720029</v>
      </c>
      <c r="O95" s="772">
        <f t="shared" si="18"/>
        <v>-100.04849014357443</v>
      </c>
      <c r="P95" s="772">
        <f t="shared" si="18"/>
        <v>-102.04945994644592</v>
      </c>
      <c r="R95" s="639"/>
    </row>
    <row r="96" spans="1:18" ht="3.75" customHeight="1" x14ac:dyDescent="0.25">
      <c r="B96" s="594"/>
      <c r="C96" s="594"/>
      <c r="D96" s="594"/>
      <c r="E96" s="594"/>
      <c r="F96" s="594"/>
      <c r="G96" s="594"/>
      <c r="H96" s="594"/>
      <c r="I96" s="594"/>
      <c r="J96" s="594"/>
      <c r="K96" s="594"/>
      <c r="L96" s="594"/>
      <c r="M96" s="594"/>
      <c r="N96" s="594"/>
      <c r="O96" s="594"/>
      <c r="P96" s="594"/>
    </row>
    <row r="97" spans="1:16" x14ac:dyDescent="0.25">
      <c r="A97" s="592" t="s">
        <v>321</v>
      </c>
      <c r="B97" s="594">
        <f>+B73+B87</f>
        <v>0</v>
      </c>
      <c r="C97" s="594">
        <f>+C73+C87</f>
        <v>0</v>
      </c>
      <c r="D97" s="594">
        <f>+D73+D87+D95</f>
        <v>5944</v>
      </c>
      <c r="E97" s="594">
        <f t="shared" ref="E97:P97" si="19">+E73+E87+E95</f>
        <v>0</v>
      </c>
      <c r="F97" s="594">
        <f t="shared" si="19"/>
        <v>0</v>
      </c>
      <c r="G97" s="594">
        <f t="shared" si="19"/>
        <v>0</v>
      </c>
      <c r="H97" s="594">
        <f t="shared" si="19"/>
        <v>3.836930773104541E-13</v>
      </c>
      <c r="I97" s="594">
        <f t="shared" si="19"/>
        <v>0</v>
      </c>
      <c r="J97" s="594">
        <f t="shared" si="19"/>
        <v>-5.9999999999305942E-2</v>
      </c>
      <c r="K97" s="594">
        <f t="shared" si="19"/>
        <v>-69.481061399999916</v>
      </c>
      <c r="L97" s="594">
        <f t="shared" si="19"/>
        <v>-96.21939910900241</v>
      </c>
      <c r="M97" s="594">
        <f t="shared" si="19"/>
        <v>-124.21792133654698</v>
      </c>
      <c r="N97" s="594">
        <f t="shared" si="19"/>
        <v>-153.5250028498466</v>
      </c>
      <c r="O97" s="594">
        <f t="shared" si="19"/>
        <v>-184.19080764284229</v>
      </c>
      <c r="P97" s="594">
        <f t="shared" si="19"/>
        <v>-216.26735619307985</v>
      </c>
    </row>
    <row r="98" spans="1:16" ht="5.25" customHeight="1" x14ac:dyDescent="0.25">
      <c r="A98" s="644"/>
      <c r="B98" s="594"/>
      <c r="C98" s="594"/>
      <c r="D98" s="594"/>
      <c r="E98" s="594"/>
      <c r="F98" s="594"/>
      <c r="G98" s="594"/>
      <c r="H98" s="594"/>
      <c r="I98" s="594"/>
      <c r="J98" s="594"/>
      <c r="K98" s="594"/>
      <c r="L98" s="594"/>
      <c r="M98" s="594"/>
      <c r="N98" s="594"/>
      <c r="O98" s="594"/>
      <c r="P98" s="594"/>
    </row>
    <row r="99" spans="1:16" x14ac:dyDescent="0.25">
      <c r="A99" s="592" t="s">
        <v>96</v>
      </c>
      <c r="B99" s="594"/>
      <c r="C99" s="594">
        <f>+B101</f>
        <v>0</v>
      </c>
      <c r="D99" s="594">
        <f>D46</f>
        <v>3352</v>
      </c>
      <c r="E99" s="594">
        <v>0</v>
      </c>
      <c r="F99" s="594">
        <f t="shared" ref="F99:P99" si="20">+E101</f>
        <v>0</v>
      </c>
      <c r="G99" s="594">
        <f t="shared" si="20"/>
        <v>0</v>
      </c>
      <c r="H99" s="594">
        <f t="shared" si="20"/>
        <v>0</v>
      </c>
      <c r="I99" s="594">
        <f t="shared" si="20"/>
        <v>3.836930773104541E-13</v>
      </c>
      <c r="J99" s="594">
        <f t="shared" si="20"/>
        <v>3.836930773104541E-13</v>
      </c>
      <c r="K99" s="594">
        <f t="shared" si="20"/>
        <v>-5.9999999998922249E-2</v>
      </c>
      <c r="L99" s="594">
        <f t="shared" si="20"/>
        <v>-69.541061399998839</v>
      </c>
      <c r="M99" s="594">
        <f t="shared" si="20"/>
        <v>-165.76046050900123</v>
      </c>
      <c r="N99" s="594">
        <f t="shared" si="20"/>
        <v>-289.9783818455482</v>
      </c>
      <c r="O99" s="594">
        <f t="shared" si="20"/>
        <v>-443.5033846953948</v>
      </c>
      <c r="P99" s="594">
        <f t="shared" si="20"/>
        <v>-627.69419233823714</v>
      </c>
    </row>
    <row r="100" spans="1:16" ht="6" customHeight="1" x14ac:dyDescent="0.25">
      <c r="B100" s="594"/>
      <c r="C100" s="594"/>
      <c r="D100" s="594"/>
      <c r="E100" s="594"/>
      <c r="F100" s="594"/>
      <c r="G100" s="594"/>
      <c r="H100" s="594"/>
      <c r="I100" s="594"/>
      <c r="J100" s="594"/>
      <c r="K100" s="594"/>
      <c r="L100" s="594"/>
      <c r="M100" s="594"/>
      <c r="N100" s="594"/>
      <c r="O100" s="594"/>
      <c r="P100" s="594"/>
    </row>
    <row r="101" spans="1:16" ht="12.6" thickBot="1" x14ac:dyDescent="0.3">
      <c r="A101" s="592" t="s">
        <v>97</v>
      </c>
      <c r="B101" s="645">
        <f>+B97+B99</f>
        <v>0</v>
      </c>
      <c r="C101" s="645">
        <f t="shared" ref="C101:P101" si="21">+C97+C99</f>
        <v>0</v>
      </c>
      <c r="D101" s="645">
        <f t="shared" si="21"/>
        <v>9296</v>
      </c>
      <c r="E101" s="650">
        <f t="shared" si="21"/>
        <v>0</v>
      </c>
      <c r="F101" s="650">
        <f t="shared" si="21"/>
        <v>0</v>
      </c>
      <c r="G101" s="650">
        <f t="shared" si="21"/>
        <v>0</v>
      </c>
      <c r="H101" s="650">
        <f t="shared" si="21"/>
        <v>3.836930773104541E-13</v>
      </c>
      <c r="I101" s="650">
        <f t="shared" si="21"/>
        <v>3.836930773104541E-13</v>
      </c>
      <c r="J101" s="650">
        <f t="shared" si="21"/>
        <v>-5.9999999998922249E-2</v>
      </c>
      <c r="K101" s="650">
        <f t="shared" si="21"/>
        <v>-69.541061399998839</v>
      </c>
      <c r="L101" s="650">
        <f t="shared" si="21"/>
        <v>-165.76046050900123</v>
      </c>
      <c r="M101" s="650">
        <f t="shared" si="21"/>
        <v>-289.9783818455482</v>
      </c>
      <c r="N101" s="650">
        <f t="shared" si="21"/>
        <v>-443.5033846953948</v>
      </c>
      <c r="O101" s="650">
        <f t="shared" si="21"/>
        <v>-627.69419233823714</v>
      </c>
      <c r="P101" s="650">
        <f t="shared" si="21"/>
        <v>-843.96154853131702</v>
      </c>
    </row>
    <row r="102" spans="1:16" ht="6" customHeight="1" x14ac:dyDescent="0.25"/>
    <row r="103" spans="1:16" x14ac:dyDescent="0.25">
      <c r="A103" s="639" t="s">
        <v>98</v>
      </c>
      <c r="B103" s="590"/>
      <c r="C103" s="590">
        <f>B103-C83-C77</f>
        <v>0</v>
      </c>
      <c r="D103" s="590">
        <f>D50</f>
        <v>46112</v>
      </c>
      <c r="E103" s="590">
        <f>E50</f>
        <v>12255</v>
      </c>
      <c r="F103" s="590">
        <f t="shared" ref="F103:P103" si="22">E103-F83-F77</f>
        <v>8435.1090000000004</v>
      </c>
      <c r="G103" s="590">
        <f t="shared" si="22"/>
        <v>7285.1090000000004</v>
      </c>
      <c r="H103" s="590">
        <f t="shared" si="22"/>
        <v>5098.384</v>
      </c>
      <c r="I103" s="590">
        <f t="shared" si="22"/>
        <v>2871.9119999999998</v>
      </c>
      <c r="J103" s="590">
        <f t="shared" si="22"/>
        <v>1534.6729999999998</v>
      </c>
      <c r="K103" s="590">
        <f t="shared" si="22"/>
        <v>170.68921999999975</v>
      </c>
      <c r="L103" s="590">
        <f t="shared" si="22"/>
        <v>-1220.5742356000003</v>
      </c>
      <c r="M103" s="590">
        <f t="shared" si="22"/>
        <v>-2639.662960312</v>
      </c>
      <c r="N103" s="590">
        <f t="shared" si="22"/>
        <v>-4087.1334595182398</v>
      </c>
      <c r="O103" s="590">
        <f t="shared" si="22"/>
        <v>-5563.5533687086045</v>
      </c>
      <c r="P103" s="590">
        <f t="shared" si="22"/>
        <v>-7069.5016760827766</v>
      </c>
    </row>
    <row r="104" spans="1:16" ht="6" customHeight="1" x14ac:dyDescent="0.25">
      <c r="B104" s="590"/>
      <c r="C104" s="590"/>
      <c r="D104" s="590"/>
      <c r="E104" s="590"/>
      <c r="F104" s="590"/>
      <c r="G104" s="590"/>
      <c r="H104" s="590"/>
      <c r="I104" s="590"/>
      <c r="J104" s="590"/>
      <c r="K104" s="590"/>
      <c r="L104" s="590"/>
      <c r="M104" s="590"/>
      <c r="N104" s="590"/>
      <c r="O104" s="590"/>
      <c r="P104" s="590"/>
    </row>
    <row r="105" spans="1:16" ht="12.6" thickBot="1" x14ac:dyDescent="0.3">
      <c r="A105" s="592" t="s">
        <v>99</v>
      </c>
      <c r="B105" s="646">
        <f>+B101+B103</f>
        <v>0</v>
      </c>
      <c r="C105" s="646">
        <f t="shared" ref="C105:P105" si="23">+C101+C103</f>
        <v>0</v>
      </c>
      <c r="D105" s="646">
        <f t="shared" si="23"/>
        <v>55408</v>
      </c>
      <c r="E105" s="646">
        <f t="shared" si="23"/>
        <v>12255</v>
      </c>
      <c r="F105" s="646">
        <f t="shared" si="23"/>
        <v>8435.1090000000004</v>
      </c>
      <c r="G105" s="646">
        <f t="shared" si="23"/>
        <v>7285.1090000000004</v>
      </c>
      <c r="H105" s="646">
        <f t="shared" si="23"/>
        <v>5098.384</v>
      </c>
      <c r="I105" s="646">
        <f t="shared" si="23"/>
        <v>2871.9120000000003</v>
      </c>
      <c r="J105" s="595">
        <f t="shared" si="23"/>
        <v>1534.6130000000007</v>
      </c>
      <c r="K105" s="595">
        <f t="shared" si="23"/>
        <v>101.14815860000091</v>
      </c>
      <c r="L105" s="595">
        <f t="shared" si="23"/>
        <v>-1386.3346961090015</v>
      </c>
      <c r="M105" s="595">
        <f t="shared" si="23"/>
        <v>-2929.641342157548</v>
      </c>
      <c r="N105" s="595">
        <f t="shared" si="23"/>
        <v>-4530.6368442136345</v>
      </c>
      <c r="O105" s="595">
        <f t="shared" si="23"/>
        <v>-6191.2475610468418</v>
      </c>
      <c r="P105" s="595">
        <f t="shared" si="23"/>
        <v>-7913.4632246140936</v>
      </c>
    </row>
    <row r="106" spans="1:16" ht="12.6" thickTop="1" x14ac:dyDescent="0.25"/>
    <row r="107" spans="1:16" ht="13.8" x14ac:dyDescent="0.3">
      <c r="A107" s="1091" t="s">
        <v>1362</v>
      </c>
    </row>
    <row r="108" spans="1:16" x14ac:dyDescent="0.25">
      <c r="A108" s="597" t="s">
        <v>1067</v>
      </c>
      <c r="B108" s="586" t="s">
        <v>69</v>
      </c>
      <c r="C108" s="586" t="s">
        <v>69</v>
      </c>
      <c r="D108" s="586" t="str">
        <f t="shared" ref="D108:P108" si="24">D55</f>
        <v>Actual</v>
      </c>
      <c r="E108" s="586" t="str">
        <f t="shared" si="24"/>
        <v>Actual</v>
      </c>
      <c r="F108" s="586" t="str">
        <f t="shared" si="24"/>
        <v>Budget</v>
      </c>
      <c r="G108" s="586" t="str">
        <f t="shared" si="24"/>
        <v>Budget</v>
      </c>
      <c r="H108" s="586" t="str">
        <f t="shared" si="24"/>
        <v>Projected</v>
      </c>
      <c r="I108" s="586" t="str">
        <f t="shared" si="24"/>
        <v>Projected</v>
      </c>
      <c r="J108" s="586" t="str">
        <f t="shared" si="24"/>
        <v>Projected</v>
      </c>
      <c r="K108" s="586" t="str">
        <f t="shared" si="24"/>
        <v>Projected</v>
      </c>
      <c r="L108" s="586" t="str">
        <f t="shared" si="24"/>
        <v>Projected</v>
      </c>
      <c r="M108" s="586" t="str">
        <f t="shared" si="24"/>
        <v>Projected</v>
      </c>
      <c r="N108" s="586" t="str">
        <f t="shared" si="24"/>
        <v>Projected</v>
      </c>
      <c r="O108" s="586" t="str">
        <f t="shared" si="24"/>
        <v>Projected</v>
      </c>
      <c r="P108" s="586" t="str">
        <f t="shared" si="24"/>
        <v>Projected</v>
      </c>
    </row>
    <row r="109" spans="1:16" x14ac:dyDescent="0.25">
      <c r="A109" s="585" t="s">
        <v>73</v>
      </c>
      <c r="B109" s="638" t="s">
        <v>68</v>
      </c>
      <c r="C109" s="586" t="s">
        <v>0</v>
      </c>
      <c r="D109" s="586" t="s">
        <v>1</v>
      </c>
      <c r="E109" s="586" t="s">
        <v>2</v>
      </c>
      <c r="F109" s="586" t="s">
        <v>3</v>
      </c>
      <c r="G109" s="586" t="s">
        <v>4</v>
      </c>
      <c r="H109" s="586" t="s">
        <v>5</v>
      </c>
      <c r="I109" s="586" t="s">
        <v>6</v>
      </c>
      <c r="J109" s="586" t="s">
        <v>7</v>
      </c>
      <c r="K109" s="586" t="s">
        <v>8</v>
      </c>
      <c r="L109" s="586" t="s">
        <v>9</v>
      </c>
      <c r="M109" s="586" t="s">
        <v>514</v>
      </c>
      <c r="N109" s="586" t="s">
        <v>515</v>
      </c>
      <c r="O109" s="586" t="s">
        <v>904</v>
      </c>
      <c r="P109" s="586" t="s">
        <v>1046</v>
      </c>
    </row>
    <row r="111" spans="1:16" x14ac:dyDescent="0.25">
      <c r="A111" s="592" t="s">
        <v>82</v>
      </c>
    </row>
    <row r="112" spans="1:16" x14ac:dyDescent="0.25">
      <c r="A112" s="640" t="s">
        <v>83</v>
      </c>
      <c r="B112" s="590"/>
      <c r="C112" s="590"/>
      <c r="D112" s="590"/>
      <c r="E112" s="590"/>
      <c r="F112" s="590"/>
      <c r="G112" s="590"/>
      <c r="H112" s="590"/>
      <c r="I112" s="590"/>
      <c r="J112" s="590"/>
      <c r="K112" s="590"/>
      <c r="L112" s="590"/>
      <c r="M112" s="590"/>
      <c r="N112" s="590"/>
      <c r="O112" s="590"/>
      <c r="P112" s="590"/>
    </row>
    <row r="113" spans="1:16" x14ac:dyDescent="0.25">
      <c r="A113" s="639" t="s">
        <v>11</v>
      </c>
      <c r="B113" s="594"/>
      <c r="C113" s="594">
        <f t="shared" ref="C113:D118" si="25">C60</f>
        <v>0</v>
      </c>
      <c r="D113" s="594">
        <f t="shared" si="25"/>
        <v>18724</v>
      </c>
      <c r="E113" s="594"/>
      <c r="F113" s="594">
        <f>'Sewer  Fund  Inc Exp Statem'!F148</f>
        <v>4001.5</v>
      </c>
      <c r="G113" s="594">
        <f>'Sewer  Fund  Inc Exp Statem'!G148</f>
        <v>3866</v>
      </c>
      <c r="H113" s="594">
        <f>'Sewer  Fund  Inc Exp Statem'!H148</f>
        <v>4129.43</v>
      </c>
      <c r="I113" s="594">
        <f>'Sewer  Fund  Inc Exp Statem'!I148</f>
        <v>4236.2120000000004</v>
      </c>
      <c r="J113" s="594">
        <f>'Sewer  Fund  Inc Exp Statem'!J148</f>
        <v>4349.6570000000002</v>
      </c>
      <c r="K113" s="594">
        <f>'Sewer  Fund  Inc Exp Statem'!K148</f>
        <v>4458.3984249999994</v>
      </c>
      <c r="L113" s="594">
        <f>'Sewer  Fund  Inc Exp Statem'!L148</f>
        <v>4569.8583856249988</v>
      </c>
      <c r="M113" s="594">
        <f>'Sewer  Fund  Inc Exp Statem'!M148</f>
        <v>4684.1048452656232</v>
      </c>
      <c r="N113" s="594">
        <f>'Sewer  Fund  Inc Exp Statem'!N148</f>
        <v>4801.2074663972635</v>
      </c>
      <c r="O113" s="594">
        <f>'Sewer  Fund  Inc Exp Statem'!O148</f>
        <v>4921.2376530571946</v>
      </c>
      <c r="P113" s="594">
        <f>'Sewer  Fund  Inc Exp Statem'!P148</f>
        <v>5044.2685943836241</v>
      </c>
    </row>
    <row r="114" spans="1:16" x14ac:dyDescent="0.25">
      <c r="A114" s="639" t="s">
        <v>12</v>
      </c>
      <c r="B114" s="594"/>
      <c r="C114" s="594">
        <f t="shared" si="25"/>
        <v>0</v>
      </c>
      <c r="D114" s="594">
        <f t="shared" si="25"/>
        <v>11585</v>
      </c>
      <c r="E114" s="594"/>
      <c r="F114" s="594">
        <f>'Sewer  Fund  Inc Exp Statem'!F149</f>
        <v>322.7</v>
      </c>
      <c r="G114" s="594">
        <f>'Sewer  Fund  Inc Exp Statem'!G149</f>
        <v>364.5</v>
      </c>
      <c r="H114" s="594">
        <f>'Sewer  Fund  Inc Exp Statem'!H149</f>
        <v>375.29</v>
      </c>
      <c r="I114" s="594">
        <f>'Sewer  Fund  Inc Exp Statem'!I149</f>
        <v>386.4</v>
      </c>
      <c r="J114" s="594">
        <f>'Sewer  Fund  Inc Exp Statem'!J149</f>
        <v>397.839</v>
      </c>
      <c r="K114" s="594">
        <f>'Sewer  Fund  Inc Exp Statem'!K149</f>
        <v>405.79577999999998</v>
      </c>
      <c r="L114" s="594">
        <f>'Sewer  Fund  Inc Exp Statem'!L149</f>
        <v>413.91169559999997</v>
      </c>
      <c r="M114" s="594">
        <f>'Sewer  Fund  Inc Exp Statem'!M149</f>
        <v>422.18992951199999</v>
      </c>
      <c r="N114" s="594">
        <f>'Sewer  Fund  Inc Exp Statem'!N149</f>
        <v>430.63372810224001</v>
      </c>
      <c r="O114" s="594">
        <f>'Sewer  Fund  Inc Exp Statem'!O149</f>
        <v>439.2464026642848</v>
      </c>
      <c r="P114" s="594">
        <f>'Sewer  Fund  Inc Exp Statem'!P149</f>
        <v>448.03133071757048</v>
      </c>
    </row>
    <row r="115" spans="1:16" x14ac:dyDescent="0.25">
      <c r="A115" s="639" t="s">
        <v>84</v>
      </c>
      <c r="B115" s="594"/>
      <c r="C115" s="594">
        <f t="shared" si="25"/>
        <v>0</v>
      </c>
      <c r="D115" s="594">
        <f t="shared" si="25"/>
        <v>2499</v>
      </c>
      <c r="E115" s="594"/>
      <c r="F115" s="594">
        <f>'Sewer  Fund  Inc Exp Statem'!F150</f>
        <v>455</v>
      </c>
      <c r="G115" s="594">
        <f>'Sewer  Fund  Inc Exp Statem'!G150</f>
        <v>405</v>
      </c>
      <c r="H115" s="594">
        <f>'Sewer  Fund  Inc Exp Statem'!H150</f>
        <v>290.75</v>
      </c>
      <c r="I115" s="594">
        <f>'Sewer  Fund  Inc Exp Statem'!I150</f>
        <v>216.52199999999999</v>
      </c>
      <c r="J115" s="594">
        <f>'Sewer  Fund  Inc Exp Statem'!J150</f>
        <v>177.31800000000001</v>
      </c>
      <c r="K115" s="594">
        <f>'Sewer  Fund  Inc Exp Statem'!K150</f>
        <v>61.38452000000003</v>
      </c>
      <c r="L115" s="594">
        <f>'Sewer  Fund  Inc Exp Statem'!L150</f>
        <v>4.0459263440000361</v>
      </c>
      <c r="M115" s="594">
        <f>'Sewer  Fund  Inc Exp Statem'!M150</f>
        <v>-55.453387844360059</v>
      </c>
      <c r="N115" s="594">
        <f>'Sewer  Fund  Inc Exp Statem'!N150</f>
        <v>-117.18565368630192</v>
      </c>
      <c r="O115" s="594">
        <f>'Sewer  Fund  Inc Exp Statem'!O150</f>
        <v>-181.22547376854538</v>
      </c>
      <c r="P115" s="594">
        <f>'Sewer  Fund  Inc Exp Statem'!P150</f>
        <v>-247.64990244187368</v>
      </c>
    </row>
    <row r="116" spans="1:16" x14ac:dyDescent="0.25">
      <c r="A116" s="639" t="s">
        <v>85</v>
      </c>
      <c r="B116" s="594"/>
      <c r="C116" s="594">
        <f t="shared" si="25"/>
        <v>0</v>
      </c>
      <c r="D116" s="594">
        <f t="shared" si="25"/>
        <v>26703</v>
      </c>
      <c r="E116" s="594"/>
      <c r="F116" s="594">
        <f>'Sewer  Fund  Inc Exp Statem'!F152+'Sewer  Fund  Inc Exp Statem'!F153</f>
        <v>1047.5</v>
      </c>
      <c r="G116" s="594">
        <f>'Sewer  Fund  Inc Exp Statem'!G152+'Sewer  Fund  Inc Exp Statem'!G153</f>
        <v>8725</v>
      </c>
      <c r="H116" s="594">
        <f>'Sewer  Fund  Inc Exp Statem'!H152+'Sewer  Fund  Inc Exp Statem'!H153</f>
        <v>85.7</v>
      </c>
      <c r="I116" s="594">
        <f>'Sewer  Fund  Inc Exp Statem'!I152+'Sewer  Fund  Inc Exp Statem'!I153</f>
        <v>86.414000000000001</v>
      </c>
      <c r="J116" s="594">
        <f>'Sewer  Fund  Inc Exp Statem'!J152+'Sewer  Fund  Inc Exp Statem'!J153</f>
        <v>87.141999999999996</v>
      </c>
      <c r="K116" s="594">
        <f>'Sewer  Fund  Inc Exp Statem'!K152+'Sewer  Fund  Inc Exp Statem'!K153</f>
        <v>89.070549999999997</v>
      </c>
      <c r="L116" s="594">
        <f>'Sewer  Fund  Inc Exp Statem'!L152+'Sewer  Fund  Inc Exp Statem'!L153</f>
        <v>91.042313750000005</v>
      </c>
      <c r="M116" s="594">
        <f>'Sewer  Fund  Inc Exp Statem'!M152+'Sewer  Fund  Inc Exp Statem'!M153</f>
        <v>93.058271593749993</v>
      </c>
      <c r="N116" s="594">
        <f>'Sewer  Fund  Inc Exp Statem'!N152+'Sewer  Fund  Inc Exp Statem'!N153</f>
        <v>95.119426383593748</v>
      </c>
      <c r="O116" s="594">
        <f>'Sewer  Fund  Inc Exp Statem'!O152+'Sewer  Fund  Inc Exp Statem'!O153</f>
        <v>97.226804003183588</v>
      </c>
      <c r="P116" s="594">
        <f>'Sewer  Fund  Inc Exp Statem'!P152+'Sewer  Fund  Inc Exp Statem'!P153</f>
        <v>99.381453902463164</v>
      </c>
    </row>
    <row r="117" spans="1:16" hidden="1" outlineLevel="2" x14ac:dyDescent="0.2">
      <c r="A117" s="639" t="s">
        <v>86</v>
      </c>
      <c r="B117" s="594"/>
      <c r="C117" s="594">
        <f t="shared" si="25"/>
        <v>0</v>
      </c>
      <c r="D117" s="594">
        <f t="shared" si="25"/>
        <v>97</v>
      </c>
      <c r="E117" s="594"/>
      <c r="F117" s="594">
        <v>0</v>
      </c>
      <c r="G117" s="594">
        <v>0</v>
      </c>
      <c r="H117" s="594">
        <v>0</v>
      </c>
      <c r="I117" s="594">
        <v>0</v>
      </c>
      <c r="J117" s="594">
        <v>0</v>
      </c>
      <c r="K117" s="594">
        <v>0</v>
      </c>
      <c r="L117" s="594">
        <v>0</v>
      </c>
      <c r="M117" s="594">
        <v>0</v>
      </c>
      <c r="N117" s="594">
        <v>0</v>
      </c>
      <c r="O117" s="594">
        <v>0</v>
      </c>
      <c r="P117" s="594">
        <v>0</v>
      </c>
    </row>
    <row r="118" spans="1:16" collapsed="1" x14ac:dyDescent="0.25">
      <c r="A118" s="639" t="s">
        <v>41</v>
      </c>
      <c r="B118" s="594"/>
      <c r="C118" s="594">
        <f t="shared" si="25"/>
        <v>0</v>
      </c>
      <c r="D118" s="594">
        <f t="shared" si="25"/>
        <v>5309</v>
      </c>
      <c r="E118" s="594"/>
      <c r="F118" s="594">
        <f>'Sewer  Fund  Inc Exp Statem'!F151+'Sewer  Fund  Inc Exp Statem'!F154</f>
        <v>0</v>
      </c>
      <c r="G118" s="594">
        <f>'Sewer  Fund  Inc Exp Statem'!G151+'Sewer  Fund  Inc Exp Statem'!G154</f>
        <v>0</v>
      </c>
      <c r="H118" s="594">
        <f>'Sewer  Fund  Inc Exp Statem'!H151+'Sewer  Fund  Inc Exp Statem'!H154</f>
        <v>0</v>
      </c>
      <c r="I118" s="594">
        <f>'Sewer  Fund  Inc Exp Statem'!I151+'Sewer  Fund  Inc Exp Statem'!I154</f>
        <v>0</v>
      </c>
      <c r="J118" s="594">
        <f>'Sewer  Fund  Inc Exp Statem'!J151+'Sewer  Fund  Inc Exp Statem'!J154</f>
        <v>0</v>
      </c>
      <c r="K118" s="594">
        <f>'Sewer  Fund  Inc Exp Statem'!K151+'Sewer  Fund  Inc Exp Statem'!K154</f>
        <v>0</v>
      </c>
      <c r="L118" s="594">
        <f>'Sewer  Fund  Inc Exp Statem'!L151+'Sewer  Fund  Inc Exp Statem'!L154</f>
        <v>0</v>
      </c>
      <c r="M118" s="594">
        <f>'Sewer  Fund  Inc Exp Statem'!M151+'Sewer  Fund  Inc Exp Statem'!M154</f>
        <v>0</v>
      </c>
      <c r="N118" s="594">
        <f>'Sewer  Fund  Inc Exp Statem'!N151+'Sewer  Fund  Inc Exp Statem'!N154</f>
        <v>0</v>
      </c>
      <c r="O118" s="594">
        <f>'Sewer  Fund  Inc Exp Statem'!O151+'Sewer  Fund  Inc Exp Statem'!O154</f>
        <v>0</v>
      </c>
      <c r="P118" s="594">
        <f>'Sewer  Fund  Inc Exp Statem'!P151+'Sewer  Fund  Inc Exp Statem'!P154</f>
        <v>0</v>
      </c>
    </row>
    <row r="119" spans="1:16" x14ac:dyDescent="0.25"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</row>
    <row r="120" spans="1:16" x14ac:dyDescent="0.25">
      <c r="A120" s="640" t="s">
        <v>87</v>
      </c>
      <c r="B120" s="594"/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</row>
    <row r="121" spans="1:16" x14ac:dyDescent="0.25">
      <c r="A121" s="639" t="s">
        <v>25</v>
      </c>
      <c r="B121" s="594"/>
      <c r="C121" s="594">
        <f>C68</f>
        <v>0</v>
      </c>
      <c r="D121" s="594">
        <f>D68</f>
        <v>-12900</v>
      </c>
      <c r="E121" s="594"/>
      <c r="F121" s="594">
        <f>-'Sewer  Fund  Inc Exp Statem'!F161</f>
        <v>-804.93100000000004</v>
      </c>
      <c r="G121" s="594">
        <f>-'Sewer  Fund  Inc Exp Statem'!G161</f>
        <v>-797.73099999999999</v>
      </c>
      <c r="H121" s="594">
        <f>-'Sewer  Fund  Inc Exp Statem'!H161</f>
        <v>-825.32899999999995</v>
      </c>
      <c r="I121" s="594">
        <f>-'Sewer  Fund  Inc Exp Statem'!I161</f>
        <v>-854.68700000000001</v>
      </c>
      <c r="J121" s="594">
        <f>-'Sewer  Fund  Inc Exp Statem'!J161</f>
        <v>-885.20299999999997</v>
      </c>
      <c r="K121" s="594">
        <f>-'Sewer  Fund  Inc Exp Statem'!K161</f>
        <v>-911.75909000000001</v>
      </c>
      <c r="L121" s="594">
        <f>-'Sewer  Fund  Inc Exp Statem'!L161</f>
        <v>-939.11186270000007</v>
      </c>
      <c r="M121" s="594">
        <f>-'Sewer  Fund  Inc Exp Statem'!M161</f>
        <v>-967.28521858100009</v>
      </c>
      <c r="N121" s="594">
        <f>-'Sewer  Fund  Inc Exp Statem'!N161</f>
        <v>-996.30377513843007</v>
      </c>
      <c r="O121" s="594">
        <f>-'Sewer  Fund  Inc Exp Statem'!O161</f>
        <v>-1026.192888392583</v>
      </c>
      <c r="P121" s="594">
        <f>-'Sewer  Fund  Inc Exp Statem'!P161</f>
        <v>-1056.9786750443604</v>
      </c>
    </row>
    <row r="122" spans="1:16" x14ac:dyDescent="0.25">
      <c r="A122" s="639" t="s">
        <v>27</v>
      </c>
      <c r="B122" s="594"/>
      <c r="C122" s="594">
        <f>C69</f>
        <v>0</v>
      </c>
      <c r="D122" s="594">
        <f>D69</f>
        <v>-9702</v>
      </c>
      <c r="E122" s="594"/>
      <c r="F122" s="594">
        <f>-'Sewer  Fund  Inc Exp Statem'!F163-'Sewer  Fund  Inc Exp Statem'!F164</f>
        <v>-1731.5</v>
      </c>
      <c r="G122" s="594">
        <f>-'Sewer  Fund  Inc Exp Statem'!G163-'Sewer  Fund  Inc Exp Statem'!G164</f>
        <v>-1731.9749999999999</v>
      </c>
      <c r="H122" s="594">
        <f>-'Sewer  Fund  Inc Exp Statem'!H163-'Sewer  Fund  Inc Exp Statem'!H164</f>
        <v>-1680.0260000000001</v>
      </c>
      <c r="I122" s="594">
        <f>-'Sewer  Fund  Inc Exp Statem'!I163-'Sewer  Fund  Inc Exp Statem'!I164</f>
        <v>-1730.029</v>
      </c>
      <c r="J122" s="594">
        <f>-'Sewer  Fund  Inc Exp Statem'!J163-'Sewer  Fund  Inc Exp Statem'!J164</f>
        <v>-1782.079</v>
      </c>
      <c r="K122" s="594">
        <f>-'Sewer  Fund  Inc Exp Statem'!K163-'Sewer  Fund  Inc Exp Statem'!K164</f>
        <v>-1800.59538</v>
      </c>
      <c r="L122" s="594">
        <f>-'Sewer  Fund  Inc Exp Statem'!L163-'Sewer  Fund  Inc Exp Statem'!L164</f>
        <v>-1836.6072876000001</v>
      </c>
      <c r="M122" s="594">
        <f>-'Sewer  Fund  Inc Exp Statem'!M163-'Sewer  Fund  Inc Exp Statem'!M164</f>
        <v>-1873.339433352</v>
      </c>
      <c r="N122" s="594">
        <f>-'Sewer  Fund  Inc Exp Statem'!N163-'Sewer  Fund  Inc Exp Statem'!N164</f>
        <v>-1910.8062220190402</v>
      </c>
      <c r="O122" s="594">
        <f>-'Sewer  Fund  Inc Exp Statem'!O163-'Sewer  Fund  Inc Exp Statem'!O164</f>
        <v>-1949.022346459421</v>
      </c>
      <c r="P122" s="594">
        <f>-'Sewer  Fund  Inc Exp Statem'!P163-'Sewer  Fund  Inc Exp Statem'!P164</f>
        <v>-1988.0027933886095</v>
      </c>
    </row>
    <row r="123" spans="1:16" x14ac:dyDescent="0.25">
      <c r="A123" s="639" t="s">
        <v>926</v>
      </c>
      <c r="B123" s="594"/>
      <c r="C123" s="594"/>
      <c r="D123" s="594">
        <f>D70</f>
        <v>-639</v>
      </c>
      <c r="E123" s="594"/>
      <c r="F123" s="594">
        <f>-'Sewer  Fund  Inc Exp Statem'!F162</f>
        <v>-54.21</v>
      </c>
      <c r="G123" s="594">
        <f>-'Sewer  Fund  Inc Exp Statem'!G162</f>
        <v>-485</v>
      </c>
      <c r="H123" s="594">
        <f>-'Sewer  Fund  Inc Exp Statem'!H162</f>
        <v>-813.04</v>
      </c>
      <c r="I123" s="594">
        <f>-'Sewer  Fund  Inc Exp Statem'!I162</f>
        <v>-810.45</v>
      </c>
      <c r="J123" s="594">
        <f>-'Sewer  Fund  Inc Exp Statem'!J162</f>
        <v>-807.78200000000004</v>
      </c>
      <c r="K123" s="594">
        <f>-'Sewer  Fund  Inc Exp Statem'!K162</f>
        <v>-804.08482640000011</v>
      </c>
      <c r="L123" s="594">
        <f>-'Sewer  Fund  Inc Exp Statem'!L162</f>
        <v>-800.31370932800007</v>
      </c>
      <c r="M123" s="594">
        <f>-'Sewer  Fund  Inc Exp Statem'!M162</f>
        <v>-796.46716991456003</v>
      </c>
      <c r="N123" s="594">
        <f>-'Sewer  Fund  Inc Exp Statem'!N162</f>
        <v>-792.54369971285121</v>
      </c>
      <c r="O123" s="594">
        <f>-'Sewer  Fund  Inc Exp Statem'!O162</f>
        <v>-788.5417601071083</v>
      </c>
      <c r="P123" s="594">
        <f>-'Sewer  Fund  Inc Exp Statem'!P162</f>
        <v>-784.45978170925036</v>
      </c>
    </row>
    <row r="124" spans="1:16" hidden="1" outlineLevel="1" x14ac:dyDescent="0.2">
      <c r="A124" s="639" t="s">
        <v>88</v>
      </c>
      <c r="B124" s="594"/>
      <c r="C124" s="594">
        <f>C71</f>
        <v>0</v>
      </c>
      <c r="D124" s="594">
        <f>D71</f>
        <v>-79</v>
      </c>
      <c r="E124" s="594"/>
      <c r="F124" s="594">
        <v>0</v>
      </c>
      <c r="G124" s="594">
        <v>0</v>
      </c>
      <c r="H124" s="594">
        <v>0</v>
      </c>
      <c r="I124" s="594">
        <v>0</v>
      </c>
      <c r="J124" s="594">
        <v>0</v>
      </c>
      <c r="K124" s="594">
        <v>0</v>
      </c>
      <c r="L124" s="594">
        <v>0</v>
      </c>
      <c r="M124" s="594">
        <v>0</v>
      </c>
      <c r="N124" s="594">
        <v>0</v>
      </c>
      <c r="O124" s="594">
        <v>0</v>
      </c>
      <c r="P124" s="594">
        <v>0</v>
      </c>
    </row>
    <row r="125" spans="1:16" collapsed="1" x14ac:dyDescent="0.25">
      <c r="A125" s="641" t="s">
        <v>41</v>
      </c>
      <c r="B125" s="591"/>
      <c r="C125" s="594">
        <f>C72</f>
        <v>0</v>
      </c>
      <c r="D125" s="594">
        <f>D72</f>
        <v>-7816</v>
      </c>
      <c r="E125" s="594"/>
      <c r="F125" s="591">
        <f>-'Sewer  Fund  Inc Exp Statem'!F168</f>
        <v>-210.95</v>
      </c>
      <c r="G125" s="591">
        <f>-'Sewer  Fund  Inc Exp Statem'!G168</f>
        <v>-229.55</v>
      </c>
      <c r="H125" s="591">
        <f>-'Sewer  Fund  Inc Exp Statem'!H168</f>
        <v>-234.14099999999999</v>
      </c>
      <c r="I125" s="591">
        <f>-'Sewer  Fund  Inc Exp Statem'!I168</f>
        <v>-238.905</v>
      </c>
      <c r="J125" s="591">
        <f>-'Sewer  Fund  Inc Exp Statem'!J168</f>
        <v>-243.57400000000001</v>
      </c>
      <c r="K125" s="591">
        <f>-'Sewer  Fund  Inc Exp Statem'!K168</f>
        <v>-248.44548</v>
      </c>
      <c r="L125" s="591">
        <f>-'Sewer  Fund  Inc Exp Statem'!L168</f>
        <v>-253.41438960000002</v>
      </c>
      <c r="M125" s="591">
        <f>-'Sewer  Fund  Inc Exp Statem'!M168</f>
        <v>-258.48267739200003</v>
      </c>
      <c r="N125" s="591">
        <f>-'Sewer  Fund  Inc Exp Statem'!N168</f>
        <v>-263.65233093984006</v>
      </c>
      <c r="O125" s="591">
        <f>-'Sewer  Fund  Inc Exp Statem'!O168</f>
        <v>-268.92537755863685</v>
      </c>
      <c r="P125" s="591">
        <f>-'Sewer  Fund  Inc Exp Statem'!P168</f>
        <v>-274.30388510980958</v>
      </c>
    </row>
    <row r="126" spans="1:16" x14ac:dyDescent="0.25">
      <c r="A126" s="642" t="s">
        <v>89</v>
      </c>
      <c r="B126" s="643">
        <f>SUM(B113:B125)</f>
        <v>0</v>
      </c>
      <c r="C126" s="643">
        <f t="shared" ref="C126:P126" si="26">SUM(C113:C125)</f>
        <v>0</v>
      </c>
      <c r="D126" s="643">
        <f t="shared" si="26"/>
        <v>33781</v>
      </c>
      <c r="E126" s="643">
        <f t="shared" si="26"/>
        <v>0</v>
      </c>
      <c r="F126" s="643">
        <f t="shared" si="26"/>
        <v>3025.1090000000004</v>
      </c>
      <c r="G126" s="643">
        <f t="shared" si="26"/>
        <v>10116.244000000001</v>
      </c>
      <c r="H126" s="643">
        <f t="shared" si="26"/>
        <v>1328.6340000000005</v>
      </c>
      <c r="I126" s="643">
        <f t="shared" si="26"/>
        <v>1291.4769999999999</v>
      </c>
      <c r="J126" s="643">
        <f t="shared" si="26"/>
        <v>1293.3180000000007</v>
      </c>
      <c r="K126" s="643">
        <f t="shared" si="26"/>
        <v>1249.7644986000003</v>
      </c>
      <c r="L126" s="643">
        <f t="shared" si="26"/>
        <v>1249.411072090998</v>
      </c>
      <c r="M126" s="643">
        <f t="shared" si="26"/>
        <v>1248.3251592874535</v>
      </c>
      <c r="N126" s="643">
        <f t="shared" si="26"/>
        <v>1246.468939386634</v>
      </c>
      <c r="O126" s="643">
        <f t="shared" si="26"/>
        <v>1243.803013438368</v>
      </c>
      <c r="P126" s="643">
        <f t="shared" si="26"/>
        <v>1240.2863413097548</v>
      </c>
    </row>
    <row r="127" spans="1:16" x14ac:dyDescent="0.25">
      <c r="B127" s="590"/>
      <c r="C127" s="590"/>
      <c r="D127" s="590"/>
      <c r="E127" s="590"/>
      <c r="F127" s="590"/>
      <c r="G127" s="590"/>
      <c r="H127" s="590"/>
      <c r="I127" s="590"/>
      <c r="J127" s="590"/>
      <c r="K127" s="590"/>
      <c r="L127" s="590"/>
      <c r="M127" s="590"/>
      <c r="N127" s="590"/>
      <c r="O127" s="590"/>
      <c r="P127" s="590"/>
    </row>
    <row r="128" spans="1:16" x14ac:dyDescent="0.25">
      <c r="A128" s="592" t="s">
        <v>90</v>
      </c>
      <c r="B128" s="590"/>
      <c r="C128" s="590"/>
      <c r="D128" s="590"/>
      <c r="E128" s="590"/>
      <c r="F128" s="590"/>
      <c r="G128" s="590"/>
      <c r="H128" s="590"/>
      <c r="I128" s="590"/>
      <c r="J128" s="590"/>
      <c r="K128" s="590"/>
      <c r="L128" s="590"/>
      <c r="M128" s="590"/>
      <c r="N128" s="590"/>
      <c r="O128" s="590"/>
      <c r="P128" s="590"/>
    </row>
    <row r="129" spans="1:17" x14ac:dyDescent="0.25">
      <c r="A129" s="640" t="s">
        <v>83</v>
      </c>
      <c r="B129" s="590"/>
      <c r="C129" s="590"/>
      <c r="D129" s="590"/>
      <c r="E129" s="590"/>
      <c r="F129" s="590"/>
      <c r="G129" s="590"/>
      <c r="H129" s="590"/>
      <c r="I129" s="590"/>
      <c r="J129" s="590"/>
      <c r="K129" s="590"/>
      <c r="L129" s="590"/>
      <c r="M129" s="590"/>
      <c r="N129" s="590"/>
      <c r="O129" s="590"/>
      <c r="P129" s="590"/>
    </row>
    <row r="130" spans="1:17" x14ac:dyDescent="0.25">
      <c r="A130" s="639" t="s">
        <v>431</v>
      </c>
      <c r="B130" s="590"/>
      <c r="C130" s="590">
        <f>C77</f>
        <v>0</v>
      </c>
      <c r="D130" s="594">
        <f>D77</f>
        <v>7491</v>
      </c>
      <c r="E130" s="594">
        <f>E77</f>
        <v>0</v>
      </c>
      <c r="F130" s="594">
        <f>'Sewer  Fund  Inc Exp Statem'!F201</f>
        <v>3869.8910000000001</v>
      </c>
      <c r="G130" s="594">
        <f>'Sewer  Fund  Inc Exp Statem'!G201</f>
        <v>1200</v>
      </c>
      <c r="H130" s="594">
        <f>'Sewer  Fund  Inc Exp Statem'!H201</f>
        <v>2236.7249999999999</v>
      </c>
      <c r="I130" s="594">
        <f>'Sewer  Fund  Inc Exp Statem'!I201</f>
        <v>2276.4720000000002</v>
      </c>
      <c r="J130" s="594">
        <f>'Sewer  Fund  Inc Exp Statem'!J201</f>
        <v>1387.239</v>
      </c>
      <c r="K130" s="594">
        <f>'Sewer  Fund  Inc Exp Statem'!K201</f>
        <v>1414.98378</v>
      </c>
      <c r="L130" s="594">
        <f>'Sewer  Fund  Inc Exp Statem'!L201</f>
        <v>1443.2834556</v>
      </c>
      <c r="M130" s="594">
        <f>'Sewer  Fund  Inc Exp Statem'!M201</f>
        <v>1472.149124712</v>
      </c>
      <c r="N130" s="594">
        <f>'Sewer  Fund  Inc Exp Statem'!N201</f>
        <v>1501.5921072062399</v>
      </c>
      <c r="O130" s="594">
        <f>'Sewer  Fund  Inc Exp Statem'!O201</f>
        <v>1531.6239493503647</v>
      </c>
      <c r="P130" s="594">
        <f>'Sewer  Fund  Inc Exp Statem'!P201</f>
        <v>1562.256428337372</v>
      </c>
    </row>
    <row r="131" spans="1:17" x14ac:dyDescent="0.25">
      <c r="A131" s="594" t="str">
        <f>A78</f>
        <v>Sale of Investment Property</v>
      </c>
      <c r="B131" s="590"/>
      <c r="C131" s="590"/>
      <c r="D131" s="594">
        <f t="shared" ref="D131:E133" si="27">D78</f>
        <v>0</v>
      </c>
      <c r="E131" s="594">
        <f t="shared" si="27"/>
        <v>0</v>
      </c>
      <c r="F131" s="594">
        <v>0</v>
      </c>
      <c r="G131" s="594">
        <v>0</v>
      </c>
      <c r="H131" s="594">
        <v>0</v>
      </c>
      <c r="I131" s="594">
        <v>0</v>
      </c>
      <c r="J131" s="594">
        <v>0</v>
      </c>
      <c r="K131" s="594">
        <v>0</v>
      </c>
      <c r="L131" s="594">
        <v>0</v>
      </c>
      <c r="M131" s="594">
        <v>0</v>
      </c>
      <c r="N131" s="594">
        <v>0</v>
      </c>
      <c r="O131" s="594">
        <v>0</v>
      </c>
      <c r="P131" s="594">
        <v>0</v>
      </c>
    </row>
    <row r="132" spans="1:17" x14ac:dyDescent="0.25">
      <c r="A132" s="639" t="s">
        <v>91</v>
      </c>
      <c r="B132" s="594"/>
      <c r="C132" s="590">
        <f>C79</f>
        <v>0</v>
      </c>
      <c r="D132" s="594">
        <f t="shared" si="27"/>
        <v>0</v>
      </c>
      <c r="E132" s="594">
        <f t="shared" si="27"/>
        <v>0</v>
      </c>
      <c r="F132" s="594">
        <v>0</v>
      </c>
      <c r="G132" s="594">
        <v>0</v>
      </c>
      <c r="H132" s="594">
        <v>0</v>
      </c>
      <c r="I132" s="594">
        <v>0</v>
      </c>
      <c r="J132" s="594">
        <v>0</v>
      </c>
      <c r="K132" s="594">
        <v>0</v>
      </c>
      <c r="L132" s="594">
        <v>0</v>
      </c>
      <c r="M132" s="594">
        <v>0</v>
      </c>
      <c r="N132" s="594">
        <v>0</v>
      </c>
      <c r="O132" s="594">
        <v>0</v>
      </c>
      <c r="P132" s="594">
        <v>0</v>
      </c>
    </row>
    <row r="133" spans="1:17" x14ac:dyDescent="0.25">
      <c r="A133" s="639" t="s">
        <v>92</v>
      </c>
      <c r="B133" s="594"/>
      <c r="C133" s="590">
        <f>C80</f>
        <v>0</v>
      </c>
      <c r="D133" s="594">
        <f t="shared" si="27"/>
        <v>167</v>
      </c>
      <c r="E133" s="594">
        <f t="shared" si="27"/>
        <v>0</v>
      </c>
      <c r="F133" s="594">
        <f>'Sewer  Fund  Inc Exp Statem'!F203</f>
        <v>0</v>
      </c>
      <c r="G133" s="594">
        <f>'Sewer  Fund  Inc Exp Statem'!G203</f>
        <v>0</v>
      </c>
      <c r="H133" s="594">
        <f>'Sewer  Fund  Inc Exp Statem'!H203</f>
        <v>0</v>
      </c>
      <c r="I133" s="594">
        <f>'Sewer  Fund  Inc Exp Statem'!I203</f>
        <v>0</v>
      </c>
      <c r="J133" s="594">
        <f>'Sewer  Fund  Inc Exp Statem'!J203</f>
        <v>0</v>
      </c>
      <c r="K133" s="594">
        <f>'Sewer  Fund  Inc Exp Statem'!K203</f>
        <v>0</v>
      </c>
      <c r="L133" s="594">
        <f>'Sewer  Fund  Inc Exp Statem'!L203</f>
        <v>0</v>
      </c>
      <c r="M133" s="594">
        <f>'Sewer  Fund  Inc Exp Statem'!M203</f>
        <v>0</v>
      </c>
      <c r="N133" s="594">
        <f>'Sewer  Fund  Inc Exp Statem'!N203</f>
        <v>0</v>
      </c>
      <c r="O133" s="594">
        <f>'Sewer  Fund  Inc Exp Statem'!O203</f>
        <v>0</v>
      </c>
      <c r="P133" s="594">
        <f>'Sewer  Fund  Inc Exp Statem'!P203</f>
        <v>0</v>
      </c>
      <c r="Q133" s="594">
        <f>'Sewer  Fund  Inc Exp Statem'!Q203</f>
        <v>0</v>
      </c>
    </row>
    <row r="134" spans="1:17" x14ac:dyDescent="0.25">
      <c r="B134" s="594"/>
      <c r="C134" s="594"/>
      <c r="D134" s="594"/>
      <c r="E134" s="594"/>
      <c r="F134" s="594"/>
      <c r="G134" s="594"/>
      <c r="H134" s="594"/>
      <c r="I134" s="594"/>
      <c r="J134" s="594"/>
      <c r="K134" s="594"/>
      <c r="L134" s="594"/>
      <c r="M134" s="594"/>
      <c r="N134" s="594"/>
      <c r="O134" s="594"/>
      <c r="P134" s="594"/>
    </row>
    <row r="135" spans="1:17" x14ac:dyDescent="0.25">
      <c r="A135" s="640" t="s">
        <v>87</v>
      </c>
      <c r="B135" s="594"/>
      <c r="C135" s="594"/>
      <c r="D135" s="594"/>
      <c r="E135" s="594"/>
      <c r="F135" s="594"/>
      <c r="G135" s="594"/>
      <c r="H135" s="594"/>
      <c r="I135" s="594"/>
      <c r="J135" s="594"/>
      <c r="K135" s="594"/>
      <c r="L135" s="594"/>
      <c r="M135" s="594"/>
      <c r="N135" s="594"/>
      <c r="O135" s="594"/>
      <c r="P135" s="594"/>
    </row>
    <row r="136" spans="1:17" x14ac:dyDescent="0.25">
      <c r="A136" s="639" t="s">
        <v>93</v>
      </c>
      <c r="B136" s="594"/>
      <c r="C136" s="594">
        <f>C83</f>
        <v>0</v>
      </c>
      <c r="D136" s="594">
        <f>D83</f>
        <v>-10303</v>
      </c>
      <c r="E136" s="594">
        <f>E83</f>
        <v>0</v>
      </c>
      <c r="F136" s="594">
        <f>-'Sewer  Fund  Inc Exp Statem'!F193</f>
        <v>-50</v>
      </c>
      <c r="G136" s="594">
        <f>-'Sewer  Fund  Inc Exp Statem'!G193</f>
        <v>-50</v>
      </c>
      <c r="H136" s="594">
        <f>-'Sewer  Fund  Inc Exp Statem'!H193</f>
        <v>-50</v>
      </c>
      <c r="I136" s="594">
        <f>-'Sewer  Fund  Inc Exp Statem'!I193</f>
        <v>-50</v>
      </c>
      <c r="J136" s="594">
        <f>-'Sewer  Fund  Inc Exp Statem'!J193</f>
        <v>-50</v>
      </c>
      <c r="K136" s="594">
        <f>-'Sewer  Fund  Inc Exp Statem'!K193</f>
        <v>-51</v>
      </c>
      <c r="L136" s="594">
        <f>-'Sewer  Fund  Inc Exp Statem'!L193</f>
        <v>-52.02</v>
      </c>
      <c r="M136" s="594">
        <f>-'Sewer  Fund  Inc Exp Statem'!M193</f>
        <v>-53.060400000000001</v>
      </c>
      <c r="N136" s="594">
        <f>-'Sewer  Fund  Inc Exp Statem'!N193</f>
        <v>-54.121608000000002</v>
      </c>
      <c r="O136" s="594">
        <f>-'Sewer  Fund  Inc Exp Statem'!O193</f>
        <v>-55.204040160000005</v>
      </c>
      <c r="P136" s="594">
        <f>-'Sewer  Fund  Inc Exp Statem'!P193</f>
        <v>-56.308120963200004</v>
      </c>
    </row>
    <row r="137" spans="1:17" x14ac:dyDescent="0.25">
      <c r="A137" s="594" t="str">
        <f>A84</f>
        <v>Purchase of Investment Property</v>
      </c>
      <c r="B137" s="594"/>
      <c r="C137" s="594"/>
      <c r="D137" s="594">
        <f>D84</f>
        <v>-2531</v>
      </c>
      <c r="E137" s="594">
        <f t="shared" ref="E137" si="28">E84</f>
        <v>0</v>
      </c>
      <c r="F137" s="594">
        <f>0</f>
        <v>0</v>
      </c>
      <c r="G137" s="594">
        <f>0</f>
        <v>0</v>
      </c>
      <c r="H137" s="594">
        <f>0</f>
        <v>0</v>
      </c>
      <c r="I137" s="594">
        <f>0</f>
        <v>0</v>
      </c>
      <c r="J137" s="594">
        <f>0</f>
        <v>0</v>
      </c>
      <c r="K137" s="594">
        <f>0</f>
        <v>0</v>
      </c>
      <c r="L137" s="594">
        <f>0</f>
        <v>0</v>
      </c>
      <c r="M137" s="594">
        <f>0</f>
        <v>0</v>
      </c>
      <c r="N137" s="594">
        <f>0</f>
        <v>0</v>
      </c>
      <c r="O137" s="594">
        <f>0</f>
        <v>0</v>
      </c>
      <c r="P137" s="594">
        <f>0</f>
        <v>0</v>
      </c>
    </row>
    <row r="138" spans="1:17" x14ac:dyDescent="0.25">
      <c r="A138" s="639" t="s">
        <v>94</v>
      </c>
      <c r="B138" s="594"/>
      <c r="C138" s="594">
        <f>C85</f>
        <v>0</v>
      </c>
      <c r="D138" s="594">
        <f>D85</f>
        <v>-26369</v>
      </c>
      <c r="E138" s="594">
        <f>E85</f>
        <v>0</v>
      </c>
      <c r="F138" s="594">
        <f>-SUM('Sewer  Fund  Inc Exp Statem'!F189:F191)</f>
        <v>-16180</v>
      </c>
      <c r="G138" s="594">
        <f>-SUM('Sewer  Fund  Inc Exp Statem'!G189:G191)</f>
        <v>-28540</v>
      </c>
      <c r="H138" s="594">
        <f>-SUM('Sewer  Fund  Inc Exp Statem'!H189:H191)</f>
        <v>-3430</v>
      </c>
      <c r="I138" s="594">
        <f>-SUM('Sewer  Fund  Inc Exp Statem'!I189:I191)</f>
        <v>-3430</v>
      </c>
      <c r="J138" s="594">
        <f>-SUM('Sewer  Fund  Inc Exp Statem'!J189:J191)</f>
        <v>-2540</v>
      </c>
      <c r="K138" s="594">
        <f>-SUM('Sewer  Fund  Inc Exp Statem'!K189:K191)</f>
        <v>-2590.8000000000002</v>
      </c>
      <c r="L138" s="594">
        <f>-SUM('Sewer  Fund  Inc Exp Statem'!L189:L191)</f>
        <v>-2642.6160000000004</v>
      </c>
      <c r="M138" s="594">
        <f>-SUM('Sewer  Fund  Inc Exp Statem'!M189:M191)</f>
        <v>-2695.4683200000004</v>
      </c>
      <c r="N138" s="594">
        <f>-SUM('Sewer  Fund  Inc Exp Statem'!N189:N191)</f>
        <v>-2749.3776864000006</v>
      </c>
      <c r="O138" s="594">
        <f>-SUM('Sewer  Fund  Inc Exp Statem'!O189:O191)</f>
        <v>-2804.3652401280006</v>
      </c>
      <c r="P138" s="594">
        <f>-SUM('Sewer  Fund  Inc Exp Statem'!P189:P191)</f>
        <v>-2860.4525449305606</v>
      </c>
    </row>
    <row r="139" spans="1:17" x14ac:dyDescent="0.25">
      <c r="A139" s="641" t="s">
        <v>95</v>
      </c>
      <c r="B139" s="591"/>
      <c r="C139" s="591">
        <f>C86</f>
        <v>0</v>
      </c>
      <c r="D139" s="591">
        <f>D86</f>
        <v>-26</v>
      </c>
      <c r="E139" s="591">
        <f>E86</f>
        <v>0</v>
      </c>
      <c r="F139" s="591">
        <f t="shared" ref="F139:P139" si="29">F86</f>
        <v>0</v>
      </c>
      <c r="G139" s="591">
        <f t="shared" si="29"/>
        <v>0</v>
      </c>
      <c r="H139" s="591">
        <f t="shared" si="29"/>
        <v>0</v>
      </c>
      <c r="I139" s="591">
        <f t="shared" si="29"/>
        <v>0</v>
      </c>
      <c r="J139" s="591">
        <f t="shared" si="29"/>
        <v>0</v>
      </c>
      <c r="K139" s="591">
        <f t="shared" si="29"/>
        <v>0</v>
      </c>
      <c r="L139" s="591">
        <f t="shared" si="29"/>
        <v>0</v>
      </c>
      <c r="M139" s="591">
        <f t="shared" si="29"/>
        <v>0</v>
      </c>
      <c r="N139" s="591">
        <f t="shared" si="29"/>
        <v>0</v>
      </c>
      <c r="O139" s="591">
        <f t="shared" si="29"/>
        <v>0</v>
      </c>
      <c r="P139" s="591">
        <f t="shared" si="29"/>
        <v>0</v>
      </c>
    </row>
    <row r="140" spans="1:17" x14ac:dyDescent="0.25">
      <c r="A140" s="642" t="s">
        <v>110</v>
      </c>
      <c r="B140" s="593">
        <f>SUM(B130:B139)</f>
        <v>0</v>
      </c>
      <c r="C140" s="593">
        <f t="shared" ref="C140:P140" si="30">SUM(C130:C139)</f>
        <v>0</v>
      </c>
      <c r="D140" s="593">
        <f t="shared" si="30"/>
        <v>-31571</v>
      </c>
      <c r="E140" s="593">
        <f t="shared" si="30"/>
        <v>0</v>
      </c>
      <c r="F140" s="593">
        <f t="shared" si="30"/>
        <v>-12360.109</v>
      </c>
      <c r="G140" s="593">
        <f t="shared" si="30"/>
        <v>-27390</v>
      </c>
      <c r="H140" s="593">
        <f t="shared" si="30"/>
        <v>-1243.2750000000001</v>
      </c>
      <c r="I140" s="593">
        <f t="shared" si="30"/>
        <v>-1203.5279999999998</v>
      </c>
      <c r="J140" s="593">
        <f t="shared" si="30"/>
        <v>-1202.761</v>
      </c>
      <c r="K140" s="593">
        <f t="shared" si="30"/>
        <v>-1226.8162200000002</v>
      </c>
      <c r="L140" s="593">
        <f t="shared" si="30"/>
        <v>-1251.3525444000004</v>
      </c>
      <c r="M140" s="593">
        <f t="shared" si="30"/>
        <v>-1276.3795952880005</v>
      </c>
      <c r="N140" s="593">
        <f t="shared" si="30"/>
        <v>-1301.9071871937606</v>
      </c>
      <c r="O140" s="593">
        <f t="shared" si="30"/>
        <v>-1327.9453309376358</v>
      </c>
      <c r="P140" s="593">
        <f t="shared" si="30"/>
        <v>-1354.5042375563887</v>
      </c>
    </row>
    <row r="141" spans="1:17" x14ac:dyDescent="0.25">
      <c r="B141" s="594"/>
      <c r="C141" s="594"/>
      <c r="D141" s="594"/>
      <c r="E141" s="594"/>
      <c r="F141" s="594"/>
      <c r="G141" s="594"/>
      <c r="H141" s="594"/>
      <c r="I141" s="594"/>
      <c r="J141" s="594"/>
      <c r="K141" s="594"/>
      <c r="L141" s="594"/>
      <c r="M141" s="594"/>
      <c r="N141" s="594"/>
      <c r="O141" s="594"/>
      <c r="P141" s="594"/>
    </row>
    <row r="142" spans="1:17" x14ac:dyDescent="0.25">
      <c r="A142" s="592" t="s">
        <v>1054</v>
      </c>
      <c r="B142" s="590"/>
      <c r="C142" s="590"/>
      <c r="D142" s="590"/>
      <c r="E142" s="590"/>
      <c r="F142" s="590"/>
      <c r="G142" s="590"/>
      <c r="H142" s="590"/>
      <c r="I142" s="590"/>
      <c r="J142" s="590"/>
      <c r="K142" s="590"/>
      <c r="L142" s="590"/>
      <c r="M142" s="590"/>
      <c r="N142" s="590"/>
      <c r="O142" s="590"/>
      <c r="P142" s="590"/>
    </row>
    <row r="143" spans="1:17" x14ac:dyDescent="0.25">
      <c r="A143" s="640" t="s">
        <v>83</v>
      </c>
      <c r="B143" s="590"/>
      <c r="C143" s="590"/>
      <c r="D143" s="590"/>
      <c r="E143" s="590"/>
      <c r="F143" s="590"/>
      <c r="G143" s="590"/>
      <c r="H143" s="590"/>
      <c r="I143" s="590"/>
      <c r="J143" s="590"/>
      <c r="K143" s="590"/>
      <c r="L143" s="590"/>
      <c r="M143" s="590"/>
      <c r="N143" s="590"/>
      <c r="O143" s="590"/>
      <c r="P143" s="590"/>
    </row>
    <row r="144" spans="1:17" x14ac:dyDescent="0.25">
      <c r="A144" s="639" t="s">
        <v>1055</v>
      </c>
      <c r="B144" s="594"/>
      <c r="C144" s="594"/>
      <c r="D144" s="594">
        <f>D38</f>
        <v>5350</v>
      </c>
      <c r="E144" s="594">
        <f t="shared" ref="E144" si="31">E38</f>
        <v>0</v>
      </c>
      <c r="F144" s="594">
        <f>'Sewer  Fund  Inc Exp Statem'!F202</f>
        <v>9756</v>
      </c>
      <c r="G144" s="594">
        <f>'Sewer  Fund  Inc Exp Statem'!G202</f>
        <v>17356.182000000001</v>
      </c>
      <c r="H144" s="594">
        <f>'Sewer  Fund  Inc Exp Statem'!H202</f>
        <v>0</v>
      </c>
      <c r="I144" s="594">
        <f>'Sewer  Fund  Inc Exp Statem'!I202</f>
        <v>0</v>
      </c>
      <c r="J144" s="594">
        <f>'Sewer  Fund  Inc Exp Statem'!J202</f>
        <v>0</v>
      </c>
      <c r="K144" s="594">
        <f>'Sewer  Fund  Inc Exp Statem'!K202</f>
        <v>0</v>
      </c>
      <c r="L144" s="594">
        <f>'Sewer  Fund  Inc Exp Statem'!L202</f>
        <v>0</v>
      </c>
      <c r="M144" s="594">
        <f>'Sewer  Fund  Inc Exp Statem'!M202</f>
        <v>0</v>
      </c>
      <c r="N144" s="594">
        <f>'Sewer  Fund  Inc Exp Statem'!N202</f>
        <v>0</v>
      </c>
      <c r="O144" s="594">
        <f>'Sewer  Fund  Inc Exp Statem'!O202</f>
        <v>0</v>
      </c>
      <c r="P144" s="594">
        <f>'Sewer  Fund  Inc Exp Statem'!P202</f>
        <v>0</v>
      </c>
    </row>
    <row r="145" spans="1:16" ht="5.25" customHeight="1" x14ac:dyDescent="0.25">
      <c r="B145" s="594"/>
      <c r="C145" s="594"/>
      <c r="D145" s="594"/>
      <c r="E145" s="594"/>
      <c r="F145" s="594"/>
      <c r="G145" s="594"/>
      <c r="H145" s="594"/>
      <c r="I145" s="594"/>
      <c r="J145" s="594"/>
      <c r="K145" s="594"/>
      <c r="L145" s="594"/>
      <c r="M145" s="594"/>
      <c r="N145" s="594"/>
      <c r="O145" s="594"/>
      <c r="P145" s="594"/>
    </row>
    <row r="146" spans="1:16" x14ac:dyDescent="0.25">
      <c r="A146" s="640" t="s">
        <v>87</v>
      </c>
      <c r="B146" s="594"/>
      <c r="C146" s="594"/>
      <c r="D146" s="594"/>
      <c r="E146" s="594"/>
      <c r="F146" s="594"/>
      <c r="G146" s="594"/>
      <c r="H146" s="594"/>
      <c r="I146" s="594"/>
      <c r="J146" s="594"/>
      <c r="K146" s="594"/>
      <c r="L146" s="594"/>
      <c r="M146" s="594"/>
      <c r="N146" s="594"/>
      <c r="O146" s="594"/>
      <c r="P146" s="594"/>
    </row>
    <row r="147" spans="1:16" x14ac:dyDescent="0.25">
      <c r="A147" s="639" t="s">
        <v>1056</v>
      </c>
      <c r="B147" s="594"/>
      <c r="C147" s="594"/>
      <c r="D147" s="594">
        <f>D41</f>
        <v>-1616</v>
      </c>
      <c r="E147" s="594">
        <f t="shared" ref="E147" si="32">E41</f>
        <v>0</v>
      </c>
      <c r="F147" s="594">
        <f>-'Sewer  Fund  Inc Exp Statem'!F192</f>
        <v>-421</v>
      </c>
      <c r="G147" s="594">
        <f>-'Sewer  Fund  Inc Exp Statem'!G192</f>
        <v>-82.426000000000002</v>
      </c>
      <c r="H147" s="594">
        <f>-'Sewer  Fund  Inc Exp Statem'!H192</f>
        <v>-85.358999999999995</v>
      </c>
      <c r="I147" s="594">
        <f>-'Sewer  Fund  Inc Exp Statem'!I192</f>
        <v>-87.948999999999998</v>
      </c>
      <c r="J147" s="594">
        <f>-'Sewer  Fund  Inc Exp Statem'!J192</f>
        <v>-90.617000000000004</v>
      </c>
      <c r="K147" s="594">
        <f>-'Sewer  Fund  Inc Exp Statem'!K192</f>
        <v>-92.42934000000001</v>
      </c>
      <c r="L147" s="594">
        <f>-'Sewer  Fund  Inc Exp Statem'!L192</f>
        <v>-94.277926800000017</v>
      </c>
      <c r="M147" s="594">
        <f>-'Sewer  Fund  Inc Exp Statem'!M192</f>
        <v>-96.163485336000022</v>
      </c>
      <c r="N147" s="594">
        <f>-'Sewer  Fund  Inc Exp Statem'!N192</f>
        <v>-98.086755042720029</v>
      </c>
      <c r="O147" s="594">
        <f>-'Sewer  Fund  Inc Exp Statem'!O192</f>
        <v>-100.04849014357443</v>
      </c>
      <c r="P147" s="594">
        <f>-'Sewer  Fund  Inc Exp Statem'!P192</f>
        <v>-102.04945994644592</v>
      </c>
    </row>
    <row r="148" spans="1:16" s="644" customFormat="1" x14ac:dyDescent="0.25">
      <c r="A148" s="770" t="s">
        <v>110</v>
      </c>
      <c r="B148" s="772">
        <f t="shared" ref="B148:P148" si="33">SUM(B144:B147)</f>
        <v>0</v>
      </c>
      <c r="C148" s="772">
        <f t="shared" si="33"/>
        <v>0</v>
      </c>
      <c r="D148" s="772">
        <f t="shared" si="33"/>
        <v>3734</v>
      </c>
      <c r="E148" s="772">
        <f t="shared" si="33"/>
        <v>0</v>
      </c>
      <c r="F148" s="772">
        <f t="shared" si="33"/>
        <v>9335</v>
      </c>
      <c r="G148" s="772">
        <f t="shared" si="33"/>
        <v>17273.756000000001</v>
      </c>
      <c r="H148" s="772">
        <f t="shared" si="33"/>
        <v>-85.358999999999995</v>
      </c>
      <c r="I148" s="772">
        <f t="shared" si="33"/>
        <v>-87.948999999999998</v>
      </c>
      <c r="J148" s="772">
        <f t="shared" si="33"/>
        <v>-90.617000000000004</v>
      </c>
      <c r="K148" s="772">
        <f t="shared" si="33"/>
        <v>-92.42934000000001</v>
      </c>
      <c r="L148" s="772">
        <f t="shared" si="33"/>
        <v>-94.277926800000017</v>
      </c>
      <c r="M148" s="772">
        <f t="shared" si="33"/>
        <v>-96.163485336000022</v>
      </c>
      <c r="N148" s="772">
        <f t="shared" si="33"/>
        <v>-98.086755042720029</v>
      </c>
      <c r="O148" s="772">
        <f t="shared" si="33"/>
        <v>-100.04849014357443</v>
      </c>
      <c r="P148" s="772">
        <f t="shared" si="33"/>
        <v>-102.04945994644592</v>
      </c>
    </row>
    <row r="149" spans="1:16" s="644" customFormat="1" ht="4.5" customHeight="1" x14ac:dyDescent="0.25">
      <c r="A149" s="642"/>
      <c r="B149" s="593"/>
      <c r="C149" s="593"/>
      <c r="D149" s="593"/>
      <c r="E149" s="593"/>
      <c r="F149" s="593"/>
      <c r="G149" s="593"/>
      <c r="H149" s="593"/>
      <c r="I149" s="593"/>
      <c r="J149" s="593"/>
      <c r="K149" s="593"/>
      <c r="L149" s="593"/>
      <c r="M149" s="593"/>
      <c r="N149" s="593"/>
      <c r="O149" s="593"/>
      <c r="P149" s="593"/>
    </row>
    <row r="150" spans="1:16" x14ac:dyDescent="0.25">
      <c r="A150" s="592" t="s">
        <v>321</v>
      </c>
      <c r="B150" s="594">
        <f>+B126+B140</f>
        <v>0</v>
      </c>
      <c r="C150" s="594">
        <f>+C126+C140</f>
        <v>0</v>
      </c>
      <c r="D150" s="594">
        <f>+D126+D140+D148</f>
        <v>5944</v>
      </c>
      <c r="E150" s="594">
        <f t="shared" ref="E150:P150" si="34">+E126+E140+E148</f>
        <v>0</v>
      </c>
      <c r="F150" s="594">
        <f t="shared" si="34"/>
        <v>0</v>
      </c>
      <c r="G150" s="594">
        <f t="shared" si="34"/>
        <v>0</v>
      </c>
      <c r="H150" s="594">
        <f t="shared" si="34"/>
        <v>3.836930773104541E-13</v>
      </c>
      <c r="I150" s="594">
        <f t="shared" si="34"/>
        <v>0</v>
      </c>
      <c r="J150" s="594">
        <f t="shared" si="34"/>
        <v>-5.9999999999305942E-2</v>
      </c>
      <c r="K150" s="594">
        <f t="shared" si="34"/>
        <v>-69.481061399999916</v>
      </c>
      <c r="L150" s="594">
        <f t="shared" si="34"/>
        <v>-96.21939910900241</v>
      </c>
      <c r="M150" s="594">
        <f t="shared" si="34"/>
        <v>-124.21792133654698</v>
      </c>
      <c r="N150" s="594">
        <f t="shared" si="34"/>
        <v>-153.5250028498466</v>
      </c>
      <c r="O150" s="594">
        <f t="shared" si="34"/>
        <v>-184.19080764284229</v>
      </c>
      <c r="P150" s="594">
        <f t="shared" si="34"/>
        <v>-216.26735619307985</v>
      </c>
    </row>
    <row r="151" spans="1:16" ht="7.5" customHeight="1" x14ac:dyDescent="0.25">
      <c r="A151" s="644"/>
      <c r="B151" s="594"/>
      <c r="C151" s="594"/>
      <c r="D151" s="594"/>
      <c r="E151" s="594"/>
      <c r="F151" s="594"/>
      <c r="G151" s="594"/>
      <c r="H151" s="594"/>
      <c r="I151" s="594"/>
      <c r="J151" s="594"/>
      <c r="K151" s="594"/>
      <c r="L151" s="594"/>
      <c r="M151" s="594"/>
      <c r="N151" s="594"/>
      <c r="O151" s="594"/>
      <c r="P151" s="594"/>
    </row>
    <row r="152" spans="1:16" x14ac:dyDescent="0.25">
      <c r="A152" s="592" t="s">
        <v>96</v>
      </c>
      <c r="B152" s="594"/>
      <c r="C152" s="594">
        <f>+B154</f>
        <v>0</v>
      </c>
      <c r="D152" s="594">
        <f t="shared" ref="D152" si="35">D99</f>
        <v>3352</v>
      </c>
      <c r="E152" s="594">
        <v>0</v>
      </c>
      <c r="F152" s="594">
        <f t="shared" ref="F152:P152" si="36">+E154</f>
        <v>0</v>
      </c>
      <c r="G152" s="594">
        <f t="shared" si="36"/>
        <v>0</v>
      </c>
      <c r="H152" s="594">
        <f t="shared" si="36"/>
        <v>0</v>
      </c>
      <c r="I152" s="594">
        <f t="shared" si="36"/>
        <v>3.836930773104541E-13</v>
      </c>
      <c r="J152" s="594">
        <f t="shared" si="36"/>
        <v>3.836930773104541E-13</v>
      </c>
      <c r="K152" s="594">
        <f t="shared" si="36"/>
        <v>-5.9999999998922249E-2</v>
      </c>
      <c r="L152" s="594">
        <f t="shared" si="36"/>
        <v>-69.541061399998839</v>
      </c>
      <c r="M152" s="594">
        <f t="shared" si="36"/>
        <v>-165.76046050900123</v>
      </c>
      <c r="N152" s="594">
        <f t="shared" si="36"/>
        <v>-289.9783818455482</v>
      </c>
      <c r="O152" s="594">
        <f t="shared" si="36"/>
        <v>-443.5033846953948</v>
      </c>
      <c r="P152" s="594">
        <f t="shared" si="36"/>
        <v>-627.69419233823714</v>
      </c>
    </row>
    <row r="153" spans="1:16" ht="6.75" customHeight="1" x14ac:dyDescent="0.25">
      <c r="B153" s="594"/>
      <c r="C153" s="594"/>
      <c r="D153" s="594"/>
      <c r="E153" s="594"/>
      <c r="F153" s="594"/>
      <c r="G153" s="594"/>
      <c r="H153" s="594"/>
      <c r="I153" s="594"/>
      <c r="J153" s="594"/>
      <c r="K153" s="594"/>
      <c r="L153" s="594"/>
      <c r="M153" s="594"/>
      <c r="N153" s="594"/>
      <c r="O153" s="594"/>
      <c r="P153" s="594"/>
    </row>
    <row r="154" spans="1:16" ht="12.6" thickBot="1" x14ac:dyDescent="0.3">
      <c r="A154" s="592" t="s">
        <v>97</v>
      </c>
      <c r="B154" s="645">
        <f>+B150+B152</f>
        <v>0</v>
      </c>
      <c r="C154" s="645">
        <f t="shared" ref="C154:P154" si="37">+C150+C152</f>
        <v>0</v>
      </c>
      <c r="D154" s="645">
        <f t="shared" si="37"/>
        <v>9296</v>
      </c>
      <c r="E154" s="645">
        <f t="shared" si="37"/>
        <v>0</v>
      </c>
      <c r="F154" s="645">
        <f t="shared" si="37"/>
        <v>0</v>
      </c>
      <c r="G154" s="645">
        <f t="shared" si="37"/>
        <v>0</v>
      </c>
      <c r="H154" s="645">
        <f t="shared" si="37"/>
        <v>3.836930773104541E-13</v>
      </c>
      <c r="I154" s="645">
        <f t="shared" si="37"/>
        <v>3.836930773104541E-13</v>
      </c>
      <c r="J154" s="645">
        <f t="shared" si="37"/>
        <v>-5.9999999998922249E-2</v>
      </c>
      <c r="K154" s="651">
        <f t="shared" si="37"/>
        <v>-69.541061399998839</v>
      </c>
      <c r="L154" s="645">
        <f t="shared" si="37"/>
        <v>-165.76046050900123</v>
      </c>
      <c r="M154" s="645">
        <f t="shared" si="37"/>
        <v>-289.9783818455482</v>
      </c>
      <c r="N154" s="645">
        <f t="shared" si="37"/>
        <v>-443.5033846953948</v>
      </c>
      <c r="O154" s="645">
        <f t="shared" si="37"/>
        <v>-627.69419233823714</v>
      </c>
      <c r="P154" s="645">
        <f t="shared" si="37"/>
        <v>-843.96154853131702</v>
      </c>
    </row>
    <row r="155" spans="1:16" ht="6.75" customHeight="1" x14ac:dyDescent="0.25"/>
    <row r="156" spans="1:16" x14ac:dyDescent="0.25">
      <c r="A156" s="639" t="s">
        <v>98</v>
      </c>
      <c r="B156" s="590"/>
      <c r="C156" s="590">
        <f>B156-C136-C130</f>
        <v>0</v>
      </c>
      <c r="D156" s="590">
        <f>D103</f>
        <v>46112</v>
      </c>
      <c r="E156" s="590">
        <f>E103</f>
        <v>12255</v>
      </c>
      <c r="F156" s="590">
        <f t="shared" ref="F156:P156" si="38">E156-F136-F130</f>
        <v>8435.1090000000004</v>
      </c>
      <c r="G156" s="590">
        <f t="shared" si="38"/>
        <v>7285.1090000000004</v>
      </c>
      <c r="H156" s="590">
        <f t="shared" si="38"/>
        <v>5098.384</v>
      </c>
      <c r="I156" s="590">
        <f t="shared" si="38"/>
        <v>2871.9119999999998</v>
      </c>
      <c r="J156" s="590">
        <f t="shared" si="38"/>
        <v>1534.6729999999998</v>
      </c>
      <c r="K156" s="590">
        <f t="shared" si="38"/>
        <v>170.68921999999975</v>
      </c>
      <c r="L156" s="590">
        <f t="shared" si="38"/>
        <v>-1220.5742356000003</v>
      </c>
      <c r="M156" s="590">
        <f t="shared" si="38"/>
        <v>-2639.662960312</v>
      </c>
      <c r="N156" s="590">
        <f t="shared" si="38"/>
        <v>-4087.1334595182398</v>
      </c>
      <c r="O156" s="590">
        <f t="shared" si="38"/>
        <v>-5563.5533687086045</v>
      </c>
      <c r="P156" s="590">
        <f t="shared" si="38"/>
        <v>-7069.5016760827766</v>
      </c>
    </row>
    <row r="157" spans="1:16" x14ac:dyDescent="0.25">
      <c r="B157" s="590"/>
      <c r="C157" s="590"/>
      <c r="D157" s="590"/>
      <c r="E157" s="590"/>
      <c r="F157" s="590"/>
      <c r="G157" s="590"/>
      <c r="H157" s="590"/>
      <c r="I157" s="590"/>
      <c r="J157" s="590"/>
      <c r="K157" s="590"/>
      <c r="L157" s="590"/>
      <c r="M157" s="590"/>
      <c r="N157" s="590"/>
      <c r="O157" s="590"/>
      <c r="P157" s="590"/>
    </row>
    <row r="158" spans="1:16" ht="12.6" thickBot="1" x14ac:dyDescent="0.3">
      <c r="A158" s="592" t="s">
        <v>99</v>
      </c>
      <c r="B158" s="646">
        <f>+B154+B156</f>
        <v>0</v>
      </c>
      <c r="C158" s="646">
        <f t="shared" ref="C158:P158" si="39">+C154+C156</f>
        <v>0</v>
      </c>
      <c r="D158" s="646">
        <f t="shared" si="39"/>
        <v>55408</v>
      </c>
      <c r="E158" s="646">
        <f t="shared" si="39"/>
        <v>12255</v>
      </c>
      <c r="F158" s="646">
        <f t="shared" si="39"/>
        <v>8435.1090000000004</v>
      </c>
      <c r="G158" s="646">
        <f t="shared" si="39"/>
        <v>7285.1090000000004</v>
      </c>
      <c r="H158" s="646">
        <f t="shared" si="39"/>
        <v>5098.384</v>
      </c>
      <c r="I158" s="646">
        <f t="shared" si="39"/>
        <v>2871.9120000000003</v>
      </c>
      <c r="J158" s="646">
        <f t="shared" si="39"/>
        <v>1534.6130000000007</v>
      </c>
      <c r="K158" s="646">
        <f t="shared" si="39"/>
        <v>101.14815860000091</v>
      </c>
      <c r="L158" s="646">
        <f t="shared" si="39"/>
        <v>-1386.3346961090015</v>
      </c>
      <c r="M158" s="646">
        <f t="shared" si="39"/>
        <v>-2929.641342157548</v>
      </c>
      <c r="N158" s="646">
        <f t="shared" si="39"/>
        <v>-4530.6368442136345</v>
      </c>
      <c r="O158" s="646">
        <f t="shared" si="39"/>
        <v>-6191.2475610468418</v>
      </c>
      <c r="P158" s="646">
        <f t="shared" si="39"/>
        <v>-7913.4632246140936</v>
      </c>
    </row>
    <row r="159" spans="1:16" ht="12.6" thickTop="1" x14ac:dyDescent="0.25"/>
  </sheetData>
  <pageMargins left="0.70866141732283472" right="0.70866141732283472" top="0.74803149606299213" bottom="0.74803149606299213" header="0.31496062992125984" footer="0.31496062992125984"/>
  <pageSetup paperSize="9" scale="88" fitToHeight="0" orientation="landscape" r:id="rId1"/>
  <rowBreaks count="1" manualBreakCount="1">
    <brk id="53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1:P137"/>
  <sheetViews>
    <sheetView workbookViewId="0">
      <pane xSplit="3" ySplit="3" topLeftCell="D82" activePane="bottomRight" state="frozen"/>
      <selection pane="topRight" activeCell="D1" sqref="D1"/>
      <selection pane="bottomLeft" activeCell="A3" sqref="A3"/>
      <selection pane="bottomRight" activeCell="A88" sqref="A88"/>
    </sheetView>
  </sheetViews>
  <sheetFormatPr defaultColWidth="9.109375" defaultRowHeight="10.199999999999999" outlineLevelRow="1" outlineLevelCol="1" x14ac:dyDescent="0.2"/>
  <cols>
    <col min="1" max="1" width="31" style="653" customWidth="1"/>
    <col min="2" max="3" width="13.109375" style="653" hidden="1" customWidth="1" outlineLevel="1"/>
    <col min="4" max="4" width="13.109375" style="653" hidden="1" customWidth="1" outlineLevel="1" collapsed="1"/>
    <col min="5" max="5" width="9.88671875" style="653" hidden="1" customWidth="1" outlineLevel="1" collapsed="1"/>
    <col min="6" max="6" width="9.88671875" style="653" bestFit="1" customWidth="1" collapsed="1"/>
    <col min="7" max="16" width="9.88671875" style="653" bestFit="1" customWidth="1"/>
    <col min="17" max="16384" width="9.109375" style="653"/>
  </cols>
  <sheetData>
    <row r="1" spans="1:16" ht="12.75" x14ac:dyDescent="0.2">
      <c r="A1" s="1091" t="s">
        <v>1362</v>
      </c>
    </row>
    <row r="2" spans="1:16" s="660" customFormat="1" ht="12" x14ac:dyDescent="0.2">
      <c r="A2" s="652" t="s">
        <v>1071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16" ht="11.25" x14ac:dyDescent="0.2">
      <c r="A3" s="652" t="s">
        <v>72</v>
      </c>
      <c r="B3" s="741" t="s">
        <v>68</v>
      </c>
      <c r="C3" s="694" t="s">
        <v>0</v>
      </c>
      <c r="D3" s="694" t="s">
        <v>1</v>
      </c>
      <c r="E3" s="694" t="s">
        <v>2</v>
      </c>
      <c r="F3" s="694" t="s">
        <v>3</v>
      </c>
      <c r="G3" s="694" t="s">
        <v>4</v>
      </c>
      <c r="H3" s="694" t="s">
        <v>5</v>
      </c>
      <c r="I3" s="694" t="s">
        <v>6</v>
      </c>
      <c r="J3" s="694" t="s">
        <v>7</v>
      </c>
      <c r="K3" s="694" t="s">
        <v>8</v>
      </c>
      <c r="L3" s="694" t="s">
        <v>9</v>
      </c>
      <c r="M3" s="694" t="s">
        <v>514</v>
      </c>
      <c r="N3" s="694" t="s">
        <v>515</v>
      </c>
      <c r="O3" s="694" t="s">
        <v>904</v>
      </c>
      <c r="P3" s="694" t="s">
        <v>1046</v>
      </c>
    </row>
    <row r="4" spans="1:16" s="664" customFormat="1" ht="11.25" x14ac:dyDescent="0.2">
      <c r="A4" s="661"/>
      <c r="B4" s="662"/>
      <c r="C4" s="662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</row>
    <row r="5" spans="1:16" ht="11.25" x14ac:dyDescent="0.2">
      <c r="A5" s="654" t="s">
        <v>35</v>
      </c>
      <c r="B5" s="608"/>
      <c r="C5" s="608"/>
      <c r="D5" s="608"/>
      <c r="E5" s="608"/>
      <c r="F5" s="608"/>
      <c r="G5" s="608"/>
      <c r="H5" s="608"/>
      <c r="I5" s="608"/>
      <c r="J5" s="608"/>
      <c r="K5" s="608"/>
      <c r="L5" s="608"/>
      <c r="M5" s="608"/>
      <c r="N5" s="608"/>
      <c r="O5" s="608"/>
      <c r="P5" s="608"/>
    </row>
    <row r="6" spans="1:16" ht="11.25" x14ac:dyDescent="0.2">
      <c r="A6" s="654" t="s">
        <v>36</v>
      </c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</row>
    <row r="7" spans="1:16" ht="11.25" x14ac:dyDescent="0.2">
      <c r="A7" s="653" t="s">
        <v>37</v>
      </c>
      <c r="B7" s="608"/>
      <c r="C7" s="608"/>
      <c r="D7" s="608"/>
      <c r="E7" s="608">
        <v>0</v>
      </c>
      <c r="F7" s="608">
        <f>'Sewer  Fund  Cash Flow'!F48</f>
        <v>1</v>
      </c>
      <c r="G7" s="608">
        <f>'Sewer  Fund  Cash Flow'!G48</f>
        <v>0.5</v>
      </c>
      <c r="H7" s="608">
        <f>'Sewer  Fund  Cash Flow'!H48</f>
        <v>-9.9999999998345857E-3</v>
      </c>
      <c r="I7" s="608">
        <f>'Sewer  Fund  Cash Flow'!I48</f>
        <v>-0.53099999999949432</v>
      </c>
      <c r="J7" s="608">
        <f>'Sewer  Fund  Cash Flow'!J48</f>
        <v>-1.1219999999996588</v>
      </c>
      <c r="K7" s="608">
        <f>'Sewer  Fund  Cash Flow'!K48</f>
        <v>154.66888360000036</v>
      </c>
      <c r="L7" s="608">
        <f>'Sewer  Fund  Cash Flow'!L48</f>
        <v>257.22414701599837</v>
      </c>
      <c r="M7" s="608">
        <f>'Sewer  Fund  Cash Flow'!M48</f>
        <v>255.75359204557697</v>
      </c>
      <c r="N7" s="608">
        <f>'Sewer  Fund  Cash Flow'!N48</f>
        <v>149.42804374456887</v>
      </c>
      <c r="O7" s="608">
        <f>'Sewer  Fund  Cash Flow'!O48</f>
        <v>37.377749118317652</v>
      </c>
      <c r="P7" s="608">
        <f>'Sewer  Fund  Cash Flow'!P48</f>
        <v>-181.30928768664495</v>
      </c>
    </row>
    <row r="8" spans="1:16" ht="11.25" x14ac:dyDescent="0.2">
      <c r="A8" s="653" t="s">
        <v>38</v>
      </c>
      <c r="B8" s="608"/>
      <c r="C8" s="608"/>
      <c r="D8" s="608"/>
      <c r="E8" s="608">
        <f>3019</f>
        <v>3019</v>
      </c>
      <c r="F8" s="608">
        <f>E8</f>
        <v>3019</v>
      </c>
      <c r="G8" s="608">
        <f t="shared" ref="G8:P8" si="0">F8</f>
        <v>3019</v>
      </c>
      <c r="H8" s="608">
        <f t="shared" si="0"/>
        <v>3019</v>
      </c>
      <c r="I8" s="608">
        <f t="shared" si="0"/>
        <v>3019</v>
      </c>
      <c r="J8" s="608">
        <f t="shared" si="0"/>
        <v>3019</v>
      </c>
      <c r="K8" s="608">
        <f t="shared" si="0"/>
        <v>3019</v>
      </c>
      <c r="L8" s="608">
        <f t="shared" si="0"/>
        <v>3019</v>
      </c>
      <c r="M8" s="608">
        <f t="shared" si="0"/>
        <v>3019</v>
      </c>
      <c r="N8" s="608">
        <f t="shared" si="0"/>
        <v>3019</v>
      </c>
      <c r="O8" s="608">
        <f t="shared" si="0"/>
        <v>3019</v>
      </c>
      <c r="P8" s="608">
        <f t="shared" si="0"/>
        <v>3019</v>
      </c>
    </row>
    <row r="9" spans="1:16" ht="11.25" x14ac:dyDescent="0.2">
      <c r="A9" s="653" t="s">
        <v>39</v>
      </c>
      <c r="B9" s="608"/>
      <c r="C9" s="608"/>
      <c r="D9" s="608"/>
      <c r="E9" s="608">
        <f>454</f>
        <v>454</v>
      </c>
      <c r="F9" s="608">
        <f t="shared" ref="F9:P11" si="1">+E9</f>
        <v>454</v>
      </c>
      <c r="G9" s="608">
        <f t="shared" si="1"/>
        <v>454</v>
      </c>
      <c r="H9" s="608">
        <f t="shared" si="1"/>
        <v>454</v>
      </c>
      <c r="I9" s="608">
        <f t="shared" si="1"/>
        <v>454</v>
      </c>
      <c r="J9" s="608">
        <f t="shared" si="1"/>
        <v>454</v>
      </c>
      <c r="K9" s="608">
        <f t="shared" si="1"/>
        <v>454</v>
      </c>
      <c r="L9" s="608">
        <f t="shared" si="1"/>
        <v>454</v>
      </c>
      <c r="M9" s="608">
        <f t="shared" si="1"/>
        <v>454</v>
      </c>
      <c r="N9" s="608">
        <f t="shared" si="1"/>
        <v>454</v>
      </c>
      <c r="O9" s="608">
        <f t="shared" si="1"/>
        <v>454</v>
      </c>
      <c r="P9" s="608">
        <f t="shared" si="1"/>
        <v>454</v>
      </c>
    </row>
    <row r="10" spans="1:16" ht="11.25" x14ac:dyDescent="0.2">
      <c r="A10" s="653" t="s">
        <v>40</v>
      </c>
      <c r="B10" s="608"/>
      <c r="C10" s="608"/>
      <c r="D10" s="608"/>
      <c r="E10" s="608"/>
      <c r="F10" s="608">
        <f t="shared" si="1"/>
        <v>0</v>
      </c>
      <c r="G10" s="608">
        <f t="shared" si="1"/>
        <v>0</v>
      </c>
      <c r="H10" s="608">
        <f t="shared" si="1"/>
        <v>0</v>
      </c>
      <c r="I10" s="608">
        <f t="shared" si="1"/>
        <v>0</v>
      </c>
      <c r="J10" s="608">
        <f t="shared" si="1"/>
        <v>0</v>
      </c>
      <c r="K10" s="608">
        <f t="shared" si="1"/>
        <v>0</v>
      </c>
      <c r="L10" s="608">
        <f t="shared" si="1"/>
        <v>0</v>
      </c>
      <c r="M10" s="608">
        <f t="shared" si="1"/>
        <v>0</v>
      </c>
      <c r="N10" s="608">
        <f t="shared" si="1"/>
        <v>0</v>
      </c>
      <c r="O10" s="608">
        <f t="shared" si="1"/>
        <v>0</v>
      </c>
      <c r="P10" s="608">
        <f t="shared" si="1"/>
        <v>0</v>
      </c>
    </row>
    <row r="11" spans="1:16" ht="11.25" x14ac:dyDescent="0.2">
      <c r="A11" s="655" t="s">
        <v>41</v>
      </c>
      <c r="B11" s="615"/>
      <c r="C11" s="608"/>
      <c r="D11" s="608"/>
      <c r="E11" s="608"/>
      <c r="F11" s="608">
        <f t="shared" si="1"/>
        <v>0</v>
      </c>
      <c r="G11" s="608">
        <f t="shared" si="1"/>
        <v>0</v>
      </c>
      <c r="H11" s="608">
        <f t="shared" si="1"/>
        <v>0</v>
      </c>
      <c r="I11" s="608">
        <f t="shared" si="1"/>
        <v>0</v>
      </c>
      <c r="J11" s="608">
        <f t="shared" si="1"/>
        <v>0</v>
      </c>
      <c r="K11" s="608">
        <f t="shared" si="1"/>
        <v>0</v>
      </c>
      <c r="L11" s="608">
        <f t="shared" si="1"/>
        <v>0</v>
      </c>
      <c r="M11" s="608">
        <f t="shared" si="1"/>
        <v>0</v>
      </c>
      <c r="N11" s="608">
        <f t="shared" si="1"/>
        <v>0</v>
      </c>
      <c r="O11" s="608">
        <f t="shared" si="1"/>
        <v>0</v>
      </c>
      <c r="P11" s="608">
        <f t="shared" si="1"/>
        <v>0</v>
      </c>
    </row>
    <row r="12" spans="1:16" s="657" customFormat="1" ht="11.25" x14ac:dyDescent="0.2">
      <c r="A12" s="654" t="s">
        <v>42</v>
      </c>
      <c r="B12" s="656">
        <f>SUM(B7:B11)</f>
        <v>0</v>
      </c>
      <c r="C12" s="656">
        <f t="shared" ref="C12:P12" si="2">SUM(C7:C11)</f>
        <v>0</v>
      </c>
      <c r="D12" s="656">
        <f t="shared" si="2"/>
        <v>0</v>
      </c>
      <c r="E12" s="656">
        <f t="shared" si="2"/>
        <v>3473</v>
      </c>
      <c r="F12" s="656">
        <f t="shared" si="2"/>
        <v>3474</v>
      </c>
      <c r="G12" s="656">
        <f t="shared" si="2"/>
        <v>3473.5</v>
      </c>
      <c r="H12" s="656">
        <f t="shared" si="2"/>
        <v>3472.9900000000002</v>
      </c>
      <c r="I12" s="656">
        <f t="shared" si="2"/>
        <v>3472.4690000000005</v>
      </c>
      <c r="J12" s="656">
        <f t="shared" si="2"/>
        <v>3471.8780000000002</v>
      </c>
      <c r="K12" s="656">
        <f t="shared" si="2"/>
        <v>3627.6688836000003</v>
      </c>
      <c r="L12" s="656">
        <f t="shared" si="2"/>
        <v>3730.2241470159984</v>
      </c>
      <c r="M12" s="656">
        <f t="shared" si="2"/>
        <v>3728.7535920455771</v>
      </c>
      <c r="N12" s="656">
        <f t="shared" si="2"/>
        <v>3622.4280437445686</v>
      </c>
      <c r="O12" s="656">
        <f t="shared" si="2"/>
        <v>3510.3777491183178</v>
      </c>
      <c r="P12" s="656">
        <f t="shared" si="2"/>
        <v>3291.6907123133551</v>
      </c>
    </row>
    <row r="13" spans="1:16" ht="11.25" x14ac:dyDescent="0.2">
      <c r="B13" s="608"/>
      <c r="C13" s="608"/>
      <c r="D13" s="608"/>
      <c r="E13" s="608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</row>
    <row r="14" spans="1:16" ht="11.25" x14ac:dyDescent="0.2">
      <c r="A14" s="654" t="s">
        <v>43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</row>
    <row r="15" spans="1:16" ht="11.25" x14ac:dyDescent="0.2">
      <c r="A15" s="763" t="s">
        <v>38</v>
      </c>
      <c r="B15" s="608"/>
      <c r="C15" s="608"/>
      <c r="D15" s="608"/>
      <c r="E15" s="608">
        <f>9236</f>
        <v>9236</v>
      </c>
      <c r="F15" s="608">
        <f>E8+E15+'Sewer  Fund  Inc Exp Statem'!F55-'Sewer  Fund  Inc Exp Statem'!F63-F8</f>
        <v>5416.1090000000004</v>
      </c>
      <c r="G15" s="608">
        <f>F8+F15+'Sewer  Fund  Inc Exp Statem'!G55-'Sewer  Fund  Inc Exp Statem'!G63-G8</f>
        <v>4266.1090000000004</v>
      </c>
      <c r="H15" s="608">
        <f>G8+G15+'Sewer  Fund  Inc Exp Statem'!H55-'Sewer  Fund  Inc Exp Statem'!H63-H8</f>
        <v>2079.384</v>
      </c>
      <c r="I15" s="608">
        <f>H8+H15+'Sewer  Fund  Inc Exp Statem'!I55-'Sewer  Fund  Inc Exp Statem'!I63-I8</f>
        <v>-147.08800000000019</v>
      </c>
      <c r="J15" s="608">
        <f>I8+I15+'Sewer  Fund  Inc Exp Statem'!J55-'Sewer  Fund  Inc Exp Statem'!J63-J8</f>
        <v>-1484.3270000000002</v>
      </c>
      <c r="K15" s="608">
        <f>J8+J15+'Sewer  Fund  Inc Exp Statem'!K55-'Sewer  Fund  Inc Exp Statem'!K63-K8</f>
        <v>-1433.3270000000002</v>
      </c>
      <c r="L15" s="608">
        <f>K8+K15+'Sewer  Fund  Inc Exp Statem'!L55-'Sewer  Fund  Inc Exp Statem'!L63-L8</f>
        <v>-1381.3070000000002</v>
      </c>
      <c r="M15" s="608">
        <f>L8+L15+'Sewer  Fund  Inc Exp Statem'!M55-'Sewer  Fund  Inc Exp Statem'!M63-M8</f>
        <v>-1328.2466000000002</v>
      </c>
      <c r="N15" s="608">
        <f>M8+M15+'Sewer  Fund  Inc Exp Statem'!N55-'Sewer  Fund  Inc Exp Statem'!N63-N8</f>
        <v>-1274.1249920000002</v>
      </c>
      <c r="O15" s="608">
        <f>N8+N15+'Sewer  Fund  Inc Exp Statem'!O55-'Sewer  Fund  Inc Exp Statem'!O63-O8</f>
        <v>-1218.9209518400003</v>
      </c>
      <c r="P15" s="608">
        <f>O8+O15+'Sewer  Fund  Inc Exp Statem'!P55-'Sewer  Fund  Inc Exp Statem'!P63-P8</f>
        <v>-1162.6128308768002</v>
      </c>
    </row>
    <row r="16" spans="1:16" ht="11.25" x14ac:dyDescent="0.2">
      <c r="A16" s="760" t="s">
        <v>44</v>
      </c>
      <c r="B16" s="608"/>
      <c r="C16" s="608"/>
      <c r="D16" s="608"/>
      <c r="E16" s="608">
        <f>56492</f>
        <v>56492</v>
      </c>
      <c r="F16" s="608">
        <f>E16-'Sewer  Fund  Inc Exp Statem'!F27+SUM('Sewer  Fund  Inc Exp Statem'!F51:F53)-'Sewer  Fund  Inc Exp Statem'!F65</f>
        <v>71396.93299999999</v>
      </c>
      <c r="G16" s="608">
        <f>F16-'Sewer  Fund  Inc Exp Statem'!G27+SUM('Sewer  Fund  Inc Exp Statem'!G51:G53)-'Sewer  Fund  Inc Exp Statem'!G65</f>
        <v>98668.93299999999</v>
      </c>
      <c r="H16" s="608">
        <f>G16-'Sewer  Fund  Inc Exp Statem'!H27+SUM('Sewer  Fund  Inc Exp Statem'!H51:H53)-'Sewer  Fund  Inc Exp Statem'!H65</f>
        <v>100640.48299999999</v>
      </c>
      <c r="I16" s="608">
        <f>H16-'Sewer  Fund  Inc Exp Statem'!I27+SUM('Sewer  Fund  Inc Exp Statem'!I51:I53)-'Sewer  Fund  Inc Exp Statem'!I65</f>
        <v>102590.57199999999</v>
      </c>
      <c r="J16" s="608">
        <f>I16-'Sewer  Fund  Inc Exp Statem'!J27+SUM('Sewer  Fund  Inc Exp Statem'!J51:J53)-'Sewer  Fund  Inc Exp Statem'!J65</f>
        <v>103631.18799999998</v>
      </c>
      <c r="K16" s="608">
        <f>J16-'Sewer  Fund  Inc Exp Statem'!K27+SUM('Sewer  Fund  Inc Exp Statem'!K51:K53)-'Sewer  Fund  Inc Exp Statem'!K65</f>
        <v>103044.31939999998</v>
      </c>
      <c r="L16" s="608">
        <f>K16-'Sewer  Fund  Inc Exp Statem'!L27+SUM('Sewer  Fund  Inc Exp Statem'!L51:L53)-'Sewer  Fund  Inc Exp Statem'!L65</f>
        <v>102469.02908499997</v>
      </c>
      <c r="M16" s="608">
        <f>L16-'Sewer  Fund  Inc Exp Statem'!M27+SUM('Sewer  Fund  Inc Exp Statem'!M51:M53)-'Sewer  Fund  Inc Exp Statem'!M65</f>
        <v>101954.35651212497</v>
      </c>
      <c r="N16" s="608">
        <f>M16-'Sewer  Fund  Inc Exp Statem'!N27+SUM('Sewer  Fund  Inc Exp Statem'!N51:N53)-'Sewer  Fund  Inc Exp Statem'!N65</f>
        <v>101499.3171249281</v>
      </c>
      <c r="O16" s="608">
        <f>N16-'Sewer  Fund  Inc Exp Statem'!O27+SUM('Sewer  Fund  Inc Exp Statem'!O51:O53)-'Sewer  Fund  Inc Exp Statem'!O65</f>
        <v>101002.90175305131</v>
      </c>
      <c r="P16" s="608">
        <f>O16-'Sewer  Fund  Inc Exp Statem'!P27+SUM('Sewer  Fund  Inc Exp Statem'!P51:P53)-'Sewer  Fund  Inc Exp Statem'!P65</f>
        <v>100564.0759968776</v>
      </c>
    </row>
    <row r="17" spans="1:16" ht="11.25" x14ac:dyDescent="0.2">
      <c r="A17" s="760" t="s">
        <v>1050</v>
      </c>
      <c r="B17" s="608"/>
      <c r="C17" s="608"/>
      <c r="D17" s="608"/>
      <c r="E17" s="608"/>
      <c r="F17" s="608"/>
      <c r="G17" s="608"/>
      <c r="H17" s="608"/>
      <c r="I17" s="608"/>
      <c r="J17" s="608"/>
      <c r="K17" s="608"/>
      <c r="L17" s="608"/>
      <c r="M17" s="608"/>
      <c r="N17" s="608"/>
      <c r="O17" s="608"/>
      <c r="P17" s="608"/>
    </row>
    <row r="18" spans="1:16" s="760" customFormat="1" ht="11.25" x14ac:dyDescent="0.2">
      <c r="A18" s="760" t="s">
        <v>939</v>
      </c>
      <c r="B18" s="608"/>
      <c r="C18" s="608"/>
      <c r="D18" s="608"/>
      <c r="E18" s="608"/>
      <c r="F18" s="608"/>
      <c r="G18" s="608"/>
      <c r="H18" s="608"/>
      <c r="I18" s="608"/>
      <c r="J18" s="608"/>
      <c r="K18" s="608"/>
      <c r="L18" s="608"/>
      <c r="M18" s="608"/>
      <c r="N18" s="608"/>
      <c r="O18" s="608"/>
      <c r="P18" s="608"/>
    </row>
    <row r="19" spans="1:16" s="657" customFormat="1" ht="11.25" x14ac:dyDescent="0.2">
      <c r="A19" s="761" t="s">
        <v>45</v>
      </c>
      <c r="B19" s="762">
        <f>SUM(B16)</f>
        <v>0</v>
      </c>
      <c r="C19" s="762">
        <f t="shared" ref="C19" si="3">SUM(C16)</f>
        <v>0</v>
      </c>
      <c r="D19" s="762">
        <f>SUM(D14:D18)</f>
        <v>0</v>
      </c>
      <c r="E19" s="762">
        <f t="shared" ref="E19:P19" si="4">SUM(E14:E18)</f>
        <v>65728</v>
      </c>
      <c r="F19" s="762">
        <f t="shared" si="4"/>
        <v>76813.041999999987</v>
      </c>
      <c r="G19" s="762">
        <f t="shared" si="4"/>
        <v>102935.04199999999</v>
      </c>
      <c r="H19" s="762">
        <f t="shared" si="4"/>
        <v>102719.867</v>
      </c>
      <c r="I19" s="762">
        <f t="shared" si="4"/>
        <v>102443.48399999998</v>
      </c>
      <c r="J19" s="762">
        <f t="shared" si="4"/>
        <v>102146.86099999998</v>
      </c>
      <c r="K19" s="762">
        <f t="shared" si="4"/>
        <v>101610.99239999997</v>
      </c>
      <c r="L19" s="762">
        <f t="shared" si="4"/>
        <v>101087.72208499997</v>
      </c>
      <c r="M19" s="762">
        <f t="shared" si="4"/>
        <v>100626.10991212497</v>
      </c>
      <c r="N19" s="762">
        <f t="shared" si="4"/>
        <v>100225.1921329281</v>
      </c>
      <c r="O19" s="762">
        <f t="shared" si="4"/>
        <v>99783.980801211306</v>
      </c>
      <c r="P19" s="762">
        <f t="shared" si="4"/>
        <v>99401.463166000802</v>
      </c>
    </row>
    <row r="20" spans="1:16" ht="9" customHeight="1" x14ac:dyDescent="0.2">
      <c r="B20" s="608"/>
      <c r="C20" s="608"/>
      <c r="D20" s="608"/>
      <c r="E20" s="608"/>
      <c r="F20" s="608"/>
      <c r="G20" s="608"/>
      <c r="H20" s="608"/>
      <c r="I20" s="608"/>
      <c r="J20" s="608"/>
      <c r="K20" s="608"/>
      <c r="L20" s="608"/>
      <c r="M20" s="608"/>
      <c r="N20" s="608"/>
      <c r="O20" s="608"/>
      <c r="P20" s="608"/>
    </row>
    <row r="21" spans="1:16" s="657" customFormat="1" ht="12" thickBot="1" x14ac:dyDescent="0.25">
      <c r="A21" s="654" t="s">
        <v>46</v>
      </c>
      <c r="B21" s="665">
        <f>+B12+B19</f>
        <v>0</v>
      </c>
      <c r="C21" s="665">
        <f t="shared" ref="C21:P21" si="5">+C12+C19</f>
        <v>0</v>
      </c>
      <c r="D21" s="665">
        <f t="shared" si="5"/>
        <v>0</v>
      </c>
      <c r="E21" s="665">
        <f t="shared" si="5"/>
        <v>69201</v>
      </c>
      <c r="F21" s="665">
        <f t="shared" si="5"/>
        <v>80287.041999999987</v>
      </c>
      <c r="G21" s="665">
        <f t="shared" si="5"/>
        <v>106408.54199999999</v>
      </c>
      <c r="H21" s="665">
        <f t="shared" si="5"/>
        <v>106192.857</v>
      </c>
      <c r="I21" s="665">
        <f t="shared" si="5"/>
        <v>105915.95299999998</v>
      </c>
      <c r="J21" s="665">
        <f t="shared" si="5"/>
        <v>105618.73899999997</v>
      </c>
      <c r="K21" s="665">
        <f t="shared" si="5"/>
        <v>105238.66128359997</v>
      </c>
      <c r="L21" s="665">
        <f t="shared" si="5"/>
        <v>104817.94623201597</v>
      </c>
      <c r="M21" s="665">
        <f t="shared" si="5"/>
        <v>104354.86350417054</v>
      </c>
      <c r="N21" s="665">
        <f t="shared" si="5"/>
        <v>103847.62017667267</v>
      </c>
      <c r="O21" s="665">
        <f t="shared" si="5"/>
        <v>103294.35855032962</v>
      </c>
      <c r="P21" s="665">
        <f t="shared" si="5"/>
        <v>102693.15387831416</v>
      </c>
    </row>
    <row r="22" spans="1:16" ht="11.25" x14ac:dyDescent="0.2">
      <c r="B22" s="608"/>
      <c r="C22" s="608"/>
      <c r="D22" s="608"/>
      <c r="E22" s="608"/>
      <c r="F22" s="608"/>
      <c r="G22" s="608"/>
      <c r="H22" s="608"/>
      <c r="I22" s="608"/>
      <c r="J22" s="608"/>
      <c r="K22" s="608"/>
      <c r="L22" s="608"/>
      <c r="M22" s="608"/>
      <c r="N22" s="608"/>
      <c r="O22" s="608"/>
      <c r="P22" s="608"/>
    </row>
    <row r="23" spans="1:16" ht="11.25" x14ac:dyDescent="0.2">
      <c r="A23" s="654" t="s">
        <v>47</v>
      </c>
      <c r="B23" s="608"/>
      <c r="C23" s="608"/>
      <c r="D23" s="608"/>
      <c r="E23" s="608"/>
      <c r="F23" s="608"/>
      <c r="G23" s="608"/>
      <c r="H23" s="608"/>
      <c r="I23" s="608"/>
      <c r="J23" s="608"/>
      <c r="K23" s="608"/>
      <c r="L23" s="608"/>
      <c r="M23" s="608"/>
      <c r="N23" s="608"/>
      <c r="O23" s="608"/>
      <c r="P23" s="608"/>
    </row>
    <row r="24" spans="1:16" ht="11.25" x14ac:dyDescent="0.2">
      <c r="A24" s="654" t="s">
        <v>48</v>
      </c>
      <c r="B24" s="608"/>
      <c r="C24" s="608"/>
      <c r="D24" s="608"/>
      <c r="E24" s="608"/>
      <c r="F24" s="608"/>
      <c r="G24" s="608"/>
      <c r="H24" s="608"/>
      <c r="I24" s="608"/>
      <c r="J24" s="608"/>
      <c r="K24" s="608"/>
      <c r="L24" s="608"/>
      <c r="M24" s="608"/>
      <c r="N24" s="608"/>
      <c r="O24" s="608"/>
      <c r="P24" s="608"/>
    </row>
    <row r="25" spans="1:16" ht="11.25" x14ac:dyDescent="0.2">
      <c r="A25" s="666" t="s">
        <v>49</v>
      </c>
      <c r="B25" s="608"/>
      <c r="C25" s="608"/>
      <c r="D25" s="608"/>
      <c r="E25" s="608">
        <f>648</f>
        <v>648</v>
      </c>
      <c r="F25" s="608">
        <f t="shared" ref="F25:F27" si="6">+E25</f>
        <v>648</v>
      </c>
      <c r="G25" s="608">
        <f t="shared" ref="G25" si="7">+F25</f>
        <v>648</v>
      </c>
      <c r="H25" s="608">
        <f t="shared" ref="H25" si="8">+G25</f>
        <v>648</v>
      </c>
      <c r="I25" s="608">
        <f t="shared" ref="I25" si="9">+H25</f>
        <v>648</v>
      </c>
      <c r="J25" s="608">
        <f t="shared" ref="J25" si="10">+I25</f>
        <v>648</v>
      </c>
      <c r="K25" s="608">
        <f t="shared" ref="K25" si="11">+J25</f>
        <v>648</v>
      </c>
      <c r="L25" s="608">
        <f t="shared" ref="L25" si="12">+K25</f>
        <v>648</v>
      </c>
      <c r="M25" s="608">
        <f t="shared" ref="M25" si="13">+L25</f>
        <v>648</v>
      </c>
      <c r="N25" s="608">
        <f t="shared" ref="N25" si="14">+M25</f>
        <v>648</v>
      </c>
      <c r="O25" s="608">
        <f t="shared" ref="O25" si="15">+N25</f>
        <v>648</v>
      </c>
      <c r="P25" s="608">
        <f t="shared" ref="P25" si="16">+O25</f>
        <v>648</v>
      </c>
    </row>
    <row r="26" spans="1:16" ht="11.25" x14ac:dyDescent="0.2">
      <c r="A26" s="666" t="s">
        <v>1051</v>
      </c>
      <c r="B26" s="608"/>
      <c r="C26" s="608"/>
      <c r="D26" s="608"/>
      <c r="E26" s="608">
        <f>63</f>
        <v>63</v>
      </c>
      <c r="F26" s="608">
        <f>'Sewer  Fund  Inc Exp Statem'!G54</f>
        <v>82.426000000000002</v>
      </c>
      <c r="G26" s="608">
        <f>'Sewer  Fund  Inc Exp Statem'!H54</f>
        <v>85.358999999999995</v>
      </c>
      <c r="H26" s="608">
        <f>'Sewer  Fund  Inc Exp Statem'!I54</f>
        <v>87.948999999999998</v>
      </c>
      <c r="I26" s="608">
        <f>'Sewer  Fund  Inc Exp Statem'!J54</f>
        <v>90.617000000000004</v>
      </c>
      <c r="J26" s="608">
        <f>'Sewer  Fund  Inc Exp Statem'!K54</f>
        <v>92.42934000000001</v>
      </c>
      <c r="K26" s="608">
        <f>'Sewer  Fund  Inc Exp Statem'!L54</f>
        <v>94.277926800000017</v>
      </c>
      <c r="L26" s="608">
        <f>'Sewer  Fund  Inc Exp Statem'!M54</f>
        <v>96.163485336000022</v>
      </c>
      <c r="M26" s="608">
        <f>'Sewer  Fund  Inc Exp Statem'!N54</f>
        <v>98.086755042720029</v>
      </c>
      <c r="N26" s="608">
        <f>'Sewer  Fund  Inc Exp Statem'!O54</f>
        <v>100.04849014357443</v>
      </c>
      <c r="O26" s="608">
        <f>'Sewer  Fund  Inc Exp Statem'!P54</f>
        <v>102.04945994644592</v>
      </c>
      <c r="P26" s="608">
        <f>'Sewer  Fund  Inc Exp Statem'!Q54</f>
        <v>0</v>
      </c>
    </row>
    <row r="27" spans="1:16" ht="11.25" x14ac:dyDescent="0.2">
      <c r="A27" s="667" t="s">
        <v>50</v>
      </c>
      <c r="B27" s="615"/>
      <c r="C27" s="608"/>
      <c r="D27" s="608"/>
      <c r="E27" s="608">
        <f>236</f>
        <v>236</v>
      </c>
      <c r="F27" s="608">
        <f t="shared" si="6"/>
        <v>236</v>
      </c>
      <c r="G27" s="608">
        <f t="shared" ref="G27" si="17">+F27</f>
        <v>236</v>
      </c>
      <c r="H27" s="608">
        <f t="shared" ref="H27" si="18">+G27</f>
        <v>236</v>
      </c>
      <c r="I27" s="608">
        <f t="shared" ref="I27" si="19">+H27</f>
        <v>236</v>
      </c>
      <c r="J27" s="608">
        <f t="shared" ref="J27" si="20">+I27</f>
        <v>236</v>
      </c>
      <c r="K27" s="608">
        <f t="shared" ref="K27" si="21">+J27</f>
        <v>236</v>
      </c>
      <c r="L27" s="608">
        <f t="shared" ref="L27" si="22">+K27</f>
        <v>236</v>
      </c>
      <c r="M27" s="608">
        <f t="shared" ref="M27" si="23">+L27</f>
        <v>236</v>
      </c>
      <c r="N27" s="608">
        <f t="shared" ref="N27" si="24">+M27</f>
        <v>236</v>
      </c>
      <c r="O27" s="608">
        <f t="shared" ref="O27" si="25">+N27</f>
        <v>236</v>
      </c>
      <c r="P27" s="608">
        <f t="shared" ref="P27" si="26">+O27</f>
        <v>236</v>
      </c>
    </row>
    <row r="28" spans="1:16" s="657" customFormat="1" ht="11.25" x14ac:dyDescent="0.2">
      <c r="A28" s="654" t="s">
        <v>51</v>
      </c>
      <c r="B28" s="656">
        <f>SUM(B25:B27)</f>
        <v>0</v>
      </c>
      <c r="C28" s="656">
        <f t="shared" ref="C28:F28" si="27">SUM(C25:C27)</f>
        <v>0</v>
      </c>
      <c r="D28" s="656">
        <f t="shared" si="27"/>
        <v>0</v>
      </c>
      <c r="E28" s="656">
        <f t="shared" si="27"/>
        <v>947</v>
      </c>
      <c r="F28" s="656">
        <f t="shared" si="27"/>
        <v>966.42600000000004</v>
      </c>
      <c r="G28" s="656">
        <f t="shared" ref="G28:P28" si="28">SUM(G25:G27)</f>
        <v>969.35900000000004</v>
      </c>
      <c r="H28" s="656">
        <f t="shared" si="28"/>
        <v>971.94899999999996</v>
      </c>
      <c r="I28" s="656">
        <f t="shared" si="28"/>
        <v>974.61699999999996</v>
      </c>
      <c r="J28" s="656">
        <f t="shared" si="28"/>
        <v>976.42934000000002</v>
      </c>
      <c r="K28" s="656">
        <f t="shared" si="28"/>
        <v>978.27792680000005</v>
      </c>
      <c r="L28" s="656">
        <f t="shared" si="28"/>
        <v>980.16348533600001</v>
      </c>
      <c r="M28" s="656">
        <f t="shared" si="28"/>
        <v>982.08675504272003</v>
      </c>
      <c r="N28" s="656">
        <f t="shared" si="28"/>
        <v>984.04849014357444</v>
      </c>
      <c r="O28" s="656">
        <f t="shared" si="28"/>
        <v>986.04945994644595</v>
      </c>
      <c r="P28" s="656">
        <f t="shared" si="28"/>
        <v>884</v>
      </c>
    </row>
    <row r="29" spans="1:16" ht="11.25" x14ac:dyDescent="0.2">
      <c r="B29" s="608"/>
      <c r="C29" s="608"/>
      <c r="D29" s="608"/>
      <c r="E29" s="608"/>
      <c r="F29" s="608"/>
      <c r="G29" s="608"/>
      <c r="H29" s="608"/>
      <c r="I29" s="608"/>
      <c r="J29" s="608"/>
      <c r="K29" s="608"/>
      <c r="L29" s="608"/>
      <c r="M29" s="608"/>
      <c r="N29" s="608"/>
      <c r="O29" s="608"/>
      <c r="P29" s="608"/>
    </row>
    <row r="30" spans="1:16" ht="11.25" x14ac:dyDescent="0.2">
      <c r="A30" s="654" t="s">
        <v>52</v>
      </c>
      <c r="B30" s="608"/>
      <c r="C30" s="608"/>
      <c r="D30" s="608"/>
      <c r="E30" s="608"/>
      <c r="F30" s="608"/>
      <c r="G30" s="608"/>
      <c r="H30" s="608"/>
      <c r="I30" s="608"/>
      <c r="J30" s="608"/>
      <c r="K30" s="608"/>
      <c r="L30" s="608"/>
      <c r="M30" s="608"/>
      <c r="N30" s="608"/>
      <c r="O30" s="608"/>
      <c r="P30" s="608"/>
    </row>
    <row r="31" spans="1:16" ht="11.25" x14ac:dyDescent="0.2">
      <c r="A31" s="653" t="s">
        <v>49</v>
      </c>
      <c r="B31" s="608"/>
      <c r="C31" s="608"/>
      <c r="D31" s="608"/>
      <c r="E31" s="608"/>
      <c r="F31" s="608">
        <f t="shared" ref="F31:F33" si="29">+E31</f>
        <v>0</v>
      </c>
      <c r="G31" s="608">
        <f t="shared" ref="G31" si="30">+F31</f>
        <v>0</v>
      </c>
      <c r="H31" s="608">
        <f t="shared" ref="H31" si="31">+G31</f>
        <v>0</v>
      </c>
      <c r="I31" s="608">
        <f t="shared" ref="I31" si="32">+H31</f>
        <v>0</v>
      </c>
      <c r="J31" s="608">
        <f t="shared" ref="J31" si="33">+I31</f>
        <v>0</v>
      </c>
      <c r="K31" s="608">
        <f t="shared" ref="K31" si="34">+J31</f>
        <v>0</v>
      </c>
      <c r="L31" s="608">
        <f t="shared" ref="L31" si="35">+K31</f>
        <v>0</v>
      </c>
      <c r="M31" s="608">
        <f t="shared" ref="M31" si="36">+L31</f>
        <v>0</v>
      </c>
      <c r="N31" s="608">
        <f t="shared" ref="N31" si="37">+M31</f>
        <v>0</v>
      </c>
      <c r="O31" s="608">
        <f t="shared" ref="O31" si="38">+N31</f>
        <v>0</v>
      </c>
      <c r="P31" s="608">
        <f t="shared" ref="P31" si="39">+O31</f>
        <v>0</v>
      </c>
    </row>
    <row r="32" spans="1:16" ht="11.25" x14ac:dyDescent="0.2">
      <c r="A32" s="653" t="s">
        <v>1051</v>
      </c>
      <c r="B32" s="608"/>
      <c r="C32" s="608"/>
      <c r="D32" s="608"/>
      <c r="E32" s="608">
        <f>788</f>
        <v>788</v>
      </c>
      <c r="F32" s="608">
        <f>E26+E32+'Sewer  Fund  Cash Flow'!F38+'Sewer  Fund  Cash Flow'!F41-F26</f>
        <v>10103.574000000001</v>
      </c>
      <c r="G32" s="608">
        <f>F26+F32+'Sewer  Fund  Cash Flow'!G38+'Sewer  Fund  Cash Flow'!G41-G26</f>
        <v>27374.397000000001</v>
      </c>
      <c r="H32" s="608">
        <f>G26+G32+'Sewer  Fund  Cash Flow'!H38+'Sewer  Fund  Cash Flow'!H41-H26</f>
        <v>27286.448</v>
      </c>
      <c r="I32" s="608">
        <f>H26+H32+'Sewer  Fund  Cash Flow'!I38+'Sewer  Fund  Cash Flow'!I41-I26</f>
        <v>27195.831000000002</v>
      </c>
      <c r="J32" s="608">
        <f>I26+I32+'Sewer  Fund  Cash Flow'!J38+'Sewer  Fund  Cash Flow'!J41-J26</f>
        <v>27103.401660000003</v>
      </c>
      <c r="K32" s="608">
        <f>J26+J32+'Sewer  Fund  Cash Flow'!K38+'Sewer  Fund  Cash Flow'!K41-K26</f>
        <v>27009.123733200002</v>
      </c>
      <c r="L32" s="608">
        <f>K26+K32+'Sewer  Fund  Cash Flow'!L38+'Sewer  Fund  Cash Flow'!L41-L26</f>
        <v>26912.960247864001</v>
      </c>
      <c r="M32" s="608">
        <f>L26+L32+'Sewer  Fund  Cash Flow'!M38+'Sewer  Fund  Cash Flow'!M41-M26</f>
        <v>26814.87349282128</v>
      </c>
      <c r="N32" s="608">
        <f>M26+M32+'Sewer  Fund  Cash Flow'!N38+'Sewer  Fund  Cash Flow'!N41-N26</f>
        <v>26714.825002677706</v>
      </c>
      <c r="O32" s="608">
        <f>N26+N32+'Sewer  Fund  Cash Flow'!O38+'Sewer  Fund  Cash Flow'!O41-O26</f>
        <v>26612.775542731259</v>
      </c>
      <c r="P32" s="608">
        <f>O26+O32+'Sewer  Fund  Cash Flow'!P38+'Sewer  Fund  Cash Flow'!P41-P26</f>
        <v>26612.775542731259</v>
      </c>
    </row>
    <row r="33" spans="1:16" ht="11.25" x14ac:dyDescent="0.2">
      <c r="A33" s="655" t="s">
        <v>50</v>
      </c>
      <c r="B33" s="615"/>
      <c r="C33" s="608"/>
      <c r="D33" s="608"/>
      <c r="E33" s="608"/>
      <c r="F33" s="608">
        <f t="shared" si="29"/>
        <v>0</v>
      </c>
      <c r="G33" s="608">
        <f t="shared" ref="G33" si="40">+F33</f>
        <v>0</v>
      </c>
      <c r="H33" s="608">
        <f t="shared" ref="H33" si="41">+G33</f>
        <v>0</v>
      </c>
      <c r="I33" s="608">
        <f t="shared" ref="I33" si="42">+H33</f>
        <v>0</v>
      </c>
      <c r="J33" s="608">
        <f t="shared" ref="J33" si="43">+I33</f>
        <v>0</v>
      </c>
      <c r="K33" s="608">
        <f t="shared" ref="K33" si="44">+J33</f>
        <v>0</v>
      </c>
      <c r="L33" s="608">
        <f t="shared" ref="L33" si="45">+K33</f>
        <v>0</v>
      </c>
      <c r="M33" s="608">
        <f t="shared" ref="M33" si="46">+L33</f>
        <v>0</v>
      </c>
      <c r="N33" s="608">
        <f t="shared" ref="N33" si="47">+M33</f>
        <v>0</v>
      </c>
      <c r="O33" s="608">
        <f t="shared" ref="O33" si="48">+N33</f>
        <v>0</v>
      </c>
      <c r="P33" s="608">
        <f t="shared" ref="P33" si="49">+O33</f>
        <v>0</v>
      </c>
    </row>
    <row r="34" spans="1:16" s="657" customFormat="1" ht="11.25" x14ac:dyDescent="0.2">
      <c r="A34" s="654" t="s">
        <v>53</v>
      </c>
      <c r="B34" s="656">
        <f>SUM(B31:B33)</f>
        <v>0</v>
      </c>
      <c r="C34" s="656">
        <f t="shared" ref="C34:P34" si="50">SUM(C31:C33)</f>
        <v>0</v>
      </c>
      <c r="D34" s="656">
        <f t="shared" si="50"/>
        <v>0</v>
      </c>
      <c r="E34" s="656">
        <f t="shared" si="50"/>
        <v>788</v>
      </c>
      <c r="F34" s="656">
        <f t="shared" si="50"/>
        <v>10103.574000000001</v>
      </c>
      <c r="G34" s="656">
        <f t="shared" si="50"/>
        <v>27374.397000000001</v>
      </c>
      <c r="H34" s="656">
        <f t="shared" si="50"/>
        <v>27286.448</v>
      </c>
      <c r="I34" s="656">
        <f t="shared" si="50"/>
        <v>27195.831000000002</v>
      </c>
      <c r="J34" s="656">
        <f t="shared" si="50"/>
        <v>27103.401660000003</v>
      </c>
      <c r="K34" s="656">
        <f t="shared" si="50"/>
        <v>27009.123733200002</v>
      </c>
      <c r="L34" s="656">
        <f t="shared" si="50"/>
        <v>26912.960247864001</v>
      </c>
      <c r="M34" s="656">
        <f t="shared" si="50"/>
        <v>26814.87349282128</v>
      </c>
      <c r="N34" s="656">
        <f t="shared" si="50"/>
        <v>26714.825002677706</v>
      </c>
      <c r="O34" s="656">
        <f t="shared" si="50"/>
        <v>26612.775542731259</v>
      </c>
      <c r="P34" s="656">
        <f t="shared" si="50"/>
        <v>26612.775542731259</v>
      </c>
    </row>
    <row r="35" spans="1:16" ht="9" customHeight="1" x14ac:dyDescent="0.2">
      <c r="B35" s="608"/>
      <c r="C35" s="608"/>
      <c r="D35" s="608"/>
      <c r="E35" s="608"/>
      <c r="F35" s="608"/>
      <c r="G35" s="608"/>
      <c r="H35" s="608"/>
      <c r="I35" s="608"/>
      <c r="J35" s="608"/>
      <c r="K35" s="608"/>
      <c r="L35" s="608"/>
      <c r="M35" s="608"/>
      <c r="N35" s="608"/>
      <c r="O35" s="608"/>
      <c r="P35" s="608"/>
    </row>
    <row r="36" spans="1:16" s="657" customFormat="1" ht="12" thickBot="1" x14ac:dyDescent="0.25">
      <c r="A36" s="654" t="s">
        <v>54</v>
      </c>
      <c r="B36" s="665">
        <f>+B28+B34</f>
        <v>0</v>
      </c>
      <c r="C36" s="665">
        <f t="shared" ref="C36:P36" si="51">+C28+C34</f>
        <v>0</v>
      </c>
      <c r="D36" s="665">
        <f t="shared" si="51"/>
        <v>0</v>
      </c>
      <c r="E36" s="665">
        <f t="shared" si="51"/>
        <v>1735</v>
      </c>
      <c r="F36" s="665">
        <f t="shared" si="51"/>
        <v>11070</v>
      </c>
      <c r="G36" s="665">
        <f t="shared" si="51"/>
        <v>28343.756000000001</v>
      </c>
      <c r="H36" s="665">
        <f t="shared" si="51"/>
        <v>28258.397000000001</v>
      </c>
      <c r="I36" s="665">
        <f t="shared" si="51"/>
        <v>28170.448</v>
      </c>
      <c r="J36" s="665">
        <f t="shared" si="51"/>
        <v>28079.831000000002</v>
      </c>
      <c r="K36" s="665">
        <f t="shared" si="51"/>
        <v>27987.401660000003</v>
      </c>
      <c r="L36" s="665">
        <f t="shared" si="51"/>
        <v>27893.123733200002</v>
      </c>
      <c r="M36" s="665">
        <f t="shared" si="51"/>
        <v>27796.960247864001</v>
      </c>
      <c r="N36" s="665">
        <f t="shared" si="51"/>
        <v>27698.87349282128</v>
      </c>
      <c r="O36" s="665">
        <f t="shared" si="51"/>
        <v>27598.825002677706</v>
      </c>
      <c r="P36" s="665">
        <f t="shared" si="51"/>
        <v>27496.775542731259</v>
      </c>
    </row>
    <row r="37" spans="1:16" s="657" customFormat="1" ht="12" thickBot="1" x14ac:dyDescent="0.25">
      <c r="A37" s="654" t="s">
        <v>55</v>
      </c>
      <c r="B37" s="668">
        <f>+B21-B36</f>
        <v>0</v>
      </c>
      <c r="C37" s="668">
        <f t="shared" ref="C37:P37" si="52">+C21-C36</f>
        <v>0</v>
      </c>
      <c r="D37" s="668">
        <f t="shared" si="52"/>
        <v>0</v>
      </c>
      <c r="E37" s="668">
        <f t="shared" si="52"/>
        <v>67466</v>
      </c>
      <c r="F37" s="668">
        <f t="shared" si="52"/>
        <v>69217.041999999987</v>
      </c>
      <c r="G37" s="668">
        <f t="shared" si="52"/>
        <v>78064.785999999993</v>
      </c>
      <c r="H37" s="668">
        <f t="shared" si="52"/>
        <v>77934.460000000006</v>
      </c>
      <c r="I37" s="668">
        <f t="shared" si="52"/>
        <v>77745.504999999976</v>
      </c>
      <c r="J37" s="668">
        <f t="shared" si="52"/>
        <v>77538.907999999967</v>
      </c>
      <c r="K37" s="668">
        <f t="shared" si="52"/>
        <v>77251.259623599966</v>
      </c>
      <c r="L37" s="668">
        <f t="shared" si="52"/>
        <v>76924.822498815964</v>
      </c>
      <c r="M37" s="668">
        <f t="shared" si="52"/>
        <v>76557.903256306541</v>
      </c>
      <c r="N37" s="668">
        <f t="shared" si="52"/>
        <v>76148.746683851394</v>
      </c>
      <c r="O37" s="668">
        <f t="shared" si="52"/>
        <v>75695.53354765191</v>
      </c>
      <c r="P37" s="668">
        <f t="shared" si="52"/>
        <v>75196.378335582907</v>
      </c>
    </row>
    <row r="38" spans="1:16" ht="12" thickTop="1" x14ac:dyDescent="0.2">
      <c r="B38" s="608"/>
      <c r="C38" s="608"/>
      <c r="D38" s="608"/>
      <c r="E38" s="608"/>
      <c r="F38" s="608"/>
      <c r="G38" s="608"/>
      <c r="H38" s="608"/>
      <c r="I38" s="608"/>
      <c r="J38" s="608"/>
      <c r="K38" s="608"/>
      <c r="L38" s="608"/>
      <c r="M38" s="608"/>
      <c r="N38" s="608"/>
      <c r="O38" s="608"/>
      <c r="P38" s="608"/>
    </row>
    <row r="39" spans="1:16" ht="11.25" x14ac:dyDescent="0.2">
      <c r="A39" s="654" t="s">
        <v>56</v>
      </c>
      <c r="B39" s="608"/>
      <c r="C39" s="608"/>
      <c r="D39" s="608"/>
      <c r="E39" s="608"/>
      <c r="F39" s="608"/>
      <c r="G39" s="608"/>
      <c r="H39" s="608"/>
      <c r="I39" s="608"/>
      <c r="J39" s="608"/>
      <c r="K39" s="608"/>
      <c r="L39" s="608"/>
      <c r="M39" s="608"/>
      <c r="N39" s="608"/>
      <c r="O39" s="608"/>
      <c r="P39" s="608"/>
    </row>
    <row r="40" spans="1:16" ht="11.25" x14ac:dyDescent="0.2">
      <c r="A40" s="653" t="s">
        <v>57</v>
      </c>
      <c r="B40" s="608"/>
      <c r="C40" s="608"/>
      <c r="D40" s="608"/>
      <c r="E40" s="608">
        <f>44758</f>
        <v>44758</v>
      </c>
      <c r="F40" s="608">
        <f>'Sewer Fund  Equity Statemen'!F13</f>
        <v>46509.042000000001</v>
      </c>
      <c r="G40" s="608">
        <f>'Sewer Fund  Equity Statemen'!G13</f>
        <v>55356.786</v>
      </c>
      <c r="H40" s="608">
        <f>'Sewer Fund  Equity Statemen'!H13</f>
        <v>55226.46</v>
      </c>
      <c r="I40" s="608">
        <f>'Sewer Fund  Equity Statemen'!I13</f>
        <v>55037.504999999997</v>
      </c>
      <c r="J40" s="608">
        <f>'Sewer Fund  Equity Statemen'!J13</f>
        <v>54830.907999999996</v>
      </c>
      <c r="K40" s="608">
        <f>'Sewer Fund  Equity Statemen'!K13</f>
        <v>54543.259623599995</v>
      </c>
      <c r="L40" s="608">
        <f>'Sewer Fund  Equity Statemen'!L13</f>
        <v>54216.822498815993</v>
      </c>
      <c r="M40" s="608">
        <f>'Sewer Fund  Equity Statemen'!M13</f>
        <v>53849.90325630657</v>
      </c>
      <c r="N40" s="608">
        <f>'Sewer Fund  Equity Statemen'!N13</f>
        <v>53440.746683851408</v>
      </c>
      <c r="O40" s="608">
        <f>'Sewer Fund  Equity Statemen'!O13</f>
        <v>52987.533547651939</v>
      </c>
      <c r="P40" s="608">
        <f>'Sewer Fund  Equity Statemen'!P13</f>
        <v>52488.378335582907</v>
      </c>
    </row>
    <row r="41" spans="1:16" ht="12" thickBot="1" x14ac:dyDescent="0.25">
      <c r="A41" s="653" t="s">
        <v>58</v>
      </c>
      <c r="B41" s="669"/>
      <c r="C41" s="669"/>
      <c r="D41" s="669"/>
      <c r="E41" s="669">
        <f>22708</f>
        <v>22708</v>
      </c>
      <c r="F41" s="669">
        <f>'Sewer Fund  Equity Statemen'!F22</f>
        <v>22708</v>
      </c>
      <c r="G41" s="669">
        <f>'Sewer Fund  Equity Statemen'!G22</f>
        <v>22708</v>
      </c>
      <c r="H41" s="669">
        <f>'Sewer Fund  Equity Statemen'!H22</f>
        <v>22708</v>
      </c>
      <c r="I41" s="669">
        <f>'Sewer Fund  Equity Statemen'!I22</f>
        <v>22708</v>
      </c>
      <c r="J41" s="669">
        <f>'Sewer Fund  Equity Statemen'!J22</f>
        <v>22708</v>
      </c>
      <c r="K41" s="669">
        <f>'Sewer Fund  Equity Statemen'!K22</f>
        <v>22708</v>
      </c>
      <c r="L41" s="669">
        <f>'Sewer Fund  Equity Statemen'!L22</f>
        <v>22708</v>
      </c>
      <c r="M41" s="669">
        <f>'Sewer Fund  Equity Statemen'!M22</f>
        <v>22708</v>
      </c>
      <c r="N41" s="669">
        <f>'Sewer Fund  Equity Statemen'!N22</f>
        <v>22708</v>
      </c>
      <c r="O41" s="669">
        <f>'Sewer Fund  Equity Statemen'!O22</f>
        <v>22708</v>
      </c>
      <c r="P41" s="669">
        <f>'Sewer Fund  Equity Statemen'!P22</f>
        <v>22708</v>
      </c>
    </row>
    <row r="42" spans="1:16" s="657" customFormat="1" ht="12" thickBot="1" x14ac:dyDescent="0.25">
      <c r="A42" s="654" t="s">
        <v>59</v>
      </c>
      <c r="B42" s="668">
        <f>SUM(B40:B41)</f>
        <v>0</v>
      </c>
      <c r="C42" s="668">
        <f t="shared" ref="C42:P42" si="53">SUM(C40:C41)</f>
        <v>0</v>
      </c>
      <c r="D42" s="668">
        <f t="shared" si="53"/>
        <v>0</v>
      </c>
      <c r="E42" s="668">
        <f t="shared" si="53"/>
        <v>67466</v>
      </c>
      <c r="F42" s="668">
        <f t="shared" si="53"/>
        <v>69217.042000000001</v>
      </c>
      <c r="G42" s="668">
        <f t="shared" si="53"/>
        <v>78064.785999999993</v>
      </c>
      <c r="H42" s="668">
        <f t="shared" si="53"/>
        <v>77934.459999999992</v>
      </c>
      <c r="I42" s="668">
        <f t="shared" si="53"/>
        <v>77745.505000000005</v>
      </c>
      <c r="J42" s="668">
        <f t="shared" si="53"/>
        <v>77538.907999999996</v>
      </c>
      <c r="K42" s="668">
        <f t="shared" si="53"/>
        <v>77251.259623599995</v>
      </c>
      <c r="L42" s="668">
        <f t="shared" si="53"/>
        <v>76924.822498815993</v>
      </c>
      <c r="M42" s="668">
        <f t="shared" si="53"/>
        <v>76557.90325630657</v>
      </c>
      <c r="N42" s="668">
        <f t="shared" si="53"/>
        <v>76148.746683851408</v>
      </c>
      <c r="O42" s="668">
        <f t="shared" si="53"/>
        <v>75695.533547651939</v>
      </c>
      <c r="P42" s="668">
        <f t="shared" si="53"/>
        <v>75196.378335582907</v>
      </c>
    </row>
    <row r="43" spans="1:16" ht="12" thickTop="1" x14ac:dyDescent="0.2">
      <c r="B43" s="608"/>
      <c r="C43" s="608"/>
      <c r="D43" s="608"/>
      <c r="E43" s="608"/>
      <c r="F43" s="608"/>
      <c r="G43" s="608"/>
      <c r="H43" s="608"/>
      <c r="I43" s="608"/>
      <c r="J43" s="608"/>
      <c r="K43" s="608"/>
      <c r="L43" s="608"/>
      <c r="M43" s="608"/>
      <c r="N43" s="608"/>
      <c r="O43" s="608"/>
      <c r="P43" s="608"/>
    </row>
    <row r="44" spans="1:16" ht="11.25" hidden="1" outlineLevel="1" x14ac:dyDescent="0.2">
      <c r="A44" s="653" t="s">
        <v>111</v>
      </c>
      <c r="B44" s="621">
        <f>+B37-B42</f>
        <v>0</v>
      </c>
      <c r="C44" s="621">
        <f t="shared" ref="C44:P44" si="54">+C37-C42</f>
        <v>0</v>
      </c>
      <c r="D44" s="621">
        <f t="shared" si="54"/>
        <v>0</v>
      </c>
      <c r="E44" s="621">
        <f t="shared" si="54"/>
        <v>0</v>
      </c>
      <c r="F44" s="621">
        <f t="shared" si="54"/>
        <v>0</v>
      </c>
      <c r="G44" s="621">
        <f t="shared" si="54"/>
        <v>0</v>
      </c>
      <c r="H44" s="621">
        <f t="shared" si="54"/>
        <v>0</v>
      </c>
      <c r="I44" s="621">
        <f t="shared" si="54"/>
        <v>0</v>
      </c>
      <c r="J44" s="621">
        <f t="shared" si="54"/>
        <v>0</v>
      </c>
      <c r="K44" s="621">
        <f t="shared" si="54"/>
        <v>0</v>
      </c>
      <c r="L44" s="621">
        <f t="shared" si="54"/>
        <v>0</v>
      </c>
      <c r="M44" s="621">
        <f t="shared" si="54"/>
        <v>0</v>
      </c>
      <c r="N44" s="621">
        <f t="shared" si="54"/>
        <v>0</v>
      </c>
      <c r="O44" s="621">
        <f t="shared" si="54"/>
        <v>0</v>
      </c>
      <c r="P44" s="621">
        <f t="shared" si="54"/>
        <v>0</v>
      </c>
    </row>
    <row r="45" spans="1:16" ht="11.25" hidden="1" outlineLevel="1" x14ac:dyDescent="0.2">
      <c r="B45" s="621"/>
      <c r="C45" s="621"/>
      <c r="D45" s="621"/>
      <c r="E45" s="621"/>
      <c r="F45" s="621"/>
      <c r="G45" s="621"/>
      <c r="H45" s="621"/>
      <c r="I45" s="621"/>
      <c r="J45" s="621"/>
      <c r="K45" s="621"/>
      <c r="L45" s="621"/>
      <c r="M45" s="621"/>
      <c r="N45" s="621"/>
      <c r="O45" s="621"/>
      <c r="P45" s="621"/>
    </row>
    <row r="46" spans="1:16" ht="11.25" collapsed="1" x14ac:dyDescent="0.2">
      <c r="D46" s="670"/>
      <c r="E46" s="670"/>
      <c r="F46" s="670"/>
      <c r="G46" s="670"/>
      <c r="H46" s="670"/>
      <c r="I46" s="670"/>
      <c r="J46" s="670"/>
      <c r="K46" s="670"/>
      <c r="L46" s="670"/>
      <c r="M46" s="670"/>
      <c r="N46" s="670"/>
      <c r="O46" s="670"/>
      <c r="P46" s="670"/>
    </row>
    <row r="47" spans="1:16" ht="12.75" x14ac:dyDescent="0.2">
      <c r="A47" s="1091" t="s">
        <v>1362</v>
      </c>
    </row>
    <row r="48" spans="1:16" s="660" customFormat="1" ht="12" x14ac:dyDescent="0.2">
      <c r="A48" s="671" t="s">
        <v>1070</v>
      </c>
      <c r="B48" s="586" t="s">
        <v>69</v>
      </c>
      <c r="C48" s="586" t="s">
        <v>69</v>
      </c>
      <c r="D48" s="586" t="s">
        <v>69</v>
      </c>
      <c r="E48" s="586" t="s">
        <v>69</v>
      </c>
      <c r="F48" s="586" t="s">
        <v>70</v>
      </c>
      <c r="G48" s="586" t="s">
        <v>70</v>
      </c>
      <c r="H48" s="586" t="s">
        <v>71</v>
      </c>
      <c r="I48" s="586" t="s">
        <v>71</v>
      </c>
      <c r="J48" s="586" t="s">
        <v>71</v>
      </c>
      <c r="K48" s="586" t="s">
        <v>71</v>
      </c>
      <c r="L48" s="586" t="s">
        <v>71</v>
      </c>
      <c r="M48" s="586" t="s">
        <v>71</v>
      </c>
      <c r="N48" s="586" t="s">
        <v>71</v>
      </c>
      <c r="O48" s="586" t="s">
        <v>71</v>
      </c>
      <c r="P48" s="586" t="s">
        <v>71</v>
      </c>
    </row>
    <row r="49" spans="1:16" ht="11.25" x14ac:dyDescent="0.2">
      <c r="A49" s="652" t="s">
        <v>72</v>
      </c>
      <c r="B49" s="741" t="s">
        <v>68</v>
      </c>
      <c r="C49" s="694" t="s">
        <v>0</v>
      </c>
      <c r="D49" s="694" t="s">
        <v>1</v>
      </c>
      <c r="E49" s="694" t="s">
        <v>2</v>
      </c>
      <c r="F49" s="694" t="s">
        <v>3</v>
      </c>
      <c r="G49" s="694" t="s">
        <v>4</v>
      </c>
      <c r="H49" s="694" t="s">
        <v>5</v>
      </c>
      <c r="I49" s="694" t="s">
        <v>6</v>
      </c>
      <c r="J49" s="694" t="s">
        <v>7</v>
      </c>
      <c r="K49" s="694" t="s">
        <v>8</v>
      </c>
      <c r="L49" s="694" t="s">
        <v>9</v>
      </c>
      <c r="M49" s="694" t="s">
        <v>514</v>
      </c>
      <c r="N49" s="694" t="s">
        <v>515</v>
      </c>
      <c r="O49" s="694" t="s">
        <v>904</v>
      </c>
      <c r="P49" s="694" t="s">
        <v>1046</v>
      </c>
    </row>
    <row r="50" spans="1:16" s="664" customFormat="1" ht="11.25" x14ac:dyDescent="0.2">
      <c r="A50" s="661"/>
      <c r="B50" s="662"/>
      <c r="C50" s="662"/>
      <c r="D50" s="663"/>
      <c r="E50" s="663"/>
      <c r="F50" s="663"/>
      <c r="G50" s="663"/>
      <c r="H50" s="663"/>
      <c r="I50" s="663"/>
      <c r="J50" s="663"/>
      <c r="K50" s="663"/>
      <c r="L50" s="663"/>
      <c r="M50" s="663"/>
      <c r="N50" s="663"/>
      <c r="O50" s="663"/>
      <c r="P50" s="663"/>
    </row>
    <row r="51" spans="1:16" ht="11.25" x14ac:dyDescent="0.2">
      <c r="A51" s="654" t="s">
        <v>35</v>
      </c>
      <c r="B51" s="608"/>
      <c r="C51" s="608"/>
      <c r="D51" s="608"/>
      <c r="E51" s="608"/>
      <c r="F51" s="608"/>
      <c r="G51" s="608"/>
      <c r="H51" s="608"/>
      <c r="I51" s="608"/>
      <c r="J51" s="608"/>
      <c r="K51" s="608"/>
      <c r="L51" s="608"/>
      <c r="M51" s="608"/>
      <c r="N51" s="608"/>
      <c r="O51" s="608"/>
      <c r="P51" s="608"/>
    </row>
    <row r="52" spans="1:16" ht="11.25" x14ac:dyDescent="0.2">
      <c r="A52" s="654" t="s">
        <v>36</v>
      </c>
      <c r="B52" s="608"/>
      <c r="C52" s="608"/>
      <c r="D52" s="608"/>
      <c r="E52" s="608"/>
      <c r="F52" s="608"/>
      <c r="G52" s="608"/>
      <c r="H52" s="608"/>
      <c r="I52" s="608"/>
      <c r="J52" s="608"/>
      <c r="K52" s="608"/>
      <c r="L52" s="608"/>
      <c r="M52" s="608"/>
      <c r="N52" s="608"/>
      <c r="O52" s="608"/>
      <c r="P52" s="608"/>
    </row>
    <row r="53" spans="1:16" ht="11.25" x14ac:dyDescent="0.2">
      <c r="A53" s="653" t="s">
        <v>37</v>
      </c>
      <c r="B53" s="608"/>
      <c r="C53" s="608"/>
      <c r="D53" s="608"/>
      <c r="E53" s="608">
        <f t="shared" ref="E53:E57" si="55">E7</f>
        <v>0</v>
      </c>
      <c r="F53" s="621">
        <f>'Sewer  Fund  Cash Flow'!F101</f>
        <v>0</v>
      </c>
      <c r="G53" s="621">
        <f>'Sewer  Fund  Cash Flow'!G101</f>
        <v>0</v>
      </c>
      <c r="H53" s="621">
        <f>'Sewer  Fund  Cash Flow'!H101</f>
        <v>3.836930773104541E-13</v>
      </c>
      <c r="I53" s="621">
        <f>'Sewer  Fund  Cash Flow'!I101</f>
        <v>3.836930773104541E-13</v>
      </c>
      <c r="J53" s="621">
        <f>'Sewer  Fund  Cash Flow'!J101</f>
        <v>-5.9999999998922249E-2</v>
      </c>
      <c r="K53" s="621">
        <f>'Sewer  Fund  Cash Flow'!K101</f>
        <v>-69.541061399998839</v>
      </c>
      <c r="L53" s="621">
        <f>'Sewer  Fund  Cash Flow'!L101</f>
        <v>-165.76046050900123</v>
      </c>
      <c r="M53" s="621">
        <f>'Sewer  Fund  Cash Flow'!M101</f>
        <v>-289.9783818455482</v>
      </c>
      <c r="N53" s="621">
        <f>'Sewer  Fund  Cash Flow'!N101</f>
        <v>-443.5033846953948</v>
      </c>
      <c r="O53" s="621">
        <f>'Sewer  Fund  Cash Flow'!O101</f>
        <v>-627.69419233823714</v>
      </c>
      <c r="P53" s="621">
        <f>'Sewer  Fund  Cash Flow'!P101</f>
        <v>-843.96154853131702</v>
      </c>
    </row>
    <row r="54" spans="1:16" ht="11.25" x14ac:dyDescent="0.2">
      <c r="A54" s="653" t="s">
        <v>38</v>
      </c>
      <c r="B54" s="608"/>
      <c r="C54" s="608"/>
      <c r="D54" s="608"/>
      <c r="E54" s="608">
        <f t="shared" si="55"/>
        <v>3019</v>
      </c>
      <c r="F54" s="608">
        <f>E54</f>
        <v>3019</v>
      </c>
      <c r="G54" s="608">
        <f t="shared" ref="G54:P54" si="56">F54</f>
        <v>3019</v>
      </c>
      <c r="H54" s="608">
        <f t="shared" si="56"/>
        <v>3019</v>
      </c>
      <c r="I54" s="608">
        <f t="shared" si="56"/>
        <v>3019</v>
      </c>
      <c r="J54" s="608">
        <f t="shared" si="56"/>
        <v>3019</v>
      </c>
      <c r="K54" s="608">
        <f t="shared" si="56"/>
        <v>3019</v>
      </c>
      <c r="L54" s="608">
        <f t="shared" si="56"/>
        <v>3019</v>
      </c>
      <c r="M54" s="608">
        <f t="shared" si="56"/>
        <v>3019</v>
      </c>
      <c r="N54" s="608">
        <f t="shared" si="56"/>
        <v>3019</v>
      </c>
      <c r="O54" s="608">
        <f t="shared" si="56"/>
        <v>3019</v>
      </c>
      <c r="P54" s="608">
        <f t="shared" si="56"/>
        <v>3019</v>
      </c>
    </row>
    <row r="55" spans="1:16" ht="11.25" x14ac:dyDescent="0.2">
      <c r="A55" s="653" t="s">
        <v>39</v>
      </c>
      <c r="B55" s="608"/>
      <c r="C55" s="608"/>
      <c r="D55" s="608"/>
      <c r="E55" s="608">
        <f t="shared" si="55"/>
        <v>454</v>
      </c>
      <c r="F55" s="608">
        <f t="shared" ref="F55:P57" si="57">+E55</f>
        <v>454</v>
      </c>
      <c r="G55" s="608">
        <f t="shared" si="57"/>
        <v>454</v>
      </c>
      <c r="H55" s="608">
        <f t="shared" si="57"/>
        <v>454</v>
      </c>
      <c r="I55" s="608">
        <f t="shared" si="57"/>
        <v>454</v>
      </c>
      <c r="J55" s="608">
        <f t="shared" si="57"/>
        <v>454</v>
      </c>
      <c r="K55" s="608">
        <f t="shared" si="57"/>
        <v>454</v>
      </c>
      <c r="L55" s="608">
        <f t="shared" si="57"/>
        <v>454</v>
      </c>
      <c r="M55" s="608">
        <f t="shared" si="57"/>
        <v>454</v>
      </c>
      <c r="N55" s="608">
        <f t="shared" si="57"/>
        <v>454</v>
      </c>
      <c r="O55" s="608">
        <f t="shared" si="57"/>
        <v>454</v>
      </c>
      <c r="P55" s="608">
        <f t="shared" si="57"/>
        <v>454</v>
      </c>
    </row>
    <row r="56" spans="1:16" ht="11.25" x14ac:dyDescent="0.2">
      <c r="A56" s="653" t="s">
        <v>40</v>
      </c>
      <c r="B56" s="608"/>
      <c r="C56" s="608"/>
      <c r="D56" s="608"/>
      <c r="E56" s="608">
        <f t="shared" si="55"/>
        <v>0</v>
      </c>
      <c r="F56" s="608">
        <f t="shared" si="57"/>
        <v>0</v>
      </c>
      <c r="G56" s="608">
        <f t="shared" si="57"/>
        <v>0</v>
      </c>
      <c r="H56" s="608">
        <f t="shared" si="57"/>
        <v>0</v>
      </c>
      <c r="I56" s="608">
        <f t="shared" si="57"/>
        <v>0</v>
      </c>
      <c r="J56" s="608">
        <f t="shared" si="57"/>
        <v>0</v>
      </c>
      <c r="K56" s="608">
        <f t="shared" si="57"/>
        <v>0</v>
      </c>
      <c r="L56" s="608">
        <f t="shared" si="57"/>
        <v>0</v>
      </c>
      <c r="M56" s="608">
        <f t="shared" si="57"/>
        <v>0</v>
      </c>
      <c r="N56" s="608">
        <f t="shared" si="57"/>
        <v>0</v>
      </c>
      <c r="O56" s="608">
        <f t="shared" si="57"/>
        <v>0</v>
      </c>
      <c r="P56" s="608">
        <f t="shared" si="57"/>
        <v>0</v>
      </c>
    </row>
    <row r="57" spans="1:16" ht="11.25" x14ac:dyDescent="0.2">
      <c r="A57" s="655" t="s">
        <v>41</v>
      </c>
      <c r="B57" s="615"/>
      <c r="C57" s="608"/>
      <c r="D57" s="608"/>
      <c r="E57" s="608">
        <f t="shared" si="55"/>
        <v>0</v>
      </c>
      <c r="F57" s="608">
        <f t="shared" si="57"/>
        <v>0</v>
      </c>
      <c r="G57" s="608">
        <f t="shared" si="57"/>
        <v>0</v>
      </c>
      <c r="H57" s="608">
        <f t="shared" si="57"/>
        <v>0</v>
      </c>
      <c r="I57" s="608">
        <f t="shared" si="57"/>
        <v>0</v>
      </c>
      <c r="J57" s="608">
        <f t="shared" si="57"/>
        <v>0</v>
      </c>
      <c r="K57" s="608">
        <f t="shared" si="57"/>
        <v>0</v>
      </c>
      <c r="L57" s="608">
        <f t="shared" si="57"/>
        <v>0</v>
      </c>
      <c r="M57" s="608">
        <f t="shared" si="57"/>
        <v>0</v>
      </c>
      <c r="N57" s="608">
        <f t="shared" si="57"/>
        <v>0</v>
      </c>
      <c r="O57" s="608">
        <f t="shared" si="57"/>
        <v>0</v>
      </c>
      <c r="P57" s="608">
        <f t="shared" si="57"/>
        <v>0</v>
      </c>
    </row>
    <row r="58" spans="1:16" s="657" customFormat="1" ht="11.25" x14ac:dyDescent="0.2">
      <c r="A58" s="654" t="s">
        <v>42</v>
      </c>
      <c r="B58" s="656">
        <f>SUM(B53:B57)</f>
        <v>0</v>
      </c>
      <c r="C58" s="656">
        <f t="shared" ref="C58:P58" si="58">SUM(C53:C57)</f>
        <v>0</v>
      </c>
      <c r="D58" s="656">
        <f t="shared" si="58"/>
        <v>0</v>
      </c>
      <c r="E58" s="656">
        <f t="shared" si="58"/>
        <v>3473</v>
      </c>
      <c r="F58" s="656">
        <f t="shared" si="58"/>
        <v>3473</v>
      </c>
      <c r="G58" s="656">
        <f t="shared" si="58"/>
        <v>3473</v>
      </c>
      <c r="H58" s="656">
        <f t="shared" si="58"/>
        <v>3473.0000000000005</v>
      </c>
      <c r="I58" s="656">
        <f t="shared" si="58"/>
        <v>3473.0000000000005</v>
      </c>
      <c r="J58" s="672">
        <f t="shared" si="58"/>
        <v>3472.940000000001</v>
      </c>
      <c r="K58" s="672">
        <f t="shared" si="58"/>
        <v>3403.4589386000011</v>
      </c>
      <c r="L58" s="672">
        <f t="shared" si="58"/>
        <v>3307.2395394909986</v>
      </c>
      <c r="M58" s="672">
        <f t="shared" si="58"/>
        <v>3183.021618154452</v>
      </c>
      <c r="N58" s="672">
        <f t="shared" si="58"/>
        <v>3029.4966153046053</v>
      </c>
      <c r="O58" s="672">
        <f t="shared" si="58"/>
        <v>2845.3058076617626</v>
      </c>
      <c r="P58" s="672">
        <f t="shared" si="58"/>
        <v>2629.038451468683</v>
      </c>
    </row>
    <row r="59" spans="1:16" ht="11.25" x14ac:dyDescent="0.2">
      <c r="B59" s="608"/>
      <c r="C59" s="608"/>
      <c r="D59" s="608"/>
      <c r="E59" s="608"/>
      <c r="F59" s="608"/>
      <c r="G59" s="608"/>
      <c r="H59" s="608"/>
      <c r="I59" s="608"/>
      <c r="J59" s="608"/>
      <c r="K59" s="608"/>
      <c r="L59" s="608"/>
      <c r="M59" s="608"/>
      <c r="N59" s="608"/>
      <c r="O59" s="608"/>
      <c r="P59" s="608"/>
    </row>
    <row r="60" spans="1:16" ht="11.25" x14ac:dyDescent="0.2">
      <c r="A60" s="654" t="s">
        <v>43</v>
      </c>
      <c r="B60" s="608"/>
      <c r="C60" s="608"/>
      <c r="D60" s="608"/>
      <c r="E60" s="608"/>
      <c r="F60" s="608"/>
      <c r="G60" s="608"/>
      <c r="H60" s="608"/>
      <c r="I60" s="608"/>
      <c r="J60" s="608"/>
      <c r="K60" s="608"/>
      <c r="L60" s="608"/>
      <c r="M60" s="608"/>
      <c r="N60" s="608"/>
      <c r="O60" s="608"/>
      <c r="P60" s="608"/>
    </row>
    <row r="61" spans="1:16" ht="11.25" x14ac:dyDescent="0.2">
      <c r="A61" s="608" t="str">
        <f>A15</f>
        <v>Investments</v>
      </c>
      <c r="B61" s="608"/>
      <c r="C61" s="608"/>
      <c r="D61" s="608"/>
      <c r="E61" s="608">
        <f t="shared" ref="E61:P64" si="59">E15</f>
        <v>9236</v>
      </c>
      <c r="F61" s="608">
        <f>E54+E61+'Sewer  Fund  Inc Exp Statem'!F125-'Sewer  Fund  Inc Exp Statem'!F133-F54</f>
        <v>5416.1090000000004</v>
      </c>
      <c r="G61" s="608">
        <f>F54+F61+'Sewer  Fund  Inc Exp Statem'!G125-'Sewer  Fund  Inc Exp Statem'!G133-G54</f>
        <v>4266.1090000000004</v>
      </c>
      <c r="H61" s="608">
        <f>G54+G61+'Sewer  Fund  Inc Exp Statem'!H125-'Sewer  Fund  Inc Exp Statem'!H133-H54</f>
        <v>2079.384</v>
      </c>
      <c r="I61" s="608">
        <f>H54+H61+'Sewer  Fund  Inc Exp Statem'!I125-'Sewer  Fund  Inc Exp Statem'!I133-I54</f>
        <v>-147.08800000000019</v>
      </c>
      <c r="J61" s="608">
        <f>I54+I61+'Sewer  Fund  Inc Exp Statem'!J125-'Sewer  Fund  Inc Exp Statem'!J133-J54</f>
        <v>-1484.3270000000002</v>
      </c>
      <c r="K61" s="608">
        <f>J54+J61+'Sewer  Fund  Inc Exp Statem'!K125-'Sewer  Fund  Inc Exp Statem'!K133-K54</f>
        <v>-2848.3107800000002</v>
      </c>
      <c r="L61" s="608">
        <f>K54+K61+'Sewer  Fund  Inc Exp Statem'!L125-'Sewer  Fund  Inc Exp Statem'!L133-L54</f>
        <v>-4239.5742356000001</v>
      </c>
      <c r="M61" s="608">
        <f>L54+L61+'Sewer  Fund  Inc Exp Statem'!M125-'Sewer  Fund  Inc Exp Statem'!M133-M54</f>
        <v>-5658.662960312</v>
      </c>
      <c r="N61" s="608">
        <f>M54+M61+'Sewer  Fund  Inc Exp Statem'!N125-'Sewer  Fund  Inc Exp Statem'!N133-N54</f>
        <v>-7106.1334595182398</v>
      </c>
      <c r="O61" s="608">
        <f>N54+N61+'Sewer  Fund  Inc Exp Statem'!O125-'Sewer  Fund  Inc Exp Statem'!O133-O54</f>
        <v>-8582.5533687086045</v>
      </c>
      <c r="P61" s="608">
        <f>O54+O61+'Sewer  Fund  Inc Exp Statem'!P125-'Sewer  Fund  Inc Exp Statem'!P133-P54</f>
        <v>-10088.501676082777</v>
      </c>
    </row>
    <row r="62" spans="1:16" ht="11.25" x14ac:dyDescent="0.2">
      <c r="A62" s="760" t="s">
        <v>44</v>
      </c>
      <c r="B62" s="608"/>
      <c r="C62" s="608"/>
      <c r="D62" s="608"/>
      <c r="E62" s="608">
        <f t="shared" si="59"/>
        <v>56492</v>
      </c>
      <c r="F62" s="608">
        <f>E62-'Sewer  Fund  Inc Exp Statem'!F97+SUM('Sewer  Fund  Inc Exp Statem'!F121:F123)-'Sewer  Fund  Inc Exp Statem'!F135</f>
        <v>71396.93299999999</v>
      </c>
      <c r="G62" s="608">
        <f>F62-'Sewer  Fund  Inc Exp Statem'!G97+SUM('Sewer  Fund  Inc Exp Statem'!G121:G123)-'Sewer  Fund  Inc Exp Statem'!G135</f>
        <v>98668.93299999999</v>
      </c>
      <c r="H62" s="608">
        <f>G62-'Sewer  Fund  Inc Exp Statem'!H97+SUM('Sewer  Fund  Inc Exp Statem'!H121:H123)-'Sewer  Fund  Inc Exp Statem'!H135</f>
        <v>100640.48299999999</v>
      </c>
      <c r="I62" s="608">
        <f>H62-'Sewer  Fund  Inc Exp Statem'!I97+SUM('Sewer  Fund  Inc Exp Statem'!I121:I123)-'Sewer  Fund  Inc Exp Statem'!I135</f>
        <v>102590.57199999999</v>
      </c>
      <c r="J62" s="608">
        <f>I62-'Sewer  Fund  Inc Exp Statem'!J97+SUM('Sewer  Fund  Inc Exp Statem'!J121:J123)-'Sewer  Fund  Inc Exp Statem'!J135</f>
        <v>103631.18799999998</v>
      </c>
      <c r="K62" s="608">
        <f>J62-'Sewer  Fund  Inc Exp Statem'!K97+SUM('Sewer  Fund  Inc Exp Statem'!K121:K123)-'Sewer  Fund  Inc Exp Statem'!K135</f>
        <v>104685.11939999998</v>
      </c>
      <c r="L62" s="608">
        <f>K62-'Sewer  Fund  Inc Exp Statem'!L97+SUM('Sewer  Fund  Inc Exp Statem'!L121:L123)-'Sewer  Fund  Inc Exp Statem'!L135</f>
        <v>105752.44508499997</v>
      </c>
      <c r="M62" s="608">
        <f>L62-'Sewer  Fund  Inc Exp Statem'!M97+SUM('Sewer  Fund  Inc Exp Statem'!M121:M123)-'Sewer  Fund  Inc Exp Statem'!M135</f>
        <v>106833.24083212497</v>
      </c>
      <c r="N62" s="608">
        <f>M62-'Sewer  Fund  Inc Exp Statem'!N97+SUM('Sewer  Fund  Inc Exp Statem'!N121:N123)-'Sewer  Fund  Inc Exp Statem'!N135</f>
        <v>107927.57913132809</v>
      </c>
      <c r="O62" s="608">
        <f>N62-'Sewer  Fund  Inc Exp Statem'!O97+SUM('Sewer  Fund  Inc Exp Statem'!O121:O123)-'Sewer  Fund  Inc Exp Statem'!O135</f>
        <v>109035.5289995793</v>
      </c>
      <c r="P62" s="608">
        <f>O62-'Sewer  Fund  Inc Exp Statem'!P97+SUM('Sewer  Fund  Inc Exp Statem'!P121:P123)-'Sewer  Fund  Inc Exp Statem'!P135</f>
        <v>110157.15578833615</v>
      </c>
    </row>
    <row r="63" spans="1:16" ht="22.5" x14ac:dyDescent="0.2">
      <c r="A63" s="608" t="str">
        <f t="shared" ref="A63:A64" si="60">A17</f>
        <v>Investments accounted for using the equity method</v>
      </c>
      <c r="B63" s="608"/>
      <c r="C63" s="608"/>
      <c r="D63" s="608"/>
      <c r="E63" s="608">
        <f t="shared" si="59"/>
        <v>0</v>
      </c>
      <c r="F63" s="608">
        <f t="shared" si="59"/>
        <v>0</v>
      </c>
      <c r="G63" s="608">
        <f t="shared" si="59"/>
        <v>0</v>
      </c>
      <c r="H63" s="608">
        <f t="shared" si="59"/>
        <v>0</v>
      </c>
      <c r="I63" s="608">
        <f t="shared" si="59"/>
        <v>0</v>
      </c>
      <c r="J63" s="608">
        <f t="shared" si="59"/>
        <v>0</v>
      </c>
      <c r="K63" s="608">
        <f t="shared" si="59"/>
        <v>0</v>
      </c>
      <c r="L63" s="608">
        <f t="shared" si="59"/>
        <v>0</v>
      </c>
      <c r="M63" s="608">
        <f t="shared" si="59"/>
        <v>0</v>
      </c>
      <c r="N63" s="608">
        <f t="shared" si="59"/>
        <v>0</v>
      </c>
      <c r="O63" s="608">
        <f t="shared" si="59"/>
        <v>0</v>
      </c>
      <c r="P63" s="608">
        <f t="shared" si="59"/>
        <v>0</v>
      </c>
    </row>
    <row r="64" spans="1:16" ht="11.25" x14ac:dyDescent="0.2">
      <c r="A64" s="608" t="str">
        <f t="shared" si="60"/>
        <v>Investment Property</v>
      </c>
      <c r="B64" s="608"/>
      <c r="C64" s="608"/>
      <c r="D64" s="608"/>
      <c r="E64" s="608">
        <f t="shared" si="59"/>
        <v>0</v>
      </c>
      <c r="F64" s="608">
        <f t="shared" si="59"/>
        <v>0</v>
      </c>
      <c r="G64" s="608">
        <f t="shared" si="59"/>
        <v>0</v>
      </c>
      <c r="H64" s="608">
        <f t="shared" si="59"/>
        <v>0</v>
      </c>
      <c r="I64" s="608">
        <f t="shared" si="59"/>
        <v>0</v>
      </c>
      <c r="J64" s="608">
        <f t="shared" si="59"/>
        <v>0</v>
      </c>
      <c r="K64" s="608">
        <f t="shared" si="59"/>
        <v>0</v>
      </c>
      <c r="L64" s="608">
        <f t="shared" si="59"/>
        <v>0</v>
      </c>
      <c r="M64" s="608">
        <f t="shared" si="59"/>
        <v>0</v>
      </c>
      <c r="N64" s="608">
        <f t="shared" si="59"/>
        <v>0</v>
      </c>
      <c r="O64" s="608">
        <f t="shared" si="59"/>
        <v>0</v>
      </c>
      <c r="P64" s="608">
        <f t="shared" si="59"/>
        <v>0</v>
      </c>
    </row>
    <row r="65" spans="1:16" s="657" customFormat="1" ht="11.25" x14ac:dyDescent="0.2">
      <c r="A65" s="761" t="s">
        <v>45</v>
      </c>
      <c r="B65" s="762">
        <f>SUM(B62)</f>
        <v>0</v>
      </c>
      <c r="C65" s="762">
        <f t="shared" ref="C65" si="61">SUM(C62)</f>
        <v>0</v>
      </c>
      <c r="D65" s="762">
        <f>SUM(D61:D64)</f>
        <v>0</v>
      </c>
      <c r="E65" s="762">
        <f t="shared" ref="E65:P65" si="62">SUM(E61:E64)</f>
        <v>65728</v>
      </c>
      <c r="F65" s="762">
        <f t="shared" si="62"/>
        <v>76813.041999999987</v>
      </c>
      <c r="G65" s="762">
        <f t="shared" si="62"/>
        <v>102935.04199999999</v>
      </c>
      <c r="H65" s="762">
        <f t="shared" si="62"/>
        <v>102719.867</v>
      </c>
      <c r="I65" s="762">
        <f t="shared" si="62"/>
        <v>102443.48399999998</v>
      </c>
      <c r="J65" s="762">
        <f t="shared" si="62"/>
        <v>102146.86099999998</v>
      </c>
      <c r="K65" s="762">
        <f t="shared" si="62"/>
        <v>101836.80861999998</v>
      </c>
      <c r="L65" s="762">
        <f t="shared" si="62"/>
        <v>101512.87084939997</v>
      </c>
      <c r="M65" s="762">
        <f t="shared" si="62"/>
        <v>101174.57787181297</v>
      </c>
      <c r="N65" s="762">
        <f t="shared" si="62"/>
        <v>100821.44567180985</v>
      </c>
      <c r="O65" s="762">
        <f t="shared" si="62"/>
        <v>100452.9756308707</v>
      </c>
      <c r="P65" s="762">
        <f t="shared" si="62"/>
        <v>100068.65411225338</v>
      </c>
    </row>
    <row r="66" spans="1:16" ht="9" customHeight="1" x14ac:dyDescent="0.2">
      <c r="B66" s="608"/>
      <c r="C66" s="608"/>
      <c r="D66" s="608"/>
      <c r="E66" s="608"/>
      <c r="F66" s="608"/>
      <c r="G66" s="608"/>
      <c r="H66" s="608"/>
      <c r="I66" s="608"/>
      <c r="J66" s="608"/>
      <c r="K66" s="608"/>
      <c r="L66" s="608"/>
      <c r="M66" s="608"/>
      <c r="N66" s="608"/>
      <c r="O66" s="608"/>
      <c r="P66" s="608"/>
    </row>
    <row r="67" spans="1:16" s="657" customFormat="1" ht="12" thickBot="1" x14ac:dyDescent="0.25">
      <c r="A67" s="654" t="s">
        <v>46</v>
      </c>
      <c r="B67" s="665">
        <f>+B58+B65</f>
        <v>0</v>
      </c>
      <c r="C67" s="665">
        <f t="shared" ref="C67:P67" si="63">+C58+C65</f>
        <v>0</v>
      </c>
      <c r="D67" s="665">
        <f t="shared" si="63"/>
        <v>0</v>
      </c>
      <c r="E67" s="665">
        <f t="shared" si="63"/>
        <v>69201</v>
      </c>
      <c r="F67" s="665">
        <f t="shared" si="63"/>
        <v>80286.041999999987</v>
      </c>
      <c r="G67" s="665">
        <f t="shared" si="63"/>
        <v>106408.04199999999</v>
      </c>
      <c r="H67" s="665">
        <f t="shared" si="63"/>
        <v>106192.867</v>
      </c>
      <c r="I67" s="665">
        <f t="shared" si="63"/>
        <v>105916.48399999998</v>
      </c>
      <c r="J67" s="665">
        <f t="shared" si="63"/>
        <v>105619.80099999998</v>
      </c>
      <c r="K67" s="665">
        <f t="shared" si="63"/>
        <v>105240.26755859998</v>
      </c>
      <c r="L67" s="665">
        <f t="shared" si="63"/>
        <v>104820.11038889097</v>
      </c>
      <c r="M67" s="665">
        <f t="shared" si="63"/>
        <v>104357.59948996743</v>
      </c>
      <c r="N67" s="665">
        <f t="shared" si="63"/>
        <v>103850.94228711446</v>
      </c>
      <c r="O67" s="665">
        <f t="shared" si="63"/>
        <v>103298.28143853246</v>
      </c>
      <c r="P67" s="665">
        <f t="shared" si="63"/>
        <v>102697.69256372207</v>
      </c>
    </row>
    <row r="68" spans="1:16" ht="11.25" x14ac:dyDescent="0.2">
      <c r="B68" s="608"/>
      <c r="C68" s="608"/>
      <c r="D68" s="608"/>
      <c r="E68" s="608"/>
      <c r="F68" s="608"/>
      <c r="G68" s="608"/>
      <c r="H68" s="608"/>
      <c r="I68" s="608"/>
      <c r="J68" s="608"/>
      <c r="K68" s="608"/>
      <c r="L68" s="608"/>
      <c r="M68" s="608"/>
      <c r="N68" s="608"/>
      <c r="O68" s="608"/>
      <c r="P68" s="608"/>
    </row>
    <row r="69" spans="1:16" ht="11.25" x14ac:dyDescent="0.2">
      <c r="A69" s="654" t="s">
        <v>47</v>
      </c>
      <c r="B69" s="608"/>
      <c r="C69" s="608"/>
      <c r="D69" s="608"/>
      <c r="E69" s="608"/>
      <c r="F69" s="608"/>
      <c r="G69" s="608"/>
      <c r="H69" s="608"/>
      <c r="I69" s="608"/>
      <c r="J69" s="608"/>
      <c r="K69" s="608"/>
      <c r="L69" s="608"/>
      <c r="M69" s="608"/>
      <c r="N69" s="608"/>
      <c r="O69" s="608"/>
      <c r="P69" s="608"/>
    </row>
    <row r="70" spans="1:16" ht="11.25" x14ac:dyDescent="0.2">
      <c r="A70" s="654" t="s">
        <v>48</v>
      </c>
      <c r="B70" s="608"/>
      <c r="C70" s="608"/>
      <c r="D70" s="608"/>
      <c r="E70" s="608"/>
      <c r="F70" s="608"/>
      <c r="G70" s="608"/>
      <c r="H70" s="608"/>
      <c r="I70" s="608"/>
      <c r="J70" s="608"/>
      <c r="K70" s="608"/>
      <c r="L70" s="608"/>
      <c r="M70" s="608"/>
      <c r="N70" s="608"/>
      <c r="O70" s="608"/>
      <c r="P70" s="608"/>
    </row>
    <row r="71" spans="1:16" ht="11.25" x14ac:dyDescent="0.2">
      <c r="A71" s="666" t="s">
        <v>49</v>
      </c>
      <c r="B71" s="608"/>
      <c r="C71" s="608"/>
      <c r="D71" s="608"/>
      <c r="E71" s="608">
        <f t="shared" ref="E71:E73" si="64">E25</f>
        <v>648</v>
      </c>
      <c r="F71" s="608">
        <f t="shared" ref="F71:P73" si="65">+E71</f>
        <v>648</v>
      </c>
      <c r="G71" s="608">
        <f t="shared" si="65"/>
        <v>648</v>
      </c>
      <c r="H71" s="608">
        <f t="shared" si="65"/>
        <v>648</v>
      </c>
      <c r="I71" s="608">
        <f t="shared" si="65"/>
        <v>648</v>
      </c>
      <c r="J71" s="608">
        <f t="shared" si="65"/>
        <v>648</v>
      </c>
      <c r="K71" s="608">
        <f t="shared" si="65"/>
        <v>648</v>
      </c>
      <c r="L71" s="608">
        <f t="shared" si="65"/>
        <v>648</v>
      </c>
      <c r="M71" s="608">
        <f t="shared" si="65"/>
        <v>648</v>
      </c>
      <c r="N71" s="608">
        <f t="shared" si="65"/>
        <v>648</v>
      </c>
      <c r="O71" s="608">
        <f t="shared" si="65"/>
        <v>648</v>
      </c>
      <c r="P71" s="608">
        <f t="shared" si="65"/>
        <v>648</v>
      </c>
    </row>
    <row r="72" spans="1:16" ht="11.25" x14ac:dyDescent="0.2">
      <c r="A72" s="666" t="s">
        <v>1051</v>
      </c>
      <c r="B72" s="608"/>
      <c r="C72" s="608"/>
      <c r="D72" s="608"/>
      <c r="E72" s="608">
        <f t="shared" si="64"/>
        <v>63</v>
      </c>
      <c r="F72" s="608">
        <f>'Sewer  Fund  Inc Exp Statem'!G124</f>
        <v>82.426000000000002</v>
      </c>
      <c r="G72" s="608">
        <f>'Sewer  Fund  Inc Exp Statem'!H124</f>
        <v>85.358999999999995</v>
      </c>
      <c r="H72" s="608">
        <f>'Sewer  Fund  Inc Exp Statem'!I124</f>
        <v>87.948999999999998</v>
      </c>
      <c r="I72" s="608">
        <f>'Sewer  Fund  Inc Exp Statem'!J124</f>
        <v>90.617000000000004</v>
      </c>
      <c r="J72" s="608">
        <f>'Sewer  Fund  Inc Exp Statem'!K124</f>
        <v>92.42934000000001</v>
      </c>
      <c r="K72" s="608">
        <f>'Sewer  Fund  Inc Exp Statem'!L124</f>
        <v>94.277926800000017</v>
      </c>
      <c r="L72" s="608">
        <f>'Sewer  Fund  Inc Exp Statem'!M124</f>
        <v>96.163485336000022</v>
      </c>
      <c r="M72" s="608">
        <f>'Sewer  Fund  Inc Exp Statem'!N124</f>
        <v>98.086755042720029</v>
      </c>
      <c r="N72" s="608">
        <f>'Sewer  Fund  Inc Exp Statem'!O124</f>
        <v>100.04849014357443</v>
      </c>
      <c r="O72" s="608">
        <f>'Sewer  Fund  Inc Exp Statem'!P124</f>
        <v>102.04945994644592</v>
      </c>
      <c r="P72" s="608">
        <f>'Sewer  Fund  Inc Exp Statem'!Q124</f>
        <v>0</v>
      </c>
    </row>
    <row r="73" spans="1:16" ht="11.25" x14ac:dyDescent="0.2">
      <c r="A73" s="667" t="s">
        <v>50</v>
      </c>
      <c r="B73" s="615"/>
      <c r="C73" s="608"/>
      <c r="D73" s="608"/>
      <c r="E73" s="608">
        <f t="shared" si="64"/>
        <v>236</v>
      </c>
      <c r="F73" s="608">
        <f t="shared" si="65"/>
        <v>236</v>
      </c>
      <c r="G73" s="608">
        <f t="shared" si="65"/>
        <v>236</v>
      </c>
      <c r="H73" s="608">
        <f t="shared" si="65"/>
        <v>236</v>
      </c>
      <c r="I73" s="608">
        <f t="shared" si="65"/>
        <v>236</v>
      </c>
      <c r="J73" s="608">
        <f t="shared" si="65"/>
        <v>236</v>
      </c>
      <c r="K73" s="608">
        <f t="shared" si="65"/>
        <v>236</v>
      </c>
      <c r="L73" s="608">
        <f t="shared" si="65"/>
        <v>236</v>
      </c>
      <c r="M73" s="608">
        <f t="shared" si="65"/>
        <v>236</v>
      </c>
      <c r="N73" s="608">
        <f t="shared" si="65"/>
        <v>236</v>
      </c>
      <c r="O73" s="608">
        <f t="shared" si="65"/>
        <v>236</v>
      </c>
      <c r="P73" s="608">
        <f t="shared" si="65"/>
        <v>236</v>
      </c>
    </row>
    <row r="74" spans="1:16" s="657" customFormat="1" ht="11.25" x14ac:dyDescent="0.2">
      <c r="A74" s="654" t="s">
        <v>51</v>
      </c>
      <c r="B74" s="656">
        <f>SUM(B71:B73)</f>
        <v>0</v>
      </c>
      <c r="C74" s="656">
        <f t="shared" ref="C74:P74" si="66">SUM(C71:C73)</f>
        <v>0</v>
      </c>
      <c r="D74" s="656">
        <f t="shared" si="66"/>
        <v>0</v>
      </c>
      <c r="E74" s="656">
        <f t="shared" si="66"/>
        <v>947</v>
      </c>
      <c r="F74" s="656">
        <f t="shared" si="66"/>
        <v>966.42600000000004</v>
      </c>
      <c r="G74" s="656">
        <f t="shared" si="66"/>
        <v>969.35900000000004</v>
      </c>
      <c r="H74" s="656">
        <f t="shared" si="66"/>
        <v>971.94899999999996</v>
      </c>
      <c r="I74" s="656">
        <f t="shared" si="66"/>
        <v>974.61699999999996</v>
      </c>
      <c r="J74" s="656">
        <f t="shared" si="66"/>
        <v>976.42934000000002</v>
      </c>
      <c r="K74" s="656">
        <f t="shared" si="66"/>
        <v>978.27792680000005</v>
      </c>
      <c r="L74" s="656">
        <f t="shared" si="66"/>
        <v>980.16348533600001</v>
      </c>
      <c r="M74" s="656">
        <f t="shared" si="66"/>
        <v>982.08675504272003</v>
      </c>
      <c r="N74" s="656">
        <f t="shared" si="66"/>
        <v>984.04849014357444</v>
      </c>
      <c r="O74" s="656">
        <f t="shared" si="66"/>
        <v>986.04945994644595</v>
      </c>
      <c r="P74" s="656">
        <f t="shared" si="66"/>
        <v>884</v>
      </c>
    </row>
    <row r="75" spans="1:16" ht="11.25" x14ac:dyDescent="0.2">
      <c r="B75" s="608"/>
      <c r="C75" s="608"/>
      <c r="D75" s="608"/>
      <c r="E75" s="608"/>
      <c r="F75" s="608"/>
      <c r="G75" s="608"/>
      <c r="H75" s="608"/>
      <c r="I75" s="608"/>
      <c r="J75" s="608"/>
      <c r="K75" s="608"/>
      <c r="L75" s="608"/>
      <c r="M75" s="608"/>
      <c r="N75" s="608"/>
      <c r="O75" s="608"/>
      <c r="P75" s="608"/>
    </row>
    <row r="76" spans="1:16" ht="11.25" x14ac:dyDescent="0.2">
      <c r="A76" s="654" t="s">
        <v>52</v>
      </c>
      <c r="B76" s="608"/>
      <c r="C76" s="608"/>
      <c r="D76" s="608"/>
      <c r="E76" s="608"/>
      <c r="F76" s="608"/>
      <c r="G76" s="608"/>
      <c r="H76" s="608"/>
      <c r="I76" s="608"/>
      <c r="J76" s="608"/>
      <c r="K76" s="608"/>
      <c r="L76" s="608"/>
      <c r="M76" s="608"/>
      <c r="N76" s="608"/>
      <c r="O76" s="608"/>
      <c r="P76" s="608"/>
    </row>
    <row r="77" spans="1:16" ht="11.25" x14ac:dyDescent="0.2">
      <c r="A77" s="653" t="s">
        <v>49</v>
      </c>
      <c r="B77" s="608">
        <v>0</v>
      </c>
      <c r="C77" s="608">
        <v>0</v>
      </c>
      <c r="D77" s="608">
        <f>D31</f>
        <v>0</v>
      </c>
      <c r="E77" s="608">
        <f t="shared" ref="E77:E79" si="67">E31</f>
        <v>0</v>
      </c>
      <c r="F77" s="608">
        <f t="shared" ref="F77:P79" si="68">+E77</f>
        <v>0</v>
      </c>
      <c r="G77" s="608">
        <f t="shared" si="68"/>
        <v>0</v>
      </c>
      <c r="H77" s="608">
        <f t="shared" si="68"/>
        <v>0</v>
      </c>
      <c r="I77" s="608">
        <f t="shared" si="68"/>
        <v>0</v>
      </c>
      <c r="J77" s="608">
        <f t="shared" si="68"/>
        <v>0</v>
      </c>
      <c r="K77" s="608">
        <f t="shared" si="68"/>
        <v>0</v>
      </c>
      <c r="L77" s="608">
        <f t="shared" si="68"/>
        <v>0</v>
      </c>
      <c r="M77" s="608">
        <f t="shared" si="68"/>
        <v>0</v>
      </c>
      <c r="N77" s="608">
        <f t="shared" si="68"/>
        <v>0</v>
      </c>
      <c r="O77" s="608">
        <f t="shared" si="68"/>
        <v>0</v>
      </c>
      <c r="P77" s="608">
        <f t="shared" si="68"/>
        <v>0</v>
      </c>
    </row>
    <row r="78" spans="1:16" ht="11.25" x14ac:dyDescent="0.2">
      <c r="A78" s="653" t="s">
        <v>1051</v>
      </c>
      <c r="B78" s="608"/>
      <c r="C78" s="608"/>
      <c r="D78" s="608"/>
      <c r="E78" s="608">
        <f t="shared" si="67"/>
        <v>788</v>
      </c>
      <c r="F78" s="608">
        <f>E78+E72+'Sewer  Fund  Inc Exp Statem'!F134-'Sewer  Fund  Inc Exp Statem'!F124-F72</f>
        <v>10103.574000000001</v>
      </c>
      <c r="G78" s="608">
        <f>F78+F72+'Sewer  Fund  Inc Exp Statem'!G134-'Sewer  Fund  Inc Exp Statem'!G124-G72</f>
        <v>27374.397000000001</v>
      </c>
      <c r="H78" s="608">
        <f>G78+G72+'Sewer  Fund  Inc Exp Statem'!H134-'Sewer  Fund  Inc Exp Statem'!H124-H72</f>
        <v>27286.448</v>
      </c>
      <c r="I78" s="608">
        <f>H78+H72+'Sewer  Fund  Inc Exp Statem'!I134-'Sewer  Fund  Inc Exp Statem'!I124-I72</f>
        <v>27195.831000000002</v>
      </c>
      <c r="J78" s="608">
        <f>I78+I72+'Sewer  Fund  Inc Exp Statem'!J134-'Sewer  Fund  Inc Exp Statem'!J124-J72</f>
        <v>27103.401660000003</v>
      </c>
      <c r="K78" s="608">
        <f>J78+J72+'Sewer  Fund  Inc Exp Statem'!K134-'Sewer  Fund  Inc Exp Statem'!K124-K72</f>
        <v>27009.123733200002</v>
      </c>
      <c r="L78" s="608">
        <f>K78+K72+'Sewer  Fund  Inc Exp Statem'!L134-'Sewer  Fund  Inc Exp Statem'!L124-L72</f>
        <v>26912.960247864001</v>
      </c>
      <c r="M78" s="608">
        <f>L78+L72+'Sewer  Fund  Inc Exp Statem'!M134-'Sewer  Fund  Inc Exp Statem'!M124-M72</f>
        <v>26814.87349282128</v>
      </c>
      <c r="N78" s="608">
        <f>M78+M72+'Sewer  Fund  Inc Exp Statem'!N134-'Sewer  Fund  Inc Exp Statem'!N124-N72</f>
        <v>26714.825002677706</v>
      </c>
      <c r="O78" s="608">
        <f>N78+N72+'Sewer  Fund  Inc Exp Statem'!O134-'Sewer  Fund  Inc Exp Statem'!O124-O72</f>
        <v>26612.775542731259</v>
      </c>
      <c r="P78" s="608">
        <f>O78+O72+'Sewer  Fund  Inc Exp Statem'!P134-'Sewer  Fund  Inc Exp Statem'!P124-P72</f>
        <v>26612.775542731259</v>
      </c>
    </row>
    <row r="79" spans="1:16" ht="11.25" x14ac:dyDescent="0.2">
      <c r="A79" s="655" t="s">
        <v>50</v>
      </c>
      <c r="B79" s="615"/>
      <c r="C79" s="608"/>
      <c r="D79" s="608"/>
      <c r="E79" s="608">
        <f t="shared" si="67"/>
        <v>0</v>
      </c>
      <c r="F79" s="608">
        <f t="shared" si="68"/>
        <v>0</v>
      </c>
      <c r="G79" s="608">
        <f t="shared" si="68"/>
        <v>0</v>
      </c>
      <c r="H79" s="608">
        <f t="shared" si="68"/>
        <v>0</v>
      </c>
      <c r="I79" s="608">
        <f t="shared" si="68"/>
        <v>0</v>
      </c>
      <c r="J79" s="608">
        <f t="shared" si="68"/>
        <v>0</v>
      </c>
      <c r="K79" s="608">
        <f t="shared" si="68"/>
        <v>0</v>
      </c>
      <c r="L79" s="608">
        <f t="shared" si="68"/>
        <v>0</v>
      </c>
      <c r="M79" s="608">
        <f t="shared" si="68"/>
        <v>0</v>
      </c>
      <c r="N79" s="608">
        <f t="shared" si="68"/>
        <v>0</v>
      </c>
      <c r="O79" s="608">
        <f t="shared" si="68"/>
        <v>0</v>
      </c>
      <c r="P79" s="608">
        <f t="shared" si="68"/>
        <v>0</v>
      </c>
    </row>
    <row r="80" spans="1:16" s="657" customFormat="1" ht="11.25" x14ac:dyDescent="0.2">
      <c r="A80" s="654" t="s">
        <v>53</v>
      </c>
      <c r="B80" s="656">
        <f>SUM(B77:B79)</f>
        <v>0</v>
      </c>
      <c r="C80" s="656">
        <f t="shared" ref="C80:P80" si="69">SUM(C77:C79)</f>
        <v>0</v>
      </c>
      <c r="D80" s="656">
        <f t="shared" si="69"/>
        <v>0</v>
      </c>
      <c r="E80" s="656">
        <f t="shared" si="69"/>
        <v>788</v>
      </c>
      <c r="F80" s="656">
        <f t="shared" si="69"/>
        <v>10103.574000000001</v>
      </c>
      <c r="G80" s="656">
        <f t="shared" si="69"/>
        <v>27374.397000000001</v>
      </c>
      <c r="H80" s="656">
        <f t="shared" si="69"/>
        <v>27286.448</v>
      </c>
      <c r="I80" s="656">
        <f t="shared" si="69"/>
        <v>27195.831000000002</v>
      </c>
      <c r="J80" s="656">
        <f t="shared" si="69"/>
        <v>27103.401660000003</v>
      </c>
      <c r="K80" s="656">
        <f t="shared" si="69"/>
        <v>27009.123733200002</v>
      </c>
      <c r="L80" s="656">
        <f t="shared" si="69"/>
        <v>26912.960247864001</v>
      </c>
      <c r="M80" s="656">
        <f t="shared" si="69"/>
        <v>26814.87349282128</v>
      </c>
      <c r="N80" s="656">
        <f t="shared" si="69"/>
        <v>26714.825002677706</v>
      </c>
      <c r="O80" s="656">
        <f t="shared" si="69"/>
        <v>26612.775542731259</v>
      </c>
      <c r="P80" s="656">
        <f t="shared" si="69"/>
        <v>26612.775542731259</v>
      </c>
    </row>
    <row r="81" spans="1:16" ht="9" customHeight="1" x14ac:dyDescent="0.2">
      <c r="B81" s="608"/>
      <c r="C81" s="608"/>
      <c r="D81" s="608"/>
      <c r="E81" s="608"/>
      <c r="F81" s="608"/>
      <c r="G81" s="608"/>
      <c r="H81" s="608"/>
      <c r="I81" s="608"/>
      <c r="J81" s="608"/>
      <c r="K81" s="608"/>
      <c r="L81" s="608"/>
      <c r="M81" s="608"/>
      <c r="N81" s="608"/>
      <c r="O81" s="608"/>
      <c r="P81" s="608"/>
    </row>
    <row r="82" spans="1:16" s="657" customFormat="1" ht="12" thickBot="1" x14ac:dyDescent="0.25">
      <c r="A82" s="654" t="s">
        <v>54</v>
      </c>
      <c r="B82" s="665">
        <f>+B74+B80</f>
        <v>0</v>
      </c>
      <c r="C82" s="665">
        <f t="shared" ref="C82:P82" si="70">+C74+C80</f>
        <v>0</v>
      </c>
      <c r="D82" s="665">
        <f t="shared" si="70"/>
        <v>0</v>
      </c>
      <c r="E82" s="665">
        <f t="shared" si="70"/>
        <v>1735</v>
      </c>
      <c r="F82" s="665">
        <f t="shared" si="70"/>
        <v>11070</v>
      </c>
      <c r="G82" s="665">
        <f t="shared" si="70"/>
        <v>28343.756000000001</v>
      </c>
      <c r="H82" s="665">
        <f t="shared" si="70"/>
        <v>28258.397000000001</v>
      </c>
      <c r="I82" s="665">
        <f t="shared" si="70"/>
        <v>28170.448</v>
      </c>
      <c r="J82" s="665">
        <f t="shared" si="70"/>
        <v>28079.831000000002</v>
      </c>
      <c r="K82" s="665">
        <f t="shared" si="70"/>
        <v>27987.401660000003</v>
      </c>
      <c r="L82" s="665">
        <f t="shared" si="70"/>
        <v>27893.123733200002</v>
      </c>
      <c r="M82" s="665">
        <f t="shared" si="70"/>
        <v>27796.960247864001</v>
      </c>
      <c r="N82" s="665">
        <f t="shared" si="70"/>
        <v>27698.87349282128</v>
      </c>
      <c r="O82" s="665">
        <f t="shared" si="70"/>
        <v>27598.825002677706</v>
      </c>
      <c r="P82" s="665">
        <f t="shared" si="70"/>
        <v>27496.775542731259</v>
      </c>
    </row>
    <row r="83" spans="1:16" s="657" customFormat="1" ht="12" thickBot="1" x14ac:dyDescent="0.25">
      <c r="A83" s="654" t="s">
        <v>55</v>
      </c>
      <c r="B83" s="668">
        <f>+B67-B82</f>
        <v>0</v>
      </c>
      <c r="C83" s="668">
        <f t="shared" ref="C83:P83" si="71">+C67-C82</f>
        <v>0</v>
      </c>
      <c r="D83" s="668">
        <f t="shared" si="71"/>
        <v>0</v>
      </c>
      <c r="E83" s="668">
        <f t="shared" si="71"/>
        <v>67466</v>
      </c>
      <c r="F83" s="668">
        <f t="shared" si="71"/>
        <v>69216.041999999987</v>
      </c>
      <c r="G83" s="668">
        <f t="shared" si="71"/>
        <v>78064.285999999993</v>
      </c>
      <c r="H83" s="668">
        <f t="shared" si="71"/>
        <v>77934.47</v>
      </c>
      <c r="I83" s="668">
        <f t="shared" si="71"/>
        <v>77746.035999999978</v>
      </c>
      <c r="J83" s="668">
        <f t="shared" si="71"/>
        <v>77539.969999999972</v>
      </c>
      <c r="K83" s="668">
        <f t="shared" si="71"/>
        <v>77252.865898599979</v>
      </c>
      <c r="L83" s="668">
        <f t="shared" si="71"/>
        <v>76926.986655690969</v>
      </c>
      <c r="M83" s="668">
        <f t="shared" si="71"/>
        <v>76560.639242103425</v>
      </c>
      <c r="N83" s="668">
        <f t="shared" si="71"/>
        <v>76152.068794293184</v>
      </c>
      <c r="O83" s="668">
        <f t="shared" si="71"/>
        <v>75699.45643585475</v>
      </c>
      <c r="P83" s="668">
        <f t="shared" si="71"/>
        <v>75200.917020990804</v>
      </c>
    </row>
    <row r="84" spans="1:16" ht="12" thickTop="1" x14ac:dyDescent="0.2">
      <c r="B84" s="608"/>
      <c r="C84" s="608"/>
      <c r="D84" s="608"/>
      <c r="E84" s="608"/>
      <c r="F84" s="608"/>
      <c r="G84" s="608"/>
      <c r="H84" s="608"/>
      <c r="I84" s="608"/>
      <c r="J84" s="608"/>
      <c r="K84" s="608"/>
      <c r="L84" s="608"/>
      <c r="M84" s="608"/>
      <c r="N84" s="608"/>
      <c r="O84" s="608"/>
      <c r="P84" s="608"/>
    </row>
    <row r="85" spans="1:16" ht="11.25" x14ac:dyDescent="0.2">
      <c r="A85" s="654" t="s">
        <v>56</v>
      </c>
      <c r="B85" s="608"/>
      <c r="C85" s="608"/>
      <c r="D85" s="608"/>
      <c r="E85" s="608"/>
      <c r="F85" s="608"/>
      <c r="G85" s="608"/>
      <c r="H85" s="608"/>
      <c r="I85" s="608"/>
      <c r="J85" s="608"/>
      <c r="K85" s="608"/>
      <c r="L85" s="608"/>
      <c r="M85" s="608"/>
      <c r="N85" s="608"/>
      <c r="O85" s="608"/>
      <c r="P85" s="608"/>
    </row>
    <row r="86" spans="1:16" ht="11.25" x14ac:dyDescent="0.2">
      <c r="A86" s="653" t="s">
        <v>57</v>
      </c>
      <c r="B86" s="608"/>
      <c r="C86" s="608"/>
      <c r="D86" s="608"/>
      <c r="E86" s="608">
        <f>E40</f>
        <v>44758</v>
      </c>
      <c r="F86" s="608">
        <f>'Sewer Fund  Equity Statemen'!F47</f>
        <v>46508.042000000001</v>
      </c>
      <c r="G86" s="608">
        <f>'Sewer Fund  Equity Statemen'!G47</f>
        <v>55356.286</v>
      </c>
      <c r="H86" s="608">
        <f>'Sewer Fund  Equity Statemen'!H47</f>
        <v>55226.47</v>
      </c>
      <c r="I86" s="608">
        <f>'Sewer Fund  Equity Statemen'!I47</f>
        <v>55038.036</v>
      </c>
      <c r="J86" s="608">
        <f>'Sewer Fund  Equity Statemen'!J47</f>
        <v>54831.97</v>
      </c>
      <c r="K86" s="608">
        <f>'Sewer Fund  Equity Statemen'!K47</f>
        <v>54544.865898600001</v>
      </c>
      <c r="L86" s="608">
        <f>'Sewer Fund  Equity Statemen'!L47</f>
        <v>54218.986655690998</v>
      </c>
      <c r="M86" s="608">
        <f>'Sewer Fund  Equity Statemen'!M47</f>
        <v>53852.639242103454</v>
      </c>
      <c r="N86" s="608">
        <f>'Sewer Fund  Equity Statemen'!N47</f>
        <v>53444.068794293213</v>
      </c>
      <c r="O86" s="608">
        <f>'Sewer Fund  Equity Statemen'!O47</f>
        <v>52991.456435854787</v>
      </c>
      <c r="P86" s="608">
        <f>'Sewer Fund  Equity Statemen'!P47</f>
        <v>52492.917020990826</v>
      </c>
    </row>
    <row r="87" spans="1:16" ht="12" thickBot="1" x14ac:dyDescent="0.25">
      <c r="A87" s="653" t="s">
        <v>58</v>
      </c>
      <c r="B87" s="669"/>
      <c r="C87" s="669"/>
      <c r="D87" s="608"/>
      <c r="E87" s="669">
        <f>E41</f>
        <v>22708</v>
      </c>
      <c r="F87" s="669">
        <f>'Sewer Fund  Equity Statemen'!F56</f>
        <v>22708</v>
      </c>
      <c r="G87" s="669">
        <f>'Sewer Fund  Equity Statemen'!G56</f>
        <v>22708</v>
      </c>
      <c r="H87" s="669">
        <f>'Sewer Fund  Equity Statemen'!H56</f>
        <v>22708</v>
      </c>
      <c r="I87" s="669">
        <f>'Sewer Fund  Equity Statemen'!I56</f>
        <v>22708</v>
      </c>
      <c r="J87" s="669">
        <f>'Sewer Fund  Equity Statemen'!J56</f>
        <v>22708</v>
      </c>
      <c r="K87" s="669">
        <f>'Sewer Fund  Equity Statemen'!K56</f>
        <v>22708</v>
      </c>
      <c r="L87" s="669">
        <f>'Sewer Fund  Equity Statemen'!L56</f>
        <v>22708</v>
      </c>
      <c r="M87" s="669">
        <f>'Sewer Fund  Equity Statemen'!M56</f>
        <v>22708</v>
      </c>
      <c r="N87" s="669">
        <f>'Sewer Fund  Equity Statemen'!N56</f>
        <v>22708</v>
      </c>
      <c r="O87" s="669">
        <f>'Sewer Fund  Equity Statemen'!O56</f>
        <v>22708</v>
      </c>
      <c r="P87" s="669">
        <f>'Sewer Fund  Equity Statemen'!P56</f>
        <v>22708</v>
      </c>
    </row>
    <row r="88" spans="1:16" s="657" customFormat="1" ht="12" thickBot="1" x14ac:dyDescent="0.25">
      <c r="A88" s="654" t="s">
        <v>59</v>
      </c>
      <c r="B88" s="668">
        <f>SUM(B86:B87)</f>
        <v>0</v>
      </c>
      <c r="C88" s="668">
        <f t="shared" ref="C88:P88" si="72">SUM(C86:C87)</f>
        <v>0</v>
      </c>
      <c r="D88" s="668">
        <f t="shared" si="72"/>
        <v>0</v>
      </c>
      <c r="E88" s="668">
        <f t="shared" si="72"/>
        <v>67466</v>
      </c>
      <c r="F88" s="668">
        <f t="shared" si="72"/>
        <v>69216.042000000001</v>
      </c>
      <c r="G88" s="668">
        <f t="shared" si="72"/>
        <v>78064.285999999993</v>
      </c>
      <c r="H88" s="668">
        <f t="shared" si="72"/>
        <v>77934.47</v>
      </c>
      <c r="I88" s="668">
        <f t="shared" si="72"/>
        <v>77746.035999999993</v>
      </c>
      <c r="J88" s="668">
        <f t="shared" si="72"/>
        <v>77539.97</v>
      </c>
      <c r="K88" s="668">
        <f t="shared" si="72"/>
        <v>77252.865898599994</v>
      </c>
      <c r="L88" s="668">
        <f t="shared" si="72"/>
        <v>76926.986655690998</v>
      </c>
      <c r="M88" s="668">
        <f t="shared" si="72"/>
        <v>76560.639242103454</v>
      </c>
      <c r="N88" s="668">
        <f t="shared" si="72"/>
        <v>76152.068794293213</v>
      </c>
      <c r="O88" s="668">
        <f t="shared" si="72"/>
        <v>75699.45643585478</v>
      </c>
      <c r="P88" s="668">
        <f t="shared" si="72"/>
        <v>75200.917020990833</v>
      </c>
    </row>
    <row r="89" spans="1:16" ht="12" thickTop="1" x14ac:dyDescent="0.2">
      <c r="B89" s="608"/>
      <c r="C89" s="608"/>
      <c r="D89" s="608"/>
      <c r="E89" s="608"/>
      <c r="F89" s="608"/>
      <c r="G89" s="608"/>
      <c r="H89" s="608"/>
      <c r="I89" s="608"/>
      <c r="J89" s="608"/>
      <c r="K89" s="608"/>
      <c r="L89" s="608"/>
      <c r="M89" s="608"/>
      <c r="N89" s="608"/>
      <c r="O89" s="608"/>
      <c r="P89" s="608"/>
    </row>
    <row r="90" spans="1:16" ht="11.25" hidden="1" outlineLevel="1" x14ac:dyDescent="0.2">
      <c r="A90" s="653" t="s">
        <v>111</v>
      </c>
      <c r="B90" s="621">
        <f>+B83-B88</f>
        <v>0</v>
      </c>
      <c r="C90" s="621">
        <f t="shared" ref="C90:P90" si="73">+C83-C88</f>
        <v>0</v>
      </c>
      <c r="D90" s="621">
        <f t="shared" si="73"/>
        <v>0</v>
      </c>
      <c r="E90" s="621">
        <f t="shared" si="73"/>
        <v>0</v>
      </c>
      <c r="F90" s="621">
        <f t="shared" si="73"/>
        <v>0</v>
      </c>
      <c r="G90" s="621">
        <f t="shared" si="73"/>
        <v>0</v>
      </c>
      <c r="H90" s="621">
        <f t="shared" si="73"/>
        <v>0</v>
      </c>
      <c r="I90" s="621">
        <f t="shared" si="73"/>
        <v>0</v>
      </c>
      <c r="J90" s="621">
        <f t="shared" si="73"/>
        <v>0</v>
      </c>
      <c r="K90" s="621">
        <f t="shared" si="73"/>
        <v>0</v>
      </c>
      <c r="L90" s="621">
        <f t="shared" si="73"/>
        <v>0</v>
      </c>
      <c r="M90" s="621">
        <f t="shared" si="73"/>
        <v>0</v>
      </c>
      <c r="N90" s="621">
        <f t="shared" si="73"/>
        <v>0</v>
      </c>
      <c r="O90" s="621">
        <f t="shared" si="73"/>
        <v>0</v>
      </c>
      <c r="P90" s="621">
        <f t="shared" si="73"/>
        <v>0</v>
      </c>
    </row>
    <row r="91" spans="1:16" ht="11.25" hidden="1" outlineLevel="1" x14ac:dyDescent="0.2">
      <c r="B91" s="621"/>
      <c r="C91" s="621"/>
      <c r="D91" s="621"/>
      <c r="E91" s="621"/>
      <c r="F91" s="621"/>
      <c r="G91" s="621"/>
      <c r="H91" s="621"/>
      <c r="I91" s="621"/>
      <c r="J91" s="621"/>
      <c r="K91" s="621"/>
      <c r="L91" s="621"/>
      <c r="M91" s="621"/>
      <c r="N91" s="621"/>
      <c r="O91" s="621"/>
      <c r="P91" s="621"/>
    </row>
    <row r="92" spans="1:16" ht="11.25" collapsed="1" x14ac:dyDescent="0.2"/>
    <row r="93" spans="1:16" ht="12.75" x14ac:dyDescent="0.2">
      <c r="A93" s="1091" t="s">
        <v>1362</v>
      </c>
    </row>
    <row r="94" spans="1:16" ht="12" x14ac:dyDescent="0.2">
      <c r="A94" s="673" t="s">
        <v>1069</v>
      </c>
      <c r="B94" s="586" t="s">
        <v>69</v>
      </c>
      <c r="C94" s="586" t="s">
        <v>69</v>
      </c>
      <c r="D94" s="586" t="s">
        <v>69</v>
      </c>
      <c r="E94" s="586" t="s">
        <v>69</v>
      </c>
      <c r="F94" s="586" t="s">
        <v>70</v>
      </c>
      <c r="G94" s="586" t="s">
        <v>70</v>
      </c>
      <c r="H94" s="586" t="s">
        <v>71</v>
      </c>
      <c r="I94" s="586" t="s">
        <v>71</v>
      </c>
      <c r="J94" s="586" t="s">
        <v>71</v>
      </c>
      <c r="K94" s="586" t="s">
        <v>71</v>
      </c>
      <c r="L94" s="586" t="s">
        <v>71</v>
      </c>
      <c r="M94" s="586" t="s">
        <v>71</v>
      </c>
      <c r="N94" s="586" t="s">
        <v>71</v>
      </c>
      <c r="O94" s="586" t="s">
        <v>71</v>
      </c>
      <c r="P94" s="586" t="s">
        <v>71</v>
      </c>
    </row>
    <row r="95" spans="1:16" ht="11.25" x14ac:dyDescent="0.2">
      <c r="A95" s="652" t="s">
        <v>72</v>
      </c>
      <c r="B95" s="741" t="s">
        <v>68</v>
      </c>
      <c r="C95" s="694" t="s">
        <v>0</v>
      </c>
      <c r="D95" s="694" t="s">
        <v>1</v>
      </c>
      <c r="E95" s="694" t="s">
        <v>2</v>
      </c>
      <c r="F95" s="694" t="s">
        <v>3</v>
      </c>
      <c r="G95" s="694" t="s">
        <v>4</v>
      </c>
      <c r="H95" s="694" t="s">
        <v>5</v>
      </c>
      <c r="I95" s="694" t="s">
        <v>6</v>
      </c>
      <c r="J95" s="694" t="s">
        <v>7</v>
      </c>
      <c r="K95" s="694" t="s">
        <v>8</v>
      </c>
      <c r="L95" s="694" t="s">
        <v>9</v>
      </c>
      <c r="M95" s="694" t="s">
        <v>514</v>
      </c>
      <c r="N95" s="694" t="s">
        <v>515</v>
      </c>
      <c r="O95" s="694" t="s">
        <v>904</v>
      </c>
      <c r="P95" s="694" t="s">
        <v>1046</v>
      </c>
    </row>
    <row r="96" spans="1:16" ht="11.25" x14ac:dyDescent="0.2">
      <c r="A96" s="661"/>
      <c r="B96" s="662"/>
      <c r="C96" s="662"/>
      <c r="D96" s="663"/>
      <c r="E96" s="663"/>
      <c r="F96" s="663"/>
      <c r="G96" s="663"/>
      <c r="H96" s="663"/>
      <c r="I96" s="663"/>
      <c r="J96" s="663"/>
      <c r="K96" s="663"/>
      <c r="L96" s="663"/>
      <c r="M96" s="663"/>
      <c r="N96" s="663"/>
      <c r="O96" s="663"/>
      <c r="P96" s="663"/>
    </row>
    <row r="97" spans="1:16" ht="11.25" x14ac:dyDescent="0.2">
      <c r="A97" s="654" t="s">
        <v>35</v>
      </c>
      <c r="B97" s="608"/>
      <c r="C97" s="608"/>
      <c r="D97" s="608"/>
      <c r="E97" s="608"/>
      <c r="F97" s="608"/>
      <c r="G97" s="608"/>
      <c r="H97" s="608"/>
      <c r="I97" s="608"/>
      <c r="J97" s="608"/>
      <c r="K97" s="608"/>
      <c r="L97" s="608"/>
      <c r="M97" s="608"/>
      <c r="N97" s="608"/>
      <c r="O97" s="608"/>
      <c r="P97" s="608"/>
    </row>
    <row r="98" spans="1:16" ht="11.25" x14ac:dyDescent="0.2">
      <c r="A98" s="654" t="s">
        <v>36</v>
      </c>
      <c r="B98" s="608"/>
      <c r="C98" s="608"/>
      <c r="D98" s="608"/>
      <c r="E98" s="608"/>
      <c r="F98" s="608"/>
      <c r="G98" s="608"/>
      <c r="H98" s="608"/>
      <c r="I98" s="608"/>
      <c r="J98" s="608"/>
      <c r="K98" s="608"/>
      <c r="L98" s="608"/>
      <c r="M98" s="608"/>
      <c r="N98" s="608"/>
      <c r="O98" s="608"/>
      <c r="P98" s="608"/>
    </row>
    <row r="99" spans="1:16" ht="11.25" x14ac:dyDescent="0.2">
      <c r="A99" s="653" t="s">
        <v>37</v>
      </c>
      <c r="B99" s="608"/>
      <c r="C99" s="608"/>
      <c r="D99" s="608">
        <f>D53</f>
        <v>0</v>
      </c>
      <c r="E99" s="608">
        <f t="shared" ref="E99:E103" si="74">E53</f>
        <v>0</v>
      </c>
      <c r="F99" s="608">
        <f>'Sewer  Fund  Cash Flow'!F154</f>
        <v>0</v>
      </c>
      <c r="G99" s="608">
        <f>'Sewer  Fund  Cash Flow'!G154</f>
        <v>0</v>
      </c>
      <c r="H99" s="608">
        <f>'Sewer  Fund  Cash Flow'!H154</f>
        <v>3.836930773104541E-13</v>
      </c>
      <c r="I99" s="608">
        <f>'Sewer  Fund  Cash Flow'!I154</f>
        <v>3.836930773104541E-13</v>
      </c>
      <c r="J99" s="608">
        <f>'Sewer  Fund  Cash Flow'!J154</f>
        <v>-5.9999999998922249E-2</v>
      </c>
      <c r="K99" s="608">
        <f>'Sewer  Fund  Cash Flow'!K154</f>
        <v>-69.541061399998839</v>
      </c>
      <c r="L99" s="608">
        <f>'Sewer  Fund  Cash Flow'!L154</f>
        <v>-165.76046050900123</v>
      </c>
      <c r="M99" s="608">
        <f>'Sewer  Fund  Cash Flow'!M154</f>
        <v>-289.9783818455482</v>
      </c>
      <c r="N99" s="608">
        <f>'Sewer  Fund  Cash Flow'!N154</f>
        <v>-443.5033846953948</v>
      </c>
      <c r="O99" s="608">
        <f>'Sewer  Fund  Cash Flow'!O154</f>
        <v>-627.69419233823714</v>
      </c>
      <c r="P99" s="608">
        <f>'Sewer  Fund  Cash Flow'!P154</f>
        <v>-843.96154853131702</v>
      </c>
    </row>
    <row r="100" spans="1:16" ht="11.25" x14ac:dyDescent="0.2">
      <c r="A100" s="653" t="s">
        <v>38</v>
      </c>
      <c r="B100" s="608"/>
      <c r="C100" s="608"/>
      <c r="D100" s="608">
        <f>D54</f>
        <v>0</v>
      </c>
      <c r="E100" s="608">
        <f t="shared" si="74"/>
        <v>3019</v>
      </c>
      <c r="F100" s="608">
        <f>E100</f>
        <v>3019</v>
      </c>
      <c r="G100" s="608">
        <f t="shared" ref="G100:P100" si="75">F100</f>
        <v>3019</v>
      </c>
      <c r="H100" s="608">
        <f t="shared" si="75"/>
        <v>3019</v>
      </c>
      <c r="I100" s="608">
        <f t="shared" si="75"/>
        <v>3019</v>
      </c>
      <c r="J100" s="608">
        <f t="shared" si="75"/>
        <v>3019</v>
      </c>
      <c r="K100" s="608">
        <f t="shared" si="75"/>
        <v>3019</v>
      </c>
      <c r="L100" s="608">
        <f t="shared" si="75"/>
        <v>3019</v>
      </c>
      <c r="M100" s="608">
        <f t="shared" si="75"/>
        <v>3019</v>
      </c>
      <c r="N100" s="608">
        <f t="shared" si="75"/>
        <v>3019</v>
      </c>
      <c r="O100" s="608">
        <f t="shared" si="75"/>
        <v>3019</v>
      </c>
      <c r="P100" s="608">
        <f t="shared" si="75"/>
        <v>3019</v>
      </c>
    </row>
    <row r="101" spans="1:16" ht="11.25" x14ac:dyDescent="0.2">
      <c r="A101" s="653" t="s">
        <v>39</v>
      </c>
      <c r="B101" s="608"/>
      <c r="C101" s="608"/>
      <c r="D101" s="608">
        <f>D55</f>
        <v>0</v>
      </c>
      <c r="E101" s="608">
        <f t="shared" si="74"/>
        <v>454</v>
      </c>
      <c r="F101" s="608">
        <f t="shared" ref="F101:P103" si="76">+E101</f>
        <v>454</v>
      </c>
      <c r="G101" s="608">
        <f t="shared" si="76"/>
        <v>454</v>
      </c>
      <c r="H101" s="608">
        <f t="shared" si="76"/>
        <v>454</v>
      </c>
      <c r="I101" s="608">
        <f t="shared" si="76"/>
        <v>454</v>
      </c>
      <c r="J101" s="608">
        <f t="shared" si="76"/>
        <v>454</v>
      </c>
      <c r="K101" s="608">
        <f t="shared" si="76"/>
        <v>454</v>
      </c>
      <c r="L101" s="608">
        <f t="shared" si="76"/>
        <v>454</v>
      </c>
      <c r="M101" s="608">
        <f t="shared" si="76"/>
        <v>454</v>
      </c>
      <c r="N101" s="608">
        <f t="shared" si="76"/>
        <v>454</v>
      </c>
      <c r="O101" s="608">
        <f t="shared" si="76"/>
        <v>454</v>
      </c>
      <c r="P101" s="608">
        <f t="shared" si="76"/>
        <v>454</v>
      </c>
    </row>
    <row r="102" spans="1:16" ht="11.25" x14ac:dyDescent="0.2">
      <c r="A102" s="653" t="s">
        <v>40</v>
      </c>
      <c r="B102" s="608"/>
      <c r="C102" s="608"/>
      <c r="D102" s="608">
        <f>D56</f>
        <v>0</v>
      </c>
      <c r="E102" s="608">
        <f t="shared" si="74"/>
        <v>0</v>
      </c>
      <c r="F102" s="608">
        <f t="shared" si="76"/>
        <v>0</v>
      </c>
      <c r="G102" s="608">
        <f t="shared" si="76"/>
        <v>0</v>
      </c>
      <c r="H102" s="608">
        <f t="shared" si="76"/>
        <v>0</v>
      </c>
      <c r="I102" s="608">
        <f t="shared" si="76"/>
        <v>0</v>
      </c>
      <c r="J102" s="608">
        <f t="shared" si="76"/>
        <v>0</v>
      </c>
      <c r="K102" s="608">
        <f t="shared" si="76"/>
        <v>0</v>
      </c>
      <c r="L102" s="608">
        <f t="shared" si="76"/>
        <v>0</v>
      </c>
      <c r="M102" s="608">
        <f t="shared" si="76"/>
        <v>0</v>
      </c>
      <c r="N102" s="608">
        <f t="shared" si="76"/>
        <v>0</v>
      </c>
      <c r="O102" s="608">
        <f t="shared" si="76"/>
        <v>0</v>
      </c>
      <c r="P102" s="608">
        <f t="shared" si="76"/>
        <v>0</v>
      </c>
    </row>
    <row r="103" spans="1:16" ht="11.25" x14ac:dyDescent="0.2">
      <c r="A103" s="655" t="s">
        <v>41</v>
      </c>
      <c r="B103" s="615"/>
      <c r="C103" s="608"/>
      <c r="D103" s="608">
        <f>D57</f>
        <v>0</v>
      </c>
      <c r="E103" s="608">
        <f t="shared" si="74"/>
        <v>0</v>
      </c>
      <c r="F103" s="608">
        <f t="shared" si="76"/>
        <v>0</v>
      </c>
      <c r="G103" s="608">
        <f t="shared" si="76"/>
        <v>0</v>
      </c>
      <c r="H103" s="608">
        <f t="shared" si="76"/>
        <v>0</v>
      </c>
      <c r="I103" s="608">
        <f t="shared" si="76"/>
        <v>0</v>
      </c>
      <c r="J103" s="608">
        <f t="shared" si="76"/>
        <v>0</v>
      </c>
      <c r="K103" s="608">
        <f t="shared" si="76"/>
        <v>0</v>
      </c>
      <c r="L103" s="608">
        <f t="shared" si="76"/>
        <v>0</v>
      </c>
      <c r="M103" s="608">
        <f t="shared" si="76"/>
        <v>0</v>
      </c>
      <c r="N103" s="608">
        <f t="shared" si="76"/>
        <v>0</v>
      </c>
      <c r="O103" s="608">
        <f t="shared" si="76"/>
        <v>0</v>
      </c>
      <c r="P103" s="608">
        <f t="shared" si="76"/>
        <v>0</v>
      </c>
    </row>
    <row r="104" spans="1:16" ht="11.25" x14ac:dyDescent="0.2">
      <c r="A104" s="654" t="s">
        <v>42</v>
      </c>
      <c r="B104" s="656">
        <f>SUM(B99:B103)</f>
        <v>0</v>
      </c>
      <c r="C104" s="656">
        <f t="shared" ref="C104:P104" si="77">SUM(C99:C103)</f>
        <v>0</v>
      </c>
      <c r="D104" s="656">
        <f t="shared" si="77"/>
        <v>0</v>
      </c>
      <c r="E104" s="656">
        <f t="shared" si="77"/>
        <v>3473</v>
      </c>
      <c r="F104" s="656">
        <f t="shared" si="77"/>
        <v>3473</v>
      </c>
      <c r="G104" s="656">
        <f t="shared" si="77"/>
        <v>3473</v>
      </c>
      <c r="H104" s="656">
        <f t="shared" si="77"/>
        <v>3473.0000000000005</v>
      </c>
      <c r="I104" s="656">
        <f t="shared" si="77"/>
        <v>3473.0000000000005</v>
      </c>
      <c r="J104" s="656">
        <f t="shared" si="77"/>
        <v>3472.940000000001</v>
      </c>
      <c r="K104" s="656">
        <f t="shared" si="77"/>
        <v>3403.4589386000011</v>
      </c>
      <c r="L104" s="656">
        <f t="shared" si="77"/>
        <v>3307.2395394909986</v>
      </c>
      <c r="M104" s="656">
        <f t="shared" si="77"/>
        <v>3183.021618154452</v>
      </c>
      <c r="N104" s="656">
        <f t="shared" si="77"/>
        <v>3029.4966153046053</v>
      </c>
      <c r="O104" s="656">
        <f t="shared" si="77"/>
        <v>2845.3058076617626</v>
      </c>
      <c r="P104" s="656">
        <f t="shared" si="77"/>
        <v>2629.038451468683</v>
      </c>
    </row>
    <row r="105" spans="1:16" ht="11.25" x14ac:dyDescent="0.2">
      <c r="B105" s="608"/>
      <c r="C105" s="608"/>
      <c r="D105" s="608"/>
      <c r="E105" s="608"/>
      <c r="F105" s="608"/>
      <c r="G105" s="608"/>
      <c r="H105" s="608"/>
      <c r="I105" s="608"/>
      <c r="J105" s="608"/>
      <c r="K105" s="608"/>
      <c r="L105" s="608"/>
      <c r="M105" s="608"/>
      <c r="N105" s="608"/>
      <c r="O105" s="608"/>
      <c r="P105" s="608"/>
    </row>
    <row r="106" spans="1:16" ht="11.25" x14ac:dyDescent="0.2">
      <c r="A106" s="654" t="s">
        <v>43</v>
      </c>
      <c r="B106" s="608"/>
      <c r="C106" s="608"/>
      <c r="D106" s="608"/>
      <c r="E106" s="608"/>
      <c r="F106" s="608"/>
      <c r="G106" s="608"/>
      <c r="H106" s="608"/>
      <c r="I106" s="608"/>
      <c r="J106" s="608"/>
      <c r="K106" s="608"/>
      <c r="L106" s="608"/>
      <c r="M106" s="608"/>
      <c r="N106" s="608"/>
      <c r="O106" s="608"/>
      <c r="P106" s="608"/>
    </row>
    <row r="107" spans="1:16" ht="11.25" x14ac:dyDescent="0.2">
      <c r="A107" s="608" t="str">
        <f>A61</f>
        <v>Investments</v>
      </c>
      <c r="B107" s="608"/>
      <c r="C107" s="608"/>
      <c r="D107" s="608">
        <f>D61</f>
        <v>0</v>
      </c>
      <c r="E107" s="608">
        <f t="shared" ref="E107:E108" si="78">E61</f>
        <v>9236</v>
      </c>
      <c r="F107" s="608">
        <f>E100+E107+'Sewer  Fund  Inc Exp Statem'!F193-'Sewer  Fund  Inc Exp Statem'!F201-F100</f>
        <v>5416.1090000000004</v>
      </c>
      <c r="G107" s="608">
        <f>F100+F107+'Sewer  Fund  Inc Exp Statem'!G193-'Sewer  Fund  Inc Exp Statem'!G201-G100</f>
        <v>4266.1090000000004</v>
      </c>
      <c r="H107" s="608">
        <f>G100+G107+'Sewer  Fund  Inc Exp Statem'!H193-'Sewer  Fund  Inc Exp Statem'!H201-H100</f>
        <v>2079.384</v>
      </c>
      <c r="I107" s="608">
        <f>H100+H107+'Sewer  Fund  Inc Exp Statem'!I193-'Sewer  Fund  Inc Exp Statem'!I201-I100</f>
        <v>-147.08800000000019</v>
      </c>
      <c r="J107" s="608">
        <f>I100+I107+'Sewer  Fund  Inc Exp Statem'!J193-'Sewer  Fund  Inc Exp Statem'!J201-J100</f>
        <v>-1484.3270000000002</v>
      </c>
      <c r="K107" s="608">
        <f>J100+J107+'Sewer  Fund  Inc Exp Statem'!K193-'Sewer  Fund  Inc Exp Statem'!K201-K100</f>
        <v>-2848.3107800000002</v>
      </c>
      <c r="L107" s="608">
        <f>K100+K107+'Sewer  Fund  Inc Exp Statem'!L193-'Sewer  Fund  Inc Exp Statem'!L201-L100</f>
        <v>-4239.5742356000001</v>
      </c>
      <c r="M107" s="608">
        <f>L100+L107+'Sewer  Fund  Inc Exp Statem'!M193-'Sewer  Fund  Inc Exp Statem'!M201-M100</f>
        <v>-5658.662960312</v>
      </c>
      <c r="N107" s="608">
        <f>M100+M107+'Sewer  Fund  Inc Exp Statem'!N193-'Sewer  Fund  Inc Exp Statem'!N201-N100</f>
        <v>-7106.1334595182398</v>
      </c>
      <c r="O107" s="608">
        <f>N100+N107+'Sewer  Fund  Inc Exp Statem'!O193-'Sewer  Fund  Inc Exp Statem'!O201-O100</f>
        <v>-8582.5533687086045</v>
      </c>
      <c r="P107" s="608">
        <f>O100+O107+'Sewer  Fund  Inc Exp Statem'!P193-'Sewer  Fund  Inc Exp Statem'!P201-P100</f>
        <v>-10088.501676082777</v>
      </c>
    </row>
    <row r="108" spans="1:16" ht="11.25" x14ac:dyDescent="0.2">
      <c r="A108" s="760" t="s">
        <v>44</v>
      </c>
      <c r="B108" s="608"/>
      <c r="C108" s="608"/>
      <c r="D108" s="608">
        <f>D62</f>
        <v>0</v>
      </c>
      <c r="E108" s="608">
        <f t="shared" si="78"/>
        <v>56492</v>
      </c>
      <c r="F108" s="608">
        <f>E108-'Sewer  Fund  Inc Exp Statem'!F165+SUM('Sewer  Fund  Inc Exp Statem'!F189:F191)-'Sewer  Fund  Inc Exp Statem'!F203</f>
        <v>71396.93299999999</v>
      </c>
      <c r="G108" s="608">
        <f>F108-'Sewer  Fund  Inc Exp Statem'!G165+SUM('Sewer  Fund  Inc Exp Statem'!G189:G191)-'Sewer  Fund  Inc Exp Statem'!G203</f>
        <v>98668.93299999999</v>
      </c>
      <c r="H108" s="608">
        <f>G108-'Sewer  Fund  Inc Exp Statem'!H165+SUM('Sewer  Fund  Inc Exp Statem'!H189:H191)-'Sewer  Fund  Inc Exp Statem'!H203</f>
        <v>100640.48299999999</v>
      </c>
      <c r="I108" s="608">
        <f>H108-'Sewer  Fund  Inc Exp Statem'!I165+SUM('Sewer  Fund  Inc Exp Statem'!I189:I191)-'Sewer  Fund  Inc Exp Statem'!I203</f>
        <v>102590.57199999999</v>
      </c>
      <c r="J108" s="608">
        <f>I108-'Sewer  Fund  Inc Exp Statem'!J165+SUM('Sewer  Fund  Inc Exp Statem'!J189:J191)-'Sewer  Fund  Inc Exp Statem'!J203</f>
        <v>103631.18799999998</v>
      </c>
      <c r="K108" s="608">
        <f>J108-'Sewer  Fund  Inc Exp Statem'!K165+SUM('Sewer  Fund  Inc Exp Statem'!K189:K191)-'Sewer  Fund  Inc Exp Statem'!K203</f>
        <v>104685.11939999998</v>
      </c>
      <c r="L108" s="608">
        <f>K108-'Sewer  Fund  Inc Exp Statem'!L165+SUM('Sewer  Fund  Inc Exp Statem'!L189:L191)-'Sewer  Fund  Inc Exp Statem'!L203</f>
        <v>105752.44508499997</v>
      </c>
      <c r="M108" s="608">
        <f>L108-'Sewer  Fund  Inc Exp Statem'!M165+SUM('Sewer  Fund  Inc Exp Statem'!M189:M191)-'Sewer  Fund  Inc Exp Statem'!M203</f>
        <v>106833.24083212497</v>
      </c>
      <c r="N108" s="608">
        <f>M108-'Sewer  Fund  Inc Exp Statem'!N165+SUM('Sewer  Fund  Inc Exp Statem'!N189:N191)-'Sewer  Fund  Inc Exp Statem'!N203</f>
        <v>107927.57913132809</v>
      </c>
      <c r="O108" s="608">
        <f>N108-'Sewer  Fund  Inc Exp Statem'!O165+SUM('Sewer  Fund  Inc Exp Statem'!O189:O191)-'Sewer  Fund  Inc Exp Statem'!O203</f>
        <v>109035.5289995793</v>
      </c>
      <c r="P108" s="608">
        <f>O108-'Sewer  Fund  Inc Exp Statem'!P165+SUM('Sewer  Fund  Inc Exp Statem'!P189:P191)-'Sewer  Fund  Inc Exp Statem'!P203</f>
        <v>110157.15578833615</v>
      </c>
    </row>
    <row r="109" spans="1:16" ht="22.5" x14ac:dyDescent="0.2">
      <c r="A109" s="608" t="str">
        <f t="shared" ref="A109:A110" si="79">A63</f>
        <v>Investments accounted for using the equity method</v>
      </c>
      <c r="B109" s="608"/>
      <c r="C109" s="608"/>
      <c r="D109" s="608">
        <f t="shared" ref="D109:P110" si="80">D63</f>
        <v>0</v>
      </c>
      <c r="E109" s="608">
        <f t="shared" si="80"/>
        <v>0</v>
      </c>
      <c r="F109" s="608">
        <f t="shared" si="80"/>
        <v>0</v>
      </c>
      <c r="G109" s="608">
        <f t="shared" si="80"/>
        <v>0</v>
      </c>
      <c r="H109" s="608">
        <f t="shared" si="80"/>
        <v>0</v>
      </c>
      <c r="I109" s="608">
        <f t="shared" si="80"/>
        <v>0</v>
      </c>
      <c r="J109" s="608">
        <f t="shared" si="80"/>
        <v>0</v>
      </c>
      <c r="K109" s="608">
        <f t="shared" si="80"/>
        <v>0</v>
      </c>
      <c r="L109" s="608">
        <f t="shared" si="80"/>
        <v>0</v>
      </c>
      <c r="M109" s="608">
        <f t="shared" si="80"/>
        <v>0</v>
      </c>
      <c r="N109" s="608">
        <f t="shared" si="80"/>
        <v>0</v>
      </c>
      <c r="O109" s="608">
        <f t="shared" si="80"/>
        <v>0</v>
      </c>
      <c r="P109" s="608">
        <f t="shared" si="80"/>
        <v>0</v>
      </c>
    </row>
    <row r="110" spans="1:16" ht="11.25" x14ac:dyDescent="0.2">
      <c r="A110" s="608" t="str">
        <f t="shared" si="79"/>
        <v>Investment Property</v>
      </c>
      <c r="B110" s="608"/>
      <c r="C110" s="608"/>
      <c r="D110" s="608">
        <f t="shared" si="80"/>
        <v>0</v>
      </c>
      <c r="E110" s="608">
        <f t="shared" si="80"/>
        <v>0</v>
      </c>
      <c r="F110" s="608">
        <f t="shared" si="80"/>
        <v>0</v>
      </c>
      <c r="G110" s="608">
        <f t="shared" si="80"/>
        <v>0</v>
      </c>
      <c r="H110" s="608">
        <f t="shared" si="80"/>
        <v>0</v>
      </c>
      <c r="I110" s="608">
        <f t="shared" si="80"/>
        <v>0</v>
      </c>
      <c r="J110" s="608">
        <f t="shared" si="80"/>
        <v>0</v>
      </c>
      <c r="K110" s="608">
        <f t="shared" si="80"/>
        <v>0</v>
      </c>
      <c r="L110" s="608">
        <f t="shared" si="80"/>
        <v>0</v>
      </c>
      <c r="M110" s="608">
        <f t="shared" si="80"/>
        <v>0</v>
      </c>
      <c r="N110" s="608">
        <f t="shared" si="80"/>
        <v>0</v>
      </c>
      <c r="O110" s="608">
        <f t="shared" si="80"/>
        <v>0</v>
      </c>
      <c r="P110" s="608">
        <f t="shared" si="80"/>
        <v>0</v>
      </c>
    </row>
    <row r="111" spans="1:16" ht="11.25" x14ac:dyDescent="0.2">
      <c r="A111" s="761" t="s">
        <v>45</v>
      </c>
      <c r="B111" s="762">
        <f>SUM(B108)</f>
        <v>0</v>
      </c>
      <c r="C111" s="762">
        <f t="shared" ref="C111" si="81">SUM(C108)</f>
        <v>0</v>
      </c>
      <c r="D111" s="762">
        <f>SUM(D107:D110)</f>
        <v>0</v>
      </c>
      <c r="E111" s="762">
        <f t="shared" ref="E111:P111" si="82">SUM(E107:E110)</f>
        <v>65728</v>
      </c>
      <c r="F111" s="762">
        <f t="shared" si="82"/>
        <v>76813.041999999987</v>
      </c>
      <c r="G111" s="762">
        <f t="shared" si="82"/>
        <v>102935.04199999999</v>
      </c>
      <c r="H111" s="762">
        <f t="shared" si="82"/>
        <v>102719.867</v>
      </c>
      <c r="I111" s="762">
        <f t="shared" si="82"/>
        <v>102443.48399999998</v>
      </c>
      <c r="J111" s="762">
        <f t="shared" si="82"/>
        <v>102146.86099999998</v>
      </c>
      <c r="K111" s="762">
        <f t="shared" si="82"/>
        <v>101836.80861999998</v>
      </c>
      <c r="L111" s="762">
        <f t="shared" si="82"/>
        <v>101512.87084939997</v>
      </c>
      <c r="M111" s="762">
        <f t="shared" si="82"/>
        <v>101174.57787181297</v>
      </c>
      <c r="N111" s="762">
        <f t="shared" si="82"/>
        <v>100821.44567180985</v>
      </c>
      <c r="O111" s="762">
        <f t="shared" si="82"/>
        <v>100452.9756308707</v>
      </c>
      <c r="P111" s="762">
        <f t="shared" si="82"/>
        <v>100068.65411225338</v>
      </c>
    </row>
    <row r="112" spans="1:16" ht="11.25" x14ac:dyDescent="0.2">
      <c r="B112" s="608"/>
      <c r="C112" s="608"/>
      <c r="D112" s="608"/>
      <c r="E112" s="608"/>
      <c r="F112" s="608"/>
      <c r="G112" s="608"/>
      <c r="H112" s="608"/>
      <c r="I112" s="608"/>
      <c r="J112" s="608"/>
      <c r="K112" s="608"/>
      <c r="L112" s="608"/>
      <c r="M112" s="608"/>
      <c r="N112" s="608"/>
      <c r="O112" s="608"/>
      <c r="P112" s="608"/>
    </row>
    <row r="113" spans="1:16" ht="12" thickBot="1" x14ac:dyDescent="0.25">
      <c r="A113" s="654" t="s">
        <v>46</v>
      </c>
      <c r="B113" s="665">
        <f>+B104+B111</f>
        <v>0</v>
      </c>
      <c r="C113" s="665">
        <f t="shared" ref="C113:P113" si="83">+C104+C111</f>
        <v>0</v>
      </c>
      <c r="D113" s="665">
        <f t="shared" si="83"/>
        <v>0</v>
      </c>
      <c r="E113" s="665">
        <f t="shared" si="83"/>
        <v>69201</v>
      </c>
      <c r="F113" s="665">
        <f t="shared" si="83"/>
        <v>80286.041999999987</v>
      </c>
      <c r="G113" s="665">
        <f t="shared" si="83"/>
        <v>106408.04199999999</v>
      </c>
      <c r="H113" s="665">
        <f t="shared" si="83"/>
        <v>106192.867</v>
      </c>
      <c r="I113" s="665">
        <f t="shared" si="83"/>
        <v>105916.48399999998</v>
      </c>
      <c r="J113" s="665">
        <f t="shared" si="83"/>
        <v>105619.80099999998</v>
      </c>
      <c r="K113" s="665">
        <f t="shared" si="83"/>
        <v>105240.26755859998</v>
      </c>
      <c r="L113" s="665">
        <f t="shared" si="83"/>
        <v>104820.11038889097</v>
      </c>
      <c r="M113" s="665">
        <f t="shared" si="83"/>
        <v>104357.59948996743</v>
      </c>
      <c r="N113" s="665">
        <f t="shared" si="83"/>
        <v>103850.94228711446</v>
      </c>
      <c r="O113" s="665">
        <f t="shared" si="83"/>
        <v>103298.28143853246</v>
      </c>
      <c r="P113" s="665">
        <f t="shared" si="83"/>
        <v>102697.69256372207</v>
      </c>
    </row>
    <row r="114" spans="1:16" ht="11.25" x14ac:dyDescent="0.2">
      <c r="B114" s="608"/>
      <c r="C114" s="608"/>
      <c r="D114" s="608"/>
      <c r="E114" s="608"/>
      <c r="F114" s="608"/>
      <c r="G114" s="608"/>
      <c r="H114" s="608"/>
      <c r="I114" s="608"/>
      <c r="J114" s="608"/>
      <c r="K114" s="608"/>
      <c r="L114" s="608"/>
      <c r="M114" s="608"/>
      <c r="N114" s="608"/>
      <c r="O114" s="608"/>
      <c r="P114" s="608"/>
    </row>
    <row r="115" spans="1:16" ht="11.25" x14ac:dyDescent="0.2">
      <c r="A115" s="654" t="s">
        <v>47</v>
      </c>
      <c r="B115" s="608"/>
      <c r="C115" s="608"/>
      <c r="D115" s="608"/>
      <c r="E115" s="608"/>
      <c r="F115" s="608"/>
      <c r="G115" s="608"/>
      <c r="H115" s="608"/>
      <c r="I115" s="608"/>
      <c r="J115" s="608"/>
      <c r="K115" s="608"/>
      <c r="L115" s="608"/>
      <c r="M115" s="608"/>
      <c r="N115" s="608"/>
      <c r="O115" s="608"/>
      <c r="P115" s="608"/>
    </row>
    <row r="116" spans="1:16" ht="11.25" x14ac:dyDescent="0.2">
      <c r="A116" s="654" t="s">
        <v>48</v>
      </c>
      <c r="B116" s="608"/>
      <c r="C116" s="608"/>
      <c r="D116" s="608"/>
      <c r="E116" s="608"/>
      <c r="F116" s="608"/>
      <c r="G116" s="608"/>
      <c r="H116" s="608"/>
      <c r="I116" s="608"/>
      <c r="J116" s="608"/>
      <c r="K116" s="608"/>
      <c r="L116" s="608"/>
      <c r="M116" s="608"/>
      <c r="N116" s="608"/>
      <c r="O116" s="608"/>
      <c r="P116" s="608"/>
    </row>
    <row r="117" spans="1:16" ht="11.25" x14ac:dyDescent="0.2">
      <c r="A117" s="666" t="s">
        <v>49</v>
      </c>
      <c r="B117" s="608"/>
      <c r="C117" s="608"/>
      <c r="D117" s="608">
        <f>D71</f>
        <v>0</v>
      </c>
      <c r="E117" s="608">
        <f t="shared" ref="E117:E118" si="84">E71</f>
        <v>648</v>
      </c>
      <c r="F117" s="608">
        <f t="shared" ref="F117:P119" si="85">+E117</f>
        <v>648</v>
      </c>
      <c r="G117" s="608">
        <f t="shared" si="85"/>
        <v>648</v>
      </c>
      <c r="H117" s="608">
        <f t="shared" si="85"/>
        <v>648</v>
      </c>
      <c r="I117" s="608">
        <f t="shared" si="85"/>
        <v>648</v>
      </c>
      <c r="J117" s="608">
        <f t="shared" si="85"/>
        <v>648</v>
      </c>
      <c r="K117" s="608">
        <f t="shared" si="85"/>
        <v>648</v>
      </c>
      <c r="L117" s="608">
        <f t="shared" si="85"/>
        <v>648</v>
      </c>
      <c r="M117" s="608">
        <f t="shared" si="85"/>
        <v>648</v>
      </c>
      <c r="N117" s="608">
        <f t="shared" si="85"/>
        <v>648</v>
      </c>
      <c r="O117" s="608">
        <f t="shared" si="85"/>
        <v>648</v>
      </c>
      <c r="P117" s="608">
        <f t="shared" si="85"/>
        <v>648</v>
      </c>
    </row>
    <row r="118" spans="1:16" ht="11.25" x14ac:dyDescent="0.2">
      <c r="A118" s="666" t="s">
        <v>1051</v>
      </c>
      <c r="B118" s="608"/>
      <c r="C118" s="608"/>
      <c r="D118" s="608">
        <f>D72</f>
        <v>0</v>
      </c>
      <c r="E118" s="608">
        <f t="shared" si="84"/>
        <v>63</v>
      </c>
      <c r="F118" s="608">
        <f>'Sewer  Fund  Inc Exp Statem'!G192</f>
        <v>82.426000000000002</v>
      </c>
      <c r="G118" s="608">
        <f>'Sewer  Fund  Inc Exp Statem'!H192</f>
        <v>85.358999999999995</v>
      </c>
      <c r="H118" s="608">
        <f>'Sewer  Fund  Inc Exp Statem'!I192</f>
        <v>87.948999999999998</v>
      </c>
      <c r="I118" s="608">
        <f>'Sewer  Fund  Inc Exp Statem'!J192</f>
        <v>90.617000000000004</v>
      </c>
      <c r="J118" s="608">
        <f>'Sewer  Fund  Inc Exp Statem'!K192</f>
        <v>92.42934000000001</v>
      </c>
      <c r="K118" s="608">
        <f>'Sewer  Fund  Inc Exp Statem'!L192</f>
        <v>94.277926800000017</v>
      </c>
      <c r="L118" s="608">
        <f>'Sewer  Fund  Inc Exp Statem'!M192</f>
        <v>96.163485336000022</v>
      </c>
      <c r="M118" s="608">
        <f>'Sewer  Fund  Inc Exp Statem'!N192</f>
        <v>98.086755042720029</v>
      </c>
      <c r="N118" s="608">
        <f>'Sewer  Fund  Inc Exp Statem'!O192</f>
        <v>100.04849014357443</v>
      </c>
      <c r="O118" s="608">
        <f>'Sewer  Fund  Inc Exp Statem'!P192</f>
        <v>102.04945994644592</v>
      </c>
      <c r="P118" s="608">
        <f>'Sewer  Fund  Inc Exp Statem'!Q192</f>
        <v>0</v>
      </c>
    </row>
    <row r="119" spans="1:16" ht="11.25" x14ac:dyDescent="0.2">
      <c r="A119" s="667" t="s">
        <v>50</v>
      </c>
      <c r="B119" s="615"/>
      <c r="C119" s="608"/>
      <c r="D119" s="608">
        <f t="shared" ref="D119:E119" si="86">D73</f>
        <v>0</v>
      </c>
      <c r="E119" s="608">
        <f t="shared" si="86"/>
        <v>236</v>
      </c>
      <c r="F119" s="608">
        <f t="shared" si="85"/>
        <v>236</v>
      </c>
      <c r="G119" s="608">
        <f t="shared" si="85"/>
        <v>236</v>
      </c>
      <c r="H119" s="608">
        <f t="shared" si="85"/>
        <v>236</v>
      </c>
      <c r="I119" s="608">
        <f t="shared" si="85"/>
        <v>236</v>
      </c>
      <c r="J119" s="608">
        <f t="shared" si="85"/>
        <v>236</v>
      </c>
      <c r="K119" s="608">
        <f t="shared" si="85"/>
        <v>236</v>
      </c>
      <c r="L119" s="608">
        <f t="shared" si="85"/>
        <v>236</v>
      </c>
      <c r="M119" s="608">
        <f t="shared" si="85"/>
        <v>236</v>
      </c>
      <c r="N119" s="608">
        <f t="shared" si="85"/>
        <v>236</v>
      </c>
      <c r="O119" s="608">
        <f t="shared" si="85"/>
        <v>236</v>
      </c>
      <c r="P119" s="608">
        <f t="shared" si="85"/>
        <v>236</v>
      </c>
    </row>
    <row r="120" spans="1:16" ht="11.25" x14ac:dyDescent="0.2">
      <c r="A120" s="654" t="s">
        <v>51</v>
      </c>
      <c r="B120" s="656">
        <f>SUM(B117:B119)</f>
        <v>0</v>
      </c>
      <c r="C120" s="656">
        <f t="shared" ref="C120:P120" si="87">SUM(C117:C119)</f>
        <v>0</v>
      </c>
      <c r="D120" s="656">
        <f t="shared" si="87"/>
        <v>0</v>
      </c>
      <c r="E120" s="656">
        <f t="shared" si="87"/>
        <v>947</v>
      </c>
      <c r="F120" s="656">
        <f t="shared" si="87"/>
        <v>966.42600000000004</v>
      </c>
      <c r="G120" s="656">
        <f t="shared" si="87"/>
        <v>969.35900000000004</v>
      </c>
      <c r="H120" s="656">
        <f t="shared" si="87"/>
        <v>971.94899999999996</v>
      </c>
      <c r="I120" s="656">
        <f t="shared" si="87"/>
        <v>974.61699999999996</v>
      </c>
      <c r="J120" s="656">
        <f t="shared" si="87"/>
        <v>976.42934000000002</v>
      </c>
      <c r="K120" s="656">
        <f t="shared" si="87"/>
        <v>978.27792680000005</v>
      </c>
      <c r="L120" s="656">
        <f t="shared" si="87"/>
        <v>980.16348533600001</v>
      </c>
      <c r="M120" s="656">
        <f t="shared" si="87"/>
        <v>982.08675504272003</v>
      </c>
      <c r="N120" s="656">
        <f t="shared" si="87"/>
        <v>984.04849014357444</v>
      </c>
      <c r="O120" s="656">
        <f t="shared" si="87"/>
        <v>986.04945994644595</v>
      </c>
      <c r="P120" s="656">
        <f t="shared" si="87"/>
        <v>884</v>
      </c>
    </row>
    <row r="121" spans="1:16" ht="11.25" x14ac:dyDescent="0.2">
      <c r="B121" s="608"/>
      <c r="C121" s="608"/>
      <c r="D121" s="608"/>
      <c r="E121" s="608"/>
      <c r="F121" s="608"/>
      <c r="G121" s="608"/>
      <c r="H121" s="608"/>
      <c r="I121" s="608"/>
      <c r="J121" s="608"/>
      <c r="K121" s="608"/>
      <c r="L121" s="608"/>
      <c r="M121" s="608"/>
      <c r="N121" s="608"/>
      <c r="O121" s="608"/>
      <c r="P121" s="608"/>
    </row>
    <row r="122" spans="1:16" ht="11.25" x14ac:dyDescent="0.2">
      <c r="A122" s="654" t="s">
        <v>52</v>
      </c>
      <c r="B122" s="608"/>
      <c r="C122" s="608"/>
      <c r="D122" s="608"/>
      <c r="E122" s="608"/>
      <c r="F122" s="608"/>
      <c r="G122" s="608"/>
      <c r="H122" s="608"/>
      <c r="I122" s="608"/>
      <c r="J122" s="608"/>
      <c r="K122" s="608"/>
      <c r="L122" s="608"/>
      <c r="M122" s="608"/>
      <c r="N122" s="608"/>
      <c r="O122" s="608"/>
      <c r="P122" s="608"/>
    </row>
    <row r="123" spans="1:16" ht="11.25" x14ac:dyDescent="0.2">
      <c r="A123" s="653" t="s">
        <v>49</v>
      </c>
      <c r="B123" s="608"/>
      <c r="C123" s="608"/>
      <c r="D123" s="608">
        <f>D77</f>
        <v>0</v>
      </c>
      <c r="E123" s="608">
        <f t="shared" ref="E123:E125" si="88">E77</f>
        <v>0</v>
      </c>
      <c r="F123" s="608">
        <f t="shared" ref="F123:P125" si="89">+E123</f>
        <v>0</v>
      </c>
      <c r="G123" s="608">
        <f t="shared" si="89"/>
        <v>0</v>
      </c>
      <c r="H123" s="608">
        <f t="shared" si="89"/>
        <v>0</v>
      </c>
      <c r="I123" s="608">
        <f t="shared" si="89"/>
        <v>0</v>
      </c>
      <c r="J123" s="608">
        <f t="shared" si="89"/>
        <v>0</v>
      </c>
      <c r="K123" s="608">
        <f t="shared" si="89"/>
        <v>0</v>
      </c>
      <c r="L123" s="608">
        <f t="shared" si="89"/>
        <v>0</v>
      </c>
      <c r="M123" s="608">
        <f t="shared" si="89"/>
        <v>0</v>
      </c>
      <c r="N123" s="608">
        <f t="shared" si="89"/>
        <v>0</v>
      </c>
      <c r="O123" s="608">
        <f t="shared" si="89"/>
        <v>0</v>
      </c>
      <c r="P123" s="608">
        <f t="shared" si="89"/>
        <v>0</v>
      </c>
    </row>
    <row r="124" spans="1:16" ht="11.25" x14ac:dyDescent="0.2">
      <c r="A124" s="653" t="s">
        <v>1051</v>
      </c>
      <c r="B124" s="608"/>
      <c r="C124" s="608"/>
      <c r="D124" s="608">
        <f>D78</f>
        <v>0</v>
      </c>
      <c r="E124" s="608">
        <f t="shared" si="88"/>
        <v>788</v>
      </c>
      <c r="F124" s="608">
        <f>E118+E124+'Sewer  Fund  Inc Exp Statem'!F202-'Sewer  Fund  Inc Exp Statem'!F192-F118</f>
        <v>10103.574000000001</v>
      </c>
      <c r="G124" s="608">
        <f>F118+F124+'Sewer  Fund  Inc Exp Statem'!G202-'Sewer  Fund  Inc Exp Statem'!G192-G118</f>
        <v>27374.397000000001</v>
      </c>
      <c r="H124" s="608">
        <f>G118+G124+'Sewer  Fund  Inc Exp Statem'!H202-'Sewer  Fund  Inc Exp Statem'!H192-H118</f>
        <v>27286.448</v>
      </c>
      <c r="I124" s="608">
        <f>H118+H124+'Sewer  Fund  Inc Exp Statem'!I202-'Sewer  Fund  Inc Exp Statem'!I192-I118</f>
        <v>27195.831000000002</v>
      </c>
      <c r="J124" s="608">
        <f>I118+I124+'Sewer  Fund  Inc Exp Statem'!J202-'Sewer  Fund  Inc Exp Statem'!J192-J118</f>
        <v>27103.401660000003</v>
      </c>
      <c r="K124" s="608">
        <f>J118+J124+'Sewer  Fund  Inc Exp Statem'!K202-'Sewer  Fund  Inc Exp Statem'!K192-K118</f>
        <v>27009.123733200002</v>
      </c>
      <c r="L124" s="608">
        <f>K118+K124+'Sewer  Fund  Inc Exp Statem'!L202-'Sewer  Fund  Inc Exp Statem'!L192-L118</f>
        <v>26912.960247864001</v>
      </c>
      <c r="M124" s="608">
        <f>L118+L124+'Sewer  Fund  Inc Exp Statem'!M202-'Sewer  Fund  Inc Exp Statem'!M192-M118</f>
        <v>26814.87349282128</v>
      </c>
      <c r="N124" s="608">
        <f>M118+M124+'Sewer  Fund  Inc Exp Statem'!N202-'Sewer  Fund  Inc Exp Statem'!N192-N118</f>
        <v>26714.825002677706</v>
      </c>
      <c r="O124" s="608">
        <f>N118+N124+'Sewer  Fund  Inc Exp Statem'!O202-'Sewer  Fund  Inc Exp Statem'!O192-O118</f>
        <v>26612.775542731259</v>
      </c>
      <c r="P124" s="608">
        <f>O118+O124+'Sewer  Fund  Inc Exp Statem'!P202-'Sewer  Fund  Inc Exp Statem'!P192-P118</f>
        <v>26612.775542731259</v>
      </c>
    </row>
    <row r="125" spans="1:16" x14ac:dyDescent="0.2">
      <c r="A125" s="655" t="s">
        <v>50</v>
      </c>
      <c r="B125" s="615"/>
      <c r="C125" s="608"/>
      <c r="D125" s="608">
        <f t="shared" ref="D125" si="90">D79</f>
        <v>0</v>
      </c>
      <c r="E125" s="608">
        <f t="shared" si="88"/>
        <v>0</v>
      </c>
      <c r="F125" s="608">
        <f t="shared" si="89"/>
        <v>0</v>
      </c>
      <c r="G125" s="608">
        <f t="shared" si="89"/>
        <v>0</v>
      </c>
      <c r="H125" s="608">
        <f t="shared" si="89"/>
        <v>0</v>
      </c>
      <c r="I125" s="608">
        <f t="shared" si="89"/>
        <v>0</v>
      </c>
      <c r="J125" s="608">
        <f t="shared" si="89"/>
        <v>0</v>
      </c>
      <c r="K125" s="608">
        <f t="shared" si="89"/>
        <v>0</v>
      </c>
      <c r="L125" s="608">
        <f t="shared" si="89"/>
        <v>0</v>
      </c>
      <c r="M125" s="608">
        <f t="shared" si="89"/>
        <v>0</v>
      </c>
      <c r="N125" s="608">
        <f t="shared" si="89"/>
        <v>0</v>
      </c>
      <c r="O125" s="608">
        <f t="shared" si="89"/>
        <v>0</v>
      </c>
      <c r="P125" s="608">
        <f t="shared" si="89"/>
        <v>0</v>
      </c>
    </row>
    <row r="126" spans="1:16" x14ac:dyDescent="0.2">
      <c r="A126" s="654" t="s">
        <v>53</v>
      </c>
      <c r="B126" s="656">
        <f>SUM(B123:B125)</f>
        <v>0</v>
      </c>
      <c r="C126" s="656">
        <f t="shared" ref="C126:P126" si="91">SUM(C123:C125)</f>
        <v>0</v>
      </c>
      <c r="D126" s="656">
        <f t="shared" si="91"/>
        <v>0</v>
      </c>
      <c r="E126" s="656">
        <f t="shared" si="91"/>
        <v>788</v>
      </c>
      <c r="F126" s="656">
        <f t="shared" si="91"/>
        <v>10103.574000000001</v>
      </c>
      <c r="G126" s="656">
        <f t="shared" si="91"/>
        <v>27374.397000000001</v>
      </c>
      <c r="H126" s="656">
        <f t="shared" si="91"/>
        <v>27286.448</v>
      </c>
      <c r="I126" s="656">
        <f t="shared" si="91"/>
        <v>27195.831000000002</v>
      </c>
      <c r="J126" s="656">
        <f t="shared" si="91"/>
        <v>27103.401660000003</v>
      </c>
      <c r="K126" s="656">
        <f t="shared" si="91"/>
        <v>27009.123733200002</v>
      </c>
      <c r="L126" s="656">
        <f t="shared" si="91"/>
        <v>26912.960247864001</v>
      </c>
      <c r="M126" s="656">
        <f t="shared" si="91"/>
        <v>26814.87349282128</v>
      </c>
      <c r="N126" s="656">
        <f t="shared" si="91"/>
        <v>26714.825002677706</v>
      </c>
      <c r="O126" s="656">
        <f t="shared" si="91"/>
        <v>26612.775542731259</v>
      </c>
      <c r="P126" s="656">
        <f t="shared" si="91"/>
        <v>26612.775542731259</v>
      </c>
    </row>
    <row r="127" spans="1:16" x14ac:dyDescent="0.2">
      <c r="B127" s="608"/>
      <c r="C127" s="608"/>
      <c r="D127" s="608"/>
      <c r="E127" s="608"/>
      <c r="F127" s="608"/>
      <c r="G127" s="608"/>
      <c r="H127" s="608"/>
      <c r="I127" s="608"/>
      <c r="J127" s="608"/>
      <c r="K127" s="608"/>
      <c r="L127" s="608"/>
      <c r="M127" s="608"/>
      <c r="N127" s="608"/>
      <c r="O127" s="608"/>
      <c r="P127" s="608"/>
    </row>
    <row r="128" spans="1:16" ht="10.8" thickBot="1" x14ac:dyDescent="0.25">
      <c r="A128" s="654" t="s">
        <v>54</v>
      </c>
      <c r="B128" s="665">
        <f>+B120+B126</f>
        <v>0</v>
      </c>
      <c r="C128" s="665">
        <f t="shared" ref="C128" si="92">+C120+C126</f>
        <v>0</v>
      </c>
      <c r="D128" s="608">
        <f t="shared" ref="D128" si="93">D82</f>
        <v>0</v>
      </c>
      <c r="E128" s="665">
        <f t="shared" ref="E128:P128" si="94">+E120+E126</f>
        <v>1735</v>
      </c>
      <c r="F128" s="665">
        <f t="shared" si="94"/>
        <v>11070</v>
      </c>
      <c r="G128" s="665">
        <f t="shared" si="94"/>
        <v>28343.756000000001</v>
      </c>
      <c r="H128" s="665">
        <f t="shared" si="94"/>
        <v>28258.397000000001</v>
      </c>
      <c r="I128" s="665">
        <f t="shared" si="94"/>
        <v>28170.448</v>
      </c>
      <c r="J128" s="665">
        <f t="shared" si="94"/>
        <v>28079.831000000002</v>
      </c>
      <c r="K128" s="665">
        <f t="shared" si="94"/>
        <v>27987.401660000003</v>
      </c>
      <c r="L128" s="665">
        <f t="shared" si="94"/>
        <v>27893.123733200002</v>
      </c>
      <c r="M128" s="665">
        <f t="shared" si="94"/>
        <v>27796.960247864001</v>
      </c>
      <c r="N128" s="665">
        <f t="shared" si="94"/>
        <v>27698.87349282128</v>
      </c>
      <c r="O128" s="665">
        <f t="shared" si="94"/>
        <v>27598.825002677706</v>
      </c>
      <c r="P128" s="665">
        <f t="shared" si="94"/>
        <v>27496.775542731259</v>
      </c>
    </row>
    <row r="129" spans="1:16" ht="10.8" thickBot="1" x14ac:dyDescent="0.25">
      <c r="A129" s="654" t="s">
        <v>55</v>
      </c>
      <c r="B129" s="668">
        <f>+B113-B128</f>
        <v>0</v>
      </c>
      <c r="C129" s="668">
        <f t="shared" ref="C129:P129" si="95">+C113-C128</f>
        <v>0</v>
      </c>
      <c r="D129" s="668">
        <f t="shared" si="95"/>
        <v>0</v>
      </c>
      <c r="E129" s="668">
        <f t="shared" si="95"/>
        <v>67466</v>
      </c>
      <c r="F129" s="668">
        <f t="shared" si="95"/>
        <v>69216.041999999987</v>
      </c>
      <c r="G129" s="668">
        <f t="shared" si="95"/>
        <v>78064.285999999993</v>
      </c>
      <c r="H129" s="668">
        <f t="shared" si="95"/>
        <v>77934.47</v>
      </c>
      <c r="I129" s="668">
        <f t="shared" si="95"/>
        <v>77746.035999999978</v>
      </c>
      <c r="J129" s="668">
        <f t="shared" si="95"/>
        <v>77539.969999999972</v>
      </c>
      <c r="K129" s="668">
        <f t="shared" si="95"/>
        <v>77252.865898599979</v>
      </c>
      <c r="L129" s="668">
        <f t="shared" si="95"/>
        <v>76926.986655690969</v>
      </c>
      <c r="M129" s="668">
        <f t="shared" si="95"/>
        <v>76560.639242103425</v>
      </c>
      <c r="N129" s="668">
        <f t="shared" si="95"/>
        <v>76152.068794293184</v>
      </c>
      <c r="O129" s="668">
        <f t="shared" si="95"/>
        <v>75699.45643585475</v>
      </c>
      <c r="P129" s="668">
        <f t="shared" si="95"/>
        <v>75200.917020990804</v>
      </c>
    </row>
    <row r="130" spans="1:16" ht="10.8" thickTop="1" x14ac:dyDescent="0.2">
      <c r="B130" s="608"/>
      <c r="C130" s="608"/>
      <c r="D130" s="608"/>
      <c r="E130" s="608"/>
      <c r="F130" s="608"/>
      <c r="G130" s="608"/>
      <c r="H130" s="608"/>
      <c r="I130" s="608"/>
      <c r="J130" s="608"/>
      <c r="K130" s="608"/>
      <c r="L130" s="608"/>
      <c r="M130" s="608"/>
      <c r="N130" s="608"/>
      <c r="O130" s="608"/>
      <c r="P130" s="608"/>
    </row>
    <row r="131" spans="1:16" x14ac:dyDescent="0.2">
      <c r="A131" s="654" t="s">
        <v>56</v>
      </c>
      <c r="B131" s="608"/>
      <c r="C131" s="608"/>
      <c r="D131" s="608"/>
      <c r="E131" s="608"/>
      <c r="F131" s="608"/>
      <c r="G131" s="608"/>
      <c r="H131" s="608"/>
      <c r="I131" s="608"/>
      <c r="J131" s="608"/>
      <c r="K131" s="608"/>
      <c r="L131" s="608"/>
      <c r="M131" s="608"/>
      <c r="N131" s="608"/>
      <c r="O131" s="608"/>
      <c r="P131" s="608"/>
    </row>
    <row r="132" spans="1:16" x14ac:dyDescent="0.2">
      <c r="A132" s="653" t="s">
        <v>57</v>
      </c>
      <c r="B132" s="608"/>
      <c r="C132" s="608"/>
      <c r="D132" s="608">
        <f>D86</f>
        <v>0</v>
      </c>
      <c r="E132" s="608">
        <f t="shared" ref="E132:E133" si="96">E86</f>
        <v>44758</v>
      </c>
      <c r="F132" s="608">
        <f>'Sewer Fund  Equity Statemen'!F81</f>
        <v>46508.042000000001</v>
      </c>
      <c r="G132" s="608">
        <f>'Sewer Fund  Equity Statemen'!G81</f>
        <v>55356.286</v>
      </c>
      <c r="H132" s="608">
        <f>'Sewer Fund  Equity Statemen'!H81</f>
        <v>55226.47</v>
      </c>
      <c r="I132" s="608">
        <f>'Sewer Fund  Equity Statemen'!I81</f>
        <v>55038.036</v>
      </c>
      <c r="J132" s="608">
        <f>'Sewer Fund  Equity Statemen'!J81</f>
        <v>54831.97</v>
      </c>
      <c r="K132" s="608">
        <f>'Sewer Fund  Equity Statemen'!K81</f>
        <v>54544.865898600001</v>
      </c>
      <c r="L132" s="608">
        <f>'Sewer Fund  Equity Statemen'!L81</f>
        <v>54218.986655690998</v>
      </c>
      <c r="M132" s="608">
        <f>'Sewer Fund  Equity Statemen'!M81</f>
        <v>53852.639242103454</v>
      </c>
      <c r="N132" s="608">
        <f>'Sewer Fund  Equity Statemen'!N81</f>
        <v>53444.068794293213</v>
      </c>
      <c r="O132" s="608">
        <f>'Sewer Fund  Equity Statemen'!O81</f>
        <v>52991.456435854787</v>
      </c>
      <c r="P132" s="608">
        <f>'Sewer Fund  Equity Statemen'!P81</f>
        <v>52492.917020990826</v>
      </c>
    </row>
    <row r="133" spans="1:16" ht="10.8" thickBot="1" x14ac:dyDescent="0.25">
      <c r="A133" s="653" t="s">
        <v>58</v>
      </c>
      <c r="B133" s="669"/>
      <c r="C133" s="669"/>
      <c r="D133" s="608">
        <f>D87</f>
        <v>0</v>
      </c>
      <c r="E133" s="608">
        <f t="shared" si="96"/>
        <v>22708</v>
      </c>
      <c r="F133" s="669">
        <f>'Sewer Fund  Equity Statemen'!F90</f>
        <v>22708</v>
      </c>
      <c r="G133" s="669">
        <f>'Sewer Fund  Equity Statemen'!G90</f>
        <v>22708</v>
      </c>
      <c r="H133" s="669">
        <f>'Sewer Fund  Equity Statemen'!H90</f>
        <v>22708</v>
      </c>
      <c r="I133" s="669">
        <f>'Sewer Fund  Equity Statemen'!I90</f>
        <v>22708</v>
      </c>
      <c r="J133" s="669">
        <f>'Sewer Fund  Equity Statemen'!J90</f>
        <v>22708</v>
      </c>
      <c r="K133" s="669">
        <f>'Sewer Fund  Equity Statemen'!K90</f>
        <v>22708</v>
      </c>
      <c r="L133" s="669">
        <f>'Sewer Fund  Equity Statemen'!L90</f>
        <v>22708</v>
      </c>
      <c r="M133" s="669">
        <f>'Sewer Fund  Equity Statemen'!M90</f>
        <v>22708</v>
      </c>
      <c r="N133" s="669">
        <f>'Sewer Fund  Equity Statemen'!N90</f>
        <v>22708</v>
      </c>
      <c r="O133" s="669">
        <f>'Sewer Fund  Equity Statemen'!O90</f>
        <v>22708</v>
      </c>
      <c r="P133" s="669">
        <f>'Sewer Fund  Equity Statemen'!P90</f>
        <v>22708</v>
      </c>
    </row>
    <row r="134" spans="1:16" ht="10.8" thickBot="1" x14ac:dyDescent="0.25">
      <c r="A134" s="654" t="s">
        <v>59</v>
      </c>
      <c r="B134" s="668">
        <f>SUM(B132:B133)</f>
        <v>0</v>
      </c>
      <c r="C134" s="668">
        <f t="shared" ref="C134:P134" si="97">SUM(C132:C133)</f>
        <v>0</v>
      </c>
      <c r="D134" s="668">
        <f t="shared" si="97"/>
        <v>0</v>
      </c>
      <c r="E134" s="668">
        <f t="shared" si="97"/>
        <v>67466</v>
      </c>
      <c r="F134" s="668">
        <f t="shared" si="97"/>
        <v>69216.042000000001</v>
      </c>
      <c r="G134" s="668">
        <f t="shared" si="97"/>
        <v>78064.285999999993</v>
      </c>
      <c r="H134" s="668">
        <f t="shared" si="97"/>
        <v>77934.47</v>
      </c>
      <c r="I134" s="668">
        <f t="shared" si="97"/>
        <v>77746.035999999993</v>
      </c>
      <c r="J134" s="668">
        <f t="shared" si="97"/>
        <v>77539.97</v>
      </c>
      <c r="K134" s="668">
        <f t="shared" si="97"/>
        <v>77252.865898599994</v>
      </c>
      <c r="L134" s="668">
        <f t="shared" si="97"/>
        <v>76926.986655690998</v>
      </c>
      <c r="M134" s="668">
        <f t="shared" si="97"/>
        <v>76560.639242103454</v>
      </c>
      <c r="N134" s="668">
        <f t="shared" si="97"/>
        <v>76152.068794293213</v>
      </c>
      <c r="O134" s="668">
        <f t="shared" si="97"/>
        <v>75699.45643585478</v>
      </c>
      <c r="P134" s="668">
        <f t="shared" si="97"/>
        <v>75200.917020990833</v>
      </c>
    </row>
    <row r="135" spans="1:16" ht="10.8" thickTop="1" x14ac:dyDescent="0.2">
      <c r="B135" s="608"/>
      <c r="C135" s="608"/>
      <c r="D135" s="608"/>
      <c r="E135" s="608"/>
      <c r="F135" s="608"/>
      <c r="G135" s="608"/>
      <c r="H135" s="608"/>
      <c r="I135" s="608"/>
      <c r="J135" s="608"/>
      <c r="K135" s="608"/>
      <c r="L135" s="608"/>
      <c r="M135" s="608"/>
      <c r="N135" s="608"/>
      <c r="O135" s="608"/>
      <c r="P135" s="608"/>
    </row>
    <row r="136" spans="1:16" x14ac:dyDescent="0.2">
      <c r="A136" s="653" t="s">
        <v>111</v>
      </c>
      <c r="B136" s="621">
        <f>+B129-B134</f>
        <v>0</v>
      </c>
      <c r="C136" s="621">
        <f t="shared" ref="C136:P136" si="98">+C129-C134</f>
        <v>0</v>
      </c>
      <c r="D136" s="621">
        <f t="shared" si="98"/>
        <v>0</v>
      </c>
      <c r="E136" s="621">
        <f t="shared" si="98"/>
        <v>0</v>
      </c>
      <c r="F136" s="621">
        <f t="shared" si="98"/>
        <v>0</v>
      </c>
      <c r="G136" s="621">
        <f t="shared" si="98"/>
        <v>0</v>
      </c>
      <c r="H136" s="621">
        <f t="shared" si="98"/>
        <v>0</v>
      </c>
      <c r="I136" s="621">
        <f t="shared" si="98"/>
        <v>0</v>
      </c>
      <c r="J136" s="621">
        <f t="shared" si="98"/>
        <v>0</v>
      </c>
      <c r="K136" s="621">
        <f t="shared" si="98"/>
        <v>0</v>
      </c>
      <c r="L136" s="621">
        <f t="shared" si="98"/>
        <v>0</v>
      </c>
      <c r="M136" s="621">
        <f t="shared" si="98"/>
        <v>0</v>
      </c>
      <c r="N136" s="621">
        <f t="shared" si="98"/>
        <v>0</v>
      </c>
      <c r="O136" s="621">
        <f t="shared" si="98"/>
        <v>0</v>
      </c>
      <c r="P136" s="621">
        <f t="shared" si="98"/>
        <v>0</v>
      </c>
    </row>
    <row r="137" spans="1:16" x14ac:dyDescent="0.2">
      <c r="B137" s="621"/>
      <c r="C137" s="621"/>
      <c r="D137" s="621"/>
      <c r="E137" s="621"/>
      <c r="F137" s="621"/>
      <c r="G137" s="621"/>
      <c r="H137" s="621"/>
      <c r="I137" s="621"/>
      <c r="J137" s="621"/>
      <c r="K137" s="621"/>
      <c r="L137" s="621"/>
      <c r="M137" s="621"/>
      <c r="N137" s="621"/>
      <c r="O137" s="621"/>
      <c r="P137" s="621"/>
    </row>
  </sheetData>
  <pageMargins left="0.70866141732283472" right="0.70866141732283472" top="0.74803149606299213" bottom="0.74803149606299213" header="0.31496062992125984" footer="0.31496062992125984"/>
  <pageSetup paperSize="9" scale="94" fitToHeight="0" orientation="landscape" r:id="rId1"/>
  <rowBreaks count="2" manualBreakCount="2">
    <brk id="43" max="16383" man="1"/>
    <brk id="92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1:P102"/>
  <sheetViews>
    <sheetView workbookViewId="0">
      <pane xSplit="3" ySplit="3" topLeftCell="D55" activePane="bottomRight" state="frozen"/>
      <selection pane="topRight" activeCell="D1" sqref="D1"/>
      <selection pane="bottomLeft" activeCell="A3" sqref="A3"/>
      <selection pane="bottomRight" activeCell="A56" sqref="A56"/>
    </sheetView>
  </sheetViews>
  <sheetFormatPr defaultColWidth="9.109375" defaultRowHeight="10.199999999999999" outlineLevelCol="1" x14ac:dyDescent="0.2"/>
  <cols>
    <col min="1" max="1" width="32.33203125" style="653" customWidth="1"/>
    <col min="2" max="3" width="13.109375" style="653" hidden="1" customWidth="1" outlineLevel="1"/>
    <col min="4" max="5" width="13.109375" style="653" hidden="1" customWidth="1" outlineLevel="1" collapsed="1"/>
    <col min="6" max="6" width="13.109375" style="653" bestFit="1" customWidth="1" collapsed="1"/>
    <col min="7" max="16" width="9.88671875" style="653" bestFit="1" customWidth="1"/>
    <col min="17" max="16384" width="9.109375" style="653"/>
  </cols>
  <sheetData>
    <row r="1" spans="1:16" ht="12.75" x14ac:dyDescent="0.2">
      <c r="A1" s="1091" t="s">
        <v>1362</v>
      </c>
    </row>
    <row r="2" spans="1:16" s="660" customFormat="1" ht="12" x14ac:dyDescent="0.2">
      <c r="A2" s="652" t="s">
        <v>1072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16" ht="11.25" x14ac:dyDescent="0.2">
      <c r="A3" s="652" t="s">
        <v>73</v>
      </c>
      <c r="B3" s="741" t="s">
        <v>68</v>
      </c>
      <c r="C3" s="694" t="s">
        <v>0</v>
      </c>
      <c r="D3" s="694" t="s">
        <v>1</v>
      </c>
      <c r="E3" s="694" t="s">
        <v>2</v>
      </c>
      <c r="F3" s="694" t="s">
        <v>3</v>
      </c>
      <c r="G3" s="694" t="s">
        <v>4</v>
      </c>
      <c r="H3" s="694" t="s">
        <v>5</v>
      </c>
      <c r="I3" s="694" t="s">
        <v>6</v>
      </c>
      <c r="J3" s="694" t="s">
        <v>7</v>
      </c>
      <c r="K3" s="694" t="s">
        <v>8</v>
      </c>
      <c r="L3" s="694" t="s">
        <v>9</v>
      </c>
      <c r="M3" s="694" t="s">
        <v>514</v>
      </c>
      <c r="N3" s="694" t="s">
        <v>515</v>
      </c>
      <c r="O3" s="694" t="s">
        <v>904</v>
      </c>
      <c r="P3" s="694" t="s">
        <v>1046</v>
      </c>
    </row>
    <row r="4" spans="1:16" s="664" customFormat="1" ht="11.25" x14ac:dyDescent="0.2">
      <c r="A4" s="661"/>
      <c r="B4" s="662"/>
      <c r="C4" s="662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</row>
    <row r="5" spans="1:16" ht="11.25" x14ac:dyDescent="0.2">
      <c r="A5" s="654" t="s">
        <v>103</v>
      </c>
    </row>
    <row r="6" spans="1:16" ht="11.25" x14ac:dyDescent="0.2">
      <c r="A6" s="654" t="s">
        <v>100</v>
      </c>
      <c r="B6" s="621"/>
      <c r="C6" s="621"/>
      <c r="D6" s="621"/>
      <c r="E6" s="621">
        <f>44758-E10</f>
        <v>42621</v>
      </c>
      <c r="F6" s="621">
        <f t="shared" ref="F6:P6" si="0">+E13</f>
        <v>44758</v>
      </c>
      <c r="G6" s="621">
        <f t="shared" si="0"/>
        <v>46509.042000000001</v>
      </c>
      <c r="H6" s="621">
        <f t="shared" si="0"/>
        <v>55356.786</v>
      </c>
      <c r="I6" s="621">
        <f t="shared" si="0"/>
        <v>55226.46</v>
      </c>
      <c r="J6" s="621">
        <f t="shared" si="0"/>
        <v>55037.504999999997</v>
      </c>
      <c r="K6" s="621">
        <f t="shared" si="0"/>
        <v>54830.907999999996</v>
      </c>
      <c r="L6" s="621">
        <f t="shared" si="0"/>
        <v>54543.259623599995</v>
      </c>
      <c r="M6" s="621">
        <f t="shared" si="0"/>
        <v>54216.822498815993</v>
      </c>
      <c r="N6" s="621">
        <f t="shared" si="0"/>
        <v>53849.90325630657</v>
      </c>
      <c r="O6" s="621">
        <f t="shared" si="0"/>
        <v>53440.746683851408</v>
      </c>
      <c r="P6" s="621">
        <f t="shared" si="0"/>
        <v>52987.533547651939</v>
      </c>
    </row>
    <row r="7" spans="1:16" ht="11.25" x14ac:dyDescent="0.2">
      <c r="A7" s="655" t="s">
        <v>101</v>
      </c>
      <c r="B7" s="617"/>
      <c r="C7" s="617"/>
      <c r="D7" s="617"/>
      <c r="E7" s="617"/>
      <c r="F7" s="617">
        <v>0</v>
      </c>
      <c r="G7" s="617">
        <v>0</v>
      </c>
      <c r="H7" s="617">
        <v>0</v>
      </c>
      <c r="I7" s="617">
        <v>0</v>
      </c>
      <c r="J7" s="617">
        <v>0</v>
      </c>
      <c r="K7" s="617">
        <v>0</v>
      </c>
      <c r="L7" s="617">
        <v>0</v>
      </c>
      <c r="M7" s="617">
        <v>0</v>
      </c>
      <c r="N7" s="617">
        <v>0</v>
      </c>
      <c r="O7" s="617">
        <v>0</v>
      </c>
      <c r="P7" s="617">
        <v>0</v>
      </c>
    </row>
    <row r="8" spans="1:16" ht="11.25" x14ac:dyDescent="0.2">
      <c r="A8" s="654" t="s">
        <v>102</v>
      </c>
      <c r="B8" s="621">
        <f>SUM(B6:B7)</f>
        <v>0</v>
      </c>
      <c r="C8" s="621">
        <f t="shared" ref="C8:P8" si="1">SUM(C6:C7)</f>
        <v>0</v>
      </c>
      <c r="D8" s="621">
        <f t="shared" si="1"/>
        <v>0</v>
      </c>
      <c r="E8" s="621">
        <f t="shared" si="1"/>
        <v>42621</v>
      </c>
      <c r="F8" s="621">
        <f t="shared" si="1"/>
        <v>44758</v>
      </c>
      <c r="G8" s="621">
        <f t="shared" si="1"/>
        <v>46509.042000000001</v>
      </c>
      <c r="H8" s="621">
        <f t="shared" si="1"/>
        <v>55356.786</v>
      </c>
      <c r="I8" s="621">
        <f t="shared" si="1"/>
        <v>55226.46</v>
      </c>
      <c r="J8" s="621">
        <f t="shared" si="1"/>
        <v>55037.504999999997</v>
      </c>
      <c r="K8" s="621">
        <f t="shared" si="1"/>
        <v>54830.907999999996</v>
      </c>
      <c r="L8" s="621">
        <f t="shared" si="1"/>
        <v>54543.259623599995</v>
      </c>
      <c r="M8" s="621">
        <f t="shared" si="1"/>
        <v>54216.822498815993</v>
      </c>
      <c r="N8" s="621">
        <f t="shared" si="1"/>
        <v>53849.90325630657</v>
      </c>
      <c r="O8" s="621">
        <f t="shared" si="1"/>
        <v>53440.746683851408</v>
      </c>
      <c r="P8" s="621">
        <f t="shared" si="1"/>
        <v>52987.533547651939</v>
      </c>
    </row>
    <row r="9" spans="1:16" ht="11.25" x14ac:dyDescent="0.2">
      <c r="B9" s="621"/>
      <c r="C9" s="621"/>
      <c r="D9" s="621"/>
      <c r="E9" s="621"/>
      <c r="F9" s="621"/>
      <c r="G9" s="621"/>
      <c r="H9" s="621"/>
      <c r="I9" s="621"/>
      <c r="J9" s="621"/>
      <c r="K9" s="621"/>
      <c r="L9" s="621"/>
      <c r="M9" s="621"/>
      <c r="N9" s="621"/>
      <c r="O9" s="621"/>
      <c r="P9" s="621"/>
    </row>
    <row r="10" spans="1:16" ht="11.25" x14ac:dyDescent="0.2">
      <c r="A10" s="654" t="s">
        <v>76</v>
      </c>
      <c r="B10" s="621">
        <f>+'GF &amp; FF  Inc Exp Statement'!B38</f>
        <v>0</v>
      </c>
      <c r="C10" s="621">
        <f>+'GF &amp; FF  Inc Exp Statement'!C38</f>
        <v>0</v>
      </c>
      <c r="D10" s="621">
        <f>+'GF &amp; FF  Inc Exp Statement'!D38</f>
        <v>0</v>
      </c>
      <c r="E10" s="621">
        <f>'Sewer  Fund  Inc Exp Statem'!E49</f>
        <v>2137</v>
      </c>
      <c r="F10" s="621">
        <f>'Sewer  Fund  Inc Exp Statem'!F49</f>
        <v>1751.0419999999999</v>
      </c>
      <c r="G10" s="621">
        <f>'Sewer  Fund  Inc Exp Statem'!G49</f>
        <v>8847.7439999999988</v>
      </c>
      <c r="H10" s="621">
        <f>'Sewer  Fund  Inc Exp Statem'!H49</f>
        <v>-130.32600000000002</v>
      </c>
      <c r="I10" s="621">
        <f>'Sewer  Fund  Inc Exp Statem'!I49</f>
        <v>-188.95499999999993</v>
      </c>
      <c r="J10" s="621">
        <f>'Sewer  Fund  Inc Exp Statem'!J49</f>
        <v>-206.59699999999975</v>
      </c>
      <c r="K10" s="621">
        <f>'Sewer  Fund  Inc Exp Statem'!K49</f>
        <v>-287.64837640000042</v>
      </c>
      <c r="L10" s="621">
        <f>'Sewer  Fund  Inc Exp Statem'!L49</f>
        <v>-326.43712478400084</v>
      </c>
      <c r="M10" s="621">
        <f>'Sewer  Fund  Inc Exp Statem'!M49</f>
        <v>-366.91924250942157</v>
      </c>
      <c r="N10" s="621">
        <f>'Sewer  Fund  Inc Exp Statem'!N49</f>
        <v>-409.15657245516195</v>
      </c>
      <c r="O10" s="621">
        <f>'Sewer  Fund  Inc Exp Statem'!O49</f>
        <v>-453.2131361994725</v>
      </c>
      <c r="P10" s="621">
        <f>'Sewer  Fund  Inc Exp Statem'!P49</f>
        <v>-499.15521206903395</v>
      </c>
    </row>
    <row r="11" spans="1:16" ht="11.25" x14ac:dyDescent="0.2">
      <c r="B11" s="608"/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</row>
    <row r="12" spans="1:16" s="654" customFormat="1" ht="11.25" x14ac:dyDescent="0.2">
      <c r="A12" s="654" t="s">
        <v>105</v>
      </c>
      <c r="B12" s="674">
        <f>+B10</f>
        <v>0</v>
      </c>
      <c r="C12" s="619">
        <f t="shared" ref="C12:P12" si="2">+C10</f>
        <v>0</v>
      </c>
      <c r="D12" s="674">
        <f t="shared" si="2"/>
        <v>0</v>
      </c>
      <c r="E12" s="619">
        <f t="shared" si="2"/>
        <v>2137</v>
      </c>
      <c r="F12" s="619">
        <f t="shared" si="2"/>
        <v>1751.0419999999999</v>
      </c>
      <c r="G12" s="619">
        <f t="shared" si="2"/>
        <v>8847.7439999999988</v>
      </c>
      <c r="H12" s="619">
        <f t="shared" si="2"/>
        <v>-130.32600000000002</v>
      </c>
      <c r="I12" s="619">
        <f t="shared" si="2"/>
        <v>-188.95499999999993</v>
      </c>
      <c r="J12" s="619">
        <f t="shared" si="2"/>
        <v>-206.59699999999975</v>
      </c>
      <c r="K12" s="619">
        <f t="shared" si="2"/>
        <v>-287.64837640000042</v>
      </c>
      <c r="L12" s="619">
        <f t="shared" si="2"/>
        <v>-326.43712478400084</v>
      </c>
      <c r="M12" s="619">
        <f t="shared" si="2"/>
        <v>-366.91924250942157</v>
      </c>
      <c r="N12" s="619">
        <f t="shared" si="2"/>
        <v>-409.15657245516195</v>
      </c>
      <c r="O12" s="619">
        <f t="shared" si="2"/>
        <v>-453.2131361994725</v>
      </c>
      <c r="P12" s="619">
        <f t="shared" si="2"/>
        <v>-499.15521206903395</v>
      </c>
    </row>
    <row r="13" spans="1:16" s="654" customFormat="1" ht="12" thickBot="1" x14ac:dyDescent="0.25">
      <c r="A13" s="654" t="s">
        <v>106</v>
      </c>
      <c r="B13" s="658">
        <f t="shared" ref="B13:P13" si="3">+B8+B12</f>
        <v>0</v>
      </c>
      <c r="C13" s="658">
        <f t="shared" si="3"/>
        <v>0</v>
      </c>
      <c r="D13" s="658">
        <f t="shared" si="3"/>
        <v>0</v>
      </c>
      <c r="E13" s="658">
        <f t="shared" si="3"/>
        <v>44758</v>
      </c>
      <c r="F13" s="658">
        <f t="shared" si="3"/>
        <v>46509.042000000001</v>
      </c>
      <c r="G13" s="658">
        <f t="shared" si="3"/>
        <v>55356.786</v>
      </c>
      <c r="H13" s="658">
        <f t="shared" si="3"/>
        <v>55226.46</v>
      </c>
      <c r="I13" s="658">
        <f t="shared" si="3"/>
        <v>55037.504999999997</v>
      </c>
      <c r="J13" s="658">
        <f t="shared" si="3"/>
        <v>54830.907999999996</v>
      </c>
      <c r="K13" s="658">
        <f t="shared" si="3"/>
        <v>54543.259623599995</v>
      </c>
      <c r="L13" s="658">
        <f t="shared" si="3"/>
        <v>54216.822498815993</v>
      </c>
      <c r="M13" s="658">
        <f t="shared" si="3"/>
        <v>53849.90325630657</v>
      </c>
      <c r="N13" s="658">
        <f t="shared" si="3"/>
        <v>53440.746683851408</v>
      </c>
      <c r="O13" s="658">
        <f t="shared" si="3"/>
        <v>52987.533547651939</v>
      </c>
      <c r="P13" s="658">
        <f t="shared" si="3"/>
        <v>52488.378335582907</v>
      </c>
    </row>
    <row r="14" spans="1:16" ht="11.25" x14ac:dyDescent="0.2"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</row>
    <row r="15" spans="1:16" ht="11.25" x14ac:dyDescent="0.2">
      <c r="A15" s="654" t="s">
        <v>107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</row>
    <row r="16" spans="1:16" ht="11.25" x14ac:dyDescent="0.2">
      <c r="A16" s="654" t="s">
        <v>100</v>
      </c>
      <c r="B16" s="608"/>
      <c r="C16" s="608"/>
      <c r="D16" s="608">
        <v>0</v>
      </c>
      <c r="E16" s="608">
        <f>22708</f>
        <v>22708</v>
      </c>
      <c r="F16" s="608">
        <f t="shared" ref="F16:P16" si="4">+E22</f>
        <v>22708</v>
      </c>
      <c r="G16" s="608">
        <f t="shared" si="4"/>
        <v>22708</v>
      </c>
      <c r="H16" s="608">
        <f t="shared" si="4"/>
        <v>22708</v>
      </c>
      <c r="I16" s="608">
        <f t="shared" si="4"/>
        <v>22708</v>
      </c>
      <c r="J16" s="608">
        <f t="shared" si="4"/>
        <v>22708</v>
      </c>
      <c r="K16" s="608">
        <f t="shared" si="4"/>
        <v>22708</v>
      </c>
      <c r="L16" s="608">
        <f t="shared" si="4"/>
        <v>22708</v>
      </c>
      <c r="M16" s="608">
        <f t="shared" si="4"/>
        <v>22708</v>
      </c>
      <c r="N16" s="608">
        <f t="shared" si="4"/>
        <v>22708</v>
      </c>
      <c r="O16" s="608">
        <f t="shared" si="4"/>
        <v>22708</v>
      </c>
      <c r="P16" s="608">
        <f t="shared" si="4"/>
        <v>22708</v>
      </c>
    </row>
    <row r="17" spans="1:16" ht="11.25" x14ac:dyDescent="0.2">
      <c r="A17" s="655" t="s">
        <v>101</v>
      </c>
      <c r="B17" s="617"/>
      <c r="C17" s="617"/>
      <c r="D17" s="617"/>
      <c r="E17" s="617"/>
      <c r="F17" s="617">
        <v>0</v>
      </c>
      <c r="G17" s="617">
        <v>0</v>
      </c>
      <c r="H17" s="617">
        <v>0</v>
      </c>
      <c r="I17" s="617">
        <v>0</v>
      </c>
      <c r="J17" s="617">
        <v>0</v>
      </c>
      <c r="K17" s="617">
        <v>0</v>
      </c>
      <c r="L17" s="617">
        <v>0</v>
      </c>
      <c r="M17" s="617">
        <v>0</v>
      </c>
      <c r="N17" s="617">
        <v>0</v>
      </c>
      <c r="O17" s="617">
        <v>0</v>
      </c>
      <c r="P17" s="617">
        <v>0</v>
      </c>
    </row>
    <row r="18" spans="1:16" ht="11.25" x14ac:dyDescent="0.2">
      <c r="A18" s="654" t="s">
        <v>102</v>
      </c>
      <c r="B18" s="675">
        <f>SUM(B16:B17)</f>
        <v>0</v>
      </c>
      <c r="C18" s="675">
        <f t="shared" ref="C18:P18" si="5">SUM(C16:C17)</f>
        <v>0</v>
      </c>
      <c r="D18" s="675">
        <f t="shared" si="5"/>
        <v>0</v>
      </c>
      <c r="E18" s="675">
        <f t="shared" si="5"/>
        <v>22708</v>
      </c>
      <c r="F18" s="675">
        <f t="shared" si="5"/>
        <v>22708</v>
      </c>
      <c r="G18" s="675">
        <f t="shared" si="5"/>
        <v>22708</v>
      </c>
      <c r="H18" s="675">
        <f t="shared" si="5"/>
        <v>22708</v>
      </c>
      <c r="I18" s="675">
        <f t="shared" si="5"/>
        <v>22708</v>
      </c>
      <c r="J18" s="675">
        <f t="shared" si="5"/>
        <v>22708</v>
      </c>
      <c r="K18" s="675">
        <f t="shared" si="5"/>
        <v>22708</v>
      </c>
      <c r="L18" s="675">
        <f t="shared" si="5"/>
        <v>22708</v>
      </c>
      <c r="M18" s="675">
        <f t="shared" si="5"/>
        <v>22708</v>
      </c>
      <c r="N18" s="675">
        <f t="shared" si="5"/>
        <v>22708</v>
      </c>
      <c r="O18" s="675">
        <f t="shared" si="5"/>
        <v>22708</v>
      </c>
      <c r="P18" s="675">
        <f t="shared" si="5"/>
        <v>22708</v>
      </c>
    </row>
    <row r="19" spans="1:16" ht="11.25" x14ac:dyDescent="0.2">
      <c r="B19" s="608"/>
      <c r="C19" s="608"/>
      <c r="D19" s="608"/>
      <c r="E19" s="608"/>
      <c r="F19" s="608"/>
      <c r="G19" s="608"/>
      <c r="H19" s="608"/>
      <c r="I19" s="608"/>
      <c r="J19" s="608"/>
      <c r="K19" s="608"/>
      <c r="L19" s="608"/>
      <c r="M19" s="608"/>
      <c r="N19" s="608"/>
      <c r="O19" s="608"/>
      <c r="P19" s="608"/>
    </row>
    <row r="20" spans="1:16" ht="11.25" x14ac:dyDescent="0.2">
      <c r="A20" s="653" t="s">
        <v>104</v>
      </c>
      <c r="B20" s="621"/>
      <c r="C20" s="621"/>
      <c r="D20" s="621"/>
      <c r="E20" s="621"/>
      <c r="F20" s="621">
        <v>0</v>
      </c>
      <c r="G20" s="621">
        <v>0</v>
      </c>
      <c r="H20" s="621">
        <v>0</v>
      </c>
      <c r="I20" s="621">
        <v>0</v>
      </c>
      <c r="J20" s="621">
        <v>0</v>
      </c>
      <c r="K20" s="621">
        <v>0</v>
      </c>
      <c r="L20" s="621">
        <v>0</v>
      </c>
      <c r="M20" s="621">
        <v>0</v>
      </c>
      <c r="N20" s="621">
        <v>0</v>
      </c>
      <c r="O20" s="621">
        <v>0</v>
      </c>
      <c r="P20" s="621">
        <v>0</v>
      </c>
    </row>
    <row r="21" spans="1:16" s="657" customFormat="1" ht="11.25" x14ac:dyDescent="0.2">
      <c r="A21" s="654" t="s">
        <v>105</v>
      </c>
      <c r="B21" s="674">
        <f>+B18+B20</f>
        <v>0</v>
      </c>
      <c r="C21" s="674">
        <f>C18+C20</f>
        <v>0</v>
      </c>
      <c r="D21" s="674">
        <f t="shared" ref="D21:L21" si="6">D18+D20</f>
        <v>0</v>
      </c>
      <c r="E21" s="674">
        <f t="shared" si="6"/>
        <v>22708</v>
      </c>
      <c r="F21" s="674">
        <f t="shared" si="6"/>
        <v>22708</v>
      </c>
      <c r="G21" s="674">
        <f t="shared" si="6"/>
        <v>22708</v>
      </c>
      <c r="H21" s="674">
        <f t="shared" si="6"/>
        <v>22708</v>
      </c>
      <c r="I21" s="674">
        <f t="shared" si="6"/>
        <v>22708</v>
      </c>
      <c r="J21" s="674">
        <f t="shared" si="6"/>
        <v>22708</v>
      </c>
      <c r="K21" s="674">
        <f t="shared" si="6"/>
        <v>22708</v>
      </c>
      <c r="L21" s="674">
        <f t="shared" si="6"/>
        <v>22708</v>
      </c>
      <c r="M21" s="674">
        <f t="shared" ref="M21" si="7">+L21</f>
        <v>22708</v>
      </c>
      <c r="N21" s="674">
        <f t="shared" ref="N21" si="8">N18+N20</f>
        <v>22708</v>
      </c>
      <c r="O21" s="674">
        <f t="shared" ref="O21:P21" si="9">+N21</f>
        <v>22708</v>
      </c>
      <c r="P21" s="674">
        <f t="shared" si="9"/>
        <v>22708</v>
      </c>
    </row>
    <row r="22" spans="1:16" s="657" customFormat="1" ht="12" thickBot="1" x14ac:dyDescent="0.25">
      <c r="A22" s="654" t="s">
        <v>106</v>
      </c>
      <c r="B22" s="658">
        <f>+B21</f>
        <v>0</v>
      </c>
      <c r="C22" s="658">
        <f t="shared" ref="C22:P22" si="10">+C21</f>
        <v>0</v>
      </c>
      <c r="D22" s="658">
        <f t="shared" si="10"/>
        <v>0</v>
      </c>
      <c r="E22" s="658">
        <f t="shared" si="10"/>
        <v>22708</v>
      </c>
      <c r="F22" s="658">
        <f t="shared" si="10"/>
        <v>22708</v>
      </c>
      <c r="G22" s="658">
        <f t="shared" si="10"/>
        <v>22708</v>
      </c>
      <c r="H22" s="658">
        <f t="shared" si="10"/>
        <v>22708</v>
      </c>
      <c r="I22" s="658">
        <f t="shared" si="10"/>
        <v>22708</v>
      </c>
      <c r="J22" s="658">
        <f t="shared" si="10"/>
        <v>22708</v>
      </c>
      <c r="K22" s="658">
        <f t="shared" si="10"/>
        <v>22708</v>
      </c>
      <c r="L22" s="658">
        <f t="shared" si="10"/>
        <v>22708</v>
      </c>
      <c r="M22" s="658">
        <f t="shared" si="10"/>
        <v>22708</v>
      </c>
      <c r="N22" s="658">
        <f t="shared" si="10"/>
        <v>22708</v>
      </c>
      <c r="O22" s="658">
        <f t="shared" si="10"/>
        <v>22708</v>
      </c>
      <c r="P22" s="658">
        <f t="shared" si="10"/>
        <v>22708</v>
      </c>
    </row>
    <row r="23" spans="1:16" ht="11.25" x14ac:dyDescent="0.2">
      <c r="B23" s="608"/>
      <c r="C23" s="608"/>
      <c r="D23" s="608"/>
      <c r="E23" s="608"/>
      <c r="F23" s="608"/>
      <c r="G23" s="608"/>
      <c r="H23" s="608"/>
      <c r="I23" s="608"/>
      <c r="J23" s="608"/>
      <c r="K23" s="608"/>
      <c r="L23" s="608"/>
      <c r="M23" s="608"/>
      <c r="N23" s="608"/>
      <c r="O23" s="608"/>
      <c r="P23" s="608"/>
    </row>
    <row r="24" spans="1:16" ht="11.25" x14ac:dyDescent="0.2">
      <c r="A24" s="654" t="s">
        <v>108</v>
      </c>
    </row>
    <row r="25" spans="1:16" ht="11.25" x14ac:dyDescent="0.2">
      <c r="A25" s="654" t="s">
        <v>100</v>
      </c>
      <c r="B25" s="608">
        <f>+B6+B16</f>
        <v>0</v>
      </c>
      <c r="C25" s="608">
        <f t="shared" ref="C25:P26" si="11">+C6+C16</f>
        <v>0</v>
      </c>
      <c r="D25" s="608">
        <f t="shared" si="11"/>
        <v>0</v>
      </c>
      <c r="E25" s="608">
        <f t="shared" si="11"/>
        <v>65329</v>
      </c>
      <c r="F25" s="608">
        <f t="shared" si="11"/>
        <v>67466</v>
      </c>
      <c r="G25" s="608">
        <f t="shared" si="11"/>
        <v>69217.042000000001</v>
      </c>
      <c r="H25" s="608">
        <f t="shared" si="11"/>
        <v>78064.785999999993</v>
      </c>
      <c r="I25" s="608">
        <f t="shared" si="11"/>
        <v>77934.459999999992</v>
      </c>
      <c r="J25" s="608">
        <f t="shared" si="11"/>
        <v>77745.505000000005</v>
      </c>
      <c r="K25" s="608">
        <f t="shared" si="11"/>
        <v>77538.907999999996</v>
      </c>
      <c r="L25" s="608">
        <f t="shared" si="11"/>
        <v>77251.259623599995</v>
      </c>
      <c r="M25" s="608">
        <f t="shared" si="11"/>
        <v>76924.822498815993</v>
      </c>
      <c r="N25" s="608">
        <f t="shared" si="11"/>
        <v>76557.90325630657</v>
      </c>
      <c r="O25" s="608">
        <f t="shared" si="11"/>
        <v>76148.746683851408</v>
      </c>
      <c r="P25" s="608">
        <f t="shared" si="11"/>
        <v>75695.533547651939</v>
      </c>
    </row>
    <row r="26" spans="1:16" ht="11.25" x14ac:dyDescent="0.2">
      <c r="A26" s="655" t="s">
        <v>101</v>
      </c>
      <c r="B26" s="617">
        <f>+B7+B17</f>
        <v>0</v>
      </c>
      <c r="C26" s="617">
        <f t="shared" si="11"/>
        <v>0</v>
      </c>
      <c r="D26" s="617">
        <f t="shared" si="11"/>
        <v>0</v>
      </c>
      <c r="E26" s="617">
        <f t="shared" si="11"/>
        <v>0</v>
      </c>
      <c r="F26" s="617">
        <f t="shared" si="11"/>
        <v>0</v>
      </c>
      <c r="G26" s="617">
        <f t="shared" si="11"/>
        <v>0</v>
      </c>
      <c r="H26" s="617">
        <f t="shared" si="11"/>
        <v>0</v>
      </c>
      <c r="I26" s="617">
        <f t="shared" si="11"/>
        <v>0</v>
      </c>
      <c r="J26" s="617">
        <f t="shared" si="11"/>
        <v>0</v>
      </c>
      <c r="K26" s="617">
        <f t="shared" si="11"/>
        <v>0</v>
      </c>
      <c r="L26" s="617">
        <f t="shared" si="11"/>
        <v>0</v>
      </c>
      <c r="M26" s="617">
        <f t="shared" si="11"/>
        <v>0</v>
      </c>
      <c r="N26" s="617">
        <f t="shared" si="11"/>
        <v>0</v>
      </c>
      <c r="O26" s="617">
        <f t="shared" si="11"/>
        <v>0</v>
      </c>
      <c r="P26" s="617">
        <f t="shared" si="11"/>
        <v>0</v>
      </c>
    </row>
    <row r="27" spans="1:16" ht="11.25" x14ac:dyDescent="0.2">
      <c r="A27" s="654" t="s">
        <v>102</v>
      </c>
      <c r="B27" s="608">
        <f>SUM(B25:B26)</f>
        <v>0</v>
      </c>
      <c r="C27" s="608">
        <f t="shared" ref="C27:P27" si="12">SUM(C25:C26)</f>
        <v>0</v>
      </c>
      <c r="D27" s="608">
        <f t="shared" si="12"/>
        <v>0</v>
      </c>
      <c r="E27" s="608">
        <f t="shared" si="12"/>
        <v>65329</v>
      </c>
      <c r="F27" s="608">
        <f t="shared" si="12"/>
        <v>67466</v>
      </c>
      <c r="G27" s="608">
        <f t="shared" si="12"/>
        <v>69217.042000000001</v>
      </c>
      <c r="H27" s="608">
        <f t="shared" si="12"/>
        <v>78064.785999999993</v>
      </c>
      <c r="I27" s="608">
        <f t="shared" si="12"/>
        <v>77934.459999999992</v>
      </c>
      <c r="J27" s="608">
        <f t="shared" si="12"/>
        <v>77745.505000000005</v>
      </c>
      <c r="K27" s="608">
        <f t="shared" si="12"/>
        <v>77538.907999999996</v>
      </c>
      <c r="L27" s="608">
        <f t="shared" si="12"/>
        <v>77251.259623599995</v>
      </c>
      <c r="M27" s="608">
        <f t="shared" si="12"/>
        <v>76924.822498815993</v>
      </c>
      <c r="N27" s="608">
        <f t="shared" si="12"/>
        <v>76557.90325630657</v>
      </c>
      <c r="O27" s="608">
        <f t="shared" si="12"/>
        <v>76148.746683851408</v>
      </c>
      <c r="P27" s="608">
        <f t="shared" si="12"/>
        <v>75695.533547651939</v>
      </c>
    </row>
    <row r="28" spans="1:16" ht="11.25" x14ac:dyDescent="0.2">
      <c r="B28" s="608"/>
      <c r="C28" s="608"/>
      <c r="D28" s="608"/>
      <c r="E28" s="608"/>
      <c r="F28" s="608"/>
      <c r="G28" s="608"/>
      <c r="H28" s="608"/>
      <c r="I28" s="608"/>
      <c r="J28" s="608"/>
      <c r="K28" s="608"/>
      <c r="L28" s="608"/>
      <c r="M28" s="608"/>
      <c r="N28" s="608"/>
      <c r="O28" s="608"/>
      <c r="P28" s="608"/>
    </row>
    <row r="29" spans="1:16" ht="11.25" x14ac:dyDescent="0.2">
      <c r="A29" s="654" t="s">
        <v>76</v>
      </c>
      <c r="B29" s="608">
        <f>+B10</f>
        <v>0</v>
      </c>
      <c r="C29" s="621">
        <f t="shared" ref="C29:P29" si="13">+C10</f>
        <v>0</v>
      </c>
      <c r="D29" s="608">
        <f t="shared" si="13"/>
        <v>0</v>
      </c>
      <c r="E29" s="621">
        <f t="shared" si="13"/>
        <v>2137</v>
      </c>
      <c r="F29" s="621">
        <f t="shared" si="13"/>
        <v>1751.0419999999999</v>
      </c>
      <c r="G29" s="621">
        <f t="shared" si="13"/>
        <v>8847.7439999999988</v>
      </c>
      <c r="H29" s="621">
        <f t="shared" si="13"/>
        <v>-130.32600000000002</v>
      </c>
      <c r="I29" s="621">
        <f t="shared" si="13"/>
        <v>-188.95499999999993</v>
      </c>
      <c r="J29" s="621">
        <f t="shared" si="13"/>
        <v>-206.59699999999975</v>
      </c>
      <c r="K29" s="621">
        <f t="shared" si="13"/>
        <v>-287.64837640000042</v>
      </c>
      <c r="L29" s="621">
        <f t="shared" si="13"/>
        <v>-326.43712478400084</v>
      </c>
      <c r="M29" s="621">
        <f t="shared" si="13"/>
        <v>-366.91924250942157</v>
      </c>
      <c r="N29" s="621">
        <f t="shared" si="13"/>
        <v>-409.15657245516195</v>
      </c>
      <c r="O29" s="621">
        <f t="shared" si="13"/>
        <v>-453.2131361994725</v>
      </c>
      <c r="P29" s="621">
        <f t="shared" si="13"/>
        <v>-499.15521206903395</v>
      </c>
    </row>
    <row r="30" spans="1:16" ht="11.25" x14ac:dyDescent="0.2">
      <c r="B30" s="608"/>
      <c r="C30" s="608"/>
      <c r="D30" s="608"/>
      <c r="E30" s="621"/>
      <c r="F30" s="621"/>
      <c r="G30" s="621"/>
      <c r="H30" s="621"/>
      <c r="I30" s="621"/>
      <c r="J30" s="621"/>
      <c r="K30" s="621"/>
      <c r="L30" s="621"/>
      <c r="M30" s="621"/>
      <c r="N30" s="621"/>
      <c r="O30" s="621"/>
      <c r="P30" s="621"/>
    </row>
    <row r="31" spans="1:16" s="654" customFormat="1" ht="11.25" x14ac:dyDescent="0.2">
      <c r="A31" s="654" t="s">
        <v>105</v>
      </c>
      <c r="B31" s="674">
        <f>+B12</f>
        <v>0</v>
      </c>
      <c r="C31" s="619">
        <f t="shared" ref="C31:P31" si="14">+C29</f>
        <v>0</v>
      </c>
      <c r="D31" s="674">
        <f t="shared" si="14"/>
        <v>0</v>
      </c>
      <c r="E31" s="619">
        <f t="shared" si="14"/>
        <v>2137</v>
      </c>
      <c r="F31" s="619">
        <f t="shared" si="14"/>
        <v>1751.0419999999999</v>
      </c>
      <c r="G31" s="619">
        <f t="shared" si="14"/>
        <v>8847.7439999999988</v>
      </c>
      <c r="H31" s="619">
        <f t="shared" si="14"/>
        <v>-130.32600000000002</v>
      </c>
      <c r="I31" s="619">
        <f t="shared" si="14"/>
        <v>-188.95499999999993</v>
      </c>
      <c r="J31" s="619">
        <f t="shared" si="14"/>
        <v>-206.59699999999975</v>
      </c>
      <c r="K31" s="619">
        <f t="shared" si="14"/>
        <v>-287.64837640000042</v>
      </c>
      <c r="L31" s="619">
        <f t="shared" si="14"/>
        <v>-326.43712478400084</v>
      </c>
      <c r="M31" s="619">
        <f t="shared" si="14"/>
        <v>-366.91924250942157</v>
      </c>
      <c r="N31" s="619">
        <f t="shared" si="14"/>
        <v>-409.15657245516195</v>
      </c>
      <c r="O31" s="619">
        <f t="shared" si="14"/>
        <v>-453.2131361994725</v>
      </c>
      <c r="P31" s="619">
        <f t="shared" si="14"/>
        <v>-499.15521206903395</v>
      </c>
    </row>
    <row r="32" spans="1:16" s="676" customFormat="1" ht="12" thickBot="1" x14ac:dyDescent="0.25">
      <c r="A32" s="653" t="s">
        <v>104</v>
      </c>
      <c r="B32" s="633">
        <f>+B20</f>
        <v>0</v>
      </c>
      <c r="C32" s="633">
        <f t="shared" ref="C32:P32" si="15">+C20</f>
        <v>0</v>
      </c>
      <c r="D32" s="633">
        <f t="shared" si="15"/>
        <v>0</v>
      </c>
      <c r="E32" s="633">
        <f t="shared" si="15"/>
        <v>0</v>
      </c>
      <c r="F32" s="633">
        <f t="shared" si="15"/>
        <v>0</v>
      </c>
      <c r="G32" s="633">
        <f t="shared" si="15"/>
        <v>0</v>
      </c>
      <c r="H32" s="633">
        <f t="shared" si="15"/>
        <v>0</v>
      </c>
      <c r="I32" s="633">
        <f t="shared" si="15"/>
        <v>0</v>
      </c>
      <c r="J32" s="633">
        <f t="shared" si="15"/>
        <v>0</v>
      </c>
      <c r="K32" s="633">
        <f t="shared" si="15"/>
        <v>0</v>
      </c>
      <c r="L32" s="633">
        <f t="shared" si="15"/>
        <v>0</v>
      </c>
      <c r="M32" s="633">
        <f t="shared" si="15"/>
        <v>0</v>
      </c>
      <c r="N32" s="633">
        <f t="shared" si="15"/>
        <v>0</v>
      </c>
      <c r="O32" s="633">
        <f t="shared" si="15"/>
        <v>0</v>
      </c>
      <c r="P32" s="633">
        <f t="shared" si="15"/>
        <v>0</v>
      </c>
    </row>
    <row r="33" spans="1:16" s="654" customFormat="1" ht="12" thickBot="1" x14ac:dyDescent="0.25">
      <c r="A33" s="654" t="s">
        <v>106</v>
      </c>
      <c r="B33" s="668">
        <f>+B27+B31+B32</f>
        <v>0</v>
      </c>
      <c r="C33" s="668">
        <f t="shared" ref="C33:P33" si="16">+C27+C31+C32</f>
        <v>0</v>
      </c>
      <c r="D33" s="668">
        <f t="shared" si="16"/>
        <v>0</v>
      </c>
      <c r="E33" s="668">
        <f t="shared" si="16"/>
        <v>67466</v>
      </c>
      <c r="F33" s="668">
        <f t="shared" si="16"/>
        <v>69217.042000000001</v>
      </c>
      <c r="G33" s="668">
        <f t="shared" si="16"/>
        <v>78064.785999999993</v>
      </c>
      <c r="H33" s="668">
        <f t="shared" si="16"/>
        <v>77934.459999999992</v>
      </c>
      <c r="I33" s="668">
        <f t="shared" si="16"/>
        <v>77745.50499999999</v>
      </c>
      <c r="J33" s="668">
        <f t="shared" si="16"/>
        <v>77538.90800000001</v>
      </c>
      <c r="K33" s="668">
        <f t="shared" si="16"/>
        <v>77251.259623599995</v>
      </c>
      <c r="L33" s="668">
        <f t="shared" si="16"/>
        <v>76924.822498815993</v>
      </c>
      <c r="M33" s="668">
        <f t="shared" si="16"/>
        <v>76557.90325630657</v>
      </c>
      <c r="N33" s="668">
        <f t="shared" si="16"/>
        <v>76148.746683851408</v>
      </c>
      <c r="O33" s="668">
        <f t="shared" si="16"/>
        <v>75695.533547651939</v>
      </c>
      <c r="P33" s="668">
        <f t="shared" si="16"/>
        <v>75196.378335582907</v>
      </c>
    </row>
    <row r="34" spans="1:16" ht="12" thickTop="1" x14ac:dyDescent="0.2">
      <c r="B34" s="608"/>
      <c r="C34" s="608"/>
      <c r="D34" s="608"/>
      <c r="E34" s="608"/>
      <c r="F34" s="608"/>
      <c r="G34" s="608"/>
      <c r="H34" s="608"/>
      <c r="I34" s="608"/>
      <c r="J34" s="608"/>
      <c r="K34" s="608"/>
      <c r="L34" s="608"/>
      <c r="M34" s="608"/>
      <c r="N34" s="608"/>
      <c r="O34" s="608"/>
      <c r="P34" s="608"/>
    </row>
    <row r="35" spans="1:16" ht="12.75" x14ac:dyDescent="0.2">
      <c r="A35" s="1091" t="s">
        <v>1362</v>
      </c>
    </row>
    <row r="36" spans="1:16" s="660" customFormat="1" ht="12" x14ac:dyDescent="0.2">
      <c r="A36" s="671" t="s">
        <v>1073</v>
      </c>
      <c r="B36" s="586" t="s">
        <v>69</v>
      </c>
      <c r="C36" s="586" t="s">
        <v>69</v>
      </c>
      <c r="D36" s="586" t="s">
        <v>69</v>
      </c>
      <c r="E36" s="586" t="s">
        <v>69</v>
      </c>
      <c r="F36" s="586" t="s">
        <v>70</v>
      </c>
      <c r="G36" s="586" t="s">
        <v>70</v>
      </c>
      <c r="H36" s="586" t="s">
        <v>71</v>
      </c>
      <c r="I36" s="586" t="s">
        <v>71</v>
      </c>
      <c r="J36" s="586" t="s">
        <v>71</v>
      </c>
      <c r="K36" s="586" t="s">
        <v>71</v>
      </c>
      <c r="L36" s="586" t="s">
        <v>71</v>
      </c>
      <c r="M36" s="586" t="s">
        <v>71</v>
      </c>
      <c r="N36" s="586" t="s">
        <v>71</v>
      </c>
      <c r="O36" s="586" t="s">
        <v>71</v>
      </c>
      <c r="P36" s="586" t="s">
        <v>71</v>
      </c>
    </row>
    <row r="37" spans="1:16" ht="11.25" x14ac:dyDescent="0.2">
      <c r="A37" s="652" t="s">
        <v>73</v>
      </c>
      <c r="B37" s="741" t="s">
        <v>68</v>
      </c>
      <c r="C37" s="694" t="s">
        <v>0</v>
      </c>
      <c r="D37" s="694" t="s">
        <v>1</v>
      </c>
      <c r="E37" s="694" t="s">
        <v>2</v>
      </c>
      <c r="F37" s="694" t="s">
        <v>3</v>
      </c>
      <c r="G37" s="694" t="s">
        <v>4</v>
      </c>
      <c r="H37" s="694" t="s">
        <v>5</v>
      </c>
      <c r="I37" s="694" t="s">
        <v>6</v>
      </c>
      <c r="J37" s="694" t="s">
        <v>7</v>
      </c>
      <c r="K37" s="694" t="s">
        <v>8</v>
      </c>
      <c r="L37" s="694" t="s">
        <v>9</v>
      </c>
      <c r="M37" s="694" t="s">
        <v>514</v>
      </c>
      <c r="N37" s="694" t="s">
        <v>515</v>
      </c>
      <c r="O37" s="694" t="s">
        <v>904</v>
      </c>
      <c r="P37" s="694" t="s">
        <v>1046</v>
      </c>
    </row>
    <row r="38" spans="1:16" s="664" customFormat="1" ht="11.25" x14ac:dyDescent="0.2">
      <c r="A38" s="661"/>
      <c r="B38" s="662"/>
      <c r="C38" s="662"/>
      <c r="D38" s="663"/>
      <c r="E38" s="663"/>
      <c r="F38" s="663"/>
      <c r="G38" s="663"/>
      <c r="H38" s="663"/>
      <c r="I38" s="663"/>
      <c r="J38" s="663"/>
      <c r="K38" s="663"/>
      <c r="L38" s="663"/>
      <c r="M38" s="663"/>
      <c r="N38" s="663"/>
      <c r="O38" s="663"/>
      <c r="P38" s="663"/>
    </row>
    <row r="39" spans="1:16" ht="11.25" x14ac:dyDescent="0.2">
      <c r="A39" s="654" t="s">
        <v>103</v>
      </c>
    </row>
    <row r="40" spans="1:16" ht="11.25" x14ac:dyDescent="0.2">
      <c r="A40" s="654" t="s">
        <v>100</v>
      </c>
      <c r="B40" s="608"/>
      <c r="C40" s="608"/>
      <c r="D40" s="608">
        <f>D6</f>
        <v>0</v>
      </c>
      <c r="E40" s="608">
        <f>E6</f>
        <v>42621</v>
      </c>
      <c r="F40" s="608">
        <f t="shared" ref="F40:P40" si="17">+E47</f>
        <v>44758</v>
      </c>
      <c r="G40" s="608">
        <f t="shared" si="17"/>
        <v>46508.042000000001</v>
      </c>
      <c r="H40" s="608">
        <f t="shared" si="17"/>
        <v>55356.286</v>
      </c>
      <c r="I40" s="608">
        <f t="shared" si="17"/>
        <v>55226.47</v>
      </c>
      <c r="J40" s="608">
        <f t="shared" si="17"/>
        <v>55038.036</v>
      </c>
      <c r="K40" s="608">
        <f t="shared" si="17"/>
        <v>54831.97</v>
      </c>
      <c r="L40" s="608">
        <f t="shared" si="17"/>
        <v>54544.865898600001</v>
      </c>
      <c r="M40" s="608">
        <f t="shared" si="17"/>
        <v>54218.986655690998</v>
      </c>
      <c r="N40" s="608">
        <f t="shared" si="17"/>
        <v>53852.639242103454</v>
      </c>
      <c r="O40" s="608">
        <f t="shared" si="17"/>
        <v>53444.068794293213</v>
      </c>
      <c r="P40" s="608">
        <f t="shared" si="17"/>
        <v>52991.456435854787</v>
      </c>
    </row>
    <row r="41" spans="1:16" ht="11.25" x14ac:dyDescent="0.2">
      <c r="A41" s="655" t="s">
        <v>101</v>
      </c>
      <c r="B41" s="617"/>
      <c r="C41" s="617"/>
      <c r="D41" s="617"/>
      <c r="E41" s="617"/>
      <c r="F41" s="617">
        <v>0</v>
      </c>
      <c r="G41" s="617">
        <v>0</v>
      </c>
      <c r="H41" s="617">
        <v>0</v>
      </c>
      <c r="I41" s="617">
        <v>0</v>
      </c>
      <c r="J41" s="617">
        <v>0</v>
      </c>
      <c r="K41" s="617">
        <v>0</v>
      </c>
      <c r="L41" s="617">
        <v>0</v>
      </c>
      <c r="M41" s="617">
        <v>0</v>
      </c>
      <c r="N41" s="617">
        <v>0</v>
      </c>
      <c r="O41" s="617">
        <v>0</v>
      </c>
      <c r="P41" s="617">
        <v>0</v>
      </c>
    </row>
    <row r="42" spans="1:16" ht="11.25" x14ac:dyDescent="0.2">
      <c r="A42" s="654" t="s">
        <v>102</v>
      </c>
      <c r="B42" s="608">
        <f>SUM(B40:B41)</f>
        <v>0</v>
      </c>
      <c r="C42" s="608">
        <f t="shared" ref="C42:P42" si="18">SUM(C40:C41)</f>
        <v>0</v>
      </c>
      <c r="D42" s="608">
        <f t="shared" si="18"/>
        <v>0</v>
      </c>
      <c r="E42" s="608">
        <f t="shared" si="18"/>
        <v>42621</v>
      </c>
      <c r="F42" s="608">
        <f t="shared" si="18"/>
        <v>44758</v>
      </c>
      <c r="G42" s="608">
        <f t="shared" si="18"/>
        <v>46508.042000000001</v>
      </c>
      <c r="H42" s="608">
        <f t="shared" si="18"/>
        <v>55356.286</v>
      </c>
      <c r="I42" s="608">
        <f t="shared" si="18"/>
        <v>55226.47</v>
      </c>
      <c r="J42" s="608">
        <f t="shared" si="18"/>
        <v>55038.036</v>
      </c>
      <c r="K42" s="608">
        <f t="shared" si="18"/>
        <v>54831.97</v>
      </c>
      <c r="L42" s="608">
        <f t="shared" si="18"/>
        <v>54544.865898600001</v>
      </c>
      <c r="M42" s="608">
        <f t="shared" si="18"/>
        <v>54218.986655690998</v>
      </c>
      <c r="N42" s="608">
        <f t="shared" si="18"/>
        <v>53852.639242103454</v>
      </c>
      <c r="O42" s="608">
        <f t="shared" si="18"/>
        <v>53444.068794293213</v>
      </c>
      <c r="P42" s="608">
        <f t="shared" si="18"/>
        <v>52991.456435854787</v>
      </c>
    </row>
    <row r="43" spans="1:16" ht="11.25" x14ac:dyDescent="0.2">
      <c r="B43" s="608"/>
      <c r="C43" s="608"/>
      <c r="D43" s="608"/>
      <c r="E43" s="608"/>
      <c r="F43" s="608"/>
      <c r="G43" s="608"/>
      <c r="H43" s="608"/>
      <c r="I43" s="608"/>
      <c r="J43" s="608"/>
      <c r="K43" s="608"/>
      <c r="L43" s="608"/>
      <c r="M43" s="608"/>
      <c r="N43" s="608"/>
      <c r="O43" s="608"/>
      <c r="P43" s="608"/>
    </row>
    <row r="44" spans="1:16" ht="11.25" x14ac:dyDescent="0.2">
      <c r="A44" s="654" t="s">
        <v>76</v>
      </c>
      <c r="B44" s="621">
        <f>+'GF &amp; FF  Inc Exp Statement'!B113</f>
        <v>0</v>
      </c>
      <c r="C44" s="621">
        <f>+'GF &amp; FF  Inc Exp Statement'!C113</f>
        <v>0</v>
      </c>
      <c r="D44" s="621">
        <f>+'GF &amp; FF  Inc Exp Statement'!D113</f>
        <v>0</v>
      </c>
      <c r="E44" s="621">
        <f>'Sewer  Fund  Inc Exp Statem'!E103</f>
        <v>2137</v>
      </c>
      <c r="F44" s="621">
        <f>'Sewer  Fund  Inc Exp Statem'!F103</f>
        <v>1750.0419999999999</v>
      </c>
      <c r="G44" s="621">
        <f>'Sewer  Fund  Inc Exp Statem'!G103</f>
        <v>8848.2439999999988</v>
      </c>
      <c r="H44" s="621">
        <f>'Sewer  Fund  Inc Exp Statem'!H103</f>
        <v>-129.8159999999998</v>
      </c>
      <c r="I44" s="621">
        <f>'Sewer  Fund  Inc Exp Statem'!I103</f>
        <v>-188.4340000000002</v>
      </c>
      <c r="J44" s="621">
        <f>'Sewer  Fund  Inc Exp Statem'!J103</f>
        <v>-206.0659999999998</v>
      </c>
      <c r="K44" s="621">
        <f>'Sewer  Fund  Inc Exp Statem'!K103</f>
        <v>-287.10410140000022</v>
      </c>
      <c r="L44" s="621">
        <f>'Sewer  Fund  Inc Exp Statem'!L103</f>
        <v>-325.87924290900082</v>
      </c>
      <c r="M44" s="621">
        <f>'Sewer  Fund  Inc Exp Statem'!M103</f>
        <v>-366.34741358754673</v>
      </c>
      <c r="N44" s="621">
        <f>'Sewer  Fund  Inc Exp Statem'!N103</f>
        <v>-408.57044781023978</v>
      </c>
      <c r="O44" s="621">
        <f>'Sewer  Fund  Inc Exp Statem'!O103</f>
        <v>-452.61235843842769</v>
      </c>
      <c r="P44" s="621">
        <f>'Sewer  Fund  Inc Exp Statem'!P103</f>
        <v>-498.53941486396252</v>
      </c>
    </row>
    <row r="45" spans="1:16" ht="11.25" x14ac:dyDescent="0.2">
      <c r="B45" s="608"/>
      <c r="C45" s="608"/>
      <c r="D45" s="608"/>
      <c r="E45" s="608"/>
      <c r="F45" s="608"/>
      <c r="G45" s="608"/>
      <c r="H45" s="608"/>
      <c r="I45" s="608"/>
      <c r="J45" s="608"/>
      <c r="K45" s="608"/>
      <c r="L45" s="608"/>
      <c r="M45" s="608"/>
      <c r="N45" s="608"/>
      <c r="O45" s="608"/>
      <c r="P45" s="608"/>
    </row>
    <row r="46" spans="1:16" s="654" customFormat="1" ht="11.25" x14ac:dyDescent="0.2">
      <c r="A46" s="654" t="s">
        <v>105</v>
      </c>
      <c r="B46" s="674">
        <f>+B44</f>
        <v>0</v>
      </c>
      <c r="C46" s="619">
        <f t="shared" ref="C46:P46" si="19">+C44</f>
        <v>0</v>
      </c>
      <c r="D46" s="674">
        <f t="shared" si="19"/>
        <v>0</v>
      </c>
      <c r="E46" s="619">
        <f t="shared" si="19"/>
        <v>2137</v>
      </c>
      <c r="F46" s="619">
        <f t="shared" si="19"/>
        <v>1750.0419999999999</v>
      </c>
      <c r="G46" s="619">
        <f t="shared" si="19"/>
        <v>8848.2439999999988</v>
      </c>
      <c r="H46" s="619">
        <f t="shared" si="19"/>
        <v>-129.8159999999998</v>
      </c>
      <c r="I46" s="619">
        <f t="shared" si="19"/>
        <v>-188.4340000000002</v>
      </c>
      <c r="J46" s="619">
        <f t="shared" si="19"/>
        <v>-206.0659999999998</v>
      </c>
      <c r="K46" s="619">
        <f t="shared" si="19"/>
        <v>-287.10410140000022</v>
      </c>
      <c r="L46" s="619">
        <f t="shared" si="19"/>
        <v>-325.87924290900082</v>
      </c>
      <c r="M46" s="619">
        <f t="shared" si="19"/>
        <v>-366.34741358754673</v>
      </c>
      <c r="N46" s="619">
        <f t="shared" si="19"/>
        <v>-408.57044781023978</v>
      </c>
      <c r="O46" s="619">
        <f t="shared" si="19"/>
        <v>-452.61235843842769</v>
      </c>
      <c r="P46" s="619">
        <f t="shared" si="19"/>
        <v>-498.53941486396252</v>
      </c>
    </row>
    <row r="47" spans="1:16" s="654" customFormat="1" ht="12" thickBot="1" x14ac:dyDescent="0.25">
      <c r="A47" s="654" t="s">
        <v>106</v>
      </c>
      <c r="B47" s="658">
        <f t="shared" ref="B47:P47" si="20">+B42+B46</f>
        <v>0</v>
      </c>
      <c r="C47" s="658">
        <f t="shared" si="20"/>
        <v>0</v>
      </c>
      <c r="D47" s="658">
        <f t="shared" si="20"/>
        <v>0</v>
      </c>
      <c r="E47" s="658">
        <f t="shared" si="20"/>
        <v>44758</v>
      </c>
      <c r="F47" s="658">
        <f t="shared" si="20"/>
        <v>46508.042000000001</v>
      </c>
      <c r="G47" s="658">
        <f t="shared" si="20"/>
        <v>55356.286</v>
      </c>
      <c r="H47" s="658">
        <f t="shared" si="20"/>
        <v>55226.47</v>
      </c>
      <c r="I47" s="658">
        <f t="shared" si="20"/>
        <v>55038.036</v>
      </c>
      <c r="J47" s="658">
        <f t="shared" si="20"/>
        <v>54831.97</v>
      </c>
      <c r="K47" s="658">
        <f t="shared" si="20"/>
        <v>54544.865898600001</v>
      </c>
      <c r="L47" s="658">
        <f t="shared" si="20"/>
        <v>54218.986655690998</v>
      </c>
      <c r="M47" s="658">
        <f t="shared" si="20"/>
        <v>53852.639242103454</v>
      </c>
      <c r="N47" s="658">
        <f t="shared" si="20"/>
        <v>53444.068794293213</v>
      </c>
      <c r="O47" s="658">
        <f t="shared" si="20"/>
        <v>52991.456435854787</v>
      </c>
      <c r="P47" s="658">
        <f t="shared" si="20"/>
        <v>52492.917020990826</v>
      </c>
    </row>
    <row r="48" spans="1:16" ht="11.25" x14ac:dyDescent="0.2">
      <c r="B48" s="608"/>
      <c r="C48" s="608"/>
      <c r="D48" s="608"/>
      <c r="E48" s="608"/>
      <c r="F48" s="608"/>
      <c r="G48" s="608"/>
      <c r="H48" s="608"/>
      <c r="I48" s="608"/>
      <c r="J48" s="608"/>
      <c r="K48" s="608"/>
      <c r="L48" s="608"/>
      <c r="M48" s="608"/>
      <c r="N48" s="608"/>
      <c r="O48" s="608"/>
      <c r="P48" s="608"/>
    </row>
    <row r="49" spans="1:16" ht="11.25" x14ac:dyDescent="0.2">
      <c r="A49" s="654" t="s">
        <v>107</v>
      </c>
      <c r="B49" s="608"/>
      <c r="C49" s="608"/>
      <c r="D49" s="608"/>
      <c r="E49" s="608"/>
      <c r="F49" s="608"/>
      <c r="G49" s="608"/>
      <c r="H49" s="608"/>
      <c r="I49" s="608"/>
      <c r="J49" s="608"/>
      <c r="K49" s="608"/>
      <c r="L49" s="608"/>
      <c r="M49" s="608"/>
      <c r="N49" s="608"/>
      <c r="O49" s="608"/>
      <c r="P49" s="608"/>
    </row>
    <row r="50" spans="1:16" ht="11.25" x14ac:dyDescent="0.2">
      <c r="A50" s="654" t="s">
        <v>100</v>
      </c>
      <c r="B50" s="608"/>
      <c r="C50" s="608">
        <f>+B56</f>
        <v>0</v>
      </c>
      <c r="D50" s="608">
        <f>D16</f>
        <v>0</v>
      </c>
      <c r="E50" s="608">
        <f>E16</f>
        <v>22708</v>
      </c>
      <c r="F50" s="608">
        <f t="shared" ref="F50:P50" si="21">+E56</f>
        <v>22708</v>
      </c>
      <c r="G50" s="608">
        <f t="shared" si="21"/>
        <v>22708</v>
      </c>
      <c r="H50" s="608">
        <f t="shared" si="21"/>
        <v>22708</v>
      </c>
      <c r="I50" s="608">
        <f t="shared" si="21"/>
        <v>22708</v>
      </c>
      <c r="J50" s="608">
        <f t="shared" si="21"/>
        <v>22708</v>
      </c>
      <c r="K50" s="608">
        <f t="shared" si="21"/>
        <v>22708</v>
      </c>
      <c r="L50" s="608">
        <f t="shared" si="21"/>
        <v>22708</v>
      </c>
      <c r="M50" s="608">
        <f t="shared" si="21"/>
        <v>22708</v>
      </c>
      <c r="N50" s="608">
        <f t="shared" si="21"/>
        <v>22708</v>
      </c>
      <c r="O50" s="608">
        <f t="shared" si="21"/>
        <v>22708</v>
      </c>
      <c r="P50" s="608">
        <f t="shared" si="21"/>
        <v>22708</v>
      </c>
    </row>
    <row r="51" spans="1:16" ht="11.25" x14ac:dyDescent="0.2">
      <c r="A51" s="655" t="s">
        <v>101</v>
      </c>
      <c r="B51" s="617">
        <v>0</v>
      </c>
      <c r="C51" s="617">
        <v>0</v>
      </c>
      <c r="D51" s="617">
        <v>0</v>
      </c>
      <c r="E51" s="617">
        <v>0</v>
      </c>
      <c r="F51" s="617">
        <v>0</v>
      </c>
      <c r="G51" s="617">
        <v>0</v>
      </c>
      <c r="H51" s="617">
        <v>0</v>
      </c>
      <c r="I51" s="617">
        <v>0</v>
      </c>
      <c r="J51" s="617">
        <v>0</v>
      </c>
      <c r="K51" s="617">
        <v>0</v>
      </c>
      <c r="L51" s="617">
        <v>0</v>
      </c>
      <c r="M51" s="617">
        <v>0</v>
      </c>
      <c r="N51" s="617">
        <v>0</v>
      </c>
      <c r="O51" s="617">
        <v>0</v>
      </c>
      <c r="P51" s="617">
        <v>0</v>
      </c>
    </row>
    <row r="52" spans="1:16" ht="11.25" x14ac:dyDescent="0.2">
      <c r="A52" s="654" t="s">
        <v>102</v>
      </c>
      <c r="B52" s="675">
        <f>SUM(B50:B51)</f>
        <v>0</v>
      </c>
      <c r="C52" s="675">
        <f t="shared" ref="C52:P52" si="22">SUM(C50:C51)</f>
        <v>0</v>
      </c>
      <c r="D52" s="675">
        <f t="shared" si="22"/>
        <v>0</v>
      </c>
      <c r="E52" s="675">
        <f t="shared" si="22"/>
        <v>22708</v>
      </c>
      <c r="F52" s="675">
        <f t="shared" si="22"/>
        <v>22708</v>
      </c>
      <c r="G52" s="675">
        <f t="shared" si="22"/>
        <v>22708</v>
      </c>
      <c r="H52" s="675">
        <f t="shared" si="22"/>
        <v>22708</v>
      </c>
      <c r="I52" s="675">
        <f t="shared" si="22"/>
        <v>22708</v>
      </c>
      <c r="J52" s="675">
        <f t="shared" si="22"/>
        <v>22708</v>
      </c>
      <c r="K52" s="675">
        <f t="shared" si="22"/>
        <v>22708</v>
      </c>
      <c r="L52" s="675">
        <f t="shared" si="22"/>
        <v>22708</v>
      </c>
      <c r="M52" s="675">
        <f t="shared" si="22"/>
        <v>22708</v>
      </c>
      <c r="N52" s="675">
        <f t="shared" si="22"/>
        <v>22708</v>
      </c>
      <c r="O52" s="675">
        <f t="shared" si="22"/>
        <v>22708</v>
      </c>
      <c r="P52" s="675">
        <f t="shared" si="22"/>
        <v>22708</v>
      </c>
    </row>
    <row r="53" spans="1:16" ht="11.25" x14ac:dyDescent="0.2">
      <c r="B53" s="608"/>
      <c r="C53" s="608"/>
      <c r="D53" s="608"/>
      <c r="E53" s="608"/>
      <c r="F53" s="608"/>
      <c r="G53" s="608"/>
      <c r="H53" s="608"/>
      <c r="I53" s="608"/>
      <c r="J53" s="608"/>
      <c r="K53" s="608"/>
      <c r="L53" s="608"/>
      <c r="M53" s="608"/>
      <c r="N53" s="608"/>
      <c r="O53" s="608"/>
      <c r="P53" s="608"/>
    </row>
    <row r="54" spans="1:16" ht="11.25" x14ac:dyDescent="0.2">
      <c r="A54" s="653" t="s">
        <v>104</v>
      </c>
      <c r="B54" s="621">
        <v>0</v>
      </c>
      <c r="C54" s="621">
        <f>C32</f>
        <v>0</v>
      </c>
      <c r="D54" s="621">
        <f>D20</f>
        <v>0</v>
      </c>
      <c r="E54" s="621">
        <f t="shared" ref="E54:P54" si="23">E20</f>
        <v>0</v>
      </c>
      <c r="F54" s="621">
        <f t="shared" si="23"/>
        <v>0</v>
      </c>
      <c r="G54" s="621">
        <f t="shared" si="23"/>
        <v>0</v>
      </c>
      <c r="H54" s="621">
        <f t="shared" si="23"/>
        <v>0</v>
      </c>
      <c r="I54" s="621">
        <f t="shared" si="23"/>
        <v>0</v>
      </c>
      <c r="J54" s="621">
        <f t="shared" si="23"/>
        <v>0</v>
      </c>
      <c r="K54" s="621">
        <f t="shared" si="23"/>
        <v>0</v>
      </c>
      <c r="L54" s="621">
        <f t="shared" si="23"/>
        <v>0</v>
      </c>
      <c r="M54" s="621">
        <f t="shared" si="23"/>
        <v>0</v>
      </c>
      <c r="N54" s="621">
        <f t="shared" si="23"/>
        <v>0</v>
      </c>
      <c r="O54" s="621">
        <f t="shared" si="23"/>
        <v>0</v>
      </c>
      <c r="P54" s="621">
        <f t="shared" si="23"/>
        <v>0</v>
      </c>
    </row>
    <row r="55" spans="1:16" s="657" customFormat="1" ht="11.25" x14ac:dyDescent="0.2">
      <c r="A55" s="654" t="s">
        <v>105</v>
      </c>
      <c r="B55" s="674">
        <f>+B52+B54</f>
        <v>0</v>
      </c>
      <c r="C55" s="674">
        <f>C52+C54</f>
        <v>0</v>
      </c>
      <c r="D55" s="674">
        <f t="shared" ref="D55:P55" si="24">D52+D54</f>
        <v>0</v>
      </c>
      <c r="E55" s="674">
        <f t="shared" si="24"/>
        <v>22708</v>
      </c>
      <c r="F55" s="674">
        <f t="shared" si="24"/>
        <v>22708</v>
      </c>
      <c r="G55" s="674">
        <f t="shared" si="24"/>
        <v>22708</v>
      </c>
      <c r="H55" s="674">
        <f t="shared" si="24"/>
        <v>22708</v>
      </c>
      <c r="I55" s="674">
        <f t="shared" si="24"/>
        <v>22708</v>
      </c>
      <c r="J55" s="674">
        <f t="shared" si="24"/>
        <v>22708</v>
      </c>
      <c r="K55" s="674">
        <f t="shared" si="24"/>
        <v>22708</v>
      </c>
      <c r="L55" s="674">
        <f t="shared" si="24"/>
        <v>22708</v>
      </c>
      <c r="M55" s="674">
        <f t="shared" si="24"/>
        <v>22708</v>
      </c>
      <c r="N55" s="674">
        <f t="shared" si="24"/>
        <v>22708</v>
      </c>
      <c r="O55" s="674">
        <f t="shared" si="24"/>
        <v>22708</v>
      </c>
      <c r="P55" s="674">
        <f t="shared" si="24"/>
        <v>22708</v>
      </c>
    </row>
    <row r="56" spans="1:16" s="657" customFormat="1" ht="12" thickBot="1" x14ac:dyDescent="0.25">
      <c r="A56" s="654" t="s">
        <v>106</v>
      </c>
      <c r="B56" s="658">
        <f>+B55</f>
        <v>0</v>
      </c>
      <c r="C56" s="658">
        <f t="shared" ref="C56:P56" si="25">+C55</f>
        <v>0</v>
      </c>
      <c r="D56" s="658">
        <f t="shared" si="25"/>
        <v>0</v>
      </c>
      <c r="E56" s="658">
        <f t="shared" si="25"/>
        <v>22708</v>
      </c>
      <c r="F56" s="658">
        <f t="shared" si="25"/>
        <v>22708</v>
      </c>
      <c r="G56" s="658">
        <f t="shared" si="25"/>
        <v>22708</v>
      </c>
      <c r="H56" s="658">
        <f t="shared" si="25"/>
        <v>22708</v>
      </c>
      <c r="I56" s="658">
        <f t="shared" si="25"/>
        <v>22708</v>
      </c>
      <c r="J56" s="658">
        <f t="shared" si="25"/>
        <v>22708</v>
      </c>
      <c r="K56" s="658">
        <f t="shared" si="25"/>
        <v>22708</v>
      </c>
      <c r="L56" s="658">
        <f t="shared" si="25"/>
        <v>22708</v>
      </c>
      <c r="M56" s="658">
        <f t="shared" si="25"/>
        <v>22708</v>
      </c>
      <c r="N56" s="658">
        <f t="shared" si="25"/>
        <v>22708</v>
      </c>
      <c r="O56" s="658">
        <f t="shared" si="25"/>
        <v>22708</v>
      </c>
      <c r="P56" s="658">
        <f t="shared" si="25"/>
        <v>22708</v>
      </c>
    </row>
    <row r="57" spans="1:16" ht="11.25" x14ac:dyDescent="0.2">
      <c r="B57" s="608"/>
      <c r="C57" s="608"/>
      <c r="D57" s="608"/>
      <c r="E57" s="608"/>
      <c r="F57" s="608"/>
      <c r="G57" s="608"/>
      <c r="H57" s="608"/>
      <c r="I57" s="608"/>
      <c r="J57" s="608"/>
      <c r="K57" s="608"/>
      <c r="L57" s="608"/>
      <c r="M57" s="608"/>
      <c r="N57" s="608"/>
      <c r="O57" s="608"/>
      <c r="P57" s="608"/>
    </row>
    <row r="58" spans="1:16" ht="11.25" x14ac:dyDescent="0.2">
      <c r="A58" s="654" t="s">
        <v>108</v>
      </c>
    </row>
    <row r="59" spans="1:16" ht="11.25" x14ac:dyDescent="0.2">
      <c r="A59" s="654" t="s">
        <v>100</v>
      </c>
      <c r="B59" s="608">
        <f>+B40+B50</f>
        <v>0</v>
      </c>
      <c r="C59" s="608">
        <f t="shared" ref="C59:P60" si="26">+C40+C50</f>
        <v>0</v>
      </c>
      <c r="D59" s="608">
        <f t="shared" si="26"/>
        <v>0</v>
      </c>
      <c r="E59" s="608">
        <f t="shared" si="26"/>
        <v>65329</v>
      </c>
      <c r="F59" s="608">
        <f t="shared" si="26"/>
        <v>67466</v>
      </c>
      <c r="G59" s="608">
        <f t="shared" si="26"/>
        <v>69216.042000000001</v>
      </c>
      <c r="H59" s="608">
        <f t="shared" si="26"/>
        <v>78064.285999999993</v>
      </c>
      <c r="I59" s="608">
        <f t="shared" si="26"/>
        <v>77934.47</v>
      </c>
      <c r="J59" s="608">
        <f t="shared" si="26"/>
        <v>77746.035999999993</v>
      </c>
      <c r="K59" s="608">
        <f t="shared" si="26"/>
        <v>77539.97</v>
      </c>
      <c r="L59" s="608">
        <f t="shared" si="26"/>
        <v>77252.865898599994</v>
      </c>
      <c r="M59" s="608">
        <f t="shared" si="26"/>
        <v>76926.986655690998</v>
      </c>
      <c r="N59" s="608">
        <f t="shared" si="26"/>
        <v>76560.639242103454</v>
      </c>
      <c r="O59" s="608">
        <f t="shared" si="26"/>
        <v>76152.068794293213</v>
      </c>
      <c r="P59" s="608">
        <f t="shared" si="26"/>
        <v>75699.45643585478</v>
      </c>
    </row>
    <row r="60" spans="1:16" ht="11.25" x14ac:dyDescent="0.2">
      <c r="A60" s="655" t="s">
        <v>101</v>
      </c>
      <c r="B60" s="617">
        <f>+B41+B51</f>
        <v>0</v>
      </c>
      <c r="C60" s="617">
        <f t="shared" si="26"/>
        <v>0</v>
      </c>
      <c r="D60" s="617">
        <f t="shared" si="26"/>
        <v>0</v>
      </c>
      <c r="E60" s="617">
        <f t="shared" si="26"/>
        <v>0</v>
      </c>
      <c r="F60" s="617">
        <f t="shared" si="26"/>
        <v>0</v>
      </c>
      <c r="G60" s="617">
        <f t="shared" si="26"/>
        <v>0</v>
      </c>
      <c r="H60" s="617">
        <f t="shared" si="26"/>
        <v>0</v>
      </c>
      <c r="I60" s="617">
        <f t="shared" si="26"/>
        <v>0</v>
      </c>
      <c r="J60" s="617">
        <f t="shared" si="26"/>
        <v>0</v>
      </c>
      <c r="K60" s="617">
        <f t="shared" si="26"/>
        <v>0</v>
      </c>
      <c r="L60" s="617">
        <f t="shared" si="26"/>
        <v>0</v>
      </c>
      <c r="M60" s="617">
        <f t="shared" si="26"/>
        <v>0</v>
      </c>
      <c r="N60" s="617">
        <f t="shared" si="26"/>
        <v>0</v>
      </c>
      <c r="O60" s="617">
        <f t="shared" si="26"/>
        <v>0</v>
      </c>
      <c r="P60" s="617">
        <f t="shared" si="26"/>
        <v>0</v>
      </c>
    </row>
    <row r="61" spans="1:16" ht="11.25" x14ac:dyDescent="0.2">
      <c r="A61" s="654" t="s">
        <v>102</v>
      </c>
      <c r="B61" s="608">
        <f>SUM(B59:B60)</f>
        <v>0</v>
      </c>
      <c r="C61" s="608">
        <f t="shared" ref="C61:P61" si="27">SUM(C59:C60)</f>
        <v>0</v>
      </c>
      <c r="D61" s="608">
        <f t="shared" si="27"/>
        <v>0</v>
      </c>
      <c r="E61" s="608">
        <f t="shared" si="27"/>
        <v>65329</v>
      </c>
      <c r="F61" s="608">
        <f t="shared" si="27"/>
        <v>67466</v>
      </c>
      <c r="G61" s="608">
        <f t="shared" si="27"/>
        <v>69216.042000000001</v>
      </c>
      <c r="H61" s="608">
        <f t="shared" si="27"/>
        <v>78064.285999999993</v>
      </c>
      <c r="I61" s="608">
        <f t="shared" si="27"/>
        <v>77934.47</v>
      </c>
      <c r="J61" s="608">
        <f t="shared" si="27"/>
        <v>77746.035999999993</v>
      </c>
      <c r="K61" s="608">
        <f t="shared" si="27"/>
        <v>77539.97</v>
      </c>
      <c r="L61" s="608">
        <f t="shared" si="27"/>
        <v>77252.865898599994</v>
      </c>
      <c r="M61" s="608">
        <f t="shared" si="27"/>
        <v>76926.986655690998</v>
      </c>
      <c r="N61" s="608">
        <f t="shared" si="27"/>
        <v>76560.639242103454</v>
      </c>
      <c r="O61" s="608">
        <f t="shared" si="27"/>
        <v>76152.068794293213</v>
      </c>
      <c r="P61" s="608">
        <f t="shared" si="27"/>
        <v>75699.45643585478</v>
      </c>
    </row>
    <row r="62" spans="1:16" ht="11.25" x14ac:dyDescent="0.2">
      <c r="B62" s="608"/>
      <c r="C62" s="608"/>
      <c r="D62" s="608"/>
      <c r="E62" s="608"/>
      <c r="F62" s="608"/>
      <c r="G62" s="608"/>
      <c r="H62" s="608"/>
      <c r="I62" s="608"/>
      <c r="J62" s="608"/>
      <c r="K62" s="608"/>
      <c r="L62" s="608"/>
      <c r="M62" s="608"/>
      <c r="N62" s="608"/>
      <c r="O62" s="608"/>
      <c r="P62" s="608"/>
    </row>
    <row r="63" spans="1:16" ht="11.25" x14ac:dyDescent="0.2">
      <c r="A63" s="654" t="s">
        <v>76</v>
      </c>
      <c r="B63" s="608">
        <f>+B44</f>
        <v>0</v>
      </c>
      <c r="C63" s="621">
        <f t="shared" ref="C63:D63" si="28">+C44</f>
        <v>0</v>
      </c>
      <c r="D63" s="608">
        <f t="shared" si="28"/>
        <v>0</v>
      </c>
      <c r="E63" s="621">
        <f>'Sewer  Fund  Inc Exp Statem'!E103</f>
        <v>2137</v>
      </c>
      <c r="F63" s="621">
        <f>'Sewer  Fund  Inc Exp Statem'!F103</f>
        <v>1750.0419999999999</v>
      </c>
      <c r="G63" s="621">
        <f>'Sewer  Fund  Inc Exp Statem'!G103</f>
        <v>8848.2439999999988</v>
      </c>
      <c r="H63" s="621">
        <f>'Sewer  Fund  Inc Exp Statem'!H103</f>
        <v>-129.8159999999998</v>
      </c>
      <c r="I63" s="621">
        <f>'Sewer  Fund  Inc Exp Statem'!I103</f>
        <v>-188.4340000000002</v>
      </c>
      <c r="J63" s="621">
        <f>'Sewer  Fund  Inc Exp Statem'!J103</f>
        <v>-206.0659999999998</v>
      </c>
      <c r="K63" s="621">
        <f>'Sewer  Fund  Inc Exp Statem'!K103</f>
        <v>-287.10410140000022</v>
      </c>
      <c r="L63" s="621">
        <f>'Sewer  Fund  Inc Exp Statem'!L103</f>
        <v>-325.87924290900082</v>
      </c>
      <c r="M63" s="621">
        <f>'Sewer  Fund  Inc Exp Statem'!M103</f>
        <v>-366.34741358754673</v>
      </c>
      <c r="N63" s="621">
        <f>'Sewer  Fund  Inc Exp Statem'!N103</f>
        <v>-408.57044781023978</v>
      </c>
      <c r="O63" s="621">
        <f>'Sewer  Fund  Inc Exp Statem'!O103</f>
        <v>-452.61235843842769</v>
      </c>
      <c r="P63" s="621">
        <f>'Sewer  Fund  Inc Exp Statem'!P103</f>
        <v>-498.53941486396252</v>
      </c>
    </row>
    <row r="64" spans="1:16" ht="11.25" x14ac:dyDescent="0.2">
      <c r="B64" s="608"/>
      <c r="C64" s="608"/>
      <c r="D64" s="608"/>
      <c r="E64" s="608"/>
      <c r="F64" s="608"/>
      <c r="G64" s="608"/>
      <c r="H64" s="608"/>
      <c r="I64" s="608"/>
      <c r="J64" s="608"/>
      <c r="K64" s="608"/>
      <c r="L64" s="608"/>
      <c r="M64" s="608"/>
      <c r="N64" s="608"/>
      <c r="O64" s="608"/>
      <c r="P64" s="608"/>
    </row>
    <row r="65" spans="1:16" s="654" customFormat="1" ht="11.25" x14ac:dyDescent="0.2">
      <c r="A65" s="654" t="s">
        <v>105</v>
      </c>
      <c r="B65" s="674">
        <f>+B46</f>
        <v>0</v>
      </c>
      <c r="C65" s="619">
        <f t="shared" ref="C65:P65" si="29">+C63</f>
        <v>0</v>
      </c>
      <c r="D65" s="674">
        <f t="shared" si="29"/>
        <v>0</v>
      </c>
      <c r="E65" s="619">
        <f t="shared" si="29"/>
        <v>2137</v>
      </c>
      <c r="F65" s="619">
        <f t="shared" si="29"/>
        <v>1750.0419999999999</v>
      </c>
      <c r="G65" s="619">
        <f t="shared" si="29"/>
        <v>8848.2439999999988</v>
      </c>
      <c r="H65" s="619">
        <f t="shared" si="29"/>
        <v>-129.8159999999998</v>
      </c>
      <c r="I65" s="619">
        <f t="shared" si="29"/>
        <v>-188.4340000000002</v>
      </c>
      <c r="J65" s="619">
        <f t="shared" si="29"/>
        <v>-206.0659999999998</v>
      </c>
      <c r="K65" s="619">
        <f t="shared" si="29"/>
        <v>-287.10410140000022</v>
      </c>
      <c r="L65" s="619">
        <f t="shared" si="29"/>
        <v>-325.87924290900082</v>
      </c>
      <c r="M65" s="619">
        <f t="shared" si="29"/>
        <v>-366.34741358754673</v>
      </c>
      <c r="N65" s="619">
        <f t="shared" si="29"/>
        <v>-408.57044781023978</v>
      </c>
      <c r="O65" s="619">
        <f t="shared" si="29"/>
        <v>-452.61235843842769</v>
      </c>
      <c r="P65" s="619">
        <f t="shared" si="29"/>
        <v>-498.53941486396252</v>
      </c>
    </row>
    <row r="66" spans="1:16" s="676" customFormat="1" ht="12" thickBot="1" x14ac:dyDescent="0.25">
      <c r="A66" s="653" t="s">
        <v>104</v>
      </c>
      <c r="B66" s="633">
        <f>+B54</f>
        <v>0</v>
      </c>
      <c r="C66" s="633">
        <f t="shared" ref="C66:P66" si="30">+C54</f>
        <v>0</v>
      </c>
      <c r="D66" s="633">
        <f t="shared" si="30"/>
        <v>0</v>
      </c>
      <c r="E66" s="633">
        <f t="shared" si="30"/>
        <v>0</v>
      </c>
      <c r="F66" s="633">
        <f t="shared" si="30"/>
        <v>0</v>
      </c>
      <c r="G66" s="633">
        <f t="shared" si="30"/>
        <v>0</v>
      </c>
      <c r="H66" s="633">
        <f t="shared" si="30"/>
        <v>0</v>
      </c>
      <c r="I66" s="633">
        <f t="shared" si="30"/>
        <v>0</v>
      </c>
      <c r="J66" s="633">
        <f t="shared" si="30"/>
        <v>0</v>
      </c>
      <c r="K66" s="633">
        <f t="shared" si="30"/>
        <v>0</v>
      </c>
      <c r="L66" s="633">
        <f t="shared" si="30"/>
        <v>0</v>
      </c>
      <c r="M66" s="633">
        <f t="shared" si="30"/>
        <v>0</v>
      </c>
      <c r="N66" s="633">
        <f t="shared" si="30"/>
        <v>0</v>
      </c>
      <c r="O66" s="633">
        <f t="shared" si="30"/>
        <v>0</v>
      </c>
      <c r="P66" s="633">
        <f t="shared" si="30"/>
        <v>0</v>
      </c>
    </row>
    <row r="67" spans="1:16" s="654" customFormat="1" ht="12" thickBot="1" x14ac:dyDescent="0.25">
      <c r="A67" s="654" t="s">
        <v>106</v>
      </c>
      <c r="B67" s="668">
        <f>+B61+B65+B66</f>
        <v>0</v>
      </c>
      <c r="C67" s="668">
        <f t="shared" ref="C67:P67" si="31">+C61+C65+C66</f>
        <v>0</v>
      </c>
      <c r="D67" s="668">
        <f t="shared" si="31"/>
        <v>0</v>
      </c>
      <c r="E67" s="668">
        <f t="shared" si="31"/>
        <v>67466</v>
      </c>
      <c r="F67" s="668">
        <f t="shared" si="31"/>
        <v>69216.042000000001</v>
      </c>
      <c r="G67" s="668">
        <f t="shared" si="31"/>
        <v>78064.285999999993</v>
      </c>
      <c r="H67" s="668">
        <f t="shared" si="31"/>
        <v>77934.469999999987</v>
      </c>
      <c r="I67" s="668">
        <f t="shared" si="31"/>
        <v>77746.036000000007</v>
      </c>
      <c r="J67" s="668">
        <f t="shared" si="31"/>
        <v>77539.969999999987</v>
      </c>
      <c r="K67" s="668">
        <f t="shared" si="31"/>
        <v>77252.865898599994</v>
      </c>
      <c r="L67" s="668">
        <f t="shared" si="31"/>
        <v>76926.986655690998</v>
      </c>
      <c r="M67" s="668">
        <f t="shared" si="31"/>
        <v>76560.639242103454</v>
      </c>
      <c r="N67" s="668">
        <f t="shared" si="31"/>
        <v>76152.068794293213</v>
      </c>
      <c r="O67" s="668">
        <f t="shared" si="31"/>
        <v>75699.45643585478</v>
      </c>
      <c r="P67" s="668">
        <f t="shared" si="31"/>
        <v>75200.917020990819</v>
      </c>
    </row>
    <row r="68" spans="1:16" ht="12" thickTop="1" x14ac:dyDescent="0.2"/>
    <row r="69" spans="1:16" ht="12.75" x14ac:dyDescent="0.2">
      <c r="A69" s="1091" t="s">
        <v>1362</v>
      </c>
    </row>
    <row r="70" spans="1:16" ht="12" x14ac:dyDescent="0.2">
      <c r="A70" s="673" t="s">
        <v>1074</v>
      </c>
      <c r="B70" s="586" t="s">
        <v>69</v>
      </c>
      <c r="C70" s="586" t="s">
        <v>69</v>
      </c>
      <c r="D70" s="586" t="s">
        <v>69</v>
      </c>
      <c r="E70" s="586" t="s">
        <v>69</v>
      </c>
      <c r="F70" s="586" t="s">
        <v>70</v>
      </c>
      <c r="G70" s="586" t="s">
        <v>70</v>
      </c>
      <c r="H70" s="586" t="s">
        <v>71</v>
      </c>
      <c r="I70" s="586" t="s">
        <v>71</v>
      </c>
      <c r="J70" s="586" t="s">
        <v>71</v>
      </c>
      <c r="K70" s="586" t="s">
        <v>71</v>
      </c>
      <c r="L70" s="586" t="s">
        <v>71</v>
      </c>
      <c r="M70" s="586" t="s">
        <v>71</v>
      </c>
      <c r="N70" s="586" t="s">
        <v>71</v>
      </c>
      <c r="O70" s="586" t="s">
        <v>71</v>
      </c>
      <c r="P70" s="586" t="s">
        <v>71</v>
      </c>
    </row>
    <row r="71" spans="1:16" ht="11.25" x14ac:dyDescent="0.2">
      <c r="A71" s="652" t="s">
        <v>73</v>
      </c>
      <c r="B71" s="741" t="s">
        <v>68</v>
      </c>
      <c r="C71" s="694" t="s">
        <v>0</v>
      </c>
      <c r="D71" s="694" t="s">
        <v>1</v>
      </c>
      <c r="E71" s="694" t="s">
        <v>2</v>
      </c>
      <c r="F71" s="694" t="s">
        <v>3</v>
      </c>
      <c r="G71" s="694" t="s">
        <v>4</v>
      </c>
      <c r="H71" s="694" t="s">
        <v>5</v>
      </c>
      <c r="I71" s="694" t="s">
        <v>6</v>
      </c>
      <c r="J71" s="694" t="s">
        <v>7</v>
      </c>
      <c r="K71" s="694" t="s">
        <v>8</v>
      </c>
      <c r="L71" s="694" t="s">
        <v>9</v>
      </c>
      <c r="M71" s="694" t="s">
        <v>514</v>
      </c>
      <c r="N71" s="694" t="s">
        <v>515</v>
      </c>
      <c r="O71" s="694" t="s">
        <v>904</v>
      </c>
      <c r="P71" s="694" t="s">
        <v>1046</v>
      </c>
    </row>
    <row r="72" spans="1:16" ht="11.25" x14ac:dyDescent="0.2">
      <c r="A72" s="661"/>
      <c r="B72" s="662"/>
      <c r="C72" s="662"/>
      <c r="D72" s="663"/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3"/>
      <c r="P72" s="663"/>
    </row>
    <row r="73" spans="1:16" ht="11.25" x14ac:dyDescent="0.2">
      <c r="A73" s="654" t="s">
        <v>103</v>
      </c>
    </row>
    <row r="74" spans="1:16" ht="11.25" x14ac:dyDescent="0.2">
      <c r="A74" s="654" t="s">
        <v>100</v>
      </c>
      <c r="B74" s="608"/>
      <c r="C74" s="608">
        <f>+B81</f>
        <v>0</v>
      </c>
      <c r="D74" s="608">
        <f>D6</f>
        <v>0</v>
      </c>
      <c r="E74" s="608">
        <f>E6</f>
        <v>42621</v>
      </c>
      <c r="F74" s="608">
        <f t="shared" ref="F74:P74" si="32">+E81</f>
        <v>44758</v>
      </c>
      <c r="G74" s="608">
        <f t="shared" si="32"/>
        <v>46508.042000000001</v>
      </c>
      <c r="H74" s="608">
        <f t="shared" si="32"/>
        <v>55356.286</v>
      </c>
      <c r="I74" s="608">
        <f t="shared" si="32"/>
        <v>55226.47</v>
      </c>
      <c r="J74" s="608">
        <f t="shared" si="32"/>
        <v>55038.036</v>
      </c>
      <c r="K74" s="608">
        <f t="shared" si="32"/>
        <v>54831.97</v>
      </c>
      <c r="L74" s="608">
        <f t="shared" si="32"/>
        <v>54544.865898600001</v>
      </c>
      <c r="M74" s="608">
        <f t="shared" si="32"/>
        <v>54218.986655690998</v>
      </c>
      <c r="N74" s="608">
        <f t="shared" si="32"/>
        <v>53852.639242103454</v>
      </c>
      <c r="O74" s="608">
        <f t="shared" si="32"/>
        <v>53444.068794293213</v>
      </c>
      <c r="P74" s="608">
        <f t="shared" si="32"/>
        <v>52991.456435854787</v>
      </c>
    </row>
    <row r="75" spans="1:16" ht="11.25" x14ac:dyDescent="0.2">
      <c r="A75" s="655" t="s">
        <v>101</v>
      </c>
      <c r="B75" s="617"/>
      <c r="C75" s="617">
        <v>0</v>
      </c>
      <c r="D75" s="617">
        <v>0</v>
      </c>
      <c r="E75" s="617">
        <v>0</v>
      </c>
      <c r="F75" s="617">
        <v>0</v>
      </c>
      <c r="G75" s="617">
        <v>0</v>
      </c>
      <c r="H75" s="617">
        <v>0</v>
      </c>
      <c r="I75" s="617">
        <v>0</v>
      </c>
      <c r="J75" s="617">
        <v>0</v>
      </c>
      <c r="K75" s="617">
        <v>0</v>
      </c>
      <c r="L75" s="617">
        <v>0</v>
      </c>
      <c r="M75" s="617">
        <v>0</v>
      </c>
      <c r="N75" s="617">
        <v>0</v>
      </c>
      <c r="O75" s="617">
        <v>0</v>
      </c>
      <c r="P75" s="617">
        <v>0</v>
      </c>
    </row>
    <row r="76" spans="1:16" ht="11.25" x14ac:dyDescent="0.2">
      <c r="A76" s="654" t="s">
        <v>102</v>
      </c>
      <c r="B76" s="608">
        <f>SUM(B74:B75)</f>
        <v>0</v>
      </c>
      <c r="C76" s="608">
        <f t="shared" ref="C76:P76" si="33">SUM(C74:C75)</f>
        <v>0</v>
      </c>
      <c r="D76" s="608">
        <f t="shared" si="33"/>
        <v>0</v>
      </c>
      <c r="E76" s="608">
        <f t="shared" si="33"/>
        <v>42621</v>
      </c>
      <c r="F76" s="608">
        <f t="shared" si="33"/>
        <v>44758</v>
      </c>
      <c r="G76" s="608">
        <f t="shared" si="33"/>
        <v>46508.042000000001</v>
      </c>
      <c r="H76" s="608">
        <f t="shared" si="33"/>
        <v>55356.286</v>
      </c>
      <c r="I76" s="608">
        <f t="shared" si="33"/>
        <v>55226.47</v>
      </c>
      <c r="J76" s="608">
        <f t="shared" si="33"/>
        <v>55038.036</v>
      </c>
      <c r="K76" s="608">
        <f t="shared" si="33"/>
        <v>54831.97</v>
      </c>
      <c r="L76" s="608">
        <f t="shared" si="33"/>
        <v>54544.865898600001</v>
      </c>
      <c r="M76" s="608">
        <f t="shared" si="33"/>
        <v>54218.986655690998</v>
      </c>
      <c r="N76" s="608">
        <f t="shared" si="33"/>
        <v>53852.639242103454</v>
      </c>
      <c r="O76" s="608">
        <f t="shared" si="33"/>
        <v>53444.068794293213</v>
      </c>
      <c r="P76" s="608">
        <f t="shared" si="33"/>
        <v>52991.456435854787</v>
      </c>
    </row>
    <row r="77" spans="1:16" ht="11.25" x14ac:dyDescent="0.2">
      <c r="B77" s="608"/>
      <c r="C77" s="608"/>
      <c r="D77" s="608"/>
      <c r="E77" s="608"/>
      <c r="F77" s="608"/>
      <c r="G77" s="608"/>
      <c r="H77" s="608"/>
      <c r="I77" s="608"/>
      <c r="J77" s="608"/>
      <c r="K77" s="608"/>
      <c r="L77" s="608"/>
      <c r="M77" s="608"/>
      <c r="N77" s="608"/>
      <c r="O77" s="608"/>
      <c r="P77" s="608"/>
    </row>
    <row r="78" spans="1:16" ht="11.25" x14ac:dyDescent="0.2">
      <c r="A78" s="654" t="s">
        <v>76</v>
      </c>
      <c r="B78" s="608">
        <f>+'GF &amp; FF  Inc Exp Statement'!B182</f>
        <v>0</v>
      </c>
      <c r="C78" s="621">
        <f>+'GF &amp; FF  Inc Exp Statement'!C182</f>
        <v>0</v>
      </c>
      <c r="D78" s="608">
        <f>+'GF &amp; FF  Inc Exp Statement'!D182</f>
        <v>0</v>
      </c>
      <c r="E78" s="621">
        <f>'Sewer  Fund  Inc Exp Statem'!E176</f>
        <v>2137</v>
      </c>
      <c r="F78" s="621">
        <f>'Sewer  Fund  Inc Exp Statem'!F176</f>
        <v>1750.0419999999999</v>
      </c>
      <c r="G78" s="621">
        <f>'Sewer  Fund  Inc Exp Statem'!G176</f>
        <v>8848.2439999999988</v>
      </c>
      <c r="H78" s="621">
        <f>'Sewer  Fund  Inc Exp Statem'!H176</f>
        <v>-129.8159999999998</v>
      </c>
      <c r="I78" s="621">
        <f>'Sewer  Fund  Inc Exp Statem'!I176</f>
        <v>-188.4340000000002</v>
      </c>
      <c r="J78" s="621">
        <f>'Sewer  Fund  Inc Exp Statem'!J176</f>
        <v>-206.0659999999998</v>
      </c>
      <c r="K78" s="621">
        <f>'Sewer  Fund  Inc Exp Statem'!K176</f>
        <v>-287.10410140000022</v>
      </c>
      <c r="L78" s="621">
        <f>'Sewer  Fund  Inc Exp Statem'!L176</f>
        <v>-325.87924290900082</v>
      </c>
      <c r="M78" s="621">
        <f>'Sewer  Fund  Inc Exp Statem'!M176</f>
        <v>-366.34741358754673</v>
      </c>
      <c r="N78" s="621">
        <f>'Sewer  Fund  Inc Exp Statem'!N176</f>
        <v>-408.57044781023978</v>
      </c>
      <c r="O78" s="621">
        <f>'Sewer  Fund  Inc Exp Statem'!O176</f>
        <v>-452.61235843842769</v>
      </c>
      <c r="P78" s="621">
        <f>'Sewer  Fund  Inc Exp Statem'!P176</f>
        <v>-498.53941486396252</v>
      </c>
    </row>
    <row r="79" spans="1:16" ht="11.25" x14ac:dyDescent="0.2">
      <c r="B79" s="608"/>
      <c r="C79" s="608"/>
      <c r="D79" s="608"/>
      <c r="E79" s="608"/>
      <c r="F79" s="608"/>
      <c r="G79" s="608"/>
      <c r="H79" s="608"/>
      <c r="I79" s="608"/>
      <c r="J79" s="608"/>
      <c r="K79" s="608"/>
      <c r="L79" s="608"/>
      <c r="M79" s="608"/>
      <c r="N79" s="608"/>
      <c r="O79" s="608"/>
      <c r="P79" s="608"/>
    </row>
    <row r="80" spans="1:16" ht="11.25" x14ac:dyDescent="0.2">
      <c r="A80" s="654" t="s">
        <v>105</v>
      </c>
      <c r="B80" s="674">
        <f>+B78</f>
        <v>0</v>
      </c>
      <c r="C80" s="619">
        <f t="shared" ref="C80:P80" si="34">+C78</f>
        <v>0</v>
      </c>
      <c r="D80" s="674">
        <f t="shared" si="34"/>
        <v>0</v>
      </c>
      <c r="E80" s="619">
        <f t="shared" si="34"/>
        <v>2137</v>
      </c>
      <c r="F80" s="619">
        <f t="shared" si="34"/>
        <v>1750.0419999999999</v>
      </c>
      <c r="G80" s="619">
        <f t="shared" si="34"/>
        <v>8848.2439999999988</v>
      </c>
      <c r="H80" s="619">
        <f t="shared" si="34"/>
        <v>-129.8159999999998</v>
      </c>
      <c r="I80" s="619">
        <f t="shared" si="34"/>
        <v>-188.4340000000002</v>
      </c>
      <c r="J80" s="619">
        <f t="shared" si="34"/>
        <v>-206.0659999999998</v>
      </c>
      <c r="K80" s="619">
        <f t="shared" si="34"/>
        <v>-287.10410140000022</v>
      </c>
      <c r="L80" s="674">
        <f t="shared" si="34"/>
        <v>-325.87924290900082</v>
      </c>
      <c r="M80" s="674">
        <f t="shared" si="34"/>
        <v>-366.34741358754673</v>
      </c>
      <c r="N80" s="674">
        <f t="shared" si="34"/>
        <v>-408.57044781023978</v>
      </c>
      <c r="O80" s="674">
        <f t="shared" si="34"/>
        <v>-452.61235843842769</v>
      </c>
      <c r="P80" s="674">
        <f t="shared" si="34"/>
        <v>-498.53941486396252</v>
      </c>
    </row>
    <row r="81" spans="1:16" ht="12" thickBot="1" x14ac:dyDescent="0.25">
      <c r="A81" s="654" t="s">
        <v>106</v>
      </c>
      <c r="B81" s="658">
        <f t="shared" ref="B81:P81" si="35">+B76+B80</f>
        <v>0</v>
      </c>
      <c r="C81" s="658">
        <f t="shared" si="35"/>
        <v>0</v>
      </c>
      <c r="D81" s="658">
        <f t="shared" si="35"/>
        <v>0</v>
      </c>
      <c r="E81" s="658">
        <f t="shared" si="35"/>
        <v>44758</v>
      </c>
      <c r="F81" s="658">
        <f t="shared" si="35"/>
        <v>46508.042000000001</v>
      </c>
      <c r="G81" s="658">
        <f t="shared" si="35"/>
        <v>55356.286</v>
      </c>
      <c r="H81" s="658">
        <f t="shared" si="35"/>
        <v>55226.47</v>
      </c>
      <c r="I81" s="658">
        <f t="shared" si="35"/>
        <v>55038.036</v>
      </c>
      <c r="J81" s="658">
        <f t="shared" si="35"/>
        <v>54831.97</v>
      </c>
      <c r="K81" s="658">
        <f t="shared" si="35"/>
        <v>54544.865898600001</v>
      </c>
      <c r="L81" s="658">
        <f t="shared" si="35"/>
        <v>54218.986655690998</v>
      </c>
      <c r="M81" s="658">
        <f t="shared" si="35"/>
        <v>53852.639242103454</v>
      </c>
      <c r="N81" s="658">
        <f t="shared" si="35"/>
        <v>53444.068794293213</v>
      </c>
      <c r="O81" s="658">
        <f t="shared" si="35"/>
        <v>52991.456435854787</v>
      </c>
      <c r="P81" s="658">
        <f t="shared" si="35"/>
        <v>52492.917020990826</v>
      </c>
    </row>
    <row r="82" spans="1:16" ht="11.25" x14ac:dyDescent="0.2">
      <c r="B82" s="608"/>
      <c r="C82" s="608"/>
      <c r="D82" s="608"/>
      <c r="E82" s="608"/>
      <c r="F82" s="608"/>
      <c r="G82" s="608"/>
      <c r="H82" s="608"/>
      <c r="I82" s="608"/>
      <c r="J82" s="608"/>
      <c r="K82" s="608"/>
      <c r="L82" s="608"/>
      <c r="M82" s="608"/>
      <c r="N82" s="608"/>
      <c r="O82" s="608"/>
      <c r="P82" s="608"/>
    </row>
    <row r="83" spans="1:16" ht="11.25" x14ac:dyDescent="0.2">
      <c r="A83" s="654" t="s">
        <v>107</v>
      </c>
      <c r="B83" s="608"/>
      <c r="C83" s="608"/>
      <c r="D83" s="608"/>
      <c r="E83" s="608"/>
      <c r="F83" s="608"/>
      <c r="G83" s="608"/>
      <c r="H83" s="608"/>
      <c r="I83" s="608"/>
      <c r="J83" s="608"/>
      <c r="K83" s="608"/>
      <c r="L83" s="608"/>
      <c r="M83" s="608"/>
      <c r="N83" s="608"/>
      <c r="O83" s="608"/>
      <c r="P83" s="608"/>
    </row>
    <row r="84" spans="1:16" ht="11.25" x14ac:dyDescent="0.2">
      <c r="A84" s="654" t="s">
        <v>100</v>
      </c>
      <c r="B84" s="608"/>
      <c r="C84" s="608">
        <f>+B90</f>
        <v>0</v>
      </c>
      <c r="D84" s="608">
        <f>D16</f>
        <v>0</v>
      </c>
      <c r="E84" s="608">
        <f>E16</f>
        <v>22708</v>
      </c>
      <c r="F84" s="608">
        <f t="shared" ref="F84:P84" si="36">+E90</f>
        <v>22708</v>
      </c>
      <c r="G84" s="608">
        <f t="shared" si="36"/>
        <v>22708</v>
      </c>
      <c r="H84" s="608">
        <f t="shared" si="36"/>
        <v>22708</v>
      </c>
      <c r="I84" s="608">
        <f t="shared" si="36"/>
        <v>22708</v>
      </c>
      <c r="J84" s="608">
        <f t="shared" si="36"/>
        <v>22708</v>
      </c>
      <c r="K84" s="608">
        <f t="shared" si="36"/>
        <v>22708</v>
      </c>
      <c r="L84" s="608">
        <f t="shared" si="36"/>
        <v>22708</v>
      </c>
      <c r="M84" s="608">
        <f t="shared" si="36"/>
        <v>22708</v>
      </c>
      <c r="N84" s="608">
        <f t="shared" si="36"/>
        <v>22708</v>
      </c>
      <c r="O84" s="608">
        <f t="shared" si="36"/>
        <v>22708</v>
      </c>
      <c r="P84" s="608">
        <f t="shared" si="36"/>
        <v>22708</v>
      </c>
    </row>
    <row r="85" spans="1:16" ht="11.25" x14ac:dyDescent="0.2">
      <c r="A85" s="655" t="s">
        <v>101</v>
      </c>
      <c r="B85" s="617">
        <v>0</v>
      </c>
      <c r="C85" s="617">
        <v>0</v>
      </c>
      <c r="D85" s="617">
        <v>0</v>
      </c>
      <c r="E85" s="617">
        <v>0</v>
      </c>
      <c r="F85" s="617">
        <v>0</v>
      </c>
      <c r="G85" s="617">
        <v>0</v>
      </c>
      <c r="H85" s="617">
        <v>0</v>
      </c>
      <c r="I85" s="617">
        <v>0</v>
      </c>
      <c r="J85" s="617">
        <v>0</v>
      </c>
      <c r="K85" s="617">
        <v>0</v>
      </c>
      <c r="L85" s="617">
        <v>0</v>
      </c>
      <c r="M85" s="617">
        <v>0</v>
      </c>
      <c r="N85" s="617">
        <v>0</v>
      </c>
      <c r="O85" s="617">
        <v>0</v>
      </c>
      <c r="P85" s="617">
        <v>0</v>
      </c>
    </row>
    <row r="86" spans="1:16" ht="11.25" x14ac:dyDescent="0.2">
      <c r="A86" s="654" t="s">
        <v>102</v>
      </c>
      <c r="B86" s="675">
        <f>SUM(B84:B85)</f>
        <v>0</v>
      </c>
      <c r="C86" s="675">
        <f t="shared" ref="C86:P86" si="37">SUM(C84:C85)</f>
        <v>0</v>
      </c>
      <c r="D86" s="675">
        <f t="shared" si="37"/>
        <v>0</v>
      </c>
      <c r="E86" s="675">
        <f t="shared" si="37"/>
        <v>22708</v>
      </c>
      <c r="F86" s="675">
        <f t="shared" si="37"/>
        <v>22708</v>
      </c>
      <c r="G86" s="675">
        <f t="shared" si="37"/>
        <v>22708</v>
      </c>
      <c r="H86" s="675">
        <f t="shared" si="37"/>
        <v>22708</v>
      </c>
      <c r="I86" s="675">
        <f t="shared" si="37"/>
        <v>22708</v>
      </c>
      <c r="J86" s="675">
        <f t="shared" si="37"/>
        <v>22708</v>
      </c>
      <c r="K86" s="675">
        <f t="shared" si="37"/>
        <v>22708</v>
      </c>
      <c r="L86" s="675">
        <f t="shared" si="37"/>
        <v>22708</v>
      </c>
      <c r="M86" s="675">
        <f t="shared" si="37"/>
        <v>22708</v>
      </c>
      <c r="N86" s="675">
        <f t="shared" si="37"/>
        <v>22708</v>
      </c>
      <c r="O86" s="675">
        <f t="shared" si="37"/>
        <v>22708</v>
      </c>
      <c r="P86" s="675">
        <f t="shared" si="37"/>
        <v>22708</v>
      </c>
    </row>
    <row r="87" spans="1:16" ht="11.25" x14ac:dyDescent="0.2">
      <c r="B87" s="608"/>
      <c r="C87" s="608"/>
      <c r="D87" s="608"/>
      <c r="E87" s="608"/>
      <c r="F87" s="608"/>
      <c r="G87" s="608"/>
      <c r="H87" s="608"/>
      <c r="I87" s="608"/>
      <c r="J87" s="608"/>
      <c r="K87" s="608"/>
      <c r="L87" s="608"/>
      <c r="M87" s="608"/>
      <c r="N87" s="608"/>
      <c r="O87" s="608"/>
      <c r="P87" s="608"/>
    </row>
    <row r="88" spans="1:16" ht="11.25" x14ac:dyDescent="0.2">
      <c r="A88" s="653" t="s">
        <v>104</v>
      </c>
      <c r="B88" s="621">
        <v>0</v>
      </c>
      <c r="C88" s="621">
        <f>C54</f>
        <v>0</v>
      </c>
      <c r="D88" s="621">
        <f t="shared" ref="D88:P88" si="38">D54</f>
        <v>0</v>
      </c>
      <c r="E88" s="621">
        <f t="shared" si="38"/>
        <v>0</v>
      </c>
      <c r="F88" s="621">
        <f t="shared" si="38"/>
        <v>0</v>
      </c>
      <c r="G88" s="621">
        <f t="shared" si="38"/>
        <v>0</v>
      </c>
      <c r="H88" s="621">
        <f t="shared" si="38"/>
        <v>0</v>
      </c>
      <c r="I88" s="621">
        <f t="shared" si="38"/>
        <v>0</v>
      </c>
      <c r="J88" s="621">
        <f t="shared" si="38"/>
        <v>0</v>
      </c>
      <c r="K88" s="621">
        <f t="shared" si="38"/>
        <v>0</v>
      </c>
      <c r="L88" s="621">
        <f t="shared" si="38"/>
        <v>0</v>
      </c>
      <c r="M88" s="621">
        <f t="shared" si="38"/>
        <v>0</v>
      </c>
      <c r="N88" s="621">
        <f t="shared" si="38"/>
        <v>0</v>
      </c>
      <c r="O88" s="621">
        <f t="shared" si="38"/>
        <v>0</v>
      </c>
      <c r="P88" s="621">
        <f t="shared" si="38"/>
        <v>0</v>
      </c>
    </row>
    <row r="89" spans="1:16" ht="11.25" x14ac:dyDescent="0.2">
      <c r="A89" s="654" t="s">
        <v>105</v>
      </c>
      <c r="B89" s="674">
        <f>+B86+B88</f>
        <v>0</v>
      </c>
      <c r="C89" s="674">
        <f>C86+C88</f>
        <v>0</v>
      </c>
      <c r="D89" s="674">
        <f t="shared" ref="D89:P89" si="39">D86+D88</f>
        <v>0</v>
      </c>
      <c r="E89" s="674">
        <f t="shared" si="39"/>
        <v>22708</v>
      </c>
      <c r="F89" s="674">
        <f t="shared" si="39"/>
        <v>22708</v>
      </c>
      <c r="G89" s="674">
        <f t="shared" si="39"/>
        <v>22708</v>
      </c>
      <c r="H89" s="674">
        <f t="shared" si="39"/>
        <v>22708</v>
      </c>
      <c r="I89" s="674">
        <f t="shared" si="39"/>
        <v>22708</v>
      </c>
      <c r="J89" s="674">
        <f t="shared" si="39"/>
        <v>22708</v>
      </c>
      <c r="K89" s="674">
        <f t="shared" si="39"/>
        <v>22708</v>
      </c>
      <c r="L89" s="674">
        <f t="shared" si="39"/>
        <v>22708</v>
      </c>
      <c r="M89" s="674">
        <f t="shared" si="39"/>
        <v>22708</v>
      </c>
      <c r="N89" s="674">
        <f t="shared" si="39"/>
        <v>22708</v>
      </c>
      <c r="O89" s="674">
        <f t="shared" si="39"/>
        <v>22708</v>
      </c>
      <c r="P89" s="674">
        <f t="shared" si="39"/>
        <v>22708</v>
      </c>
    </row>
    <row r="90" spans="1:16" ht="12" thickBot="1" x14ac:dyDescent="0.25">
      <c r="A90" s="654" t="s">
        <v>106</v>
      </c>
      <c r="B90" s="658">
        <f>+B89</f>
        <v>0</v>
      </c>
      <c r="C90" s="658">
        <f t="shared" ref="C90:P90" si="40">+C89</f>
        <v>0</v>
      </c>
      <c r="D90" s="658">
        <f t="shared" si="40"/>
        <v>0</v>
      </c>
      <c r="E90" s="658">
        <f t="shared" si="40"/>
        <v>22708</v>
      </c>
      <c r="F90" s="658">
        <f t="shared" si="40"/>
        <v>22708</v>
      </c>
      <c r="G90" s="658">
        <f t="shared" si="40"/>
        <v>22708</v>
      </c>
      <c r="H90" s="658">
        <f t="shared" si="40"/>
        <v>22708</v>
      </c>
      <c r="I90" s="658">
        <f t="shared" si="40"/>
        <v>22708</v>
      </c>
      <c r="J90" s="658">
        <f t="shared" si="40"/>
        <v>22708</v>
      </c>
      <c r="K90" s="658">
        <f t="shared" si="40"/>
        <v>22708</v>
      </c>
      <c r="L90" s="658">
        <f t="shared" si="40"/>
        <v>22708</v>
      </c>
      <c r="M90" s="658">
        <f t="shared" si="40"/>
        <v>22708</v>
      </c>
      <c r="N90" s="658">
        <f t="shared" si="40"/>
        <v>22708</v>
      </c>
      <c r="O90" s="658">
        <f t="shared" si="40"/>
        <v>22708</v>
      </c>
      <c r="P90" s="658">
        <f t="shared" si="40"/>
        <v>22708</v>
      </c>
    </row>
    <row r="91" spans="1:16" ht="11.25" x14ac:dyDescent="0.2">
      <c r="B91" s="608"/>
      <c r="C91" s="608"/>
      <c r="D91" s="608"/>
      <c r="E91" s="608"/>
      <c r="F91" s="608"/>
      <c r="G91" s="608"/>
      <c r="H91" s="608"/>
      <c r="I91" s="608"/>
      <c r="J91" s="608"/>
      <c r="K91" s="608"/>
      <c r="L91" s="608"/>
      <c r="M91" s="608"/>
      <c r="N91" s="608"/>
      <c r="O91" s="608"/>
      <c r="P91" s="608"/>
    </row>
    <row r="92" spans="1:16" ht="11.25" x14ac:dyDescent="0.2">
      <c r="A92" s="654" t="s">
        <v>108</v>
      </c>
    </row>
    <row r="93" spans="1:16" ht="11.25" x14ac:dyDescent="0.2">
      <c r="A93" s="654" t="s">
        <v>100</v>
      </c>
      <c r="B93" s="608">
        <f>+B74+B84</f>
        <v>0</v>
      </c>
      <c r="C93" s="608">
        <f t="shared" ref="C93:P94" si="41">+C74+C84</f>
        <v>0</v>
      </c>
      <c r="D93" s="608">
        <f t="shared" si="41"/>
        <v>0</v>
      </c>
      <c r="E93" s="608">
        <f t="shared" si="41"/>
        <v>65329</v>
      </c>
      <c r="F93" s="608">
        <f t="shared" si="41"/>
        <v>67466</v>
      </c>
      <c r="G93" s="608">
        <f t="shared" si="41"/>
        <v>69216.042000000001</v>
      </c>
      <c r="H93" s="608">
        <f t="shared" si="41"/>
        <v>78064.285999999993</v>
      </c>
      <c r="I93" s="608">
        <f t="shared" si="41"/>
        <v>77934.47</v>
      </c>
      <c r="J93" s="608">
        <f t="shared" si="41"/>
        <v>77746.035999999993</v>
      </c>
      <c r="K93" s="608">
        <f t="shared" si="41"/>
        <v>77539.97</v>
      </c>
      <c r="L93" s="608">
        <f t="shared" si="41"/>
        <v>77252.865898599994</v>
      </c>
      <c r="M93" s="608">
        <f t="shared" si="41"/>
        <v>76926.986655690998</v>
      </c>
      <c r="N93" s="608">
        <f t="shared" si="41"/>
        <v>76560.639242103454</v>
      </c>
      <c r="O93" s="608">
        <f t="shared" si="41"/>
        <v>76152.068794293213</v>
      </c>
      <c r="P93" s="608">
        <f t="shared" si="41"/>
        <v>75699.45643585478</v>
      </c>
    </row>
    <row r="94" spans="1:16" ht="11.25" x14ac:dyDescent="0.2">
      <c r="A94" s="655" t="s">
        <v>101</v>
      </c>
      <c r="B94" s="617">
        <f>+B75+B85</f>
        <v>0</v>
      </c>
      <c r="C94" s="617">
        <f t="shared" si="41"/>
        <v>0</v>
      </c>
      <c r="D94" s="617">
        <f t="shared" si="41"/>
        <v>0</v>
      </c>
      <c r="E94" s="617">
        <f t="shared" si="41"/>
        <v>0</v>
      </c>
      <c r="F94" s="617">
        <f t="shared" si="41"/>
        <v>0</v>
      </c>
      <c r="G94" s="617">
        <f t="shared" si="41"/>
        <v>0</v>
      </c>
      <c r="H94" s="617">
        <f t="shared" si="41"/>
        <v>0</v>
      </c>
      <c r="I94" s="617">
        <f t="shared" si="41"/>
        <v>0</v>
      </c>
      <c r="J94" s="617">
        <f t="shared" si="41"/>
        <v>0</v>
      </c>
      <c r="K94" s="617">
        <f t="shared" si="41"/>
        <v>0</v>
      </c>
      <c r="L94" s="617">
        <f t="shared" si="41"/>
        <v>0</v>
      </c>
      <c r="M94" s="617">
        <f t="shared" si="41"/>
        <v>0</v>
      </c>
      <c r="N94" s="617">
        <f t="shared" si="41"/>
        <v>0</v>
      </c>
      <c r="O94" s="617">
        <f t="shared" si="41"/>
        <v>0</v>
      </c>
      <c r="P94" s="617">
        <f t="shared" si="41"/>
        <v>0</v>
      </c>
    </row>
    <row r="95" spans="1:16" ht="11.25" x14ac:dyDescent="0.2">
      <c r="A95" s="654" t="s">
        <v>102</v>
      </c>
      <c r="B95" s="608">
        <f>SUM(B93:B94)</f>
        <v>0</v>
      </c>
      <c r="C95" s="608">
        <f t="shared" ref="C95:P95" si="42">SUM(C93:C94)</f>
        <v>0</v>
      </c>
      <c r="D95" s="608">
        <f t="shared" si="42"/>
        <v>0</v>
      </c>
      <c r="E95" s="608">
        <f t="shared" si="42"/>
        <v>65329</v>
      </c>
      <c r="F95" s="608">
        <f t="shared" si="42"/>
        <v>67466</v>
      </c>
      <c r="G95" s="608">
        <f t="shared" si="42"/>
        <v>69216.042000000001</v>
      </c>
      <c r="H95" s="608">
        <f t="shared" si="42"/>
        <v>78064.285999999993</v>
      </c>
      <c r="I95" s="608">
        <f t="shared" si="42"/>
        <v>77934.47</v>
      </c>
      <c r="J95" s="608">
        <f t="shared" si="42"/>
        <v>77746.035999999993</v>
      </c>
      <c r="K95" s="608">
        <f t="shared" si="42"/>
        <v>77539.97</v>
      </c>
      <c r="L95" s="608">
        <f t="shared" si="42"/>
        <v>77252.865898599994</v>
      </c>
      <c r="M95" s="608">
        <f t="shared" si="42"/>
        <v>76926.986655690998</v>
      </c>
      <c r="N95" s="608">
        <f t="shared" si="42"/>
        <v>76560.639242103454</v>
      </c>
      <c r="O95" s="608">
        <f t="shared" si="42"/>
        <v>76152.068794293213</v>
      </c>
      <c r="P95" s="608">
        <f t="shared" si="42"/>
        <v>75699.45643585478</v>
      </c>
    </row>
    <row r="96" spans="1:16" ht="11.25" x14ac:dyDescent="0.2">
      <c r="B96" s="608"/>
      <c r="C96" s="608"/>
      <c r="D96" s="608"/>
      <c r="E96" s="608"/>
      <c r="F96" s="608"/>
      <c r="G96" s="608"/>
      <c r="H96" s="608"/>
      <c r="I96" s="608"/>
      <c r="J96" s="608"/>
      <c r="K96" s="608"/>
      <c r="L96" s="608"/>
      <c r="M96" s="608"/>
      <c r="N96" s="608"/>
      <c r="O96" s="608"/>
      <c r="P96" s="608"/>
    </row>
    <row r="97" spans="1:16" x14ac:dyDescent="0.2">
      <c r="A97" s="654" t="s">
        <v>76</v>
      </c>
      <c r="B97" s="621">
        <f>+B78</f>
        <v>0</v>
      </c>
      <c r="C97" s="621">
        <f t="shared" ref="C97:D97" si="43">+C78</f>
        <v>0</v>
      </c>
      <c r="D97" s="621">
        <f t="shared" si="43"/>
        <v>0</v>
      </c>
      <c r="E97" s="621">
        <f>'Sewer  Fund  Inc Exp Statem'!E183</f>
        <v>2137</v>
      </c>
      <c r="F97" s="621">
        <f>'Sewer  Fund  Inc Exp Statem'!F183</f>
        <v>1750.0419999999999</v>
      </c>
      <c r="G97" s="621">
        <f>'Sewer  Fund  Inc Exp Statem'!G183</f>
        <v>8848.2439999999988</v>
      </c>
      <c r="H97" s="621">
        <f>'Sewer  Fund  Inc Exp Statem'!H183</f>
        <v>-129.8159999999998</v>
      </c>
      <c r="I97" s="621">
        <f>'Sewer  Fund  Inc Exp Statem'!I183</f>
        <v>-188.4340000000002</v>
      </c>
      <c r="J97" s="621">
        <f>'Sewer  Fund  Inc Exp Statem'!J183</f>
        <v>-206.0659999999998</v>
      </c>
      <c r="K97" s="621">
        <f>'Sewer  Fund  Inc Exp Statem'!K183</f>
        <v>-287.10410140000022</v>
      </c>
      <c r="L97" s="621">
        <f>'Sewer  Fund  Inc Exp Statem'!L183</f>
        <v>-325.87924290900082</v>
      </c>
      <c r="M97" s="621">
        <f>'Sewer  Fund  Inc Exp Statem'!M183</f>
        <v>-366.34741358754673</v>
      </c>
      <c r="N97" s="621">
        <f>'Sewer  Fund  Inc Exp Statem'!N183</f>
        <v>-408.57044781023978</v>
      </c>
      <c r="O97" s="621">
        <f>'Sewer  Fund  Inc Exp Statem'!O183</f>
        <v>-452.61235843842769</v>
      </c>
      <c r="P97" s="621">
        <f>'Sewer  Fund  Inc Exp Statem'!P183</f>
        <v>-498.53941486396252</v>
      </c>
    </row>
    <row r="98" spans="1:16" x14ac:dyDescent="0.2">
      <c r="B98" s="608"/>
      <c r="C98" s="608"/>
      <c r="D98" s="608"/>
      <c r="E98" s="608"/>
      <c r="F98" s="608"/>
      <c r="G98" s="608"/>
      <c r="H98" s="608"/>
      <c r="I98" s="608"/>
      <c r="J98" s="608"/>
      <c r="K98" s="608"/>
      <c r="L98" s="608"/>
      <c r="M98" s="608"/>
      <c r="N98" s="608"/>
      <c r="O98" s="608"/>
      <c r="P98" s="608"/>
    </row>
    <row r="99" spans="1:16" x14ac:dyDescent="0.2">
      <c r="A99" s="654" t="s">
        <v>105</v>
      </c>
      <c r="B99" s="674">
        <f>+B80</f>
        <v>0</v>
      </c>
      <c r="C99" s="619">
        <f t="shared" ref="C99:P99" si="44">+C97</f>
        <v>0</v>
      </c>
      <c r="D99" s="674">
        <f t="shared" si="44"/>
        <v>0</v>
      </c>
      <c r="E99" s="619">
        <f t="shared" si="44"/>
        <v>2137</v>
      </c>
      <c r="F99" s="619">
        <f t="shared" si="44"/>
        <v>1750.0419999999999</v>
      </c>
      <c r="G99" s="619">
        <f t="shared" si="44"/>
        <v>8848.2439999999988</v>
      </c>
      <c r="H99" s="619">
        <f t="shared" si="44"/>
        <v>-129.8159999999998</v>
      </c>
      <c r="I99" s="619">
        <f t="shared" si="44"/>
        <v>-188.4340000000002</v>
      </c>
      <c r="J99" s="619">
        <f t="shared" si="44"/>
        <v>-206.0659999999998</v>
      </c>
      <c r="K99" s="619">
        <f t="shared" si="44"/>
        <v>-287.10410140000022</v>
      </c>
      <c r="L99" s="674">
        <f t="shared" si="44"/>
        <v>-325.87924290900082</v>
      </c>
      <c r="M99" s="674">
        <f t="shared" si="44"/>
        <v>-366.34741358754673</v>
      </c>
      <c r="N99" s="674">
        <f t="shared" si="44"/>
        <v>-408.57044781023978</v>
      </c>
      <c r="O99" s="674">
        <f t="shared" si="44"/>
        <v>-452.61235843842769</v>
      </c>
      <c r="P99" s="674">
        <f t="shared" si="44"/>
        <v>-498.53941486396252</v>
      </c>
    </row>
    <row r="100" spans="1:16" ht="10.8" thickBot="1" x14ac:dyDescent="0.25">
      <c r="A100" s="653" t="s">
        <v>104</v>
      </c>
      <c r="B100" s="633">
        <f>+B88</f>
        <v>0</v>
      </c>
      <c r="C100" s="633">
        <f t="shared" ref="C100:P100" si="45">+C88</f>
        <v>0</v>
      </c>
      <c r="D100" s="633">
        <f t="shared" si="45"/>
        <v>0</v>
      </c>
      <c r="E100" s="633">
        <f t="shared" si="45"/>
        <v>0</v>
      </c>
      <c r="F100" s="633">
        <f t="shared" si="45"/>
        <v>0</v>
      </c>
      <c r="G100" s="633">
        <f t="shared" si="45"/>
        <v>0</v>
      </c>
      <c r="H100" s="633">
        <f t="shared" si="45"/>
        <v>0</v>
      </c>
      <c r="I100" s="633">
        <f t="shared" si="45"/>
        <v>0</v>
      </c>
      <c r="J100" s="633">
        <f t="shared" si="45"/>
        <v>0</v>
      </c>
      <c r="K100" s="633">
        <f t="shared" si="45"/>
        <v>0</v>
      </c>
      <c r="L100" s="633">
        <f t="shared" si="45"/>
        <v>0</v>
      </c>
      <c r="M100" s="633">
        <f t="shared" si="45"/>
        <v>0</v>
      </c>
      <c r="N100" s="633">
        <f t="shared" si="45"/>
        <v>0</v>
      </c>
      <c r="O100" s="633">
        <f t="shared" si="45"/>
        <v>0</v>
      </c>
      <c r="P100" s="633">
        <f t="shared" si="45"/>
        <v>0</v>
      </c>
    </row>
    <row r="101" spans="1:16" ht="10.8" thickBot="1" x14ac:dyDescent="0.25">
      <c r="A101" s="654" t="s">
        <v>106</v>
      </c>
      <c r="B101" s="668">
        <f>+B95+B99+B100</f>
        <v>0</v>
      </c>
      <c r="C101" s="668">
        <f t="shared" ref="C101:P101" si="46">+C95+C99+C100</f>
        <v>0</v>
      </c>
      <c r="D101" s="668">
        <f t="shared" si="46"/>
        <v>0</v>
      </c>
      <c r="E101" s="668">
        <f t="shared" si="46"/>
        <v>67466</v>
      </c>
      <c r="F101" s="668">
        <f t="shared" si="46"/>
        <v>69216.042000000001</v>
      </c>
      <c r="G101" s="668">
        <f t="shared" si="46"/>
        <v>78064.285999999993</v>
      </c>
      <c r="H101" s="668">
        <f t="shared" si="46"/>
        <v>77934.469999999987</v>
      </c>
      <c r="I101" s="668">
        <f t="shared" si="46"/>
        <v>77746.036000000007</v>
      </c>
      <c r="J101" s="668">
        <f t="shared" si="46"/>
        <v>77539.969999999987</v>
      </c>
      <c r="K101" s="668">
        <f t="shared" si="46"/>
        <v>77252.865898599994</v>
      </c>
      <c r="L101" s="668">
        <f t="shared" si="46"/>
        <v>76926.986655690998</v>
      </c>
      <c r="M101" s="668">
        <f t="shared" si="46"/>
        <v>76560.639242103454</v>
      </c>
      <c r="N101" s="668">
        <f t="shared" si="46"/>
        <v>76152.068794293213</v>
      </c>
      <c r="O101" s="668">
        <f t="shared" si="46"/>
        <v>75699.45643585478</v>
      </c>
      <c r="P101" s="668">
        <f t="shared" si="46"/>
        <v>75200.917020990819</v>
      </c>
    </row>
    <row r="102" spans="1:16" ht="10.8" thickTop="1" x14ac:dyDescent="0.2"/>
  </sheetData>
  <pageMargins left="0.70866141732283472" right="0.70866141732283472" top="0.74803149606299213" bottom="0.74803149606299213" header="0.31496062992125984" footer="0.31496062992125984"/>
  <pageSetup paperSize="9" scale="91" fitToHeight="0" orientation="landscape" r:id="rId1"/>
  <rowBreaks count="2" manualBreakCount="2">
    <brk id="34" max="16383" man="1"/>
    <brk id="68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99FF"/>
    <pageSetUpPr fitToPage="1"/>
  </sheetPr>
  <dimension ref="A1:AE212"/>
  <sheetViews>
    <sheetView zoomScaleNormal="100" workbookViewId="0">
      <pane xSplit="3" ySplit="3" topLeftCell="F10" activePane="bottomRight" state="frozen"/>
      <selection pane="topRight" activeCell="D1" sqref="D1"/>
      <selection pane="bottomLeft" activeCell="A3" sqref="A3"/>
      <selection pane="bottomRight" activeCell="I15" sqref="I15"/>
    </sheetView>
  </sheetViews>
  <sheetFormatPr defaultColWidth="9.109375" defaultRowHeight="10.199999999999999" outlineLevelRow="1" outlineLevelCol="1" x14ac:dyDescent="0.2"/>
  <cols>
    <col min="1" max="1" width="35.44140625" style="600" customWidth="1"/>
    <col min="2" max="2" width="12.6640625" style="599" hidden="1" customWidth="1" outlineLevel="1"/>
    <col min="3" max="3" width="11" style="599" hidden="1" customWidth="1" outlineLevel="1"/>
    <col min="4" max="4" width="10.109375" style="599" hidden="1" customWidth="1" outlineLevel="1" collapsed="1"/>
    <col min="5" max="5" width="9" style="599" hidden="1" customWidth="1" outlineLevel="1" collapsed="1"/>
    <col min="6" max="6" width="10.109375" style="599" customWidth="1" collapsed="1"/>
    <col min="7" max="7" width="9.5546875" style="599" bestFit="1" customWidth="1"/>
    <col min="8" max="8" width="9.88671875" style="599" bestFit="1" customWidth="1"/>
    <col min="9" max="9" width="9.5546875" style="599" bestFit="1" customWidth="1"/>
    <col min="10" max="11" width="10.109375" style="599" bestFit="1" customWidth="1"/>
    <col min="12" max="12" width="9.88671875" style="599" bestFit="1" customWidth="1"/>
    <col min="13" max="15" width="10.109375" style="599" bestFit="1" customWidth="1"/>
    <col min="16" max="16" width="9.88671875" style="599" customWidth="1"/>
    <col min="17" max="17" width="9.109375" style="599" customWidth="1"/>
    <col min="18" max="29" width="9.109375" style="599"/>
    <col min="30" max="30" width="49.6640625" style="599" bestFit="1" customWidth="1"/>
    <col min="31" max="31" width="10.6640625" style="599" bestFit="1" customWidth="1"/>
    <col min="32" max="16384" width="9.109375" style="599"/>
  </cols>
  <sheetData>
    <row r="1" spans="1:31" ht="12.75" x14ac:dyDescent="0.2">
      <c r="A1" s="1091" t="s">
        <v>1361</v>
      </c>
    </row>
    <row r="2" spans="1:31" ht="12" x14ac:dyDescent="0.2">
      <c r="A2" s="693" t="s">
        <v>1622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31" ht="11.25" x14ac:dyDescent="0.2">
      <c r="A3" s="693" t="s">
        <v>73</v>
      </c>
      <c r="B3" s="741" t="s">
        <v>68</v>
      </c>
      <c r="C3" s="694" t="s">
        <v>0</v>
      </c>
      <c r="D3" s="694" t="s">
        <v>1</v>
      </c>
      <c r="E3" s="694" t="s">
        <v>2</v>
      </c>
      <c r="F3" s="694" t="s">
        <v>3</v>
      </c>
      <c r="G3" s="694" t="s">
        <v>4</v>
      </c>
      <c r="H3" s="694" t="s">
        <v>5</v>
      </c>
      <c r="I3" s="694" t="s">
        <v>6</v>
      </c>
      <c r="J3" s="694" t="s">
        <v>7</v>
      </c>
      <c r="K3" s="694" t="s">
        <v>8</v>
      </c>
      <c r="L3" s="694" t="s">
        <v>9</v>
      </c>
      <c r="M3" s="694" t="s">
        <v>514</v>
      </c>
      <c r="N3" s="694" t="s">
        <v>515</v>
      </c>
      <c r="O3" s="694" t="s">
        <v>904</v>
      </c>
      <c r="P3" s="694" t="s">
        <v>1046</v>
      </c>
    </row>
    <row r="4" spans="1:31" ht="11.25" hidden="1" outlineLevel="1" x14ac:dyDescent="0.2">
      <c r="A4" s="695" t="s">
        <v>906</v>
      </c>
      <c r="B4" s="696"/>
      <c r="C4" s="697"/>
      <c r="D4" s="698"/>
      <c r="E4" s="698"/>
      <c r="F4" s="699"/>
      <c r="G4" s="757">
        <f>(G13-F13)/F13</f>
        <v>2.9109941360780385E-2</v>
      </c>
      <c r="H4" s="757">
        <f t="shared" ref="H4:P4" si="0">(H13-G13)/G13</f>
        <v>3.8260238280121379E-2</v>
      </c>
      <c r="I4" s="757">
        <f t="shared" si="0"/>
        <v>3.7213043739588461E-2</v>
      </c>
      <c r="J4" s="757">
        <f t="shared" si="0"/>
        <v>2.6010755542347309E-2</v>
      </c>
      <c r="K4" s="757">
        <f t="shared" si="0"/>
        <v>2.5000000000000074E-2</v>
      </c>
      <c r="L4" s="757">
        <f t="shared" si="0"/>
        <v>2.4999999999999786E-2</v>
      </c>
      <c r="M4" s="757">
        <f t="shared" si="0"/>
        <v>2.4999999999999918E-2</v>
      </c>
      <c r="N4" s="757">
        <f t="shared" si="0"/>
        <v>2.5000000000000015E-2</v>
      </c>
      <c r="O4" s="757">
        <f t="shared" si="0"/>
        <v>2.4999999999999811E-2</v>
      </c>
      <c r="P4" s="757">
        <f t="shared" si="0"/>
        <v>2.4999999999999956E-2</v>
      </c>
      <c r="R4" s="599" t="s">
        <v>1042</v>
      </c>
      <c r="AD4" s="601" t="s">
        <v>10</v>
      </c>
    </row>
    <row r="5" spans="1:31" s="603" customFormat="1" ht="13.5" hidden="1" customHeight="1" outlineLevel="1" x14ac:dyDescent="0.2">
      <c r="A5" s="695" t="s">
        <v>1392</v>
      </c>
      <c r="B5" s="701"/>
      <c r="C5" s="702"/>
      <c r="D5" s="703"/>
      <c r="E5" s="703"/>
      <c r="F5" s="703"/>
      <c r="G5" s="757">
        <f>(G14-F14)/F14</f>
        <v>4.8458110053804404E-2</v>
      </c>
      <c r="H5" s="757">
        <f t="shared" ref="H5:P5" si="1">(H14-G14)/G14</f>
        <v>2.639322072135581E-2</v>
      </c>
      <c r="I5" s="757">
        <f t="shared" si="1"/>
        <v>2.7341179599488077E-2</v>
      </c>
      <c r="J5" s="757">
        <f t="shared" si="1"/>
        <v>3.0571205414838685E-2</v>
      </c>
      <c r="K5" s="757">
        <f t="shared" si="1"/>
        <v>2.0000000000000184E-2</v>
      </c>
      <c r="L5" s="757">
        <f t="shared" si="1"/>
        <v>1.99999999999999E-2</v>
      </c>
      <c r="M5" s="757">
        <f t="shared" si="1"/>
        <v>2.0000000000000059E-2</v>
      </c>
      <c r="N5" s="757">
        <f t="shared" si="1"/>
        <v>2.0000000000000059E-2</v>
      </c>
      <c r="O5" s="757">
        <f t="shared" si="1"/>
        <v>1.9999999999999997E-2</v>
      </c>
      <c r="P5" s="757">
        <f t="shared" si="1"/>
        <v>2.0000000000000098E-2</v>
      </c>
      <c r="R5" s="603" t="s">
        <v>1043</v>
      </c>
      <c r="AD5" s="602"/>
    </row>
    <row r="6" spans="1:31" s="603" customFormat="1" ht="13.5" hidden="1" customHeight="1" outlineLevel="1" x14ac:dyDescent="0.2">
      <c r="A6" s="695" t="s">
        <v>1393</v>
      </c>
      <c r="B6" s="701"/>
      <c r="C6" s="702"/>
      <c r="D6" s="703"/>
      <c r="E6" s="703"/>
      <c r="F6" s="703"/>
      <c r="G6" s="757">
        <f>(G25-F25)/F25</f>
        <v>3.647449236249773E-2</v>
      </c>
      <c r="H6" s="757">
        <f t="shared" ref="H6:P6" si="2">(H25-G25)/G25</f>
        <v>3.6221371483786978E-2</v>
      </c>
      <c r="I6" s="757">
        <f t="shared" si="2"/>
        <v>2.9116725303815115E-2</v>
      </c>
      <c r="J6" s="757">
        <f t="shared" si="2"/>
        <v>3.0284179900453324E-2</v>
      </c>
      <c r="K6" s="757">
        <f t="shared" si="2"/>
        <v>2.9999999999999985E-2</v>
      </c>
      <c r="L6" s="757">
        <f t="shared" si="2"/>
        <v>3.0000000000000214E-2</v>
      </c>
      <c r="M6" s="757">
        <f t="shared" si="2"/>
        <v>3.0000000000000086E-2</v>
      </c>
      <c r="N6" s="757">
        <f t="shared" si="2"/>
        <v>2.9999999999999787E-2</v>
      </c>
      <c r="O6" s="757">
        <f t="shared" si="2"/>
        <v>3.0000000000000186E-2</v>
      </c>
      <c r="P6" s="757">
        <f t="shared" si="2"/>
        <v>3.0000000000000124E-2</v>
      </c>
      <c r="AD6" s="602"/>
    </row>
    <row r="7" spans="1:31" s="603" customFormat="1" ht="13.5" hidden="1" customHeight="1" outlineLevel="1" x14ac:dyDescent="0.2">
      <c r="A7" s="695" t="s">
        <v>1394</v>
      </c>
      <c r="B7" s="701"/>
      <c r="C7" s="702"/>
      <c r="D7" s="703"/>
      <c r="E7" s="703"/>
      <c r="F7" s="703"/>
      <c r="G7" s="757">
        <f t="shared" ref="G7:P7" si="3">(G27-F27)/F27</f>
        <v>1.4796038537419516E-2</v>
      </c>
      <c r="H7" s="757">
        <f t="shared" si="3"/>
        <v>1.9363298115677607E-2</v>
      </c>
      <c r="I7" s="757">
        <f t="shared" si="3"/>
        <v>2.4547645635458727E-2</v>
      </c>
      <c r="J7" s="757">
        <f t="shared" si="3"/>
        <v>2.490426071910536E-2</v>
      </c>
      <c r="K7" s="757">
        <f t="shared" si="3"/>
        <v>2.0000000000000122E-2</v>
      </c>
      <c r="L7" s="757">
        <f t="shared" si="3"/>
        <v>1.9999999999999869E-2</v>
      </c>
      <c r="M7" s="757">
        <f t="shared" si="3"/>
        <v>2.0000000000000167E-2</v>
      </c>
      <c r="N7" s="757">
        <f t="shared" si="3"/>
        <v>1.9999999999999952E-2</v>
      </c>
      <c r="O7" s="757">
        <f t="shared" si="3"/>
        <v>1.9999999999999962E-2</v>
      </c>
      <c r="P7" s="757">
        <f t="shared" si="3"/>
        <v>2.0000000000000181E-2</v>
      </c>
      <c r="AD7" s="602"/>
    </row>
    <row r="8" spans="1:31" s="603" customFormat="1" ht="13.5" hidden="1" customHeight="1" outlineLevel="1" x14ac:dyDescent="0.2">
      <c r="A8" s="700" t="s">
        <v>1371</v>
      </c>
      <c r="B8" s="701"/>
      <c r="C8" s="702"/>
      <c r="D8" s="703"/>
      <c r="E8" s="703"/>
      <c r="F8" s="1152">
        <f>-'Opex No SRV'!C15/1000+F18-F23</f>
        <v>-1.000000000007276</v>
      </c>
      <c r="G8" s="713">
        <f>-'Opex No SRV'!E15/1000+G18-G23</f>
        <v>-223.02696000001743</v>
      </c>
      <c r="H8" s="713">
        <f>-'Opex No SRV'!F15/1000+H18-H23</f>
        <v>-159.26847499999712</v>
      </c>
      <c r="I8" s="713">
        <f>-'Opex No SRV'!G15/1000+I18-I23</f>
        <v>273.57772499999555</v>
      </c>
      <c r="J8" s="713">
        <f>-'Opex No SRV'!H15/1000+J18-J23</f>
        <v>654.64661499999056</v>
      </c>
      <c r="K8" s="745"/>
      <c r="L8" s="745"/>
      <c r="M8" s="745"/>
      <c r="N8" s="745"/>
      <c r="O8" s="745"/>
      <c r="P8" s="745"/>
      <c r="AD8" s="602"/>
    </row>
    <row r="9" spans="1:31" s="603" customFormat="1" ht="13.5" hidden="1" customHeight="1" outlineLevel="1" x14ac:dyDescent="0.2">
      <c r="A9" s="700" t="s">
        <v>1372</v>
      </c>
      <c r="B9" s="701"/>
      <c r="C9" s="702"/>
      <c r="D9" s="703"/>
      <c r="E9" s="703"/>
      <c r="F9" s="1152">
        <f>'Opex No SRV'!C26/1000-F33</f>
        <v>0</v>
      </c>
      <c r="G9" s="1153">
        <f>'Opex No SRV'!E26/1000-G33</f>
        <v>750</v>
      </c>
      <c r="H9" s="1153">
        <f>'Opex No SRV'!F26/1000-H33</f>
        <v>691.00000000000728</v>
      </c>
      <c r="I9" s="1153">
        <f>'Opex No SRV'!G26/1000-I33</f>
        <v>656.29999999999563</v>
      </c>
      <c r="J9" s="1153">
        <f>'Opex No SRV'!H26/1000-J33</f>
        <v>621.90600000000268</v>
      </c>
      <c r="K9" s="745"/>
      <c r="L9" s="745"/>
      <c r="M9" s="745"/>
      <c r="N9" s="745"/>
      <c r="O9" s="745"/>
      <c r="P9" s="745"/>
      <c r="AD9" s="602"/>
    </row>
    <row r="10" spans="1:31" s="603" customFormat="1" ht="12.75" customHeight="1" collapsed="1" x14ac:dyDescent="0.2">
      <c r="A10" s="700"/>
      <c r="B10" s="701"/>
      <c r="C10" s="702"/>
      <c r="D10" s="703"/>
      <c r="E10" s="703"/>
      <c r="F10" s="703"/>
      <c r="G10" s="704"/>
      <c r="H10" s="711"/>
      <c r="I10" s="711"/>
      <c r="K10" s="711"/>
      <c r="L10" s="711"/>
      <c r="M10" s="711"/>
      <c r="N10" s="711"/>
      <c r="O10" s="711"/>
      <c r="P10" s="711"/>
      <c r="AD10" s="602"/>
    </row>
    <row r="11" spans="1:31" ht="11.25" x14ac:dyDescent="0.2">
      <c r="A11" s="705" t="s">
        <v>61</v>
      </c>
      <c r="B11" s="706"/>
      <c r="C11" s="706"/>
      <c r="D11" s="702"/>
      <c r="E11" s="707"/>
      <c r="F11" s="707"/>
      <c r="G11" s="707"/>
      <c r="AD11" s="599" t="s">
        <v>11</v>
      </c>
      <c r="AE11" s="606">
        <f>+D13</f>
        <v>17715</v>
      </c>
    </row>
    <row r="12" spans="1:31" ht="11.25" x14ac:dyDescent="0.2">
      <c r="A12" s="708" t="s">
        <v>62</v>
      </c>
      <c r="B12" s="709"/>
      <c r="C12" s="709"/>
      <c r="D12" s="710"/>
      <c r="E12" s="710"/>
      <c r="F12" s="711"/>
      <c r="G12" s="711"/>
      <c r="AE12" s="606"/>
    </row>
    <row r="13" spans="1:31" ht="11.25" x14ac:dyDescent="0.2">
      <c r="A13" s="700" t="s">
        <v>11</v>
      </c>
      <c r="B13" s="712"/>
      <c r="C13" s="712"/>
      <c r="D13" s="707">
        <v>17715</v>
      </c>
      <c r="E13" s="707">
        <f>'Water  Fund  Inc Exp Statement '!E11+'GF &amp; FF  Inc Exp Statement'!E11+'Sewer  Fund  Inc Exp Statem'!E11</f>
        <v>18420</v>
      </c>
      <c r="F13" s="707">
        <f>'Water  Fund  Inc Exp Statement '!F11+'GF &amp; FF  Inc Exp Statement'!F11+'Sewer  Fund  Inc Exp Statem'!F11</f>
        <v>20031.815000000002</v>
      </c>
      <c r="G13" s="707">
        <f>'Water  Fund  Inc Exp Statement '!G11+'GF &amp; FF  Inc Exp Statement'!G11+'Sewer  Fund  Inc Exp Statem'!G11</f>
        <v>20614.939960000003</v>
      </c>
      <c r="H13" s="707">
        <f>'Water  Fund  Inc Exp Statement '!H11+'GF &amp; FF  Inc Exp Statement'!H11+'Sewer  Fund  Inc Exp Statem'!H11</f>
        <v>21403.672474999999</v>
      </c>
      <c r="I13" s="707">
        <f>'Water  Fund  Inc Exp Statement '!I11+'GF &amp; FF  Inc Exp Statement'!I11+'Sewer  Fund  Inc Exp Statem'!I11</f>
        <v>22200.168275</v>
      </c>
      <c r="J13" s="707">
        <f>'Water  Fund  Inc Exp Statement '!J11+'GF &amp; FF  Inc Exp Statement'!J11+'Sewer  Fund  Inc Exp Statem'!J11</f>
        <v>22777.611424999999</v>
      </c>
      <c r="K13" s="707">
        <f>'Water  Fund  Inc Exp Statement '!K11+'GF &amp; FF  Inc Exp Statement'!K11+'Sewer  Fund  Inc Exp Statem'!K11</f>
        <v>23347.051710625001</v>
      </c>
      <c r="L13" s="707">
        <f>'Water  Fund  Inc Exp Statement '!L11+'GF &amp; FF  Inc Exp Statement'!L11+'Sewer  Fund  Inc Exp Statem'!L11</f>
        <v>23930.728003390621</v>
      </c>
      <c r="M13" s="707">
        <f>'Water  Fund  Inc Exp Statement '!M11+'GF &amp; FF  Inc Exp Statement'!M11+'Sewer  Fund  Inc Exp Statem'!M11</f>
        <v>24528.996203475384</v>
      </c>
      <c r="N13" s="707">
        <f>'Water  Fund  Inc Exp Statement '!N11+'GF &amp; FF  Inc Exp Statement'!N11+'Sewer  Fund  Inc Exp Statem'!N11</f>
        <v>25142.221108562269</v>
      </c>
      <c r="O13" s="707">
        <f>'Water  Fund  Inc Exp Statement '!O11+'GF &amp; FF  Inc Exp Statement'!O11+'Sewer  Fund  Inc Exp Statem'!O11</f>
        <v>25770.776636276321</v>
      </c>
      <c r="P13" s="707">
        <f>'Water  Fund  Inc Exp Statement '!P11+'GF &amp; FF  Inc Exp Statement'!P11+'Sewer  Fund  Inc Exp Statem'!P11</f>
        <v>26415.046052183228</v>
      </c>
      <c r="AD13" s="599" t="s">
        <v>12</v>
      </c>
      <c r="AE13" s="606">
        <f t="shared" ref="AE13:AE17" si="4">+D14</f>
        <v>10647</v>
      </c>
    </row>
    <row r="14" spans="1:31" ht="11.25" x14ac:dyDescent="0.2">
      <c r="A14" s="695" t="s">
        <v>12</v>
      </c>
      <c r="B14" s="714"/>
      <c r="C14" s="714"/>
      <c r="D14" s="715">
        <v>10647</v>
      </c>
      <c r="E14" s="707">
        <f>'Water  Fund  Inc Exp Statement '!E12+'GF &amp; FF  Inc Exp Statement'!E12+'Sewer  Fund  Inc Exp Statem'!E12</f>
        <v>11495</v>
      </c>
      <c r="F14" s="707">
        <f>'Water  Fund  Inc Exp Statement '!F12+'GF &amp; FF  Inc Exp Statement'!F12+'Sewer  Fund  Inc Exp Statem'!F12</f>
        <v>13528.819000000001</v>
      </c>
      <c r="G14" s="707">
        <f>'Water  Fund  Inc Exp Statement '!G12+'GF &amp; FF  Inc Exp Statement'!G12+'Sewer  Fund  Inc Exp Statem'!G12</f>
        <v>14184.400000000001</v>
      </c>
      <c r="H14" s="707">
        <f>'Water  Fund  Inc Exp Statement '!H12+'GF &amp; FF  Inc Exp Statement'!H12+'Sewer  Fund  Inc Exp Statem'!H12</f>
        <v>14558.772000000001</v>
      </c>
      <c r="I14" s="707">
        <f>'Water  Fund  Inc Exp Statement '!I12+'GF &amp; FF  Inc Exp Statement'!I12+'Sewer  Fund  Inc Exp Statem'!I12</f>
        <v>14956.825999999999</v>
      </c>
      <c r="J14" s="707">
        <f>'Water  Fund  Inc Exp Statement '!J12+'GF &amp; FF  Inc Exp Statement'!J12+'Sewer  Fund  Inc Exp Statem'!J12</f>
        <v>15414.074199999999</v>
      </c>
      <c r="K14" s="707">
        <f>'Water  Fund  Inc Exp Statement '!K12+'GF &amp; FF  Inc Exp Statement'!K12+'Sewer  Fund  Inc Exp Statem'!K12</f>
        <v>15722.355684000002</v>
      </c>
      <c r="L14" s="707">
        <f>'Water  Fund  Inc Exp Statement '!L12+'GF &amp; FF  Inc Exp Statement'!L12+'Sewer  Fund  Inc Exp Statem'!L12</f>
        <v>16036.80279768</v>
      </c>
      <c r="M14" s="707">
        <f>'Water  Fund  Inc Exp Statement '!M12+'GF &amp; FF  Inc Exp Statement'!M12+'Sewer  Fund  Inc Exp Statem'!M12</f>
        <v>16357.538853633601</v>
      </c>
      <c r="N14" s="707">
        <f>'Water  Fund  Inc Exp Statement '!N12+'GF &amp; FF  Inc Exp Statement'!N12+'Sewer  Fund  Inc Exp Statem'!N12</f>
        <v>16684.689630706274</v>
      </c>
      <c r="O14" s="707">
        <f>'Water  Fund  Inc Exp Statement '!O12+'GF &amp; FF  Inc Exp Statement'!O12+'Sewer  Fund  Inc Exp Statem'!O12</f>
        <v>17018.3834233204</v>
      </c>
      <c r="P14" s="707">
        <f>'Water  Fund  Inc Exp Statement '!P12+'GF &amp; FF  Inc Exp Statement'!P12+'Sewer  Fund  Inc Exp Statem'!P12</f>
        <v>17358.751091786809</v>
      </c>
      <c r="AD14" s="599" t="s">
        <v>13</v>
      </c>
      <c r="AE14" s="606">
        <f t="shared" si="4"/>
        <v>2340</v>
      </c>
    </row>
    <row r="15" spans="1:31" s="603" customFormat="1" ht="11.25" x14ac:dyDescent="0.2">
      <c r="A15" s="700" t="s">
        <v>13</v>
      </c>
      <c r="B15" s="712"/>
      <c r="C15" s="712"/>
      <c r="D15" s="707">
        <v>2340</v>
      </c>
      <c r="E15" s="707">
        <f>'Water  Fund  Inc Exp Statement '!E13+'GF &amp; FF  Inc Exp Statement'!E13+'Sewer  Fund  Inc Exp Statem'!E13</f>
        <v>2586</v>
      </c>
      <c r="F15" s="707">
        <f>'Water  Fund  Inc Exp Statement '!F13+'GF &amp; FF  Inc Exp Statement'!F13+'Sewer  Fund  Inc Exp Statem'!F13</f>
        <v>2254.5</v>
      </c>
      <c r="G15" s="707">
        <f>'Water  Fund  Inc Exp Statement '!G13+'GF &amp; FF  Inc Exp Statement'!G13+'Sewer  Fund  Inc Exp Statem'!G13</f>
        <v>2162.2089999999998</v>
      </c>
      <c r="H15" s="707">
        <f>'Water  Fund  Inc Exp Statement '!H13+'GF &amp; FF  Inc Exp Statement'!H13+'Sewer  Fund  Inc Exp Statem'!H13</f>
        <v>1977.5630000000001</v>
      </c>
      <c r="I15" s="707">
        <f>'Water  Fund  Inc Exp Statement '!I13+'GF &amp; FF  Inc Exp Statement'!I13+'Sewer  Fund  Inc Exp Statem'!I13</f>
        <v>1913.963</v>
      </c>
      <c r="J15" s="707">
        <f>'Water  Fund  Inc Exp Statement '!J13+'GF &amp; FF  Inc Exp Statement'!J13+'Sewer  Fund  Inc Exp Statem'!J13</f>
        <v>1883.6479999999999</v>
      </c>
      <c r="K15" s="707">
        <f>'Water  Fund  Inc Exp Statement '!K13+'GF &amp; FF  Inc Exp Statement'!K13+'Sewer  Fund  Inc Exp Statem'!K13</f>
        <v>1451.4429941223602</v>
      </c>
      <c r="L15" s="707">
        <f>'Water  Fund  Inc Exp Statement '!L13+'GF &amp; FF  Inc Exp Statement'!L13+'Sewer  Fund  Inc Exp Statem'!L13</f>
        <v>1422.4632852622485</v>
      </c>
      <c r="M15" s="707">
        <f>'Water  Fund  Inc Exp Statement '!M13+'GF &amp; FF  Inc Exp Statement'!M13+'Sewer  Fund  Inc Exp Statem'!M13</f>
        <v>1395.7325594163472</v>
      </c>
      <c r="N15" s="707">
        <f>'Water  Fund  Inc Exp Statement '!N13+'GF &amp; FF  Inc Exp Statement'!N13+'Sewer  Fund  Inc Exp Statem'!N13</f>
        <v>1383.8329939182649</v>
      </c>
      <c r="O15" s="707">
        <f>'Water  Fund  Inc Exp Statement '!O13+'GF &amp; FF  Inc Exp Statement'!O13+'Sewer  Fund  Inc Exp Statem'!O13</f>
        <v>1378.6672577789122</v>
      </c>
      <c r="P15" s="707">
        <f>'Water  Fund  Inc Exp Statement '!P13+'GF &amp; FF  Inc Exp Statement'!P13+'Sewer  Fund  Inc Exp Statem'!P13</f>
        <v>1372.954925666053</v>
      </c>
      <c r="AD15" s="603" t="s">
        <v>14</v>
      </c>
      <c r="AE15" s="605">
        <f t="shared" si="4"/>
        <v>1392</v>
      </c>
    </row>
    <row r="16" spans="1:31" ht="11.25" x14ac:dyDescent="0.2">
      <c r="A16" s="695" t="s">
        <v>14</v>
      </c>
      <c r="B16" s="714"/>
      <c r="C16" s="714"/>
      <c r="D16" s="715">
        <v>1392</v>
      </c>
      <c r="E16" s="707">
        <f>'Water  Fund  Inc Exp Statement '!E14+'GF &amp; FF  Inc Exp Statement'!E14+'Sewer  Fund  Inc Exp Statem'!E14</f>
        <v>1563</v>
      </c>
      <c r="F16" s="707">
        <f>'Water  Fund  Inc Exp Statement '!F14+'GF &amp; FF  Inc Exp Statement'!F14+'Sewer  Fund  Inc Exp Statem'!F14</f>
        <v>2424.5369999999998</v>
      </c>
      <c r="G16" s="707">
        <f>'Water  Fund  Inc Exp Statement '!G14+'GF &amp; FF  Inc Exp Statement'!G14+'Sewer  Fund  Inc Exp Statem'!G14</f>
        <v>2409.788</v>
      </c>
      <c r="H16" s="707">
        <f>'Water  Fund  Inc Exp Statement '!H14+'GF &amp; FF  Inc Exp Statement'!H14+'Sewer  Fund  Inc Exp Statem'!H14</f>
        <v>2463.8040000000001</v>
      </c>
      <c r="I16" s="707">
        <f>'Water  Fund  Inc Exp Statement '!I14+'GF &amp; FF  Inc Exp Statement'!I14+'Sewer  Fund  Inc Exp Statem'!I14</f>
        <v>2520.3789999999999</v>
      </c>
      <c r="J16" s="707">
        <f>'Water  Fund  Inc Exp Statement '!J14+'GF &amp; FF  Inc Exp Statement'!J14+'Sewer  Fund  Inc Exp Statem'!J14</f>
        <v>2578.0160000000001</v>
      </c>
      <c r="K16" s="707">
        <f>'Water  Fund  Inc Exp Statement '!K14+'GF &amp; FF  Inc Exp Statement'!K14+'Sewer  Fund  Inc Exp Statem'!K14</f>
        <v>2629.5763200000001</v>
      </c>
      <c r="L16" s="707">
        <f>'Water  Fund  Inc Exp Statement '!L14+'GF &amp; FF  Inc Exp Statement'!L14+'Sewer  Fund  Inc Exp Statem'!L14</f>
        <v>2682.1678464000001</v>
      </c>
      <c r="M16" s="707">
        <f>'Water  Fund  Inc Exp Statement '!M14+'GF &amp; FF  Inc Exp Statement'!M14+'Sewer  Fund  Inc Exp Statem'!M14</f>
        <v>2735.8112033280004</v>
      </c>
      <c r="N16" s="707">
        <f>'Water  Fund  Inc Exp Statement '!N14+'GF &amp; FF  Inc Exp Statement'!N14+'Sewer  Fund  Inc Exp Statem'!N14</f>
        <v>2790.5274273945606</v>
      </c>
      <c r="O16" s="707">
        <f>'Water  Fund  Inc Exp Statement '!O14+'GF &amp; FF  Inc Exp Statement'!O14+'Sewer  Fund  Inc Exp Statem'!O14</f>
        <v>2846.337975942452</v>
      </c>
      <c r="P16" s="707">
        <f>'Water  Fund  Inc Exp Statement '!P14+'GF &amp; FF  Inc Exp Statement'!P14+'Sewer  Fund  Inc Exp Statem'!P14</f>
        <v>2903.2647354613009</v>
      </c>
      <c r="AD16" s="599" t="s">
        <v>15</v>
      </c>
      <c r="AE16" s="606">
        <f t="shared" si="4"/>
        <v>5209</v>
      </c>
    </row>
    <row r="17" spans="1:31" ht="12.75" customHeight="1" x14ac:dyDescent="0.2">
      <c r="A17" s="695" t="s">
        <v>15</v>
      </c>
      <c r="B17" s="714"/>
      <c r="C17" s="714"/>
      <c r="D17" s="715">
        <v>5209</v>
      </c>
      <c r="E17" s="707">
        <f>'Water  Fund  Inc Exp Statement '!E15+'GF &amp; FF  Inc Exp Statement'!E15+'Sewer  Fund  Inc Exp Statem'!E15</f>
        <v>9023</v>
      </c>
      <c r="F17" s="707">
        <f>'Water  Fund  Inc Exp Statement '!F15+'GF &amp; FF  Inc Exp Statement'!F15+'Sewer  Fund  Inc Exp Statem'!F15</f>
        <v>6251.7439999999997</v>
      </c>
      <c r="G17" s="707">
        <f>'Water  Fund  Inc Exp Statement '!G15+'GF &amp; FF  Inc Exp Statement'!G15+'Sewer  Fund  Inc Exp Statem'!G15</f>
        <v>5519.8890000000001</v>
      </c>
      <c r="H17" s="707">
        <f>'Water  Fund  Inc Exp Statement '!H15+'GF &amp; FF  Inc Exp Statement'!H15+'Sewer  Fund  Inc Exp Statem'!H15</f>
        <v>5617.7309999999989</v>
      </c>
      <c r="I17" s="707">
        <f>'Water  Fund  Inc Exp Statement '!I15+'GF &amp; FF  Inc Exp Statement'!I15+'Sewer  Fund  Inc Exp Statem'!I15</f>
        <v>5715.375</v>
      </c>
      <c r="J17" s="707">
        <f>'Water  Fund  Inc Exp Statement '!J15+'GF &amp; FF  Inc Exp Statement'!J15+'Sewer  Fund  Inc Exp Statem'!J15</f>
        <v>5814.98776</v>
      </c>
      <c r="K17" s="707">
        <f>'Water  Fund  Inc Exp Statement '!K15+'GF &amp; FF  Inc Exp Statement'!K15+'Sewer  Fund  Inc Exp Statem'!K15</f>
        <v>5960.3624540000001</v>
      </c>
      <c r="L17" s="707">
        <f>'Water  Fund  Inc Exp Statement '!L15+'GF &amp; FF  Inc Exp Statement'!L15+'Sewer  Fund  Inc Exp Statem'!L15</f>
        <v>6109.3715153499988</v>
      </c>
      <c r="M17" s="707">
        <f>'Water  Fund  Inc Exp Statement '!M15+'GF &amp; FF  Inc Exp Statement'!M15+'Sewer  Fund  Inc Exp Statem'!M15</f>
        <v>6262.1058032337487</v>
      </c>
      <c r="N17" s="707">
        <f>'Water  Fund  Inc Exp Statement '!N15+'GF &amp; FF  Inc Exp Statement'!N15+'Sewer  Fund  Inc Exp Statem'!N15</f>
        <v>6418.6584483145916</v>
      </c>
      <c r="O17" s="707">
        <f>'Water  Fund  Inc Exp Statement '!O15+'GF &amp; FF  Inc Exp Statement'!O15+'Sewer  Fund  Inc Exp Statem'!O15</f>
        <v>6579.1249095224566</v>
      </c>
      <c r="P17" s="707">
        <f>'Water  Fund  Inc Exp Statement '!P15+'GF &amp; FF  Inc Exp Statement'!P15+'Sewer  Fund  Inc Exp Statem'!P15</f>
        <v>6743.6030322605175</v>
      </c>
      <c r="AD17" s="599" t="s">
        <v>18</v>
      </c>
      <c r="AE17" s="606">
        <f t="shared" si="4"/>
        <v>22576</v>
      </c>
    </row>
    <row r="18" spans="1:31" ht="11.25" customHeight="1" x14ac:dyDescent="0.2">
      <c r="A18" s="695" t="s">
        <v>18</v>
      </c>
      <c r="B18" s="714"/>
      <c r="C18" s="714"/>
      <c r="D18" s="715">
        <v>22576</v>
      </c>
      <c r="E18" s="707">
        <f>'Water  Fund  Inc Exp Statement '!E16+'GF &amp; FF  Inc Exp Statement'!E16+'Sewer  Fund  Inc Exp Statem'!E16</f>
        <v>15638</v>
      </c>
      <c r="F18" s="707">
        <f>'Water  Fund  Inc Exp Statement '!F16+'GF &amp; FF  Inc Exp Statement'!F16+'Sewer  Fund  Inc Exp Statem'!F16</f>
        <v>3958.0070000000001</v>
      </c>
      <c r="G18" s="707">
        <f>'Water  Fund  Inc Exp Statement '!G16+'GF &amp; FF  Inc Exp Statement'!G16+'Sewer  Fund  Inc Exp Statem'!G16</f>
        <v>12527.967000000001</v>
      </c>
      <c r="H18" s="707">
        <f>'Water  Fund  Inc Exp Statement '!H16+'GF &amp; FF  Inc Exp Statement'!H16+'Sewer  Fund  Inc Exp Statem'!H16</f>
        <v>3944.3710099999998</v>
      </c>
      <c r="I18" s="707">
        <f>'Water  Fund  Inc Exp Statement '!I16+'GF &amp; FF  Inc Exp Statement'!I16+'Sewer  Fund  Inc Exp Statem'!I16</f>
        <v>4002.4590153000004</v>
      </c>
      <c r="J18" s="707">
        <f>'Water  Fund  Inc Exp Statement '!J16+'GF &amp; FF  Inc Exp Statement'!J16+'Sewer  Fund  Inc Exp Statem'!J16</f>
        <v>4062.2813326340001</v>
      </c>
      <c r="K18" s="707">
        <f>'Water  Fund  Inc Exp Statement '!K16+'GF &amp; FF  Inc Exp Statement'!K16+'Sewer  Fund  Inc Exp Statem'!K16</f>
        <v>4163.3383659498504</v>
      </c>
      <c r="L18" s="707">
        <f>'Water  Fund  Inc Exp Statement '!L16+'GF &amp; FF  Inc Exp Statement'!L16+'Sewer  Fund  Inc Exp Statem'!L16</f>
        <v>4265.8918250985953</v>
      </c>
      <c r="M18" s="707">
        <f>'Water  Fund  Inc Exp Statement '!M16+'GF &amp; FF  Inc Exp Statement'!M16+'Sewer  Fund  Inc Exp Statem'!M16</f>
        <v>4372.0240207260613</v>
      </c>
      <c r="N18" s="707">
        <f>'Water  Fund  Inc Exp Statement '!N16+'GF &amp; FF  Inc Exp Statement'!N16+'Sewer  Fund  Inc Exp Statem'!N16</f>
        <v>4480.7992192442116</v>
      </c>
      <c r="O18" s="707">
        <f>'Water  Fund  Inc Exp Statement '!O16+'GF &amp; FF  Inc Exp Statement'!O16+'Sewer  Fund  Inc Exp Statem'!O16</f>
        <v>4591.2220816853169</v>
      </c>
      <c r="P18" s="707">
        <f>'Water  Fund  Inc Exp Statement '!P16+'GF &amp; FF  Inc Exp Statement'!P16+'Sewer  Fund  Inc Exp Statem'!P16</f>
        <v>4704.4001035266492</v>
      </c>
      <c r="AD18" s="599" t="s">
        <v>21</v>
      </c>
      <c r="AE18" s="606">
        <f>+D21</f>
        <v>0</v>
      </c>
    </row>
    <row r="19" spans="1:31" ht="11.25" customHeight="1" x14ac:dyDescent="0.2">
      <c r="A19" s="1149" t="s">
        <v>1180</v>
      </c>
      <c r="B19" s="714"/>
      <c r="C19" s="714"/>
      <c r="D19" s="715"/>
      <c r="E19" s="707">
        <f>'Water  Fund  Inc Exp Statement '!E17+'GF &amp; FF  Inc Exp Statement'!E17+'Sewer  Fund  Inc Exp Statem'!E17</f>
        <v>0</v>
      </c>
      <c r="F19" s="707">
        <f>'Water  Fund  Inc Exp Statement '!F17+'GF &amp; FF  Inc Exp Statement'!F17+'Sewer  Fund  Inc Exp Statem'!F17</f>
        <v>4783.3530000000001</v>
      </c>
      <c r="G19" s="707">
        <f>'Water  Fund  Inc Exp Statement '!G17+'GF &amp; FF  Inc Exp Statement'!G17+'Sewer  Fund  Inc Exp Statem'!G17</f>
        <v>5059.8519999999999</v>
      </c>
      <c r="H19" s="707">
        <f>'Water  Fund  Inc Exp Statement '!H17+'GF &amp; FF  Inc Exp Statement'!H17+'Sewer  Fund  Inc Exp Statem'!H17</f>
        <v>5239.6229999999996</v>
      </c>
      <c r="I19" s="707">
        <f>'Water  Fund  Inc Exp Statement '!I17+'GF &amp; FF  Inc Exp Statement'!I17+'Sewer  Fund  Inc Exp Statem'!I17</f>
        <v>5419.1779999999999</v>
      </c>
      <c r="J19" s="707">
        <f>'Water  Fund  Inc Exp Statement '!J17+'GF &amp; FF  Inc Exp Statement'!J17+'Sewer  Fund  Inc Exp Statem'!J17</f>
        <v>5456.5190000000002</v>
      </c>
      <c r="K19" s="707">
        <f>'Water  Fund  Inc Exp Statement '!K17+'GF &amp; FF  Inc Exp Statement'!K17+'Sewer  Fund  Inc Exp Statem'!K17</f>
        <v>5565.6493800000007</v>
      </c>
      <c r="L19" s="707">
        <f>'Water  Fund  Inc Exp Statement '!L17+'GF &amp; FF  Inc Exp Statement'!L17+'Sewer  Fund  Inc Exp Statem'!L17</f>
        <v>5676.962367600001</v>
      </c>
      <c r="M19" s="707">
        <f>'Water  Fund  Inc Exp Statement '!M17+'GF &amp; FF  Inc Exp Statement'!M17+'Sewer  Fund  Inc Exp Statem'!M17</f>
        <v>5790.5016149520015</v>
      </c>
      <c r="N19" s="707">
        <f>'Water  Fund  Inc Exp Statement '!N17+'GF &amp; FF  Inc Exp Statement'!N17+'Sewer  Fund  Inc Exp Statem'!N17</f>
        <v>5906.3116472510419</v>
      </c>
      <c r="O19" s="707">
        <f>'Water  Fund  Inc Exp Statement '!O17+'GF &amp; FF  Inc Exp Statement'!O17+'Sewer  Fund  Inc Exp Statem'!O17</f>
        <v>6024.4378801960629</v>
      </c>
      <c r="P19" s="707">
        <f>'Water  Fund  Inc Exp Statement '!P17+'GF &amp; FF  Inc Exp Statement'!P17+'Sewer  Fund  Inc Exp Statem'!P17</f>
        <v>6144.9266377999838</v>
      </c>
      <c r="AE19" s="606"/>
    </row>
    <row r="20" spans="1:31" ht="11.25" x14ac:dyDescent="0.2">
      <c r="A20" s="708" t="s">
        <v>63</v>
      </c>
      <c r="B20" s="714"/>
      <c r="C20" s="714"/>
      <c r="D20" s="715"/>
      <c r="E20" s="715"/>
      <c r="F20" s="715"/>
      <c r="G20" s="715"/>
      <c r="H20" s="715"/>
      <c r="I20" s="715"/>
      <c r="J20" s="711"/>
      <c r="K20" s="711"/>
      <c r="L20" s="711"/>
      <c r="M20" s="711"/>
      <c r="N20" s="711"/>
      <c r="O20" s="711"/>
      <c r="P20" s="711"/>
      <c r="AE20" s="606"/>
    </row>
    <row r="21" spans="1:31" ht="11.25" x14ac:dyDescent="0.2">
      <c r="A21" s="758" t="s">
        <v>74</v>
      </c>
      <c r="B21" s="718"/>
      <c r="C21" s="718"/>
      <c r="D21" s="707"/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609"/>
      <c r="AD21" s="599" t="s">
        <v>22</v>
      </c>
      <c r="AE21" s="606" t="e">
        <f>+#REF!</f>
        <v>#REF!</v>
      </c>
    </row>
    <row r="22" spans="1:31" ht="11.25" x14ac:dyDescent="0.2">
      <c r="A22" s="758" t="s">
        <v>1047</v>
      </c>
      <c r="B22" s="718"/>
      <c r="C22" s="718"/>
      <c r="D22" s="707">
        <v>30</v>
      </c>
      <c r="E22" s="707">
        <f>'Water  Fund  Inc Exp Statement '!E20+'GF &amp; FF  Inc Exp Statement'!E20+'Sewer  Fund  Inc Exp Statem'!E20</f>
        <v>2</v>
      </c>
      <c r="F22" s="707">
        <f>'Water  Fund  Inc Exp Statement '!F20+'GF &amp; FF  Inc Exp Statement'!F20+'Sewer  Fund  Inc Exp Statem'!F20</f>
        <v>0</v>
      </c>
      <c r="G22" s="707">
        <f>'Water  Fund  Inc Exp Statement '!G20+'GF &amp; FF  Inc Exp Statement'!G20+'Sewer  Fund  Inc Exp Statem'!G20</f>
        <v>0</v>
      </c>
      <c r="H22" s="707">
        <f>'Water  Fund  Inc Exp Statement '!H20+'GF &amp; FF  Inc Exp Statement'!H20+'Sewer  Fund  Inc Exp Statem'!H20</f>
        <v>0</v>
      </c>
      <c r="I22" s="707">
        <f>'Water  Fund  Inc Exp Statement '!I20+'GF &amp; FF  Inc Exp Statement'!I20+'Sewer  Fund  Inc Exp Statem'!I20</f>
        <v>0</v>
      </c>
      <c r="J22" s="707">
        <f>'Water  Fund  Inc Exp Statement '!J20+'GF &amp; FF  Inc Exp Statement'!J20+'Sewer  Fund  Inc Exp Statem'!J20</f>
        <v>0</v>
      </c>
      <c r="K22" s="707">
        <f>'Water  Fund  Inc Exp Statement '!K20+'GF &amp; FF  Inc Exp Statement'!K20+'Sewer  Fund  Inc Exp Statem'!K20</f>
        <v>0</v>
      </c>
      <c r="L22" s="707">
        <f>'Water  Fund  Inc Exp Statement '!L20+'GF &amp; FF  Inc Exp Statement'!L20+'Sewer  Fund  Inc Exp Statem'!L20</f>
        <v>0</v>
      </c>
      <c r="M22" s="707">
        <f>'Water  Fund  Inc Exp Statement '!M20+'GF &amp; FF  Inc Exp Statement'!M20+'Sewer  Fund  Inc Exp Statem'!M20</f>
        <v>0</v>
      </c>
      <c r="N22" s="707">
        <f>'Water  Fund  Inc Exp Statement '!N20+'GF &amp; FF  Inc Exp Statement'!N20+'Sewer  Fund  Inc Exp Statem'!N20</f>
        <v>0</v>
      </c>
      <c r="O22" s="707">
        <f>'Water  Fund  Inc Exp Statement '!O20+'GF &amp; FF  Inc Exp Statement'!O20+'Sewer  Fund  Inc Exp Statem'!O20</f>
        <v>0</v>
      </c>
      <c r="P22" s="707">
        <f>'Water  Fund  Inc Exp Statement '!P20+'GF &amp; FF  Inc Exp Statement'!P20+'Sewer  Fund  Inc Exp Statem'!P20</f>
        <v>0</v>
      </c>
      <c r="Q22" s="609"/>
      <c r="AE22" s="606"/>
    </row>
    <row r="23" spans="1:31" s="611" customFormat="1" ht="11.25" x14ac:dyDescent="0.2">
      <c r="A23" s="759" t="s">
        <v>64</v>
      </c>
      <c r="B23" s="719">
        <f>SUM(B13:B21)</f>
        <v>0</v>
      </c>
      <c r="C23" s="719">
        <f>SUM(C13:C21)</f>
        <v>0</v>
      </c>
      <c r="D23" s="719">
        <f>SUM(D13:D22)</f>
        <v>59909</v>
      </c>
      <c r="E23" s="719">
        <f t="shared" ref="E23:P23" si="5">SUM(E13:E21)</f>
        <v>58725</v>
      </c>
      <c r="F23" s="740">
        <f t="shared" si="5"/>
        <v>53232.775000000001</v>
      </c>
      <c r="G23" s="740">
        <f t="shared" si="5"/>
        <v>62479.044960000014</v>
      </c>
      <c r="H23" s="740">
        <f t="shared" si="5"/>
        <v>55205.536484999997</v>
      </c>
      <c r="I23" s="740">
        <f t="shared" si="5"/>
        <v>56728.348290300004</v>
      </c>
      <c r="J23" s="740">
        <f t="shared" si="5"/>
        <v>57987.137717634003</v>
      </c>
      <c r="K23" s="740">
        <f t="shared" si="5"/>
        <v>58839.776908697211</v>
      </c>
      <c r="L23" s="740">
        <f t="shared" si="5"/>
        <v>60124.387640781468</v>
      </c>
      <c r="M23" s="740">
        <f t="shared" si="5"/>
        <v>61442.710258765139</v>
      </c>
      <c r="N23" s="740">
        <f t="shared" si="5"/>
        <v>62807.040475391215</v>
      </c>
      <c r="O23" s="740">
        <f t="shared" si="5"/>
        <v>64208.950164721915</v>
      </c>
      <c r="P23" s="740">
        <f t="shared" si="5"/>
        <v>65642.946578684539</v>
      </c>
      <c r="AD23" s="612" t="s">
        <v>23</v>
      </c>
      <c r="AE23" s="613" t="e">
        <f>SUM(AE11:AE21)</f>
        <v>#REF!</v>
      </c>
    </row>
    <row r="24" spans="1:31" ht="11.25" x14ac:dyDescent="0.2">
      <c r="A24" s="705" t="s">
        <v>65</v>
      </c>
      <c r="B24" s="714"/>
      <c r="C24" s="714"/>
      <c r="D24" s="710"/>
      <c r="E24" s="710"/>
      <c r="F24" s="710"/>
      <c r="G24" s="710"/>
      <c r="H24" s="710"/>
      <c r="I24" s="710"/>
      <c r="J24" s="710"/>
      <c r="K24" s="710"/>
      <c r="L24" s="710"/>
      <c r="M24" s="710"/>
      <c r="N24" s="710"/>
      <c r="O24" s="710"/>
      <c r="P24" s="710"/>
      <c r="AD24" s="601" t="s">
        <v>24</v>
      </c>
    </row>
    <row r="25" spans="1:31" ht="11.25" x14ac:dyDescent="0.2">
      <c r="A25" s="695" t="s">
        <v>25</v>
      </c>
      <c r="B25" s="714"/>
      <c r="C25" s="714"/>
      <c r="D25" s="715">
        <v>12798</v>
      </c>
      <c r="E25" s="707">
        <f>'Water  Fund  Inc Exp Statement '!E23+'GF &amp; FF  Inc Exp Statement'!E23+'Sewer  Fund  Inc Exp Statem'!E23</f>
        <v>12876</v>
      </c>
      <c r="F25" s="707">
        <f>'Water  Fund  Inc Exp Statement '!F23+'GF &amp; FF  Inc Exp Statement'!F23+'Sewer  Fund  Inc Exp Statem'!F23</f>
        <v>13094.137000000001</v>
      </c>
      <c r="G25" s="707">
        <f>'Water  Fund  Inc Exp Statement '!G23+'GF &amp; FF  Inc Exp Statement'!G23+'Sewer  Fund  Inc Exp Statem'!G23</f>
        <v>13571.739</v>
      </c>
      <c r="H25" s="707">
        <f>'Water  Fund  Inc Exp Statement '!H23+'GF &amp; FF  Inc Exp Statement'!H23+'Sewer  Fund  Inc Exp Statem'!H23</f>
        <v>14063.325999999999</v>
      </c>
      <c r="I25" s="707">
        <f>'Water  Fund  Inc Exp Statement '!I23+'GF &amp; FF  Inc Exp Statement'!I23+'Sewer  Fund  Inc Exp Statem'!I23</f>
        <v>14472.804</v>
      </c>
      <c r="J25" s="707">
        <f>'Water  Fund  Inc Exp Statement '!J23+'GF &amp; FF  Inc Exp Statement'!J23+'Sewer  Fund  Inc Exp Statem'!J23</f>
        <v>14911.101000000001</v>
      </c>
      <c r="K25" s="707">
        <f>'Water  Fund  Inc Exp Statement '!K23+'GF &amp; FF  Inc Exp Statement'!K23+'Sewer  Fund  Inc Exp Statem'!K23</f>
        <v>15358.43403</v>
      </c>
      <c r="L25" s="707">
        <f>'Water  Fund  Inc Exp Statement '!L23+'GF &amp; FF  Inc Exp Statement'!L23+'Sewer  Fund  Inc Exp Statem'!L23</f>
        <v>15819.187050900004</v>
      </c>
      <c r="M25" s="707">
        <f>'Water  Fund  Inc Exp Statement '!M23+'GF &amp; FF  Inc Exp Statement'!M23+'Sewer  Fund  Inc Exp Statem'!M23</f>
        <v>16293.762662427005</v>
      </c>
      <c r="N25" s="707">
        <f>'Water  Fund  Inc Exp Statement '!N23+'GF &amp; FF  Inc Exp Statement'!N23+'Sewer  Fund  Inc Exp Statem'!N23</f>
        <v>16782.575542299812</v>
      </c>
      <c r="O25" s="707">
        <f>'Water  Fund  Inc Exp Statement '!O23+'GF &amp; FF  Inc Exp Statement'!O23+'Sewer  Fund  Inc Exp Statem'!O23</f>
        <v>17286.052808568809</v>
      </c>
      <c r="P25" s="707">
        <f>'Water  Fund  Inc Exp Statement '!P23+'GF &amp; FF  Inc Exp Statement'!P23+'Sewer  Fund  Inc Exp Statem'!P23</f>
        <v>17804.634392825876</v>
      </c>
      <c r="AD25" s="599" t="s">
        <v>25</v>
      </c>
      <c r="AE25" s="606">
        <f>+D25</f>
        <v>12798</v>
      </c>
    </row>
    <row r="26" spans="1:31" ht="11.25" x14ac:dyDescent="0.2">
      <c r="A26" s="695" t="s">
        <v>926</v>
      </c>
      <c r="B26" s="714"/>
      <c r="C26" s="714"/>
      <c r="D26" s="715">
        <v>919</v>
      </c>
      <c r="E26" s="707">
        <f>'Water  Fund  Inc Exp Statement '!E24+'GF &amp; FF  Inc Exp Statement'!E24+'Sewer  Fund  Inc Exp Statem'!E24</f>
        <v>973</v>
      </c>
      <c r="F26" s="707">
        <f>'Water  Fund  Inc Exp Statement '!F24+'GF &amp; FF  Inc Exp Statement'!F24+'Sewer  Fund  Inc Exp Statem'!F24</f>
        <v>1715.8580000000002</v>
      </c>
      <c r="G26" s="707">
        <f>'Water  Fund  Inc Exp Statement '!G24+'GF &amp; FF  Inc Exp Statement'!G24+'Sewer  Fund  Inc Exp Statem'!G24</f>
        <v>2126.712</v>
      </c>
      <c r="H26" s="707">
        <f>'Water  Fund  Inc Exp Statement '!H24+'GF &amp; FF  Inc Exp Statement'!H24+'Sewer  Fund  Inc Exp Statem'!H24</f>
        <v>2428.0219999999999</v>
      </c>
      <c r="I26" s="707">
        <f>'Water  Fund  Inc Exp Statement '!I24+'GF &amp; FF  Inc Exp Statement'!I24+'Sewer  Fund  Inc Exp Statem'!I24</f>
        <v>2404.3050000000003</v>
      </c>
      <c r="J26" s="707">
        <f>'Water  Fund  Inc Exp Statement '!J24+'GF &amp; FF  Inc Exp Statement'!J24+'Sewer  Fund  Inc Exp Statem'!J24</f>
        <v>2377.3849999999998</v>
      </c>
      <c r="K26" s="707">
        <f>'Water  Fund  Inc Exp Statement '!K24+'GF &amp; FF  Inc Exp Statement'!K24+'Sewer  Fund  Inc Exp Statem'!K24</f>
        <v>2341.2071551999998</v>
      </c>
      <c r="L26" s="707">
        <f>'Water  Fund  Inc Exp Statement '!L24+'GF &amp; FF  Inc Exp Statement'!L24+'Sewer  Fund  Inc Exp Statem'!L24</f>
        <v>2303.6049535040002</v>
      </c>
      <c r="M26" s="707">
        <f>'Water  Fund  Inc Exp Statement '!M24+'GF &amp; FF  Inc Exp Statement'!M24+'Sewer  Fund  Inc Exp Statem'!M24</f>
        <v>2277.5315077740802</v>
      </c>
      <c r="N26" s="707">
        <f>'Water  Fund  Inc Exp Statement '!N24+'GF &amp; FF  Inc Exp Statement'!N24+'Sewer  Fund  Inc Exp Statem'!N24</f>
        <v>2267.8080375723712</v>
      </c>
      <c r="O26" s="707">
        <f>'Water  Fund  Inc Exp Statement '!O24+'GF &amp; FF  Inc Exp Statement'!O24+'Sewer  Fund  Inc Exp Statem'!O24</f>
        <v>2257.7260979666285</v>
      </c>
      <c r="P26" s="707">
        <f>'Water  Fund  Inc Exp Statement '!P24+'GF &amp; FF  Inc Exp Statement'!P24+'Sewer  Fund  Inc Exp Statem'!P24</f>
        <v>2247.2441195687707</v>
      </c>
      <c r="AE26" s="606"/>
    </row>
    <row r="27" spans="1:31" ht="11.25" x14ac:dyDescent="0.2">
      <c r="A27" s="695" t="s">
        <v>27</v>
      </c>
      <c r="B27" s="714"/>
      <c r="C27" s="714"/>
      <c r="D27" s="715">
        <v>8897</v>
      </c>
      <c r="E27" s="707">
        <f>'Water  Fund  Inc Exp Statement '!E25+'GF &amp; FF  Inc Exp Statement'!E25+'Sewer  Fund  Inc Exp Statem'!E25</f>
        <v>12542</v>
      </c>
      <c r="F27" s="707">
        <f>'Water  Fund  Inc Exp Statement '!F25+'GF &amp; FF  Inc Exp Statement'!F25+'Sewer  Fund  Inc Exp Statem'!F25</f>
        <v>14214.548000000001</v>
      </c>
      <c r="G27" s="707">
        <f>'Water  Fund  Inc Exp Statement '!G25+'GF &amp; FF  Inc Exp Statement'!G25+'Sewer  Fund  Inc Exp Statem'!G25</f>
        <v>14424.867</v>
      </c>
      <c r="H27" s="707">
        <f>'Water  Fund  Inc Exp Statement '!H25+'GF &amp; FF  Inc Exp Statement'!H25+'Sewer  Fund  Inc Exp Statem'!H25</f>
        <v>14704.18</v>
      </c>
      <c r="I27" s="707">
        <f>'Water  Fund  Inc Exp Statement '!I25+'GF &amp; FF  Inc Exp Statement'!I25+'Sewer  Fund  Inc Exp Statem'!I25</f>
        <v>15065.133</v>
      </c>
      <c r="J27" s="707">
        <f>'Water  Fund  Inc Exp Statement '!J25+'GF &amp; FF  Inc Exp Statement'!J25+'Sewer  Fund  Inc Exp Statem'!J25</f>
        <v>15440.318999999998</v>
      </c>
      <c r="K27" s="707">
        <f>'Water  Fund  Inc Exp Statement '!K25+'GF &amp; FF  Inc Exp Statement'!K25+'Sewer  Fund  Inc Exp Statem'!K25</f>
        <v>15749.125379999999</v>
      </c>
      <c r="L27" s="707">
        <f>'Water  Fund  Inc Exp Statement '!L25+'GF &amp; FF  Inc Exp Statement'!L25+'Sewer  Fund  Inc Exp Statem'!L25</f>
        <v>16064.107887599997</v>
      </c>
      <c r="M27" s="707">
        <f>'Water  Fund  Inc Exp Statement '!M25+'GF &amp; FF  Inc Exp Statement'!M25+'Sewer  Fund  Inc Exp Statem'!M25</f>
        <v>16385.390045352</v>
      </c>
      <c r="N27" s="707">
        <f>'Water  Fund  Inc Exp Statement '!N25+'GF &amp; FF  Inc Exp Statement'!N25+'Sewer  Fund  Inc Exp Statem'!N25</f>
        <v>16713.097846259039</v>
      </c>
      <c r="O27" s="707">
        <f>'Water  Fund  Inc Exp Statement '!O25+'GF &amp; FF  Inc Exp Statement'!O25+'Sewer  Fund  Inc Exp Statem'!O25</f>
        <v>17047.359803184219</v>
      </c>
      <c r="P27" s="707">
        <f>'Water  Fund  Inc Exp Statement '!P25+'GF &amp; FF  Inc Exp Statement'!P25+'Sewer  Fund  Inc Exp Statem'!P25</f>
        <v>17388.306999247907</v>
      </c>
      <c r="AD27" s="599" t="s">
        <v>28</v>
      </c>
      <c r="AE27" s="606">
        <f>+D32</f>
        <v>5886</v>
      </c>
    </row>
    <row r="28" spans="1:31" ht="11.25" x14ac:dyDescent="0.2">
      <c r="A28" s="600" t="s">
        <v>1077</v>
      </c>
      <c r="B28" s="714"/>
      <c r="C28" s="714"/>
      <c r="D28" s="715"/>
      <c r="E28" s="707">
        <f>'Water  Fund  Inc Exp Statement '!E26+'GF &amp; FF  Inc Exp Statement'!E26+'Sewer  Fund  Inc Exp Statem'!E26</f>
        <v>0</v>
      </c>
      <c r="F28" s="707">
        <f>'Water  Fund  Inc Exp Statement '!F26+'GF &amp; FF  Inc Exp Statement'!F26+'Sewer  Fund  Inc Exp Statem'!F26</f>
        <v>4783.3530000000001</v>
      </c>
      <c r="G28" s="707">
        <f>'Water  Fund  Inc Exp Statement '!G26+'GF &amp; FF  Inc Exp Statement'!G26+'Sewer  Fund  Inc Exp Statem'!G26</f>
        <v>4997.3519999999999</v>
      </c>
      <c r="H28" s="707">
        <f>'Water  Fund  Inc Exp Statement '!H26+'GF &amp; FF  Inc Exp Statement'!H26+'Sewer  Fund  Inc Exp Statem'!H26</f>
        <v>5174.6230000000005</v>
      </c>
      <c r="I28" s="707">
        <f>'Water  Fund  Inc Exp Statement '!I26+'GF &amp; FF  Inc Exp Statement'!I26+'Sewer  Fund  Inc Exp Statem'!I26</f>
        <v>5354.1780000000008</v>
      </c>
      <c r="J28" s="707">
        <f>'Water  Fund  Inc Exp Statement '!J26+'GF &amp; FF  Inc Exp Statement'!J26+'Sewer  Fund  Inc Exp Statem'!J26</f>
        <v>5535.7020000000002</v>
      </c>
      <c r="K28" s="707">
        <f>'Water  Fund  Inc Exp Statement '!K26+'GF &amp; FF  Inc Exp Statement'!K26+'Sewer  Fund  Inc Exp Statem'!K26</f>
        <v>5629.2908400000006</v>
      </c>
      <c r="L28" s="707">
        <f>'Water  Fund  Inc Exp Statement '!L26+'GF &amp; FF  Inc Exp Statement'!L26+'Sewer  Fund  Inc Exp Statem'!L26</f>
        <v>5741.8766568000001</v>
      </c>
      <c r="M28" s="707">
        <f>'Water  Fund  Inc Exp Statement '!M26+'GF &amp; FF  Inc Exp Statement'!M26+'Sewer  Fund  Inc Exp Statem'!M26</f>
        <v>5856.7141899360004</v>
      </c>
      <c r="N28" s="707">
        <f>'Water  Fund  Inc Exp Statement '!N26+'GF &amp; FF  Inc Exp Statement'!N26+'Sewer  Fund  Inc Exp Statem'!N26</f>
        <v>5973.8484737347198</v>
      </c>
      <c r="O28" s="707">
        <f>'Water  Fund  Inc Exp Statement '!O26+'GF &amp; FF  Inc Exp Statement'!O26+'Sewer  Fund  Inc Exp Statem'!O26</f>
        <v>6093.3254432094145</v>
      </c>
      <c r="P28" s="707">
        <f>'Water  Fund  Inc Exp Statement '!P26+'GF &amp; FF  Inc Exp Statement'!P26+'Sewer  Fund  Inc Exp Statem'!P26</f>
        <v>6215.1919520736037</v>
      </c>
      <c r="AE28" s="606"/>
    </row>
    <row r="29" spans="1:31" s="603" customFormat="1" ht="11.25" x14ac:dyDescent="0.2">
      <c r="A29" s="700" t="s">
        <v>29</v>
      </c>
      <c r="B29" s="712"/>
      <c r="C29" s="712"/>
      <c r="D29" s="707">
        <v>10831</v>
      </c>
      <c r="E29" s="707">
        <f>'Water  Fund  Inc Exp Statement '!E27+'GF &amp; FF  Inc Exp Statement'!E27+'Sewer  Fund  Inc Exp Statem'!E27</f>
        <v>9874</v>
      </c>
      <c r="F29" s="707">
        <f>'Water  Fund  Inc Exp Statement '!F27+'GF &amp; FF  Inc Exp Statement'!F27+'Sewer  Fund  Inc Exp Statem'!F27</f>
        <v>11286.985000000001</v>
      </c>
      <c r="G29" s="707">
        <f>'Water  Fund  Inc Exp Statement '!G27+'GF &amp; FF  Inc Exp Statement'!G27+'Sewer  Fund  Inc Exp Statem'!G27</f>
        <v>10411.565000000001</v>
      </c>
      <c r="H29" s="707">
        <f>'Water  Fund  Inc Exp Statement '!H27+'GF &amp; FF  Inc Exp Statement'!H27+'Sewer  Fund  Inc Exp Statem'!H27</f>
        <v>10828.181</v>
      </c>
      <c r="I29" s="707">
        <f>'Water  Fund  Inc Exp Statement '!I27+'GF &amp; FF  Inc Exp Statement'!I27+'Sewer  Fund  Inc Exp Statem'!I27</f>
        <v>11079.703</v>
      </c>
      <c r="J29" s="707">
        <f>'Water  Fund  Inc Exp Statement '!J27+'GF &amp; FF  Inc Exp Statement'!J27+'Sewer  Fund  Inc Exp Statem'!J27</f>
        <v>11338.606000000002</v>
      </c>
      <c r="K29" s="707">
        <f>'Water  Fund  Inc Exp Statement '!K27+'GF &amp; FF  Inc Exp Statement'!K27+'Sewer  Fund  Inc Exp Statem'!K27</f>
        <v>11622.07115</v>
      </c>
      <c r="L29" s="707">
        <f>'Water  Fund  Inc Exp Statement '!L27+'GF &amp; FF  Inc Exp Statement'!L27+'Sewer  Fund  Inc Exp Statem'!L27</f>
        <v>11912.622928749999</v>
      </c>
      <c r="M29" s="707">
        <f>'Water  Fund  Inc Exp Statement '!M27+'GF &amp; FF  Inc Exp Statement'!M27+'Sewer  Fund  Inc Exp Statem'!M27</f>
        <v>12210.438501968747</v>
      </c>
      <c r="N29" s="707">
        <f>'Water  Fund  Inc Exp Statement '!N27+'GF &amp; FF  Inc Exp Statement'!N27+'Sewer  Fund  Inc Exp Statem'!N27</f>
        <v>12515.699464517966</v>
      </c>
      <c r="O29" s="707">
        <f>'Water  Fund  Inc Exp Statement '!O27+'GF &amp; FF  Inc Exp Statement'!O27+'Sewer  Fund  Inc Exp Statem'!O27</f>
        <v>12828.591951130913</v>
      </c>
      <c r="P29" s="707">
        <f>'Water  Fund  Inc Exp Statement '!P27+'GF &amp; FF  Inc Exp Statement'!P27+'Sewer  Fund  Inc Exp Statem'!P27</f>
        <v>13149.306749909187</v>
      </c>
      <c r="AD29" s="603" t="s">
        <v>30</v>
      </c>
      <c r="AE29" s="605" t="e">
        <f>-#REF!</f>
        <v>#REF!</v>
      </c>
    </row>
    <row r="30" spans="1:31" s="603" customFormat="1" ht="11.25" x14ac:dyDescent="0.2">
      <c r="A30" s="700" t="s">
        <v>1048</v>
      </c>
      <c r="B30" s="712"/>
      <c r="C30" s="712"/>
      <c r="D30" s="707"/>
      <c r="E30" s="707">
        <f>'Water  Fund  Inc Exp Statement '!E28+'GF &amp; FF  Inc Exp Statement'!E28+'Sewer  Fund  Inc Exp Statem'!E28</f>
        <v>600</v>
      </c>
      <c r="F30" s="707">
        <f>'Water  Fund  Inc Exp Statement '!F28+'GF &amp; FF  Inc Exp Statement'!F28+'Sewer  Fund  Inc Exp Statem'!F28</f>
        <v>0</v>
      </c>
      <c r="G30" s="707">
        <f>'Water  Fund  Inc Exp Statement '!G28+'GF &amp; FF  Inc Exp Statement'!G28+'Sewer  Fund  Inc Exp Statem'!G28</f>
        <v>0</v>
      </c>
      <c r="H30" s="707">
        <f>'Water  Fund  Inc Exp Statement '!H28+'GF &amp; FF  Inc Exp Statement'!H28+'Sewer  Fund  Inc Exp Statem'!H28</f>
        <v>0</v>
      </c>
      <c r="I30" s="707">
        <f>'Water  Fund  Inc Exp Statement '!I28+'GF &amp; FF  Inc Exp Statement'!I28+'Sewer  Fund  Inc Exp Statem'!I28</f>
        <v>0</v>
      </c>
      <c r="J30" s="707">
        <f>'Water  Fund  Inc Exp Statement '!J28+'GF &amp; FF  Inc Exp Statement'!J28+'Sewer  Fund  Inc Exp Statem'!J28</f>
        <v>0</v>
      </c>
      <c r="K30" s="707">
        <f>'Water  Fund  Inc Exp Statement '!K28+'GF &amp; FF  Inc Exp Statement'!K28+'Sewer  Fund  Inc Exp Statem'!K28</f>
        <v>0</v>
      </c>
      <c r="L30" s="707">
        <f>'Water  Fund  Inc Exp Statement '!L28+'GF &amp; FF  Inc Exp Statement'!L28+'Sewer  Fund  Inc Exp Statem'!L28</f>
        <v>0</v>
      </c>
      <c r="M30" s="707">
        <f>'Water  Fund  Inc Exp Statement '!M28+'GF &amp; FF  Inc Exp Statement'!M28+'Sewer  Fund  Inc Exp Statem'!M28</f>
        <v>0</v>
      </c>
      <c r="N30" s="707">
        <f>'Water  Fund  Inc Exp Statement '!N28+'GF &amp; FF  Inc Exp Statement'!N28+'Sewer  Fund  Inc Exp Statem'!N28</f>
        <v>0</v>
      </c>
      <c r="O30" s="707">
        <f>'Water  Fund  Inc Exp Statement '!O28+'GF &amp; FF  Inc Exp Statement'!O28+'Sewer  Fund  Inc Exp Statem'!O28</f>
        <v>0</v>
      </c>
      <c r="P30" s="707">
        <f>'Water  Fund  Inc Exp Statement '!P28+'GF &amp; FF  Inc Exp Statement'!P28+'Sewer  Fund  Inc Exp Statem'!P28</f>
        <v>0</v>
      </c>
      <c r="AE30" s="605"/>
    </row>
    <row r="31" spans="1:31" s="603" customFormat="1" ht="11.25" x14ac:dyDescent="0.2">
      <c r="A31" s="700" t="s">
        <v>1049</v>
      </c>
      <c r="B31" s="712"/>
      <c r="C31" s="712"/>
      <c r="D31" s="707">
        <v>618</v>
      </c>
      <c r="E31" s="707">
        <f>'Water  Fund  Inc Exp Statement '!E29+'GF &amp; FF  Inc Exp Statement'!E29+'Sewer  Fund  Inc Exp Statem'!E29</f>
        <v>0</v>
      </c>
      <c r="F31" s="707">
        <f>'Water  Fund  Inc Exp Statement '!F29+'GF &amp; FF  Inc Exp Statement'!F29+'Sewer  Fund  Inc Exp Statem'!F29</f>
        <v>0</v>
      </c>
      <c r="G31" s="707">
        <f>'Water  Fund  Inc Exp Statement '!G29+'GF &amp; FF  Inc Exp Statement'!G29+'Sewer  Fund  Inc Exp Statem'!G29</f>
        <v>0</v>
      </c>
      <c r="H31" s="707">
        <f>'Water  Fund  Inc Exp Statement '!H29+'GF &amp; FF  Inc Exp Statement'!H29+'Sewer  Fund  Inc Exp Statem'!H29</f>
        <v>0</v>
      </c>
      <c r="I31" s="707">
        <f>'Water  Fund  Inc Exp Statement '!I29+'GF &amp; FF  Inc Exp Statement'!I29+'Sewer  Fund  Inc Exp Statem'!I29</f>
        <v>0</v>
      </c>
      <c r="J31" s="707">
        <f>'Water  Fund  Inc Exp Statement '!J29+'GF &amp; FF  Inc Exp Statement'!J29+'Sewer  Fund  Inc Exp Statem'!J29</f>
        <v>0</v>
      </c>
      <c r="K31" s="707">
        <f>'Water  Fund  Inc Exp Statement '!K29+'GF &amp; FF  Inc Exp Statement'!K29+'Sewer  Fund  Inc Exp Statem'!K29</f>
        <v>0</v>
      </c>
      <c r="L31" s="707">
        <f>'Water  Fund  Inc Exp Statement '!L29+'GF &amp; FF  Inc Exp Statement'!L29+'Sewer  Fund  Inc Exp Statem'!L29</f>
        <v>0</v>
      </c>
      <c r="M31" s="707">
        <f>'Water  Fund  Inc Exp Statement '!M29+'GF &amp; FF  Inc Exp Statement'!M29+'Sewer  Fund  Inc Exp Statem'!M29</f>
        <v>0</v>
      </c>
      <c r="N31" s="707">
        <f>'Water  Fund  Inc Exp Statement '!N29+'GF &amp; FF  Inc Exp Statement'!N29+'Sewer  Fund  Inc Exp Statem'!N29</f>
        <v>0</v>
      </c>
      <c r="O31" s="707">
        <f>'Water  Fund  Inc Exp Statement '!O29+'GF &amp; FF  Inc Exp Statement'!O29+'Sewer  Fund  Inc Exp Statem'!O29</f>
        <v>0</v>
      </c>
      <c r="P31" s="707">
        <f>'Water  Fund  Inc Exp Statement '!P29+'GF &amp; FF  Inc Exp Statement'!P29+'Sewer  Fund  Inc Exp Statem'!P29</f>
        <v>0</v>
      </c>
      <c r="AE31" s="605"/>
    </row>
    <row r="32" spans="1:31" ht="11.25" x14ac:dyDescent="0.2">
      <c r="A32" s="721" t="s">
        <v>28</v>
      </c>
      <c r="B32" s="722"/>
      <c r="C32" s="722"/>
      <c r="D32" s="723">
        <v>5886</v>
      </c>
      <c r="E32" s="707">
        <f>'Water  Fund  Inc Exp Statement '!E30+'GF &amp; FF  Inc Exp Statement'!E30+'Sewer  Fund  Inc Exp Statem'!E30</f>
        <v>7060</v>
      </c>
      <c r="F32" s="707">
        <f>'Water  Fund  Inc Exp Statement '!F30+'GF &amp; FF  Inc Exp Statement'!F30+'Sewer  Fund  Inc Exp Statem'!F30</f>
        <v>3204.8429999999998</v>
      </c>
      <c r="G32" s="707">
        <f>'Water  Fund  Inc Exp Statement '!G30+'GF &amp; FF  Inc Exp Statement'!G30+'Sewer  Fund  Inc Exp Statem'!G30</f>
        <v>3307.2809999999999</v>
      </c>
      <c r="H32" s="707">
        <f>'Water  Fund  Inc Exp Statement '!H30+'GF &amp; FF  Inc Exp Statement'!H30+'Sewer  Fund  Inc Exp Statem'!H30</f>
        <v>3375.721</v>
      </c>
      <c r="I32" s="707">
        <f>'Water  Fund  Inc Exp Statement '!I30+'GF &amp; FF  Inc Exp Statement'!I30+'Sewer  Fund  Inc Exp Statem'!I30</f>
        <v>3453.9440000000004</v>
      </c>
      <c r="J32" s="707">
        <f>'Water  Fund  Inc Exp Statement '!J30+'GF &amp; FF  Inc Exp Statement'!J30+'Sewer  Fund  Inc Exp Statem'!J30</f>
        <v>3544.6689999999999</v>
      </c>
      <c r="K32" s="707">
        <f>'Water  Fund  Inc Exp Statement '!K30+'GF &amp; FF  Inc Exp Statement'!K30+'Sewer  Fund  Inc Exp Statem'!K30</f>
        <v>3615.5623799999998</v>
      </c>
      <c r="L32" s="707">
        <f>'Water  Fund  Inc Exp Statement '!L30+'GF &amp; FF  Inc Exp Statement'!L30+'Sewer  Fund  Inc Exp Statem'!L30</f>
        <v>3687.8736276000004</v>
      </c>
      <c r="M32" s="707">
        <f>'Water  Fund  Inc Exp Statement '!M30+'GF &amp; FF  Inc Exp Statement'!M30+'Sewer  Fund  Inc Exp Statem'!M30</f>
        <v>3761.6311001520003</v>
      </c>
      <c r="N32" s="707">
        <f>'Water  Fund  Inc Exp Statement '!N30+'GF &amp; FF  Inc Exp Statement'!N30+'Sewer  Fund  Inc Exp Statem'!N30</f>
        <v>3836.8637221550403</v>
      </c>
      <c r="O32" s="707">
        <f>'Water  Fund  Inc Exp Statement '!O30+'GF &amp; FF  Inc Exp Statement'!O30+'Sewer  Fund  Inc Exp Statem'!O30</f>
        <v>3913.6009965981411</v>
      </c>
      <c r="P32" s="707">
        <f>'Water  Fund  Inc Exp Statement '!P30+'GF &amp; FF  Inc Exp Statement'!P30+'Sewer  Fund  Inc Exp Statem'!P30</f>
        <v>3991.8730165301049</v>
      </c>
      <c r="AD32" s="599" t="s">
        <v>31</v>
      </c>
      <c r="AE32" s="606" t="e">
        <f>-#REF!</f>
        <v>#REF!</v>
      </c>
    </row>
    <row r="33" spans="1:31" s="611" customFormat="1" ht="11.25" x14ac:dyDescent="0.2">
      <c r="A33" s="705" t="s">
        <v>66</v>
      </c>
      <c r="B33" s="719">
        <f>SUM(B25:B32)</f>
        <v>0</v>
      </c>
      <c r="C33" s="719">
        <f>SUM(C25:C32)</f>
        <v>0</v>
      </c>
      <c r="D33" s="719">
        <f>SUM(D25:D32)</f>
        <v>39949</v>
      </c>
      <c r="E33" s="719">
        <f t="shared" ref="E33:P33" si="6">SUM(E25:E32)</f>
        <v>43925</v>
      </c>
      <c r="F33" s="719">
        <f t="shared" si="6"/>
        <v>48299.724000000002</v>
      </c>
      <c r="G33" s="719">
        <f t="shared" si="6"/>
        <v>48839.516000000003</v>
      </c>
      <c r="H33" s="719">
        <f t="shared" si="6"/>
        <v>50574.052999999993</v>
      </c>
      <c r="I33" s="719">
        <f t="shared" si="6"/>
        <v>51830.067000000003</v>
      </c>
      <c r="J33" s="719">
        <f t="shared" si="6"/>
        <v>53147.781999999999</v>
      </c>
      <c r="K33" s="719">
        <f t="shared" si="6"/>
        <v>54315.690935200008</v>
      </c>
      <c r="L33" s="719">
        <f t="shared" si="6"/>
        <v>55529.273105154003</v>
      </c>
      <c r="M33" s="719">
        <f t="shared" si="6"/>
        <v>56785.468007609838</v>
      </c>
      <c r="N33" s="719">
        <f t="shared" si="6"/>
        <v>58089.893086538948</v>
      </c>
      <c r="O33" s="719">
        <f t="shared" si="6"/>
        <v>59426.657100658122</v>
      </c>
      <c r="P33" s="719">
        <f t="shared" si="6"/>
        <v>60796.557230155449</v>
      </c>
      <c r="AD33" s="612" t="s">
        <v>23</v>
      </c>
      <c r="AE33" s="613" t="e">
        <f>SUM(AE25:AE32)</f>
        <v>#REF!</v>
      </c>
    </row>
    <row r="34" spans="1:31" ht="3.75" customHeight="1" x14ac:dyDescent="0.2">
      <c r="A34" s="695"/>
      <c r="B34" s="714"/>
      <c r="C34" s="710"/>
      <c r="D34" s="710"/>
      <c r="E34" s="710"/>
      <c r="F34" s="710"/>
      <c r="G34" s="710"/>
      <c r="H34" s="710"/>
      <c r="I34" s="710"/>
      <c r="J34" s="710"/>
      <c r="K34" s="710"/>
      <c r="L34" s="710"/>
      <c r="M34" s="710"/>
      <c r="N34" s="710"/>
      <c r="O34" s="710"/>
      <c r="P34" s="710"/>
    </row>
    <row r="35" spans="1:31" s="612" customFormat="1" ht="12" thickBot="1" x14ac:dyDescent="0.25">
      <c r="A35" s="705" t="s">
        <v>67</v>
      </c>
      <c r="B35" s="724">
        <f t="shared" ref="B35:P35" si="7">+B23-B33</f>
        <v>0</v>
      </c>
      <c r="C35" s="725">
        <f t="shared" si="7"/>
        <v>0</v>
      </c>
      <c r="D35" s="724">
        <f t="shared" si="7"/>
        <v>19960</v>
      </c>
      <c r="E35" s="725">
        <f t="shared" si="7"/>
        <v>14800</v>
      </c>
      <c r="F35" s="725">
        <f t="shared" si="7"/>
        <v>4933.0509999999995</v>
      </c>
      <c r="G35" s="725">
        <f t="shared" si="7"/>
        <v>13639.528960000011</v>
      </c>
      <c r="H35" s="725">
        <f t="shared" si="7"/>
        <v>4631.4834850000043</v>
      </c>
      <c r="I35" s="725">
        <f t="shared" si="7"/>
        <v>4898.2812903000013</v>
      </c>
      <c r="J35" s="725">
        <f t="shared" si="7"/>
        <v>4839.3557176340037</v>
      </c>
      <c r="K35" s="725">
        <f t="shared" si="7"/>
        <v>4524.0859734972037</v>
      </c>
      <c r="L35" s="725">
        <f t="shared" si="7"/>
        <v>4595.1145356274646</v>
      </c>
      <c r="M35" s="725">
        <f t="shared" si="7"/>
        <v>4657.2422511553013</v>
      </c>
      <c r="N35" s="725">
        <f t="shared" si="7"/>
        <v>4717.1473888522669</v>
      </c>
      <c r="O35" s="725">
        <f t="shared" si="7"/>
        <v>4782.2930640637933</v>
      </c>
      <c r="P35" s="725">
        <f t="shared" si="7"/>
        <v>4846.3893485290901</v>
      </c>
    </row>
    <row r="36" spans="1:31" ht="4.5" customHeight="1" x14ac:dyDescent="0.2">
      <c r="A36" s="726"/>
      <c r="B36" s="714"/>
      <c r="C36" s="710"/>
      <c r="D36" s="710"/>
      <c r="E36" s="710"/>
      <c r="F36" s="710"/>
      <c r="G36" s="710"/>
      <c r="H36" s="710"/>
      <c r="I36" s="710"/>
      <c r="J36" s="710"/>
      <c r="K36" s="710"/>
      <c r="L36" s="710"/>
      <c r="M36" s="710"/>
      <c r="N36" s="710"/>
      <c r="O36" s="710"/>
      <c r="P36" s="710"/>
    </row>
    <row r="37" spans="1:31" s="611" customFormat="1" ht="11.25" x14ac:dyDescent="0.2">
      <c r="A37" s="705" t="s">
        <v>75</v>
      </c>
      <c r="B37" s="727"/>
      <c r="C37" s="728"/>
      <c r="D37" s="728"/>
      <c r="E37" s="728"/>
      <c r="F37" s="728"/>
      <c r="G37" s="728"/>
      <c r="H37" s="728"/>
      <c r="I37" s="728"/>
      <c r="J37" s="728"/>
      <c r="K37" s="728"/>
      <c r="L37" s="728"/>
      <c r="M37" s="728"/>
      <c r="N37" s="728"/>
      <c r="O37" s="728"/>
      <c r="P37" s="728"/>
    </row>
    <row r="38" spans="1:31" ht="12.75" customHeight="1" x14ac:dyDescent="0.2">
      <c r="A38" s="721" t="s">
        <v>322</v>
      </c>
      <c r="B38" s="729">
        <v>0</v>
      </c>
      <c r="C38" s="729">
        <v>0</v>
      </c>
      <c r="D38" s="729">
        <v>0</v>
      </c>
      <c r="E38" s="729">
        <v>0</v>
      </c>
      <c r="F38" s="729">
        <v>0</v>
      </c>
      <c r="G38" s="729">
        <v>0</v>
      </c>
      <c r="H38" s="729">
        <v>0</v>
      </c>
      <c r="I38" s="729">
        <v>0</v>
      </c>
      <c r="J38" s="729">
        <v>0</v>
      </c>
      <c r="K38" s="729">
        <v>0</v>
      </c>
      <c r="L38" s="729">
        <v>0</v>
      </c>
      <c r="M38" s="729">
        <v>0</v>
      </c>
      <c r="N38" s="729">
        <v>0</v>
      </c>
      <c r="O38" s="729">
        <v>0</v>
      </c>
      <c r="P38" s="729">
        <v>0</v>
      </c>
    </row>
    <row r="39" spans="1:31" ht="4.5" customHeight="1" x14ac:dyDescent="0.2">
      <c r="A39" s="695"/>
      <c r="B39" s="710"/>
      <c r="C39" s="710"/>
      <c r="D39" s="710"/>
      <c r="E39" s="710"/>
      <c r="F39" s="710"/>
      <c r="G39" s="710"/>
      <c r="H39" s="710"/>
      <c r="I39" s="710"/>
      <c r="J39" s="710"/>
      <c r="K39" s="710"/>
      <c r="L39" s="710"/>
      <c r="M39" s="710"/>
      <c r="N39" s="710"/>
      <c r="O39" s="710"/>
      <c r="P39" s="710"/>
    </row>
    <row r="40" spans="1:31" s="611" customFormat="1" ht="11.25" x14ac:dyDescent="0.2">
      <c r="A40" s="730" t="s">
        <v>76</v>
      </c>
      <c r="B40" s="731">
        <f>+B35+B38</f>
        <v>0</v>
      </c>
      <c r="C40" s="732">
        <f>+C35+C38</f>
        <v>0</v>
      </c>
      <c r="D40" s="731">
        <f>+D35+D38</f>
        <v>19960</v>
      </c>
      <c r="E40" s="732">
        <f t="shared" ref="E40:P40" si="8">+E35+E38</f>
        <v>14800</v>
      </c>
      <c r="F40" s="732">
        <f t="shared" si="8"/>
        <v>4933.0509999999995</v>
      </c>
      <c r="G40" s="732">
        <f t="shared" si="8"/>
        <v>13639.528960000011</v>
      </c>
      <c r="H40" s="732">
        <f t="shared" si="8"/>
        <v>4631.4834850000043</v>
      </c>
      <c r="I40" s="732">
        <f t="shared" si="8"/>
        <v>4898.2812903000013</v>
      </c>
      <c r="J40" s="732">
        <f t="shared" si="8"/>
        <v>4839.3557176340037</v>
      </c>
      <c r="K40" s="732">
        <f t="shared" si="8"/>
        <v>4524.0859734972037</v>
      </c>
      <c r="L40" s="732">
        <f t="shared" si="8"/>
        <v>4595.1145356274646</v>
      </c>
      <c r="M40" s="732">
        <f t="shared" si="8"/>
        <v>4657.2422511553013</v>
      </c>
      <c r="N40" s="732">
        <f t="shared" si="8"/>
        <v>4717.1473888522669</v>
      </c>
      <c r="O40" s="732">
        <f t="shared" si="8"/>
        <v>4782.2930640637933</v>
      </c>
      <c r="P40" s="732">
        <f t="shared" si="8"/>
        <v>4846.3893485290901</v>
      </c>
    </row>
    <row r="41" spans="1:31" ht="3.75" customHeight="1" x14ac:dyDescent="0.2">
      <c r="A41" s="695"/>
      <c r="B41" s="710"/>
      <c r="C41" s="710"/>
      <c r="D41" s="710"/>
      <c r="E41" s="710"/>
      <c r="F41" s="710"/>
      <c r="G41" s="710"/>
      <c r="H41" s="710"/>
      <c r="I41" s="710"/>
      <c r="J41" s="710"/>
      <c r="K41" s="710"/>
      <c r="L41" s="710"/>
      <c r="M41" s="710"/>
      <c r="N41" s="710"/>
      <c r="O41" s="710"/>
      <c r="P41" s="710"/>
    </row>
    <row r="42" spans="1:31" s="601" customFormat="1" ht="11.25" x14ac:dyDescent="0.2">
      <c r="A42" s="733" t="s">
        <v>77</v>
      </c>
      <c r="B42" s="715">
        <f>+B40</f>
        <v>0</v>
      </c>
      <c r="C42" s="734">
        <f>+C37+C40</f>
        <v>0</v>
      </c>
      <c r="D42" s="715">
        <f>+D40</f>
        <v>19960</v>
      </c>
      <c r="E42" s="734">
        <f t="shared" ref="E42:P42" si="9">+E37+E40</f>
        <v>14800</v>
      </c>
      <c r="F42" s="734">
        <f t="shared" si="9"/>
        <v>4933.0509999999995</v>
      </c>
      <c r="G42" s="734">
        <f t="shared" si="9"/>
        <v>13639.528960000011</v>
      </c>
      <c r="H42" s="734">
        <f t="shared" si="9"/>
        <v>4631.4834850000043</v>
      </c>
      <c r="I42" s="734">
        <f t="shared" si="9"/>
        <v>4898.2812903000013</v>
      </c>
      <c r="J42" s="734">
        <f t="shared" si="9"/>
        <v>4839.3557176340037</v>
      </c>
      <c r="K42" s="734">
        <f t="shared" si="9"/>
        <v>4524.0859734972037</v>
      </c>
      <c r="L42" s="734">
        <f t="shared" si="9"/>
        <v>4595.1145356274646</v>
      </c>
      <c r="M42" s="734">
        <f t="shared" si="9"/>
        <v>4657.2422511553013</v>
      </c>
      <c r="N42" s="734">
        <f t="shared" si="9"/>
        <v>4717.1473888522669</v>
      </c>
      <c r="O42" s="734">
        <f t="shared" si="9"/>
        <v>4782.2930640637933</v>
      </c>
      <c r="P42" s="734">
        <f t="shared" si="9"/>
        <v>4846.3893485290901</v>
      </c>
    </row>
    <row r="43" spans="1:31" s="601" customFormat="1" ht="10.5" customHeight="1" thickBot="1" x14ac:dyDescent="0.25">
      <c r="A43" s="739" t="s">
        <v>78</v>
      </c>
      <c r="B43" s="735">
        <v>0</v>
      </c>
      <c r="C43" s="735">
        <v>0</v>
      </c>
      <c r="D43" s="735">
        <v>0</v>
      </c>
      <c r="E43" s="735">
        <v>0</v>
      </c>
      <c r="F43" s="735"/>
      <c r="G43" s="735">
        <v>0</v>
      </c>
      <c r="H43" s="735">
        <v>0</v>
      </c>
      <c r="I43" s="735">
        <v>0</v>
      </c>
      <c r="J43" s="735">
        <v>0</v>
      </c>
      <c r="K43" s="735">
        <v>0</v>
      </c>
      <c r="L43" s="735">
        <v>0</v>
      </c>
      <c r="M43" s="735">
        <v>0</v>
      </c>
      <c r="N43" s="735">
        <v>0</v>
      </c>
      <c r="O43" s="735">
        <v>0</v>
      </c>
      <c r="P43" s="735">
        <v>0</v>
      </c>
    </row>
    <row r="44" spans="1:31" ht="3.75" customHeight="1" thickTop="1" x14ac:dyDescent="0.2">
      <c r="A44" s="726"/>
      <c r="B44" s="714"/>
      <c r="C44" s="714"/>
      <c r="D44" s="710"/>
      <c r="E44" s="710"/>
      <c r="F44" s="710"/>
      <c r="G44" s="710"/>
      <c r="H44" s="710"/>
      <c r="I44" s="710"/>
      <c r="J44" s="710"/>
      <c r="K44" s="710"/>
      <c r="L44" s="710"/>
      <c r="M44" s="710"/>
      <c r="N44" s="710"/>
      <c r="O44" s="710"/>
      <c r="P44" s="710"/>
    </row>
    <row r="45" spans="1:31" ht="31.5" customHeight="1" thickBot="1" x14ac:dyDescent="0.25">
      <c r="A45" s="705" t="s">
        <v>79</v>
      </c>
      <c r="B45" s="736">
        <f t="shared" ref="B45:P45" si="10">+B40-B18-B21</f>
        <v>0</v>
      </c>
      <c r="C45" s="736">
        <f t="shared" si="10"/>
        <v>0</v>
      </c>
      <c r="D45" s="736">
        <f t="shared" si="10"/>
        <v>-2616</v>
      </c>
      <c r="E45" s="736">
        <f t="shared" si="10"/>
        <v>-838</v>
      </c>
      <c r="F45" s="736">
        <f t="shared" si="10"/>
        <v>975.04399999999941</v>
      </c>
      <c r="G45" s="736">
        <f t="shared" si="10"/>
        <v>1111.56196000001</v>
      </c>
      <c r="H45" s="736">
        <f t="shared" si="10"/>
        <v>687.11247500000445</v>
      </c>
      <c r="I45" s="736">
        <f t="shared" si="10"/>
        <v>895.8222750000009</v>
      </c>
      <c r="J45" s="736">
        <f t="shared" si="10"/>
        <v>777.07438500000353</v>
      </c>
      <c r="K45" s="736">
        <f t="shared" si="10"/>
        <v>360.74760754735325</v>
      </c>
      <c r="L45" s="736">
        <f t="shared" si="10"/>
        <v>329.22271052886936</v>
      </c>
      <c r="M45" s="736">
        <f t="shared" si="10"/>
        <v>285.21823042924007</v>
      </c>
      <c r="N45" s="736">
        <f t="shared" si="10"/>
        <v>236.34816960805529</v>
      </c>
      <c r="O45" s="736">
        <f t="shared" si="10"/>
        <v>191.0709823784764</v>
      </c>
      <c r="P45" s="736">
        <f t="shared" si="10"/>
        <v>141.98924500244084</v>
      </c>
    </row>
    <row r="46" spans="1:31" ht="4.5" customHeight="1" thickTop="1" x14ac:dyDescent="0.2">
      <c r="A46" s="705"/>
      <c r="B46" s="734"/>
      <c r="C46" s="734"/>
      <c r="D46" s="734"/>
      <c r="E46" s="734"/>
      <c r="F46" s="734"/>
      <c r="G46" s="734"/>
      <c r="H46" s="734"/>
      <c r="I46" s="734"/>
      <c r="J46" s="734"/>
      <c r="K46" s="734"/>
      <c r="L46" s="734"/>
      <c r="M46" s="734"/>
      <c r="N46" s="734"/>
      <c r="O46" s="734"/>
      <c r="P46" s="734"/>
    </row>
    <row r="47" spans="1:31" ht="11.25" x14ac:dyDescent="0.2">
      <c r="A47" s="730" t="s">
        <v>76</v>
      </c>
      <c r="B47" s="732">
        <f t="shared" ref="B47:P47" si="11">B40</f>
        <v>0</v>
      </c>
      <c r="C47" s="732">
        <f t="shared" si="11"/>
        <v>0</v>
      </c>
      <c r="D47" s="732">
        <f t="shared" si="11"/>
        <v>19960</v>
      </c>
      <c r="E47" s="732">
        <f t="shared" si="11"/>
        <v>14800</v>
      </c>
      <c r="F47" s="732">
        <f t="shared" si="11"/>
        <v>4933.0509999999995</v>
      </c>
      <c r="G47" s="732">
        <f t="shared" si="11"/>
        <v>13639.528960000011</v>
      </c>
      <c r="H47" s="732">
        <f t="shared" si="11"/>
        <v>4631.4834850000043</v>
      </c>
      <c r="I47" s="732">
        <f t="shared" si="11"/>
        <v>4898.2812903000013</v>
      </c>
      <c r="J47" s="732">
        <f t="shared" si="11"/>
        <v>4839.3557176340037</v>
      </c>
      <c r="K47" s="732">
        <f t="shared" si="11"/>
        <v>4524.0859734972037</v>
      </c>
      <c r="L47" s="732">
        <f t="shared" si="11"/>
        <v>4595.1145356274646</v>
      </c>
      <c r="M47" s="732">
        <f t="shared" si="11"/>
        <v>4657.2422511553013</v>
      </c>
      <c r="N47" s="732">
        <f t="shared" si="11"/>
        <v>4717.1473888522669</v>
      </c>
      <c r="O47" s="732">
        <f t="shared" si="11"/>
        <v>4782.2930640637933</v>
      </c>
      <c r="P47" s="732">
        <f t="shared" si="11"/>
        <v>4846.3893485290901</v>
      </c>
    </row>
    <row r="48" spans="1:31" ht="9.75" customHeight="1" x14ac:dyDescent="0.2">
      <c r="A48" s="737" t="s">
        <v>1015</v>
      </c>
      <c r="B48" s="734"/>
      <c r="C48" s="734"/>
      <c r="D48" s="734"/>
      <c r="E48" s="734"/>
      <c r="F48" s="734"/>
      <c r="G48" s="734"/>
      <c r="H48" s="734"/>
      <c r="I48" s="734"/>
      <c r="J48" s="734"/>
      <c r="K48" s="734"/>
      <c r="L48" s="734"/>
      <c r="M48" s="734"/>
      <c r="N48" s="734"/>
      <c r="O48" s="734"/>
      <c r="P48" s="734"/>
    </row>
    <row r="49" spans="1:17" ht="11.25" x14ac:dyDescent="0.2">
      <c r="A49" s="705" t="s">
        <v>1014</v>
      </c>
      <c r="B49" s="734"/>
      <c r="C49" s="734"/>
      <c r="D49" s="734">
        <v>-8350</v>
      </c>
      <c r="E49" s="734"/>
      <c r="F49" s="734"/>
      <c r="G49" s="734"/>
      <c r="H49" s="734"/>
      <c r="I49" s="734"/>
      <c r="J49" s="734"/>
      <c r="K49" s="734"/>
      <c r="L49" s="734"/>
      <c r="M49" s="734"/>
      <c r="N49" s="734"/>
      <c r="O49" s="734"/>
      <c r="P49" s="734"/>
    </row>
    <row r="50" spans="1:17" ht="1.5" customHeight="1" x14ac:dyDescent="0.2">
      <c r="A50" s="705"/>
      <c r="B50" s="734"/>
      <c r="C50" s="734"/>
      <c r="D50" s="734"/>
      <c r="E50" s="734"/>
      <c r="F50" s="734"/>
      <c r="G50" s="734"/>
      <c r="H50" s="734"/>
      <c r="I50" s="734"/>
      <c r="J50" s="734"/>
      <c r="K50" s="734"/>
      <c r="L50" s="734"/>
      <c r="M50" s="734"/>
      <c r="N50" s="734"/>
      <c r="O50" s="734"/>
      <c r="P50" s="734"/>
    </row>
    <row r="51" spans="1:17" ht="12" thickBot="1" x14ac:dyDescent="0.25">
      <c r="A51" s="705" t="s">
        <v>309</v>
      </c>
      <c r="B51" s="738">
        <f t="shared" ref="B51:P51" si="12">SUM(B47:B50)</f>
        <v>0</v>
      </c>
      <c r="C51" s="738">
        <f t="shared" si="12"/>
        <v>0</v>
      </c>
      <c r="D51" s="738">
        <f t="shared" si="12"/>
        <v>11610</v>
      </c>
      <c r="E51" s="738">
        <f t="shared" si="12"/>
        <v>14800</v>
      </c>
      <c r="F51" s="738">
        <f t="shared" si="12"/>
        <v>4933.0509999999995</v>
      </c>
      <c r="G51" s="738">
        <f t="shared" si="12"/>
        <v>13639.528960000011</v>
      </c>
      <c r="H51" s="738">
        <f t="shared" si="12"/>
        <v>4631.4834850000043</v>
      </c>
      <c r="I51" s="738">
        <f t="shared" si="12"/>
        <v>4898.2812903000013</v>
      </c>
      <c r="J51" s="738">
        <f t="shared" si="12"/>
        <v>4839.3557176340037</v>
      </c>
      <c r="K51" s="738">
        <f t="shared" si="12"/>
        <v>4524.0859734972037</v>
      </c>
      <c r="L51" s="738">
        <f t="shared" si="12"/>
        <v>4595.1145356274646</v>
      </c>
      <c r="M51" s="738">
        <f t="shared" si="12"/>
        <v>4657.2422511553013</v>
      </c>
      <c r="N51" s="738">
        <f t="shared" si="12"/>
        <v>4717.1473888522669</v>
      </c>
      <c r="O51" s="738">
        <f t="shared" si="12"/>
        <v>4782.2930640637933</v>
      </c>
      <c r="P51" s="738">
        <f t="shared" si="12"/>
        <v>4846.3893485290901</v>
      </c>
    </row>
    <row r="52" spans="1:17" ht="12" thickTop="1" x14ac:dyDescent="0.2">
      <c r="A52" s="616"/>
      <c r="B52" s="621"/>
      <c r="C52" s="621"/>
      <c r="D52" s="621"/>
      <c r="E52" s="621"/>
      <c r="F52" s="621"/>
      <c r="G52" s="621"/>
      <c r="H52" s="621"/>
      <c r="I52" s="621"/>
      <c r="J52" s="621"/>
      <c r="K52" s="621"/>
      <c r="L52" s="621"/>
      <c r="M52" s="621"/>
      <c r="N52" s="621"/>
      <c r="O52" s="621"/>
      <c r="P52" s="621"/>
    </row>
    <row r="53" spans="1:17" ht="11.25" hidden="1" outlineLevel="1" x14ac:dyDescent="0.2">
      <c r="A53" s="604" t="s">
        <v>1081</v>
      </c>
      <c r="B53" s="621"/>
      <c r="C53" s="621"/>
      <c r="D53" s="621">
        <f>'Water  Fund  Inc Exp Statement '!D51+'GF &amp; FF  Inc Exp Statement'!D51</f>
        <v>0</v>
      </c>
      <c r="E53" s="707">
        <f>'Water  Fund  Inc Exp Statement '!E51+'GF &amp; FF  Inc Exp Statement'!E51+'Sewer  Fund  Inc Exp Statem'!E51</f>
        <v>0</v>
      </c>
      <c r="F53" s="707">
        <f>'Water  Fund  Inc Exp Statement '!F51+'GF &amp; FF  Inc Exp Statement'!F51+'Sewer  Fund  Inc Exp Statem'!F51</f>
        <v>30805.421999999999</v>
      </c>
      <c r="G53" s="707">
        <f>'Water  Fund  Inc Exp Statement '!G51+'GF &amp; FF  Inc Exp Statement'!G51+'Sewer  Fund  Inc Exp Statem'!G51</f>
        <v>34017.858</v>
      </c>
      <c r="H53" s="707">
        <f>'Water  Fund  Inc Exp Statement '!H51+'GF &amp; FF  Inc Exp Statement'!H51+'Sewer  Fund  Inc Exp Statem'!H51</f>
        <v>9493.0244999999995</v>
      </c>
      <c r="I53" s="707">
        <f>'Water  Fund  Inc Exp Statement '!I51+'GF &amp; FF  Inc Exp Statement'!I51+'Sewer  Fund  Inc Exp Statem'!I51</f>
        <v>8414.1450000000004</v>
      </c>
      <c r="J53" s="707">
        <f>'Water  Fund  Inc Exp Statement '!J51+'GF &amp; FF  Inc Exp Statement'!J51+'Sewer  Fund  Inc Exp Statem'!J51</f>
        <v>7514.348</v>
      </c>
      <c r="K53" s="707">
        <f>'Water  Fund  Inc Exp Statement '!K51+'GF &amp; FF  Inc Exp Statement'!K51+'Sewer  Fund  Inc Exp Statem'!K51</f>
        <v>5782.4065000000001</v>
      </c>
      <c r="L53" s="707">
        <f>'Water  Fund  Inc Exp Statement '!L51+'GF &amp; FF  Inc Exp Statement'!L51+'Sewer  Fund  Inc Exp Statem'!L51</f>
        <v>5905.0531625000003</v>
      </c>
      <c r="M53" s="707">
        <f>'Water  Fund  Inc Exp Statement '!M51+'GF &amp; FF  Inc Exp Statement'!M51+'Sewer  Fund  Inc Exp Statem'!M51</f>
        <v>6048.4002215625005</v>
      </c>
      <c r="N53" s="707">
        <f>'Water  Fund  Inc Exp Statement '!N51+'GF &amp; FF  Inc Exp Statement'!N51+'Sewer  Fund  Inc Exp Statem'!N51</f>
        <v>6482.4628717015621</v>
      </c>
      <c r="O53" s="707">
        <f>'Water  Fund  Inc Exp Statement '!O51+'GF &amp; FF  Inc Exp Statement'!O51+'Sewer  Fund  Inc Exp Statem'!O51</f>
        <v>6657.256640986101</v>
      </c>
      <c r="P53" s="707">
        <f>'Water  Fund  Inc Exp Statement '!P51+'GF &amp; FF  Inc Exp Statement'!P51+'Sewer  Fund  Inc Exp Statem'!P51</f>
        <v>6607.7973984525934</v>
      </c>
      <c r="Q53" s="599" t="s">
        <v>32</v>
      </c>
    </row>
    <row r="54" spans="1:17" ht="22.5" hidden="1" outlineLevel="1" x14ac:dyDescent="0.2">
      <c r="A54" s="604" t="s">
        <v>1112</v>
      </c>
      <c r="B54" s="621"/>
      <c r="C54" s="621"/>
      <c r="D54" s="621">
        <f>'Water  Fund  Inc Exp Statement '!D52+'GF &amp; FF  Inc Exp Statement'!D52</f>
        <v>0</v>
      </c>
      <c r="E54" s="707">
        <f>'Water  Fund  Inc Exp Statement '!E52+'GF &amp; FF  Inc Exp Statement'!E52+'Sewer  Fund  Inc Exp Statem'!E52</f>
        <v>0</v>
      </c>
      <c r="F54" s="707">
        <f>'Water  Fund  Inc Exp Statement '!F52+'GF &amp; FF  Inc Exp Statement'!F52+'Sewer  Fund  Inc Exp Statem'!F52</f>
        <v>10000</v>
      </c>
      <c r="G54" s="707">
        <f>'Water  Fund  Inc Exp Statement '!G52+'GF &amp; FF  Inc Exp Statement'!G52+'Sewer  Fund  Inc Exp Statem'!G52</f>
        <v>0</v>
      </c>
      <c r="H54" s="707">
        <f>'Water  Fund  Inc Exp Statement '!H52+'GF &amp; FF  Inc Exp Statement'!H52+'Sewer  Fund  Inc Exp Statem'!H52</f>
        <v>0</v>
      </c>
      <c r="I54" s="707">
        <f>'Water  Fund  Inc Exp Statement '!I52+'GF &amp; FF  Inc Exp Statement'!I52+'Sewer  Fund  Inc Exp Statem'!I52</f>
        <v>0</v>
      </c>
      <c r="J54" s="707">
        <f>'Water  Fund  Inc Exp Statement '!J52+'GF &amp; FF  Inc Exp Statement'!J52+'Sewer  Fund  Inc Exp Statem'!J52</f>
        <v>0</v>
      </c>
      <c r="K54" s="707">
        <f>'Water  Fund  Inc Exp Statement '!K52+'GF &amp; FF  Inc Exp Statement'!K52+'Sewer  Fund  Inc Exp Statem'!K52</f>
        <v>0</v>
      </c>
      <c r="L54" s="707">
        <f>'Water  Fund  Inc Exp Statement '!L52+'GF &amp; FF  Inc Exp Statement'!L52+'Sewer  Fund  Inc Exp Statem'!L52</f>
        <v>0</v>
      </c>
      <c r="M54" s="707">
        <f>'Water  Fund  Inc Exp Statement '!M52+'GF &amp; FF  Inc Exp Statement'!M52+'Sewer  Fund  Inc Exp Statem'!M52</f>
        <v>0</v>
      </c>
      <c r="N54" s="707">
        <f>'Water  Fund  Inc Exp Statement '!N52+'GF &amp; FF  Inc Exp Statement'!N52+'Sewer  Fund  Inc Exp Statem'!N52</f>
        <v>0</v>
      </c>
      <c r="O54" s="707">
        <f>'Water  Fund  Inc Exp Statement '!O52+'GF &amp; FF  Inc Exp Statement'!O52+'Sewer  Fund  Inc Exp Statem'!O52</f>
        <v>0</v>
      </c>
      <c r="P54" s="707">
        <f>'Water  Fund  Inc Exp Statement '!P52+'GF &amp; FF  Inc Exp Statement'!P52+'Sewer  Fund  Inc Exp Statem'!P52</f>
        <v>0</v>
      </c>
    </row>
    <row r="55" spans="1:17" ht="11.25" hidden="1" outlineLevel="1" x14ac:dyDescent="0.2">
      <c r="A55" s="604" t="s">
        <v>1082</v>
      </c>
      <c r="B55" s="621"/>
      <c r="C55" s="621"/>
      <c r="D55" s="621">
        <f>'Water  Fund  Inc Exp Statement '!D53+'GF &amp; FF  Inc Exp Statement'!D53</f>
        <v>0</v>
      </c>
      <c r="E55" s="707">
        <f>'Water  Fund  Inc Exp Statement '!E53+'GF &amp; FF  Inc Exp Statement'!E53+'Sewer  Fund  Inc Exp Statem'!E53</f>
        <v>0</v>
      </c>
      <c r="F55" s="707">
        <f>'Water  Fund  Inc Exp Statement '!F53+'GF &amp; FF  Inc Exp Statement'!F53+'Sewer  Fund  Inc Exp Statem'!F53</f>
        <v>0</v>
      </c>
      <c r="G55" s="707">
        <f>'Water  Fund  Inc Exp Statement '!G53+'GF &amp; FF  Inc Exp Statement'!G53+'Sewer  Fund  Inc Exp Statem'!G53</f>
        <v>8236.1360000000004</v>
      </c>
      <c r="H55" s="707">
        <f>'Water  Fund  Inc Exp Statement '!H53+'GF &amp; FF  Inc Exp Statement'!H53+'Sewer  Fund  Inc Exp Statem'!H53</f>
        <v>12599.570300000001</v>
      </c>
      <c r="I55" s="707">
        <f>'Water  Fund  Inc Exp Statement '!I53+'GF &amp; FF  Inc Exp Statement'!I53+'Sewer  Fund  Inc Exp Statem'!I53</f>
        <v>8360.2773949999992</v>
      </c>
      <c r="J55" s="707">
        <f>'Water  Fund  Inc Exp Statement '!J53+'GF &amp; FF  Inc Exp Statement'!J53+'Sewer  Fund  Inc Exp Statem'!J53</f>
        <v>8506.4374048749996</v>
      </c>
      <c r="K55" s="707">
        <f>'Water  Fund  Inc Exp Statement '!K53+'GF &amp; FF  Inc Exp Statement'!K53+'Sewer  Fund  Inc Exp Statem'!K53</f>
        <v>8691.8165000000008</v>
      </c>
      <c r="L55" s="707">
        <f>'Water  Fund  Inc Exp Statement '!L53+'GF &amp; FF  Inc Exp Statement'!L53+'Sewer  Fund  Inc Exp Statem'!L53</f>
        <v>8841.484162499999</v>
      </c>
      <c r="M55" s="707">
        <f>'Water  Fund  Inc Exp Statement '!M53+'GF &amp; FF  Inc Exp Statement'!M53+'Sewer  Fund  Inc Exp Statem'!M53</f>
        <v>9025.0883915625</v>
      </c>
      <c r="N55" s="707">
        <f>'Water  Fund  Inc Exp Statement '!N53+'GF &amp; FF  Inc Exp Statement'!N53+'Sewer  Fund  Inc Exp Statem'!N53</f>
        <v>9245.1648863515638</v>
      </c>
      <c r="O55" s="707">
        <f>'Water  Fund  Inc Exp Statement '!O53+'GF &amp; FF  Inc Exp Statement'!O53+'Sewer  Fund  Inc Exp Statem'!O53</f>
        <v>9401.7245967103499</v>
      </c>
      <c r="P55" s="707">
        <f>'Water  Fund  Inc Exp Statement '!P53+'GF &amp; FF  Inc Exp Statement'!P53+'Sewer  Fund  Inc Exp Statem'!P53</f>
        <v>9628.7787290921096</v>
      </c>
      <c r="Q55" s="599" t="s">
        <v>32</v>
      </c>
    </row>
    <row r="56" spans="1:17" ht="11.25" hidden="1" outlineLevel="1" x14ac:dyDescent="0.2">
      <c r="A56" s="604" t="s">
        <v>1083</v>
      </c>
      <c r="B56" s="621"/>
      <c r="C56" s="621"/>
      <c r="D56" s="621">
        <f>'Water  Fund  Inc Exp Statement '!D54+'GF &amp; FF  Inc Exp Statement'!D54</f>
        <v>0</v>
      </c>
      <c r="E56" s="707">
        <f>'Water  Fund  Inc Exp Statement '!E54+'GF &amp; FF  Inc Exp Statement'!E54+'Sewer  Fund  Inc Exp Statem'!E54</f>
        <v>0</v>
      </c>
      <c r="F56" s="707">
        <f>'Water  Fund  Inc Exp Statement '!F54+'GF &amp; FF  Inc Exp Statement'!F54+'Sewer  Fund  Inc Exp Statem'!F54</f>
        <v>1248.338</v>
      </c>
      <c r="G56" s="707">
        <f>'Water  Fund  Inc Exp Statement '!G54+'GF &amp; FF  Inc Exp Statement'!G54+'Sewer  Fund  Inc Exp Statem'!G54</f>
        <v>978.11200000000008</v>
      </c>
      <c r="H56" s="707">
        <f>'Water  Fund  Inc Exp Statement '!H54+'GF &amp; FF  Inc Exp Statement'!H54+'Sewer  Fund  Inc Exp Statem'!H54</f>
        <v>932.58900000000006</v>
      </c>
      <c r="I56" s="707">
        <f>'Water  Fund  Inc Exp Statement '!I54+'GF &amp; FF  Inc Exp Statement'!I54+'Sewer  Fund  Inc Exp Statem'!I54</f>
        <v>820.72099999999989</v>
      </c>
      <c r="J56" s="707">
        <f>'Water  Fund  Inc Exp Statement '!J54+'GF &amp; FF  Inc Exp Statement'!J54+'Sewer  Fund  Inc Exp Statem'!J54</f>
        <v>868.93100000000004</v>
      </c>
      <c r="K56" s="707">
        <f>'Water  Fund  Inc Exp Statement '!K54+'GF &amp; FF  Inc Exp Statement'!K54+'Sewer  Fund  Inc Exp Statem'!K54</f>
        <v>904.44612000000006</v>
      </c>
      <c r="L56" s="707">
        <f>'Water  Fund  Inc Exp Statement '!L54+'GF &amp; FF  Inc Exp Statement'!L54+'Sewer  Fund  Inc Exp Statem'!L54</f>
        <v>940.05504240000016</v>
      </c>
      <c r="M56" s="707">
        <f>'Water  Fund  Inc Exp Statement '!M54+'GF &amp; FF  Inc Exp Statement'!M54+'Sewer  Fund  Inc Exp Statem'!M54</f>
        <v>651.83614324799998</v>
      </c>
      <c r="N56" s="707">
        <f>'Water  Fund  Inc Exp Statement '!N54+'GF &amp; FF  Inc Exp Statement'!N54+'Sewer  Fund  Inc Exp Statem'!N54</f>
        <v>243.08675504272003</v>
      </c>
      <c r="O56" s="707">
        <f>'Water  Fund  Inc Exp Statement '!O54+'GF &amp; FF  Inc Exp Statement'!O54+'Sewer  Fund  Inc Exp Statem'!O54</f>
        <v>252.04849014357444</v>
      </c>
      <c r="P56" s="707">
        <f>'Water  Fund  Inc Exp Statement '!P54+'GF &amp; FF  Inc Exp Statement'!P54+'Sewer  Fund  Inc Exp Statem'!P54</f>
        <v>262.04945994644595</v>
      </c>
    </row>
    <row r="57" spans="1:17" ht="11.25" hidden="1" outlineLevel="1" x14ac:dyDescent="0.2">
      <c r="A57" s="604" t="s">
        <v>1089</v>
      </c>
      <c r="B57" s="621"/>
      <c r="C57" s="621"/>
      <c r="D57" s="621">
        <f>'Water  Fund  Inc Exp Statement '!D55+'GF &amp; FF  Inc Exp Statement'!D55</f>
        <v>0</v>
      </c>
      <c r="E57" s="707">
        <f>'Water  Fund  Inc Exp Statement '!E55+'GF &amp; FF  Inc Exp Statement'!E55+'Sewer  Fund  Inc Exp Statem'!E55</f>
        <v>0</v>
      </c>
      <c r="F57" s="707">
        <f>'Water  Fund  Inc Exp Statement '!F55+'GF &amp; FF  Inc Exp Statement'!F55+'Sewer  Fund  Inc Exp Statem'!F55</f>
        <v>1950.8820000000001</v>
      </c>
      <c r="G57" s="707">
        <f>'Water  Fund  Inc Exp Statement '!G55+'GF &amp; FF  Inc Exp Statement'!G55+'Sewer  Fund  Inc Exp Statem'!G55</f>
        <v>2244.2849999999999</v>
      </c>
      <c r="H57" s="707">
        <f>'Water  Fund  Inc Exp Statement '!H55+'GF &amp; FF  Inc Exp Statement'!H55+'Sewer  Fund  Inc Exp Statem'!H55</f>
        <v>2318.1630099999998</v>
      </c>
      <c r="I57" s="707">
        <f>'Water  Fund  Inc Exp Statement '!I55+'GF &amp; FF  Inc Exp Statement'!I55+'Sewer  Fund  Inc Exp Statem'!I55</f>
        <v>2635.6813903000002</v>
      </c>
      <c r="J57" s="707">
        <f>'Water  Fund  Inc Exp Statement '!J55+'GF &amp; FF  Inc Exp Statement'!J55+'Sewer  Fund  Inc Exp Statem'!J55</f>
        <v>2795.5554420090002</v>
      </c>
      <c r="K57" s="707">
        <f>'Water  Fund  Inc Exp Statement '!K55+'GF &amp; FF  Inc Exp Statement'!K55+'Sewer  Fund  Inc Exp Statem'!K55</f>
        <v>2851.4665508491798</v>
      </c>
      <c r="L57" s="707">
        <f>'Water  Fund  Inc Exp Statement '!L55+'GF &amp; FF  Inc Exp Statement'!L55+'Sewer  Fund  Inc Exp Statem'!L55</f>
        <v>2908.4958818661635</v>
      </c>
      <c r="M57" s="707">
        <f>'Water  Fund  Inc Exp Statement '!M55+'GF &amp; FF  Inc Exp Statement'!M55+'Sewer  Fund  Inc Exp Statem'!M55</f>
        <v>2966.6657995034866</v>
      </c>
      <c r="N57" s="707">
        <f>'Water  Fund  Inc Exp Statement '!N55+'GF &amp; FF  Inc Exp Statement'!N55+'Sewer  Fund  Inc Exp Statem'!N55</f>
        <v>3025.9991154935569</v>
      </c>
      <c r="O57" s="707">
        <f>'Water  Fund  Inc Exp Statement '!O55+'GF &amp; FF  Inc Exp Statement'!O55+'Sewer  Fund  Inc Exp Statem'!O55</f>
        <v>3086.5190978034284</v>
      </c>
      <c r="P57" s="707">
        <f>'Water  Fund  Inc Exp Statement '!P55+'GF &amp; FF  Inc Exp Statement'!P55+'Sewer  Fund  Inc Exp Statem'!P55</f>
        <v>3148.2494797594968</v>
      </c>
    </row>
    <row r="58" spans="1:17" ht="11.25" hidden="1" outlineLevel="1" x14ac:dyDescent="0.2">
      <c r="A58" s="604"/>
      <c r="B58" s="621"/>
      <c r="C58" s="621"/>
      <c r="D58" s="771">
        <f t="shared" ref="D58:E58" si="13">SUM(D53:D57)</f>
        <v>0</v>
      </c>
      <c r="E58" s="771">
        <f t="shared" si="13"/>
        <v>0</v>
      </c>
      <c r="F58" s="771">
        <f>SUM(F53:F57)</f>
        <v>44004.642</v>
      </c>
      <c r="G58" s="771">
        <f t="shared" ref="G58:P58" si="14">SUM(G53:G57)</f>
        <v>45476.391000000003</v>
      </c>
      <c r="H58" s="771">
        <f t="shared" si="14"/>
        <v>25343.346809999999</v>
      </c>
      <c r="I58" s="771">
        <f t="shared" si="14"/>
        <v>20230.824785300003</v>
      </c>
      <c r="J58" s="771">
        <f t="shared" si="14"/>
        <v>19685.271846883999</v>
      </c>
      <c r="K58" s="771">
        <f t="shared" si="14"/>
        <v>18230.13567084918</v>
      </c>
      <c r="L58" s="771">
        <f t="shared" si="14"/>
        <v>18595.088249266162</v>
      </c>
      <c r="M58" s="771">
        <f t="shared" si="14"/>
        <v>18691.990555876488</v>
      </c>
      <c r="N58" s="771">
        <f t="shared" si="14"/>
        <v>18996.713628589401</v>
      </c>
      <c r="O58" s="771">
        <f t="shared" si="14"/>
        <v>19397.548825643455</v>
      </c>
      <c r="P58" s="771">
        <f t="shared" si="14"/>
        <v>19646.875067250647</v>
      </c>
    </row>
    <row r="59" spans="1:17" s="608" customFormat="1" ht="11.25" hidden="1" outlineLevel="1" x14ac:dyDescent="0.2">
      <c r="A59" s="623" t="s">
        <v>1084</v>
      </c>
      <c r="B59" s="621"/>
      <c r="C59" s="621"/>
      <c r="D59" s="621"/>
      <c r="E59" s="621"/>
      <c r="F59" s="621"/>
      <c r="G59" s="621"/>
      <c r="H59" s="621"/>
      <c r="I59" s="621"/>
      <c r="J59" s="621"/>
      <c r="K59" s="621"/>
      <c r="L59" s="621"/>
      <c r="M59" s="621"/>
      <c r="N59" s="621"/>
      <c r="O59" s="621"/>
      <c r="P59" s="621"/>
    </row>
    <row r="60" spans="1:17" ht="11.25" hidden="1" outlineLevel="1" x14ac:dyDescent="0.2">
      <c r="A60" s="604" t="s">
        <v>931</v>
      </c>
      <c r="B60" s="621"/>
      <c r="C60" s="621"/>
      <c r="D60" s="621">
        <f>'Water  Fund  Inc Exp Statement '!D58+'GF &amp; FF  Inc Exp Statement'!D58</f>
        <v>0</v>
      </c>
      <c r="E60" s="707">
        <f>'Water  Fund  Inc Exp Statement '!E58+'GF &amp; FF  Inc Exp Statement'!E58+'Sewer  Fund  Inc Exp Statem'!E58</f>
        <v>0</v>
      </c>
      <c r="F60" s="707">
        <f>'Water  Fund  Inc Exp Statement '!F58+'GF &amp; FF  Inc Exp Statement'!F58+'Sewer  Fund  Inc Exp Statem'!F58</f>
        <v>974.0440000000001</v>
      </c>
      <c r="G60" s="707">
        <f>'Water  Fund  Inc Exp Statement '!G58+'GF &amp; FF  Inc Exp Statement'!G58+'Sewer  Fund  Inc Exp Statem'!G58</f>
        <v>992.28100000000006</v>
      </c>
      <c r="H60" s="707">
        <f>'Water  Fund  Inc Exp Statement '!H58+'GF &amp; FF  Inc Exp Statement'!H58+'Sewer  Fund  Inc Exp Statem'!H58</f>
        <v>727.01800000000003</v>
      </c>
      <c r="I60" s="707">
        <f>'Water  Fund  Inc Exp Statement '!I58+'GF &amp; FF  Inc Exp Statement'!I58+'Sewer  Fund  Inc Exp Statem'!I58</f>
        <v>1047.1000000000001</v>
      </c>
      <c r="J60" s="707">
        <f>'Water  Fund  Inc Exp Statement '!J58+'GF &amp; FF  Inc Exp Statement'!J58+'Sewer  Fund  Inc Exp Statem'!J58</f>
        <v>1040.8149999999998</v>
      </c>
      <c r="K60" s="707">
        <f>'Water  Fund  Inc Exp Statement '!K58+'GF &amp; FF  Inc Exp Statement'!K58+'Sewer  Fund  Inc Exp Statem'!K58</f>
        <v>-56.727253199998813</v>
      </c>
      <c r="L60" s="707">
        <f>'Water  Fund  Inc Exp Statement '!L58+'GF &amp; FF  Inc Exp Statement'!L58+'Sewer  Fund  Inc Exp Statem'!L58</f>
        <v>-59.06526155200072</v>
      </c>
      <c r="M60" s="707">
        <f>'Water  Fund  Inc Exp Statement '!M58+'GF &amp; FF  Inc Exp Statement'!M58+'Sewer  Fund  Inc Exp Statem'!M58</f>
        <v>-61.223545646060927</v>
      </c>
      <c r="N60" s="707">
        <f>'Water  Fund  Inc Exp Statement '!N58+'GF &amp; FF  Inc Exp Statement'!N58+'Sewer  Fund  Inc Exp Statem'!N58</f>
        <v>-75.252824351875063</v>
      </c>
      <c r="O60" s="707">
        <f>'Water  Fund  Inc Exp Statement '!O58+'GF &amp; FF  Inc Exp Statement'!O58+'Sewer  Fund  Inc Exp Statem'!O58</f>
        <v>-77.628243665413038</v>
      </c>
      <c r="P60" s="707">
        <f>'Water  Fund  Inc Exp Statement '!P58+'GF &amp; FF  Inc Exp Statement'!P58+'Sewer  Fund  Inc Exp Statem'!P58</f>
        <v>-79.736614748906504</v>
      </c>
      <c r="Q60" s="608"/>
    </row>
    <row r="61" spans="1:17" ht="11.25" hidden="1" outlineLevel="1" x14ac:dyDescent="0.2">
      <c r="A61" s="604" t="s">
        <v>244</v>
      </c>
      <c r="B61" s="621"/>
      <c r="C61" s="621"/>
      <c r="D61" s="621">
        <f>'Water  Fund  Inc Exp Statement '!D59+'GF &amp; FF  Inc Exp Statement'!D59</f>
        <v>0</v>
      </c>
      <c r="E61" s="707">
        <f>'Water  Fund  Inc Exp Statement '!E59+'GF &amp; FF  Inc Exp Statement'!E59+'Sewer  Fund  Inc Exp Statem'!E59</f>
        <v>0</v>
      </c>
      <c r="F61" s="707">
        <f>'Water  Fund  Inc Exp Statement '!F59+'GF &amp; FF  Inc Exp Statement'!F59+'Sewer  Fund  Inc Exp Statem'!F59</f>
        <v>1654.0070000000001</v>
      </c>
      <c r="G61" s="707">
        <f>'Water  Fund  Inc Exp Statement '!G59+'GF &amp; FF  Inc Exp Statement'!G59+'Sewer  Fund  Inc Exp Statem'!G59</f>
        <v>2081.9670000000001</v>
      </c>
      <c r="H61" s="707">
        <f>'Water  Fund  Inc Exp Statement '!H59+'GF &amp; FF  Inc Exp Statement'!H59+'Sewer  Fund  Inc Exp Statem'!H59</f>
        <v>2136.7460099999998</v>
      </c>
      <c r="I61" s="707">
        <f>'Water  Fund  Inc Exp Statement '!I59+'GF &amp; FF  Inc Exp Statement'!I59+'Sewer  Fund  Inc Exp Statem'!I59</f>
        <v>2193.1683903000003</v>
      </c>
      <c r="J61" s="707">
        <f>'Water  Fund  Inc Exp Statement '!J59+'GF &amp; FF  Inc Exp Statement'!J59+'Sewer  Fund  Inc Exp Statem'!J59</f>
        <v>2251.2834420090003</v>
      </c>
      <c r="K61" s="707">
        <f>'Water  Fund  Inc Exp Statement '!K59+'GF &amp; FF  Inc Exp Statement'!K59+'Sewer  Fund  Inc Exp Statem'!K59</f>
        <v>2307.065528059225</v>
      </c>
      <c r="L61" s="707">
        <f>'Water  Fund  Inc Exp Statement '!L59+'GF &amp; FF  Inc Exp Statement'!L59+'Sewer  Fund  Inc Exp Statem'!L59</f>
        <v>2363.2121662607051</v>
      </c>
      <c r="M61" s="707">
        <f>'Water  Fund  Inc Exp Statement '!M59+'GF &amp; FF  Inc Exp Statement'!M59+'Sewer  Fund  Inc Exp Statem'!M59</f>
        <v>2421.7773704172228</v>
      </c>
      <c r="N61" s="707">
        <f>'Water  Fund  Inc Exp Statement '!N59+'GF &amp; FF  Inc Exp Statement'!N59+'Sewer  Fund  Inc Exp Statem'!N59</f>
        <v>2481.7964026776531</v>
      </c>
      <c r="O61" s="707">
        <f>'Water  Fund  Inc Exp Statement '!O59+'GF &amp; FF  Inc Exp Statement'!O59+'Sewer  Fund  Inc Exp Statem'!O59</f>
        <v>2542.244194704595</v>
      </c>
      <c r="P61" s="707">
        <f>'Water  Fund  Inc Exp Statement '!P59+'GF &amp; FF  Inc Exp Statement'!P59+'Sewer  Fund  Inc Exp Statem'!P59</f>
        <v>2604.1977693714093</v>
      </c>
    </row>
    <row r="62" spans="1:17" ht="11.25" hidden="1" outlineLevel="1" x14ac:dyDescent="0.2">
      <c r="A62" s="604" t="s">
        <v>1085</v>
      </c>
      <c r="B62" s="621"/>
      <c r="C62" s="621"/>
      <c r="D62" s="621">
        <f>'Water  Fund  Inc Exp Statement '!D60+'GF &amp; FF  Inc Exp Statement'!D60</f>
        <v>0</v>
      </c>
      <c r="E62" s="707">
        <f>'Water  Fund  Inc Exp Statement '!E60+'GF &amp; FF  Inc Exp Statement'!E60+'Sewer  Fund  Inc Exp Statem'!E60</f>
        <v>0</v>
      </c>
      <c r="F62" s="707">
        <f>'Water  Fund  Inc Exp Statement '!F60+'GF &amp; FF  Inc Exp Statement'!F60+'Sewer  Fund  Inc Exp Statem'!F60</f>
        <v>2226</v>
      </c>
      <c r="G62" s="707">
        <f>'Water  Fund  Inc Exp Statement '!G60+'GF &amp; FF  Inc Exp Statement'!G60+'Sewer  Fund  Inc Exp Statem'!G60</f>
        <v>10381</v>
      </c>
      <c r="H62" s="707">
        <f>'Water  Fund  Inc Exp Statement '!H60+'GF &amp; FF  Inc Exp Statement'!H60+'Sewer  Fund  Inc Exp Statem'!H60</f>
        <v>1741</v>
      </c>
      <c r="I62" s="707">
        <f>'Water  Fund  Inc Exp Statement '!I60+'GF &amp; FF  Inc Exp Statement'!I60+'Sewer  Fund  Inc Exp Statem'!I60</f>
        <v>1741</v>
      </c>
      <c r="J62" s="707">
        <f>'Water  Fund  Inc Exp Statement '!J60+'GF &amp; FF  Inc Exp Statement'!J60+'Sewer  Fund  Inc Exp Statem'!J60</f>
        <v>1741</v>
      </c>
      <c r="K62" s="707">
        <f>'Water  Fund  Inc Exp Statement '!K60+'GF &amp; FF  Inc Exp Statement'!K60+'Sewer  Fund  Inc Exp Statem'!K60</f>
        <v>1784.5249999999999</v>
      </c>
      <c r="L62" s="707">
        <f>'Water  Fund  Inc Exp Statement '!L60+'GF &amp; FF  Inc Exp Statement'!L60+'Sewer  Fund  Inc Exp Statem'!L60</f>
        <v>1829.1381249999995</v>
      </c>
      <c r="M62" s="707">
        <f>'Water  Fund  Inc Exp Statement '!M60+'GF &amp; FF  Inc Exp Statement'!M60+'Sewer  Fund  Inc Exp Statem'!M60</f>
        <v>1874.8665781249993</v>
      </c>
      <c r="N62" s="707">
        <f>'Water  Fund  Inc Exp Statement '!N60+'GF &amp; FF  Inc Exp Statement'!N60+'Sewer  Fund  Inc Exp Statem'!N60</f>
        <v>1921.7382425781241</v>
      </c>
      <c r="O62" s="707">
        <f>'Water  Fund  Inc Exp Statement '!O60+'GF &amp; FF  Inc Exp Statement'!O60+'Sewer  Fund  Inc Exp Statem'!O60</f>
        <v>1969.7816986425771</v>
      </c>
      <c r="P62" s="707">
        <f>'Water  Fund  Inc Exp Statement '!P60+'GF &amp; FF  Inc Exp Statement'!P60+'Sewer  Fund  Inc Exp Statem'!P60</f>
        <v>2019.0262411086412</v>
      </c>
    </row>
    <row r="63" spans="1:17" ht="11.25" hidden="1" outlineLevel="1" x14ac:dyDescent="0.2">
      <c r="A63" s="604" t="s">
        <v>1086</v>
      </c>
      <c r="B63" s="621"/>
      <c r="C63" s="621"/>
      <c r="D63" s="621">
        <f>'Water  Fund  Inc Exp Statement '!D61+'GF &amp; FF  Inc Exp Statement'!D61</f>
        <v>0</v>
      </c>
      <c r="E63" s="707">
        <f>'Water  Fund  Inc Exp Statement '!E61+'GF &amp; FF  Inc Exp Statement'!E61+'Sewer  Fund  Inc Exp Statem'!E61</f>
        <v>0</v>
      </c>
      <c r="F63" s="707">
        <f>'Water  Fund  Inc Exp Statement '!F61+'GF &amp; FF  Inc Exp Statement'!F61+'Sewer  Fund  Inc Exp Statem'!F61</f>
        <v>78</v>
      </c>
      <c r="G63" s="707">
        <f>'Water  Fund  Inc Exp Statement '!G61+'GF &amp; FF  Inc Exp Statement'!G61+'Sewer  Fund  Inc Exp Statem'!G61</f>
        <v>65</v>
      </c>
      <c r="H63" s="707">
        <f>'Water  Fund  Inc Exp Statement '!H61+'GF &amp; FF  Inc Exp Statement'!H61+'Sewer  Fund  Inc Exp Statem'!H61</f>
        <v>66.625</v>
      </c>
      <c r="I63" s="707">
        <f>'Water  Fund  Inc Exp Statement '!I61+'GF &amp; FF  Inc Exp Statement'!I61+'Sewer  Fund  Inc Exp Statem'!I61</f>
        <v>68.290625000000006</v>
      </c>
      <c r="J63" s="707">
        <f>'Water  Fund  Inc Exp Statement '!J61+'GF &amp; FF  Inc Exp Statement'!J61+'Sewer  Fund  Inc Exp Statem'!J61</f>
        <v>69.997890624999997</v>
      </c>
      <c r="K63" s="707">
        <f>'Water  Fund  Inc Exp Statement '!K61+'GF &amp; FF  Inc Exp Statement'!K61+'Sewer  Fund  Inc Exp Statem'!K61</f>
        <v>71.747837890624993</v>
      </c>
      <c r="L63" s="707">
        <f>'Water  Fund  Inc Exp Statement '!L61+'GF &amp; FF  Inc Exp Statement'!L61+'Sewer  Fund  Inc Exp Statem'!L61</f>
        <v>73.541533837890611</v>
      </c>
      <c r="M63" s="707">
        <f>'Water  Fund  Inc Exp Statement '!M61+'GF &amp; FF  Inc Exp Statement'!M61+'Sewer  Fund  Inc Exp Statem'!M61</f>
        <v>75.380072183837882</v>
      </c>
      <c r="N63" s="707">
        <f>'Water  Fund  Inc Exp Statement '!N61+'GF &amp; FF  Inc Exp Statement'!N61+'Sewer  Fund  Inc Exp Statem'!N61</f>
        <v>77.264573988433824</v>
      </c>
      <c r="O63" s="707">
        <f>'Water  Fund  Inc Exp Statement '!O61+'GF &amp; FF  Inc Exp Statement'!O61+'Sewer  Fund  Inc Exp Statem'!O61</f>
        <v>79.196188338144665</v>
      </c>
      <c r="P63" s="707">
        <f>'Water  Fund  Inc Exp Statement '!P61+'GF &amp; FF  Inc Exp Statement'!P61+'Sewer  Fund  Inc Exp Statem'!P61</f>
        <v>81.176093046598282</v>
      </c>
    </row>
    <row r="64" spans="1:17" ht="11.25" hidden="1" outlineLevel="1" x14ac:dyDescent="0.2">
      <c r="A64" s="604" t="s">
        <v>33</v>
      </c>
      <c r="B64" s="621">
        <f>+B29</f>
        <v>0</v>
      </c>
      <c r="C64" s="621">
        <f>C29</f>
        <v>0</v>
      </c>
      <c r="D64" s="621">
        <f>'Water  Fund  Inc Exp Statement '!D62+'GF &amp; FF  Inc Exp Statement'!D62</f>
        <v>0</v>
      </c>
      <c r="E64" s="707">
        <f>'Water  Fund  Inc Exp Statement '!E62+'GF &amp; FF  Inc Exp Statement'!E62+'Sewer  Fund  Inc Exp Statem'!E62</f>
        <v>9874</v>
      </c>
      <c r="F64" s="707">
        <f>'Water  Fund  Inc Exp Statement '!F62+'GF &amp; FF  Inc Exp Statement'!F62+'Sewer  Fund  Inc Exp Statem'!F62</f>
        <v>11286.985000000001</v>
      </c>
      <c r="G64" s="707">
        <f>'Water  Fund  Inc Exp Statement '!G62+'GF &amp; FF  Inc Exp Statement'!G62+'Sewer  Fund  Inc Exp Statem'!G62</f>
        <v>10148.165000000001</v>
      </c>
      <c r="H64" s="707">
        <f>'Water  Fund  Inc Exp Statement '!H62+'GF &amp; FF  Inc Exp Statement'!H62+'Sewer  Fund  Inc Exp Statem'!H62</f>
        <v>10554.298170000002</v>
      </c>
      <c r="I64" s="707">
        <f>'Water  Fund  Inc Exp Statement '!I62+'GF &amp; FF  Inc Exp Statement'!I62+'Sewer  Fund  Inc Exp Statem'!I62</f>
        <v>10794.972653649998</v>
      </c>
      <c r="J64" s="707">
        <f>'Water  Fund  Inc Exp Statement '!J62+'GF &amp; FF  Inc Exp Statement'!J62+'Sewer  Fund  Inc Exp Statem'!J62</f>
        <v>11042.75922797925</v>
      </c>
      <c r="K64" s="707">
        <f>'Water  Fund  Inc Exp Statement '!K62+'GF &amp; FF  Inc Exp Statement'!K62+'Sewer  Fund  Inc Exp Statem'!K62</f>
        <v>11614.76408867873</v>
      </c>
      <c r="L64" s="707">
        <f>'Water  Fund  Inc Exp Statement '!L62+'GF &amp; FF  Inc Exp Statement'!L62+'Sewer  Fund  Inc Exp Statem'!L62</f>
        <v>11897.486332495695</v>
      </c>
      <c r="M64" s="707">
        <f>'Water  Fund  Inc Exp Statement '!M62+'GF &amp; FF  Inc Exp Statement'!M62+'Sewer  Fund  Inc Exp Statem'!M62</f>
        <v>12187.123695240085</v>
      </c>
      <c r="N64" s="707">
        <f>'Water  Fund  Inc Exp Statement '!N62+'GF &amp; FF  Inc Exp Statement'!N62+'Sewer  Fund  Inc Exp Statem'!N62</f>
        <v>12483.845996141728</v>
      </c>
      <c r="O64" s="707">
        <f>'Water  Fund  Inc Exp Statement '!O62+'GF &amp; FF  Inc Exp Statement'!O62+'Sewer  Fund  Inc Exp Statem'!O62</f>
        <v>12787.827238736321</v>
      </c>
      <c r="P64" s="707">
        <f>'Water  Fund  Inc Exp Statement '!P62+'GF &amp; FF  Inc Exp Statement'!P62+'Sewer  Fund  Inc Exp Statem'!P62</f>
        <v>13099.245714249602</v>
      </c>
    </row>
    <row r="65" spans="1:16" ht="11.25" hidden="1" outlineLevel="1" x14ac:dyDescent="0.2">
      <c r="A65" s="604" t="s">
        <v>22</v>
      </c>
      <c r="B65" s="621"/>
      <c r="C65" s="621"/>
      <c r="D65" s="621">
        <f>'Water  Fund  Inc Exp Statement '!D63+'GF &amp; FF  Inc Exp Statement'!D63</f>
        <v>0</v>
      </c>
      <c r="E65" s="707">
        <f>'Water  Fund  Inc Exp Statement '!E63+'GF &amp; FF  Inc Exp Statement'!E63+'Sewer  Fund  Inc Exp Statem'!E63</f>
        <v>0</v>
      </c>
      <c r="F65" s="707">
        <f>'Water  Fund  Inc Exp Statement '!F63+'GF &amp; FF  Inc Exp Statement'!F63+'Sewer  Fund  Inc Exp Statem'!F63</f>
        <v>7989.6059999999998</v>
      </c>
      <c r="G65" s="707">
        <f>'Water  Fund  Inc Exp Statement '!G63+'GF &amp; FF  Inc Exp Statement'!G63+'Sewer  Fund  Inc Exp Statem'!G63</f>
        <v>4352.2619999999997</v>
      </c>
      <c r="H65" s="707">
        <f>'Water  Fund  Inc Exp Statement '!H63+'GF &amp; FF  Inc Exp Statement'!H63+'Sewer  Fund  Inc Exp Statem'!H63</f>
        <v>10251.865</v>
      </c>
      <c r="I65" s="707">
        <f>'Water  Fund  Inc Exp Statement '!I63+'GF &amp; FF  Inc Exp Statement'!I63+'Sewer  Fund  Inc Exp Statem'!I63</f>
        <v>4276.4719999999998</v>
      </c>
      <c r="J65" s="707">
        <f>'Water  Fund  Inc Exp Statement '!J63+'GF &amp; FF  Inc Exp Statement'!J63+'Sewer  Fund  Inc Exp Statem'!J63</f>
        <v>3387.239</v>
      </c>
      <c r="K65" s="707">
        <f>'Water  Fund  Inc Exp Statement '!K63+'GF &amp; FF  Inc Exp Statement'!K63+'Sewer  Fund  Inc Exp Statem'!K63</f>
        <v>2040</v>
      </c>
      <c r="L65" s="707">
        <f>'Water  Fund  Inc Exp Statement '!L63+'GF &amp; FF  Inc Exp Statement'!L63+'Sewer  Fund  Inc Exp Statem'!L63</f>
        <v>2080.8000000000002</v>
      </c>
      <c r="M65" s="707">
        <f>'Water  Fund  Inc Exp Statement '!M63+'GF &amp; FF  Inc Exp Statement'!M63+'Sewer  Fund  Inc Exp Statem'!M63</f>
        <v>2122.4160000000002</v>
      </c>
      <c r="N65" s="707">
        <f>'Water  Fund  Inc Exp Statement '!N63+'GF &amp; FF  Inc Exp Statement'!N63+'Sewer  Fund  Inc Exp Statem'!N63</f>
        <v>2164.8643199999997</v>
      </c>
      <c r="O65" s="707">
        <f>'Water  Fund  Inc Exp Statement '!O63+'GF &amp; FF  Inc Exp Statement'!O63+'Sewer  Fund  Inc Exp Statem'!O63</f>
        <v>2208.1616064</v>
      </c>
      <c r="P65" s="707">
        <f>'Water  Fund  Inc Exp Statement '!P63+'GF &amp; FF  Inc Exp Statement'!P63+'Sewer  Fund  Inc Exp Statem'!P63</f>
        <v>2252.3248385279999</v>
      </c>
    </row>
    <row r="66" spans="1:16" ht="11.25" hidden="1" outlineLevel="1" x14ac:dyDescent="0.2">
      <c r="A66" s="604" t="s">
        <v>1087</v>
      </c>
      <c r="B66" s="621"/>
      <c r="C66" s="621"/>
      <c r="D66" s="621">
        <f>'Water  Fund  Inc Exp Statement '!D64+'GF &amp; FF  Inc Exp Statement'!D64</f>
        <v>0</v>
      </c>
      <c r="E66" s="707">
        <f>'Water  Fund  Inc Exp Statement '!E64+'GF &amp; FF  Inc Exp Statement'!E64+'Sewer  Fund  Inc Exp Statem'!E64</f>
        <v>0</v>
      </c>
      <c r="F66" s="707">
        <f>'Water  Fund  Inc Exp Statement '!F64+'GF &amp; FF  Inc Exp Statement'!F64+'Sewer  Fund  Inc Exp Statem'!F64</f>
        <v>19756</v>
      </c>
      <c r="G66" s="707">
        <f>'Water  Fund  Inc Exp Statement '!G64+'GF &amp; FF  Inc Exp Statement'!G64+'Sewer  Fund  Inc Exp Statem'!G64</f>
        <v>17356.182000000001</v>
      </c>
      <c r="H66" s="707">
        <f>'Water  Fund  Inc Exp Statement '!H64+'GF &amp; FF  Inc Exp Statement'!H64+'Sewer  Fund  Inc Exp Statem'!H64</f>
        <v>0</v>
      </c>
      <c r="I66" s="707">
        <f>'Water  Fund  Inc Exp Statement '!I64+'GF &amp; FF  Inc Exp Statement'!I64+'Sewer  Fund  Inc Exp Statem'!I64</f>
        <v>0</v>
      </c>
      <c r="J66" s="707">
        <f>'Water  Fund  Inc Exp Statement '!J64+'GF &amp; FF  Inc Exp Statement'!J64+'Sewer  Fund  Inc Exp Statem'!J64</f>
        <v>0</v>
      </c>
      <c r="K66" s="707">
        <f>'Water  Fund  Inc Exp Statement '!K64+'GF &amp; FF  Inc Exp Statement'!K64+'Sewer  Fund  Inc Exp Statem'!K64</f>
        <v>0</v>
      </c>
      <c r="L66" s="707">
        <f>'Water  Fund  Inc Exp Statement '!L64+'GF &amp; FF  Inc Exp Statement'!L64+'Sewer  Fund  Inc Exp Statem'!L64</f>
        <v>0</v>
      </c>
      <c r="M66" s="707">
        <f>'Water  Fund  Inc Exp Statement '!M64+'GF &amp; FF  Inc Exp Statement'!M64+'Sewer  Fund  Inc Exp Statem'!M64</f>
        <v>0</v>
      </c>
      <c r="N66" s="707">
        <f>'Water  Fund  Inc Exp Statement '!N64+'GF &amp; FF  Inc Exp Statement'!N64+'Sewer  Fund  Inc Exp Statem'!N64</f>
        <v>0</v>
      </c>
      <c r="O66" s="707">
        <f>'Water  Fund  Inc Exp Statement '!O64+'GF &amp; FF  Inc Exp Statement'!O64+'Sewer  Fund  Inc Exp Statem'!O64</f>
        <v>0</v>
      </c>
      <c r="P66" s="707">
        <f>'Water  Fund  Inc Exp Statement '!P64+'GF &amp; FF  Inc Exp Statement'!P64+'Sewer  Fund  Inc Exp Statem'!P64</f>
        <v>0</v>
      </c>
    </row>
    <row r="67" spans="1:16" ht="11.25" hidden="1" outlineLevel="1" x14ac:dyDescent="0.2">
      <c r="A67" s="604" t="s">
        <v>1088</v>
      </c>
      <c r="B67" s="621"/>
      <c r="C67" s="621"/>
      <c r="D67" s="621">
        <f>'Water  Fund  Inc Exp Statement '!D65+'GF &amp; FF  Inc Exp Statement'!D65</f>
        <v>0</v>
      </c>
      <c r="E67" s="707">
        <f>'Water  Fund  Inc Exp Statement '!E65+'GF &amp; FF  Inc Exp Statement'!E65+'Sewer  Fund  Inc Exp Statem'!E65</f>
        <v>0</v>
      </c>
      <c r="F67" s="707">
        <f>'Water  Fund  Inc Exp Statement '!F65+'GF &amp; FF  Inc Exp Statement'!F65+'Sewer  Fund  Inc Exp Statem'!F65</f>
        <v>70</v>
      </c>
      <c r="G67" s="707">
        <f>'Water  Fund  Inc Exp Statement '!G65+'GF &amp; FF  Inc Exp Statement'!G65+'Sewer  Fund  Inc Exp Statem'!G65</f>
        <v>70</v>
      </c>
      <c r="H67" s="707">
        <f>'Water  Fund  Inc Exp Statement '!H65+'GF &amp; FF  Inc Exp Statement'!H65+'Sewer  Fund  Inc Exp Statem'!H65</f>
        <v>70</v>
      </c>
      <c r="I67" s="707">
        <f>'Water  Fund  Inc Exp Statement '!I65+'GF &amp; FF  Inc Exp Statement'!I65+'Sewer  Fund  Inc Exp Statem'!I65</f>
        <v>70</v>
      </c>
      <c r="J67" s="707">
        <f>'Water  Fund  Inc Exp Statement '!J65+'GF &amp; FF  Inc Exp Statement'!J65+'Sewer  Fund  Inc Exp Statem'!J65</f>
        <v>70</v>
      </c>
      <c r="K67" s="707">
        <f>'Water  Fund  Inc Exp Statement '!K65+'GF &amp; FF  Inc Exp Statement'!K65+'Sewer  Fund  Inc Exp Statem'!K65</f>
        <v>71.400000000000006</v>
      </c>
      <c r="L67" s="707">
        <f>'Water  Fund  Inc Exp Statement '!L65+'GF &amp; FF  Inc Exp Statement'!L65+'Sewer  Fund  Inc Exp Statem'!L65</f>
        <v>72.828000000000003</v>
      </c>
      <c r="M67" s="707">
        <f>'Water  Fund  Inc Exp Statement '!M65+'GF &amp; FF  Inc Exp Statement'!M65+'Sewer  Fund  Inc Exp Statem'!M65</f>
        <v>74.284559999999999</v>
      </c>
      <c r="N67" s="707">
        <f>'Water  Fund  Inc Exp Statement '!N65+'GF &amp; FF  Inc Exp Statement'!N65+'Sewer  Fund  Inc Exp Statem'!N65</f>
        <v>75.770251200000004</v>
      </c>
      <c r="O67" s="707">
        <f>'Water  Fund  Inc Exp Statement '!O65+'GF &amp; FF  Inc Exp Statement'!O65+'Sewer  Fund  Inc Exp Statem'!O65</f>
        <v>77.285656224000007</v>
      </c>
      <c r="P67" s="707">
        <f>'Water  Fund  Inc Exp Statement '!P65+'GF &amp; FF  Inc Exp Statement'!P65+'Sewer  Fund  Inc Exp Statem'!P65</f>
        <v>78.831369348479996</v>
      </c>
    </row>
    <row r="68" spans="1:16" ht="11.25" hidden="1" outlineLevel="1" x14ac:dyDescent="0.2">
      <c r="A68" s="604"/>
      <c r="B68" s="621"/>
      <c r="C68" s="621"/>
      <c r="D68" s="771">
        <f t="shared" ref="D68:P68" si="15">SUM(D60:D67)</f>
        <v>0</v>
      </c>
      <c r="E68" s="771">
        <f t="shared" si="15"/>
        <v>9874</v>
      </c>
      <c r="F68" s="771">
        <f t="shared" si="15"/>
        <v>44034.642</v>
      </c>
      <c r="G68" s="771">
        <f t="shared" si="15"/>
        <v>45446.857000000004</v>
      </c>
      <c r="H68" s="771">
        <f t="shared" si="15"/>
        <v>25547.552179999999</v>
      </c>
      <c r="I68" s="771">
        <f t="shared" si="15"/>
        <v>20191.003668949998</v>
      </c>
      <c r="J68" s="771">
        <f t="shared" si="15"/>
        <v>19603.094560613252</v>
      </c>
      <c r="K68" s="771">
        <f t="shared" si="15"/>
        <v>17832.775201428583</v>
      </c>
      <c r="L68" s="771">
        <f t="shared" si="15"/>
        <v>18257.940896042292</v>
      </c>
      <c r="M68" s="771">
        <f t="shared" si="15"/>
        <v>18694.624730320083</v>
      </c>
      <c r="N68" s="771">
        <f t="shared" si="15"/>
        <v>19130.026962234064</v>
      </c>
      <c r="O68" s="771">
        <f t="shared" si="15"/>
        <v>19586.868339380228</v>
      </c>
      <c r="P68" s="771">
        <f t="shared" si="15"/>
        <v>20055.065410903826</v>
      </c>
    </row>
    <row r="69" spans="1:16" ht="11.25" hidden="1" outlineLevel="1" x14ac:dyDescent="0.2">
      <c r="A69" s="599"/>
      <c r="B69" s="621"/>
      <c r="C69" s="621"/>
      <c r="D69" s="622"/>
      <c r="E69" s="622"/>
      <c r="F69" s="622"/>
      <c r="G69" s="622"/>
      <c r="H69" s="622"/>
      <c r="I69" s="622"/>
      <c r="J69" s="622"/>
      <c r="K69" s="624"/>
      <c r="L69" s="624"/>
      <c r="M69" s="624"/>
      <c r="N69" s="624"/>
      <c r="O69" s="624"/>
      <c r="P69" s="624"/>
    </row>
    <row r="70" spans="1:16" ht="11.25" hidden="1" outlineLevel="1" x14ac:dyDescent="0.2">
      <c r="A70" s="604"/>
      <c r="B70" s="621"/>
      <c r="C70" s="621"/>
      <c r="D70" s="621"/>
      <c r="E70" s="621"/>
      <c r="F70" s="621"/>
      <c r="G70" s="621"/>
      <c r="H70" s="621"/>
      <c r="I70" s="621"/>
      <c r="J70" s="621"/>
      <c r="K70" s="621"/>
      <c r="L70" s="621"/>
      <c r="M70" s="621"/>
      <c r="N70" s="621"/>
      <c r="O70" s="621"/>
      <c r="P70" s="621"/>
    </row>
    <row r="71" spans="1:16" ht="11.25" hidden="1" outlineLevel="1" x14ac:dyDescent="0.2">
      <c r="A71" s="604" t="s">
        <v>34</v>
      </c>
      <c r="B71" s="621">
        <f>+B40+SUM(B53:B70)</f>
        <v>0</v>
      </c>
      <c r="C71" s="621">
        <f>+C40+SUM(C53:C70)</f>
        <v>0</v>
      </c>
      <c r="D71" s="625">
        <f>D68-D58</f>
        <v>0</v>
      </c>
      <c r="E71" s="625">
        <f t="shared" ref="E71:P71" si="16">E68-E58</f>
        <v>9874</v>
      </c>
      <c r="F71" s="625">
        <f t="shared" si="16"/>
        <v>30</v>
      </c>
      <c r="G71" s="625">
        <f t="shared" si="16"/>
        <v>-29.533999999999651</v>
      </c>
      <c r="H71" s="625">
        <f t="shared" si="16"/>
        <v>204.20536999999968</v>
      </c>
      <c r="I71" s="625">
        <f t="shared" si="16"/>
        <v>-39.821116350005468</v>
      </c>
      <c r="J71" s="625">
        <f t="shared" si="16"/>
        <v>-82.177286270747572</v>
      </c>
      <c r="K71" s="625">
        <f t="shared" si="16"/>
        <v>-397.36046942059693</v>
      </c>
      <c r="L71" s="625">
        <f t="shared" si="16"/>
        <v>-337.1473532238706</v>
      </c>
      <c r="M71" s="625">
        <f t="shared" si="16"/>
        <v>2.634174443595839</v>
      </c>
      <c r="N71" s="625">
        <f t="shared" si="16"/>
        <v>133.31333364466263</v>
      </c>
      <c r="O71" s="625">
        <f t="shared" si="16"/>
        <v>189.31951373677293</v>
      </c>
      <c r="P71" s="625">
        <f t="shared" si="16"/>
        <v>408.1903436531793</v>
      </c>
    </row>
    <row r="72" spans="1:16" ht="11.25" hidden="1" outlineLevel="1" x14ac:dyDescent="0.2">
      <c r="A72" s="600" t="s">
        <v>451</v>
      </c>
      <c r="C72" s="606">
        <f>B73</f>
        <v>0</v>
      </c>
      <c r="D72" s="606">
        <f t="shared" ref="D72:E72" si="17">C73</f>
        <v>0</v>
      </c>
      <c r="E72" s="606">
        <f t="shared" si="17"/>
        <v>0</v>
      </c>
      <c r="F72" s="606">
        <v>0</v>
      </c>
      <c r="G72" s="606">
        <f t="shared" ref="G72:P72" si="18">F73</f>
        <v>30</v>
      </c>
      <c r="H72" s="606">
        <f t="shared" si="18"/>
        <v>0.46600000000034925</v>
      </c>
      <c r="I72" s="606">
        <f t="shared" si="18"/>
        <v>204.67137000000002</v>
      </c>
      <c r="J72" s="606">
        <f t="shared" si="18"/>
        <v>164.85025364999456</v>
      </c>
      <c r="K72" s="606">
        <f t="shared" si="18"/>
        <v>82.672967379246984</v>
      </c>
      <c r="L72" s="606">
        <f t="shared" si="18"/>
        <v>-314.68750204134994</v>
      </c>
      <c r="M72" s="606">
        <f t="shared" si="18"/>
        <v>-651.83485526522054</v>
      </c>
      <c r="N72" s="606">
        <f t="shared" si="18"/>
        <v>-649.2006808216247</v>
      </c>
      <c r="O72" s="606">
        <f t="shared" si="18"/>
        <v>-515.88734717696207</v>
      </c>
      <c r="P72" s="606">
        <f t="shared" si="18"/>
        <v>-326.56783344018913</v>
      </c>
    </row>
    <row r="73" spans="1:16" ht="11.25" hidden="1" outlineLevel="1" x14ac:dyDescent="0.2">
      <c r="A73" s="620" t="s">
        <v>452</v>
      </c>
      <c r="B73" s="626"/>
      <c r="C73" s="627">
        <f>SUM(C71:C72)</f>
        <v>0</v>
      </c>
      <c r="D73" s="627">
        <f t="shared" ref="D73:P73" si="19">SUM(D71:D72)</f>
        <v>0</v>
      </c>
      <c r="E73" s="627">
        <f t="shared" si="19"/>
        <v>9874</v>
      </c>
      <c r="F73" s="627">
        <f t="shared" si="19"/>
        <v>30</v>
      </c>
      <c r="G73" s="627">
        <f t="shared" si="19"/>
        <v>0.46600000000034925</v>
      </c>
      <c r="H73" s="627">
        <f t="shared" si="19"/>
        <v>204.67137000000002</v>
      </c>
      <c r="I73" s="627">
        <f t="shared" si="19"/>
        <v>164.85025364999456</v>
      </c>
      <c r="J73" s="627">
        <f t="shared" si="19"/>
        <v>82.672967379246984</v>
      </c>
      <c r="K73" s="627">
        <f t="shared" si="19"/>
        <v>-314.68750204134994</v>
      </c>
      <c r="L73" s="627">
        <f t="shared" si="19"/>
        <v>-651.83485526522054</v>
      </c>
      <c r="M73" s="627">
        <f t="shared" si="19"/>
        <v>-649.2006808216247</v>
      </c>
      <c r="N73" s="627">
        <f t="shared" si="19"/>
        <v>-515.88734717696207</v>
      </c>
      <c r="O73" s="627">
        <f t="shared" si="19"/>
        <v>-326.56783344018913</v>
      </c>
      <c r="P73" s="627">
        <f t="shared" si="19"/>
        <v>81.622510212990164</v>
      </c>
    </row>
    <row r="74" spans="1:16" ht="11.25" collapsed="1" x14ac:dyDescent="0.2">
      <c r="A74" s="620"/>
      <c r="B74" s="626"/>
      <c r="C74" s="627"/>
      <c r="D74" s="627"/>
      <c r="E74" s="627"/>
      <c r="F74" s="627"/>
      <c r="G74" s="627"/>
      <c r="H74" s="627"/>
      <c r="I74" s="627"/>
      <c r="J74" s="627"/>
      <c r="K74" s="627"/>
      <c r="L74" s="627"/>
      <c r="M74" s="627"/>
      <c r="N74" s="627"/>
      <c r="O74" s="627"/>
      <c r="P74" s="627"/>
    </row>
    <row r="75" spans="1:16" s="631" customFormat="1" ht="11.25" hidden="1" outlineLevel="1" x14ac:dyDescent="0.2">
      <c r="A75" s="628" t="s">
        <v>611</v>
      </c>
      <c r="B75" s="629"/>
      <c r="C75" s="630"/>
      <c r="D75" s="630"/>
      <c r="E75" s="630"/>
      <c r="F75" s="630"/>
      <c r="G75" s="630"/>
      <c r="H75" s="630"/>
      <c r="I75" s="630"/>
      <c r="J75" s="630"/>
      <c r="K75" s="630">
        <f>J27*(1+'LTFP Assumptions'!$H13)</f>
        <v>15749.125379999998</v>
      </c>
      <c r="L75" s="630">
        <f>K75*(1+'LTFP Assumptions'!$H13)</f>
        <v>16064.107887599997</v>
      </c>
      <c r="M75" s="630">
        <f>L75*(1+'LTFP Assumptions'!$H13)</f>
        <v>16385.390045351996</v>
      </c>
      <c r="N75" s="630">
        <f>M75*(1+'LTFP Assumptions'!$H13)</f>
        <v>16713.097846259036</v>
      </c>
      <c r="O75" s="630">
        <f>N75*(1+'LTFP Assumptions'!$H13)</f>
        <v>17047.359803184216</v>
      </c>
      <c r="P75" s="630">
        <f>O75*(1+'LTFP Assumptions'!$H13)</f>
        <v>17388.3069992479</v>
      </c>
    </row>
    <row r="76" spans="1:16" s="631" customFormat="1" ht="11.25" hidden="1" outlineLevel="1" x14ac:dyDescent="0.2">
      <c r="A76" s="628"/>
      <c r="B76" s="629"/>
      <c r="C76" s="630"/>
      <c r="D76" s="630"/>
      <c r="E76" s="630"/>
      <c r="F76" s="630"/>
      <c r="G76" s="630"/>
      <c r="H76" s="630"/>
      <c r="I76" s="630"/>
      <c r="J76" s="630"/>
      <c r="K76" s="630"/>
      <c r="L76" s="630"/>
      <c r="M76" s="630"/>
      <c r="N76" s="630"/>
      <c r="O76" s="630"/>
      <c r="P76" s="630"/>
    </row>
    <row r="77" spans="1:16" ht="12.75" collapsed="1" x14ac:dyDescent="0.2">
      <c r="A77" s="1091" t="s">
        <v>1361</v>
      </c>
    </row>
    <row r="78" spans="1:16" ht="12" x14ac:dyDescent="0.25">
      <c r="A78" s="632" t="s">
        <v>1065</v>
      </c>
      <c r="B78" s="586" t="s">
        <v>69</v>
      </c>
      <c r="C78" s="586" t="s">
        <v>69</v>
      </c>
      <c r="D78" s="586" t="s">
        <v>69</v>
      </c>
      <c r="E78" s="586" t="s">
        <v>69</v>
      </c>
      <c r="F78" s="586" t="s">
        <v>70</v>
      </c>
      <c r="G78" s="586" t="s">
        <v>70</v>
      </c>
      <c r="H78" s="586" t="s">
        <v>71</v>
      </c>
      <c r="I78" s="586" t="s">
        <v>71</v>
      </c>
      <c r="J78" s="586" t="s">
        <v>71</v>
      </c>
      <c r="K78" s="586" t="s">
        <v>71</v>
      </c>
      <c r="L78" s="586" t="s">
        <v>71</v>
      </c>
      <c r="M78" s="586" t="s">
        <v>71</v>
      </c>
      <c r="N78" s="586" t="s">
        <v>71</v>
      </c>
      <c r="O78" s="586" t="s">
        <v>71</v>
      </c>
      <c r="P78" s="586" t="s">
        <v>71</v>
      </c>
    </row>
    <row r="79" spans="1:16" x14ac:dyDescent="0.2">
      <c r="A79" s="598" t="s">
        <v>73</v>
      </c>
      <c r="B79" s="741" t="s">
        <v>68</v>
      </c>
      <c r="C79" s="694" t="s">
        <v>0</v>
      </c>
      <c r="D79" s="694" t="s">
        <v>1</v>
      </c>
      <c r="E79" s="694" t="s">
        <v>2</v>
      </c>
      <c r="F79" s="694" t="s">
        <v>3</v>
      </c>
      <c r="G79" s="694" t="s">
        <v>4</v>
      </c>
      <c r="H79" s="694" t="s">
        <v>5</v>
      </c>
      <c r="I79" s="694" t="s">
        <v>6</v>
      </c>
      <c r="J79" s="694" t="s">
        <v>7</v>
      </c>
      <c r="K79" s="694" t="s">
        <v>8</v>
      </c>
      <c r="L79" s="694" t="s">
        <v>9</v>
      </c>
      <c r="M79" s="694" t="s">
        <v>514</v>
      </c>
      <c r="N79" s="694" t="s">
        <v>515</v>
      </c>
      <c r="O79" s="694" t="s">
        <v>904</v>
      </c>
      <c r="P79" s="694" t="s">
        <v>1046</v>
      </c>
    </row>
    <row r="80" spans="1:16" x14ac:dyDescent="0.2">
      <c r="A80" s="604" t="s">
        <v>61</v>
      </c>
    </row>
    <row r="81" spans="1:16" x14ac:dyDescent="0.2">
      <c r="A81" s="607" t="s">
        <v>62</v>
      </c>
    </row>
    <row r="82" spans="1:16" x14ac:dyDescent="0.2">
      <c r="A82" s="600" t="s">
        <v>11</v>
      </c>
      <c r="B82" s="606">
        <f t="shared" ref="B82:D87" si="20">+B13</f>
        <v>0</v>
      </c>
      <c r="C82" s="606">
        <f t="shared" si="20"/>
        <v>0</v>
      </c>
      <c r="D82" s="606">
        <f t="shared" si="20"/>
        <v>17715</v>
      </c>
      <c r="E82" s="707">
        <f>'Water  Fund  Inc Exp Statement '!E80+'GF &amp; FF  Inc Exp Statement'!E84+'Sewer  Fund  Inc Exp Statem'!E80</f>
        <v>18420</v>
      </c>
      <c r="F82" s="707">
        <f>'Water  Fund  Inc Exp Statement '!F80+'GF &amp; FF  Inc Exp Statement'!F84+'Sewer  Fund  Inc Exp Statem'!F80</f>
        <v>20031.815000000002</v>
      </c>
      <c r="G82" s="707">
        <f>'Water  Fund  Inc Exp Statement '!G80+'GF &amp; FF  Inc Exp Statement'!G84+'Sewer  Fund  Inc Exp Statem'!G80</f>
        <v>20914.976999999999</v>
      </c>
      <c r="H82" s="707">
        <f>'Water  Fund  Inc Exp Statement '!H80+'GF &amp; FF  Inc Exp Statement'!H84+'Sewer  Fund  Inc Exp Statem'!H80</f>
        <v>21983.957000000002</v>
      </c>
      <c r="I82" s="707">
        <f>'Water  Fund  Inc Exp Statement '!I80+'GF &amp; FF  Inc Exp Statement'!I84+'Sewer  Fund  Inc Exp Statem'!I80</f>
        <v>23213.714999999997</v>
      </c>
      <c r="J82" s="707">
        <f>'Water  Fund  Inc Exp Statement '!J80+'GF &amp; FF  Inc Exp Statement'!J84+'Sewer  Fund  Inc Exp Statem'!J80</f>
        <v>24181.231999999996</v>
      </c>
      <c r="K82" s="707">
        <f>'Water  Fund  Inc Exp Statement '!K80+'GF &amp; FF  Inc Exp Statement'!K84+'Sewer  Fund  Inc Exp Statem'!K80</f>
        <v>24785.762799999997</v>
      </c>
      <c r="L82" s="707">
        <f>'Water  Fund  Inc Exp Statement '!L80+'GF &amp; FF  Inc Exp Statement'!L84+'Sewer  Fund  Inc Exp Statem'!L80</f>
        <v>25405.406869999992</v>
      </c>
      <c r="M82" s="707">
        <f>'Water  Fund  Inc Exp Statement '!M80+'GF &amp; FF  Inc Exp Statement'!M84+'Sewer  Fund  Inc Exp Statem'!M80</f>
        <v>26040.542041749992</v>
      </c>
      <c r="N82" s="707">
        <f>'Water  Fund  Inc Exp Statement '!N80+'GF &amp; FF  Inc Exp Statement'!N84+'Sewer  Fund  Inc Exp Statem'!N80</f>
        <v>26691.555592793742</v>
      </c>
      <c r="O82" s="707">
        <f>'Water  Fund  Inc Exp Statement '!O80+'GF &amp; FF  Inc Exp Statement'!O84+'Sewer  Fund  Inc Exp Statem'!O80</f>
        <v>27358.844482613582</v>
      </c>
      <c r="P82" s="707">
        <f>'Water  Fund  Inc Exp Statement '!P80+'GF &amp; FF  Inc Exp Statement'!P84+'Sewer  Fund  Inc Exp Statem'!P80</f>
        <v>28042.815594678919</v>
      </c>
    </row>
    <row r="83" spans="1:16" x14ac:dyDescent="0.2">
      <c r="A83" s="600" t="s">
        <v>12</v>
      </c>
      <c r="B83" s="606">
        <f t="shared" si="20"/>
        <v>0</v>
      </c>
      <c r="C83" s="606">
        <f t="shared" si="20"/>
        <v>0</v>
      </c>
      <c r="D83" s="606">
        <f t="shared" si="20"/>
        <v>10647</v>
      </c>
      <c r="E83" s="707">
        <f>'Water  Fund  Inc Exp Statement '!E81+'GF &amp; FF  Inc Exp Statement'!E85+'Sewer  Fund  Inc Exp Statem'!E81</f>
        <v>11495</v>
      </c>
      <c r="F83" s="707">
        <f>'Water  Fund  Inc Exp Statement '!F81+'GF &amp; FF  Inc Exp Statement'!F85+'Sewer  Fund  Inc Exp Statem'!F81</f>
        <v>13528.819000000001</v>
      </c>
      <c r="G83" s="707">
        <f>'Water  Fund  Inc Exp Statement '!G81+'GF &amp; FF  Inc Exp Statement'!G85+'Sewer  Fund  Inc Exp Statem'!G81</f>
        <v>14184.400000000001</v>
      </c>
      <c r="H83" s="707">
        <f>'Water  Fund  Inc Exp Statement '!H81+'GF &amp; FF  Inc Exp Statement'!H85+'Sewer  Fund  Inc Exp Statem'!H81</f>
        <v>14288.015000000001</v>
      </c>
      <c r="I83" s="707">
        <f>'Water  Fund  Inc Exp Statement '!I81+'GF &amp; FF  Inc Exp Statement'!I85+'Sewer  Fund  Inc Exp Statem'!I81</f>
        <v>14861.232999999998</v>
      </c>
      <c r="J83" s="707">
        <f>'Water  Fund  Inc Exp Statement '!J81+'GF &amp; FF  Inc Exp Statement'!J85+'Sewer  Fund  Inc Exp Statem'!J81</f>
        <v>15527.495999999999</v>
      </c>
      <c r="K83" s="707">
        <f>'Water  Fund  Inc Exp Statement '!K81+'GF &amp; FF  Inc Exp Statement'!K85+'Sewer  Fund  Inc Exp Statem'!K81</f>
        <v>15838.04592</v>
      </c>
      <c r="L83" s="707">
        <f>'Water  Fund  Inc Exp Statement '!L81+'GF &amp; FF  Inc Exp Statement'!L85+'Sewer  Fund  Inc Exp Statem'!L81</f>
        <v>16154.8068384</v>
      </c>
      <c r="M83" s="707">
        <f>'Water  Fund  Inc Exp Statement '!M81+'GF &amp; FF  Inc Exp Statement'!M85+'Sewer  Fund  Inc Exp Statem'!M81</f>
        <v>16477.902975167999</v>
      </c>
      <c r="N83" s="707">
        <f>'Water  Fund  Inc Exp Statement '!N81+'GF &amp; FF  Inc Exp Statement'!N85+'Sewer  Fund  Inc Exp Statem'!N81</f>
        <v>16807.46103467136</v>
      </c>
      <c r="O83" s="707">
        <f>'Water  Fund  Inc Exp Statement '!O81+'GF &amp; FF  Inc Exp Statement'!O85+'Sewer  Fund  Inc Exp Statem'!O81</f>
        <v>17143.610255364791</v>
      </c>
      <c r="P83" s="707">
        <f>'Water  Fund  Inc Exp Statement '!P81+'GF &amp; FF  Inc Exp Statement'!P85+'Sewer  Fund  Inc Exp Statem'!P81</f>
        <v>17486.482460472089</v>
      </c>
    </row>
    <row r="84" spans="1:16" x14ac:dyDescent="0.2">
      <c r="A84" s="600" t="s">
        <v>13</v>
      </c>
      <c r="B84" s="606">
        <f t="shared" si="20"/>
        <v>0</v>
      </c>
      <c r="C84" s="606">
        <f t="shared" si="20"/>
        <v>0</v>
      </c>
      <c r="D84" s="606">
        <f t="shared" si="20"/>
        <v>2340</v>
      </c>
      <c r="E84" s="707">
        <f>'Water  Fund  Inc Exp Statement '!E82+'GF &amp; FF  Inc Exp Statement'!E86+'Sewer  Fund  Inc Exp Statem'!E82</f>
        <v>2586</v>
      </c>
      <c r="F84" s="707">
        <f>'Water  Fund  Inc Exp Statement '!F82+'GF &amp; FF  Inc Exp Statement'!F86+'Sewer  Fund  Inc Exp Statem'!F82</f>
        <v>2254.5</v>
      </c>
      <c r="G84" s="707">
        <f>'Water  Fund  Inc Exp Statement '!G82+'GF &amp; FF  Inc Exp Statement'!G86+'Sewer  Fund  Inc Exp Statem'!G82</f>
        <v>2162.2089999999998</v>
      </c>
      <c r="H84" s="707">
        <f>'Water  Fund  Inc Exp Statement '!H82+'GF &amp; FF  Inc Exp Statement'!H86+'Sewer  Fund  Inc Exp Statem'!H82</f>
        <v>1977.5630000000001</v>
      </c>
      <c r="I84" s="707">
        <f>'Water  Fund  Inc Exp Statement '!I82+'GF &amp; FF  Inc Exp Statement'!I86+'Sewer  Fund  Inc Exp Statem'!I82</f>
        <v>1913.963</v>
      </c>
      <c r="J84" s="707">
        <f>'Water  Fund  Inc Exp Statement '!J82+'GF &amp; FF  Inc Exp Statement'!J86+'Sewer  Fund  Inc Exp Statem'!J82</f>
        <v>1883.6479999999999</v>
      </c>
      <c r="K84" s="707">
        <f>'Water  Fund  Inc Exp Statement '!K82+'GF &amp; FF  Inc Exp Statement'!K86+'Sewer  Fund  Inc Exp Statem'!K82</f>
        <v>1609.3753407223599</v>
      </c>
      <c r="L84" s="707">
        <f>'Water  Fund  Inc Exp Statement '!L82+'GF &amp; FF  Inc Exp Statement'!L86+'Sewer  Fund  Inc Exp Statem'!L82</f>
        <v>1643.6236416428462</v>
      </c>
      <c r="M84" s="707">
        <f>'Water  Fund  Inc Exp Statement '!M82+'GF &amp; FF  Inc Exp Statement'!M86+'Sewer  Fund  Inc Exp Statem'!M82</f>
        <v>1646.4108318517845</v>
      </c>
      <c r="N84" s="707">
        <f>'Water  Fund  Inc Exp Statement '!N82+'GF &amp; FF  Inc Exp Statement'!N86+'Sewer  Fund  Inc Exp Statem'!N82</f>
        <v>1616.8381767748906</v>
      </c>
      <c r="O84" s="707">
        <f>'Water  Fund  Inc Exp Statement '!O82+'GF &amp; FF  Inc Exp Statement'!O86+'Sewer  Fund  Inc Exp Statem'!O82</f>
        <v>1621.6797768251254</v>
      </c>
      <c r="P84" s="707">
        <f>'Water  Fund  Inc Exp Statement '!P82+'GF &amp; FF  Inc Exp Statement'!P86+'Sewer  Fund  Inc Exp Statem'!P82</f>
        <v>1630.1729379654207</v>
      </c>
    </row>
    <row r="85" spans="1:16" x14ac:dyDescent="0.2">
      <c r="A85" s="600" t="s">
        <v>14</v>
      </c>
      <c r="B85" s="606">
        <f t="shared" si="20"/>
        <v>0</v>
      </c>
      <c r="C85" s="606">
        <f t="shared" si="20"/>
        <v>0</v>
      </c>
      <c r="D85" s="606">
        <f t="shared" si="20"/>
        <v>1392</v>
      </c>
      <c r="E85" s="707">
        <f>'Water  Fund  Inc Exp Statement '!E83+'GF &amp; FF  Inc Exp Statement'!E87+'Sewer  Fund  Inc Exp Statem'!E83</f>
        <v>1563</v>
      </c>
      <c r="F85" s="707">
        <f>'Water  Fund  Inc Exp Statement '!F83+'GF &amp; FF  Inc Exp Statement'!F87+'Sewer  Fund  Inc Exp Statem'!F83</f>
        <v>2424.5369999999998</v>
      </c>
      <c r="G85" s="707">
        <f>'Water  Fund  Inc Exp Statement '!G83+'GF &amp; FF  Inc Exp Statement'!G87+'Sewer  Fund  Inc Exp Statem'!G83</f>
        <v>2409.788</v>
      </c>
      <c r="H85" s="707">
        <f>'Water  Fund  Inc Exp Statement '!H83+'GF &amp; FF  Inc Exp Statement'!H87+'Sewer  Fund  Inc Exp Statem'!H83</f>
        <v>2463.8040000000001</v>
      </c>
      <c r="I85" s="707">
        <f>'Water  Fund  Inc Exp Statement '!I83+'GF &amp; FF  Inc Exp Statement'!I87+'Sewer  Fund  Inc Exp Statem'!I83</f>
        <v>2520.3789999999999</v>
      </c>
      <c r="J85" s="707">
        <f>'Water  Fund  Inc Exp Statement '!J83+'GF &amp; FF  Inc Exp Statement'!J87+'Sewer  Fund  Inc Exp Statem'!J83</f>
        <v>2578.0160000000001</v>
      </c>
      <c r="K85" s="707">
        <f>'Water  Fund  Inc Exp Statement '!K83+'GF &amp; FF  Inc Exp Statement'!K87+'Sewer  Fund  Inc Exp Statem'!K83</f>
        <v>2629.5763200000001</v>
      </c>
      <c r="L85" s="707">
        <f>'Water  Fund  Inc Exp Statement '!L83+'GF &amp; FF  Inc Exp Statement'!L87+'Sewer  Fund  Inc Exp Statem'!L83</f>
        <v>2682.1678464000001</v>
      </c>
      <c r="M85" s="707">
        <f>'Water  Fund  Inc Exp Statement '!M83+'GF &amp; FF  Inc Exp Statement'!M87+'Sewer  Fund  Inc Exp Statem'!M83</f>
        <v>2735.8112033280004</v>
      </c>
      <c r="N85" s="707">
        <f>'Water  Fund  Inc Exp Statement '!N83+'GF &amp; FF  Inc Exp Statement'!N87+'Sewer  Fund  Inc Exp Statem'!N83</f>
        <v>2790.5274273945606</v>
      </c>
      <c r="O85" s="707">
        <f>'Water  Fund  Inc Exp Statement '!O83+'GF &amp; FF  Inc Exp Statement'!O87+'Sewer  Fund  Inc Exp Statem'!O83</f>
        <v>2846.337975942452</v>
      </c>
      <c r="P85" s="707">
        <f>'Water  Fund  Inc Exp Statement '!P83+'GF &amp; FF  Inc Exp Statement'!P87+'Sewer  Fund  Inc Exp Statem'!P83</f>
        <v>2903.2647354613009</v>
      </c>
    </row>
    <row r="86" spans="1:16" ht="20.399999999999999" x14ac:dyDescent="0.2">
      <c r="A86" s="600" t="s">
        <v>15</v>
      </c>
      <c r="B86" s="606">
        <f t="shared" si="20"/>
        <v>0</v>
      </c>
      <c r="C86" s="606">
        <f t="shared" si="20"/>
        <v>0</v>
      </c>
      <c r="D86" s="606">
        <f t="shared" si="20"/>
        <v>5209</v>
      </c>
      <c r="E86" s="707">
        <f>'Water  Fund  Inc Exp Statement '!E84+'GF &amp; FF  Inc Exp Statement'!E88+'Sewer  Fund  Inc Exp Statem'!E84</f>
        <v>9023</v>
      </c>
      <c r="F86" s="707">
        <f>'Water  Fund  Inc Exp Statement '!F84+'GF &amp; FF  Inc Exp Statement'!F88+'Sewer  Fund  Inc Exp Statem'!F84</f>
        <v>6250.7439999999997</v>
      </c>
      <c r="G86" s="707">
        <f>'Water  Fund  Inc Exp Statement '!G84+'GF &amp; FF  Inc Exp Statement'!G88+'Sewer  Fund  Inc Exp Statem'!G84</f>
        <v>5520.3890000000001</v>
      </c>
      <c r="H86" s="707">
        <f>'Water  Fund  Inc Exp Statement '!H84+'GF &amp; FF  Inc Exp Statement'!H88+'Sewer  Fund  Inc Exp Statem'!H84</f>
        <v>5618.2409999999991</v>
      </c>
      <c r="I86" s="707">
        <f>'Water  Fund  Inc Exp Statement '!I84+'GF &amp; FF  Inc Exp Statement'!I88+'Sewer  Fund  Inc Exp Statem'!I84</f>
        <v>5715.8959999999997</v>
      </c>
      <c r="J86" s="707">
        <f>'Water  Fund  Inc Exp Statement '!J84+'GF &amp; FF  Inc Exp Statement'!J88+'Sewer  Fund  Inc Exp Statem'!J84</f>
        <v>5815.5187599999999</v>
      </c>
      <c r="K86" s="707">
        <f>'Water  Fund  Inc Exp Statement '!K84+'GF &amp; FF  Inc Exp Statement'!K88+'Sewer  Fund  Inc Exp Statem'!K84</f>
        <v>5960.9067290000003</v>
      </c>
      <c r="L86" s="707">
        <f>'Water  Fund  Inc Exp Statement '!L84+'GF &amp; FF  Inc Exp Statement'!L88+'Sewer  Fund  Inc Exp Statem'!L84</f>
        <v>6109.9293972249989</v>
      </c>
      <c r="M86" s="707">
        <f>'Water  Fund  Inc Exp Statement '!M84+'GF &amp; FF  Inc Exp Statement'!M88+'Sewer  Fund  Inc Exp Statem'!M84</f>
        <v>6262.6776321556235</v>
      </c>
      <c r="N86" s="707">
        <f>'Water  Fund  Inc Exp Statement '!N84+'GF &amp; FF  Inc Exp Statement'!N88+'Sewer  Fund  Inc Exp Statem'!N84</f>
        <v>6419.2445729595138</v>
      </c>
      <c r="O86" s="707">
        <f>'Water  Fund  Inc Exp Statement '!O84+'GF &amp; FF  Inc Exp Statement'!O88+'Sewer  Fund  Inc Exp Statem'!O84</f>
        <v>6579.7256872835014</v>
      </c>
      <c r="P86" s="707">
        <f>'Water  Fund  Inc Exp Statement '!P84+'GF &amp; FF  Inc Exp Statement'!P88+'Sewer  Fund  Inc Exp Statem'!P84</f>
        <v>6744.2188294655889</v>
      </c>
    </row>
    <row r="87" spans="1:16" ht="20.399999999999999" x14ac:dyDescent="0.2">
      <c r="A87" s="600" t="s">
        <v>18</v>
      </c>
      <c r="B87" s="606">
        <f t="shared" si="20"/>
        <v>0</v>
      </c>
      <c r="C87" s="606">
        <f t="shared" si="20"/>
        <v>0</v>
      </c>
      <c r="D87" s="606">
        <f t="shared" si="20"/>
        <v>22576</v>
      </c>
      <c r="E87" s="707">
        <f>'Water  Fund  Inc Exp Statement '!E85+'GF &amp; FF  Inc Exp Statement'!E89+'Sewer  Fund  Inc Exp Statem'!E85</f>
        <v>15638</v>
      </c>
      <c r="F87" s="707">
        <f>'Water  Fund  Inc Exp Statement '!F85+'GF &amp; FF  Inc Exp Statement'!F89+'Sewer  Fund  Inc Exp Statem'!F85</f>
        <v>3958.0070000000001</v>
      </c>
      <c r="G87" s="707">
        <f>'Water  Fund  Inc Exp Statement '!G85+'GF &amp; FF  Inc Exp Statement'!G89+'Sewer  Fund  Inc Exp Statem'!G85</f>
        <v>12527.967000000001</v>
      </c>
      <c r="H87" s="707">
        <f>'Water  Fund  Inc Exp Statement '!H85+'GF &amp; FF  Inc Exp Statement'!H89+'Sewer  Fund  Inc Exp Statem'!H85</f>
        <v>3944.3710099999998</v>
      </c>
      <c r="I87" s="707">
        <f>'Water  Fund  Inc Exp Statement '!I85+'GF &amp; FF  Inc Exp Statement'!I89+'Sewer  Fund  Inc Exp Statem'!I85</f>
        <v>7502.4590152999999</v>
      </c>
      <c r="J87" s="707">
        <f>'Water  Fund  Inc Exp Statement '!J85+'GF &amp; FF  Inc Exp Statement'!J89+'Sewer  Fund  Inc Exp Statem'!J85</f>
        <v>4062.2813326340001</v>
      </c>
      <c r="K87" s="707">
        <f>'Water  Fund  Inc Exp Statement '!K85+'GF &amp; FF  Inc Exp Statement'!K89+'Sewer  Fund  Inc Exp Statem'!K85</f>
        <v>4152.2319592866806</v>
      </c>
      <c r="L87" s="707">
        <f>'Water  Fund  Inc Exp Statement '!L85+'GF &amp; FF  Inc Exp Statement'!L89+'Sewer  Fund  Inc Exp Statem'!L85</f>
        <v>4244.1992234724148</v>
      </c>
      <c r="M87" s="707">
        <f>'Water  Fund  Inc Exp Statement '!M85+'GF &amp; FF  Inc Exp Statement'!M89+'Sewer  Fund  Inc Exp Statem'!M85</f>
        <v>4337.188498566863</v>
      </c>
      <c r="N87" s="707">
        <f>'Water  Fund  Inc Exp Statement '!N85+'GF &amp; FF  Inc Exp Statement'!N89+'Sewer  Fund  Inc Exp Statem'!N85</f>
        <v>4432.2662014288244</v>
      </c>
      <c r="O87" s="707">
        <f>'Water  Fund  Inc Exp Statement '!O85+'GF &amp; FF  Inc Exp Statement'!O89+'Sewer  Fund  Inc Exp Statem'!O85</f>
        <v>4529.4798166702903</v>
      </c>
      <c r="P87" s="707">
        <f>'Water  Fund  Inc Exp Statement '!P85+'GF &amp; FF  Inc Exp Statement'!P89+'Sewer  Fund  Inc Exp Statem'!P85</f>
        <v>4628.8779214969099</v>
      </c>
    </row>
    <row r="88" spans="1:16" x14ac:dyDescent="0.2">
      <c r="A88" s="1149" t="s">
        <v>1180</v>
      </c>
      <c r="B88" s="606"/>
      <c r="C88" s="606"/>
      <c r="D88" s="606"/>
      <c r="E88" s="707">
        <f>'Water  Fund  Inc Exp Statement '!E86+'GF &amp; FF  Inc Exp Statement'!E90+'Sewer  Fund  Inc Exp Statem'!E86</f>
        <v>0</v>
      </c>
      <c r="F88" s="707">
        <f>'Water  Fund  Inc Exp Statement '!F86+'GF &amp; FF  Inc Exp Statement'!F90+'Sewer  Fund  Inc Exp Statem'!F86</f>
        <v>4783.3530000000001</v>
      </c>
      <c r="G88" s="707">
        <f>'Water  Fund  Inc Exp Statement '!G86+'GF &amp; FF  Inc Exp Statement'!G90+'Sewer  Fund  Inc Exp Statem'!G86</f>
        <v>5059.8519999999999</v>
      </c>
      <c r="H88" s="707">
        <f>'Water  Fund  Inc Exp Statement '!H86+'GF &amp; FF  Inc Exp Statement'!H90+'Sewer  Fund  Inc Exp Statem'!H86</f>
        <v>5239.6229999999996</v>
      </c>
      <c r="I88" s="707">
        <f>'Water  Fund  Inc Exp Statement '!I86+'GF &amp; FF  Inc Exp Statement'!I90+'Sewer  Fund  Inc Exp Statem'!I86</f>
        <v>5419.1779999999999</v>
      </c>
      <c r="J88" s="707">
        <f>'Water  Fund  Inc Exp Statement '!J86+'GF &amp; FF  Inc Exp Statement'!J90+'Sewer  Fund  Inc Exp Statem'!J86</f>
        <v>5456.5190000000002</v>
      </c>
      <c r="K88" s="707">
        <f>'Water  Fund  Inc Exp Statement '!K86+'GF &amp; FF  Inc Exp Statement'!K90+'Sewer  Fund  Inc Exp Statem'!K86</f>
        <v>5565.6493800000007</v>
      </c>
      <c r="L88" s="707">
        <f>'Water  Fund  Inc Exp Statement '!L86+'GF &amp; FF  Inc Exp Statement'!L90+'Sewer  Fund  Inc Exp Statem'!L86</f>
        <v>5676.962367600001</v>
      </c>
      <c r="M88" s="707">
        <f>'Water  Fund  Inc Exp Statement '!M86+'GF &amp; FF  Inc Exp Statement'!M90+'Sewer  Fund  Inc Exp Statem'!M86</f>
        <v>5790.5016149520015</v>
      </c>
      <c r="N88" s="707">
        <f>'Water  Fund  Inc Exp Statement '!N86+'GF &amp; FF  Inc Exp Statement'!N90+'Sewer  Fund  Inc Exp Statem'!N86</f>
        <v>5906.3116472510419</v>
      </c>
      <c r="O88" s="707">
        <f>'Water  Fund  Inc Exp Statement '!O86+'GF &amp; FF  Inc Exp Statement'!O90+'Sewer  Fund  Inc Exp Statem'!O86</f>
        <v>6024.4378801960629</v>
      </c>
      <c r="P88" s="707">
        <f>'Water  Fund  Inc Exp Statement '!P86+'GF &amp; FF  Inc Exp Statement'!P90+'Sewer  Fund  Inc Exp Statem'!P86</f>
        <v>6144.9266377999838</v>
      </c>
    </row>
    <row r="89" spans="1:16" x14ac:dyDescent="0.2">
      <c r="A89" s="607" t="s">
        <v>63</v>
      </c>
      <c r="B89" s="606"/>
      <c r="C89" s="606"/>
      <c r="D89" s="606"/>
      <c r="E89" s="707"/>
      <c r="F89" s="707"/>
      <c r="G89" s="707"/>
      <c r="H89" s="707"/>
      <c r="I89" s="707"/>
      <c r="J89" s="707"/>
      <c r="K89" s="707"/>
      <c r="L89" s="707"/>
      <c r="M89" s="707"/>
      <c r="N89" s="707"/>
      <c r="O89" s="707"/>
      <c r="P89" s="707"/>
    </row>
    <row r="90" spans="1:16" x14ac:dyDescent="0.2">
      <c r="A90" s="764" t="s">
        <v>74</v>
      </c>
      <c r="B90" s="765">
        <f>+B21</f>
        <v>0</v>
      </c>
      <c r="C90" s="765">
        <f>+C21</f>
        <v>0</v>
      </c>
      <c r="D90" s="765">
        <f>+D21</f>
        <v>0</v>
      </c>
      <c r="E90" s="707">
        <f>'Water  Fund  Inc Exp Statement '!E88+'GF &amp; FF  Inc Exp Statement'!E92+'Sewer  Fund  Inc Exp Statem'!E88</f>
        <v>4</v>
      </c>
      <c r="F90" s="707">
        <f>'Water  Fund  Inc Exp Statement '!F88+'GF &amp; FF  Inc Exp Statement'!F92+'Sewer  Fund  Inc Exp Statem'!F88</f>
        <v>0</v>
      </c>
      <c r="G90" s="707">
        <f>'Water  Fund  Inc Exp Statement '!G88+'GF &amp; FF  Inc Exp Statement'!G92+'Sewer  Fund  Inc Exp Statem'!G88</f>
        <v>0</v>
      </c>
      <c r="H90" s="707">
        <f>'Water  Fund  Inc Exp Statement '!H88+'GF &amp; FF  Inc Exp Statement'!H92+'Sewer  Fund  Inc Exp Statem'!H88</f>
        <v>0</v>
      </c>
      <c r="I90" s="707">
        <f>'Water  Fund  Inc Exp Statement '!I88+'GF &amp; FF  Inc Exp Statement'!I92+'Sewer  Fund  Inc Exp Statem'!I88</f>
        <v>0</v>
      </c>
      <c r="J90" s="707">
        <f>'Water  Fund  Inc Exp Statement '!J88+'GF &amp; FF  Inc Exp Statement'!J92+'Sewer  Fund  Inc Exp Statem'!J88</f>
        <v>0</v>
      </c>
      <c r="K90" s="707">
        <f>'Water  Fund  Inc Exp Statement '!K88+'GF &amp; FF  Inc Exp Statement'!K92+'Sewer  Fund  Inc Exp Statem'!K88</f>
        <v>0</v>
      </c>
      <c r="L90" s="707">
        <f>'Water  Fund  Inc Exp Statement '!L88+'GF &amp; FF  Inc Exp Statement'!L92+'Sewer  Fund  Inc Exp Statem'!L88</f>
        <v>0</v>
      </c>
      <c r="M90" s="707">
        <f>'Water  Fund  Inc Exp Statement '!M88+'GF &amp; FF  Inc Exp Statement'!M92+'Sewer  Fund  Inc Exp Statem'!M88</f>
        <v>0</v>
      </c>
      <c r="N90" s="707">
        <f>'Water  Fund  Inc Exp Statement '!N88+'GF &amp; FF  Inc Exp Statement'!N92+'Sewer  Fund  Inc Exp Statem'!N88</f>
        <v>0</v>
      </c>
      <c r="O90" s="707">
        <f>'Water  Fund  Inc Exp Statement '!O88+'GF &amp; FF  Inc Exp Statement'!O92+'Sewer  Fund  Inc Exp Statem'!O88</f>
        <v>0</v>
      </c>
      <c r="P90" s="707">
        <f>'Water  Fund  Inc Exp Statement '!P88+'GF &amp; FF  Inc Exp Statement'!P92+'Sewer  Fund  Inc Exp Statem'!P88</f>
        <v>0</v>
      </c>
    </row>
    <row r="91" spans="1:16" x14ac:dyDescent="0.2">
      <c r="A91" s="758" t="s">
        <v>1047</v>
      </c>
      <c r="B91" s="765"/>
      <c r="C91" s="765"/>
      <c r="D91" s="765">
        <f>+D22</f>
        <v>30</v>
      </c>
      <c r="E91" s="707">
        <f>'Water  Fund  Inc Exp Statement '!E89+'GF &amp; FF  Inc Exp Statement'!E93+'Sewer  Fund  Inc Exp Statem'!E89</f>
        <v>2</v>
      </c>
      <c r="F91" s="707">
        <f>'Water  Fund  Inc Exp Statement '!F89+'GF &amp; FF  Inc Exp Statement'!F93+'Sewer  Fund  Inc Exp Statem'!F89</f>
        <v>0</v>
      </c>
      <c r="G91" s="707">
        <f>'Water  Fund  Inc Exp Statement '!G89+'GF &amp; FF  Inc Exp Statement'!G93+'Sewer  Fund  Inc Exp Statem'!G89</f>
        <v>0</v>
      </c>
      <c r="H91" s="707">
        <f>'Water  Fund  Inc Exp Statement '!H89+'GF &amp; FF  Inc Exp Statement'!H93+'Sewer  Fund  Inc Exp Statem'!H89</f>
        <v>0</v>
      </c>
      <c r="I91" s="707">
        <f>'Water  Fund  Inc Exp Statement '!I89+'GF &amp; FF  Inc Exp Statement'!I93+'Sewer  Fund  Inc Exp Statem'!I89</f>
        <v>0</v>
      </c>
      <c r="J91" s="707">
        <f>'Water  Fund  Inc Exp Statement '!J89+'GF &amp; FF  Inc Exp Statement'!J93+'Sewer  Fund  Inc Exp Statem'!J89</f>
        <v>0</v>
      </c>
      <c r="K91" s="707">
        <f>'Water  Fund  Inc Exp Statement '!K89+'GF &amp; FF  Inc Exp Statement'!K93+'Sewer  Fund  Inc Exp Statem'!K89</f>
        <v>0</v>
      </c>
      <c r="L91" s="707">
        <f>'Water  Fund  Inc Exp Statement '!L89+'GF &amp; FF  Inc Exp Statement'!L93+'Sewer  Fund  Inc Exp Statem'!L89</f>
        <v>0</v>
      </c>
      <c r="M91" s="707">
        <f>'Water  Fund  Inc Exp Statement '!M89+'GF &amp; FF  Inc Exp Statement'!M93+'Sewer  Fund  Inc Exp Statem'!M89</f>
        <v>0</v>
      </c>
      <c r="N91" s="707">
        <f>'Water  Fund  Inc Exp Statement '!N89+'GF &amp; FF  Inc Exp Statement'!N93+'Sewer  Fund  Inc Exp Statem'!N89</f>
        <v>0</v>
      </c>
      <c r="O91" s="707">
        <f>'Water  Fund  Inc Exp Statement '!O89+'GF &amp; FF  Inc Exp Statement'!O93+'Sewer  Fund  Inc Exp Statem'!O89</f>
        <v>0</v>
      </c>
      <c r="P91" s="707">
        <f>'Water  Fund  Inc Exp Statement '!P89+'GF &amp; FF  Inc Exp Statement'!P93+'Sewer  Fund  Inc Exp Statem'!P89</f>
        <v>0</v>
      </c>
    </row>
    <row r="92" spans="1:16" x14ac:dyDescent="0.2">
      <c r="A92" s="768" t="s">
        <v>64</v>
      </c>
      <c r="B92" s="767">
        <f>SUM(B82:B90)</f>
        <v>0</v>
      </c>
      <c r="C92" s="767">
        <f t="shared" ref="C92" si="21">SUM(C82:C90)</f>
        <v>0</v>
      </c>
      <c r="D92" s="767">
        <f>SUM(D82:D91)</f>
        <v>59909</v>
      </c>
      <c r="E92" s="767">
        <f t="shared" ref="E92:P92" si="22">SUM(E82:E91)</f>
        <v>58731</v>
      </c>
      <c r="F92" s="767">
        <f t="shared" si="22"/>
        <v>53231.775000000001</v>
      </c>
      <c r="G92" s="767">
        <f t="shared" si="22"/>
        <v>62779.582000000009</v>
      </c>
      <c r="H92" s="767">
        <f t="shared" si="22"/>
        <v>55515.574010000011</v>
      </c>
      <c r="I92" s="767">
        <f t="shared" si="22"/>
        <v>61146.823015300004</v>
      </c>
      <c r="J92" s="767">
        <f t="shared" si="22"/>
        <v>59504.711092633996</v>
      </c>
      <c r="K92" s="767">
        <f t="shared" si="22"/>
        <v>60541.548449009046</v>
      </c>
      <c r="L92" s="767">
        <f t="shared" si="22"/>
        <v>61917.09618474025</v>
      </c>
      <c r="M92" s="767">
        <f t="shared" si="22"/>
        <v>63291.034797772263</v>
      </c>
      <c r="N92" s="767">
        <f t="shared" si="22"/>
        <v>64664.204653273933</v>
      </c>
      <c r="O92" s="767">
        <f t="shared" si="22"/>
        <v>66104.115874895797</v>
      </c>
      <c r="P92" s="767">
        <f t="shared" si="22"/>
        <v>67580.759117340218</v>
      </c>
    </row>
    <row r="93" spans="1:16" x14ac:dyDescent="0.2">
      <c r="F93" s="1154"/>
      <c r="G93" s="1154"/>
      <c r="H93" s="1154"/>
      <c r="I93" s="1154"/>
      <c r="J93" s="1154"/>
    </row>
    <row r="94" spans="1:16" x14ac:dyDescent="0.2">
      <c r="A94" s="604" t="s">
        <v>65</v>
      </c>
    </row>
    <row r="95" spans="1:16" x14ac:dyDescent="0.2">
      <c r="A95" s="600" t="str">
        <f>A25</f>
        <v>Employee Benefits and On-Costs</v>
      </c>
      <c r="B95" s="606">
        <f>+B25</f>
        <v>0</v>
      </c>
      <c r="C95" s="606">
        <f>+C25</f>
        <v>0</v>
      </c>
      <c r="D95" s="606">
        <f>+D25</f>
        <v>12798</v>
      </c>
      <c r="E95" s="707">
        <f>'Water  Fund  Inc Exp Statement '!E93+'GF &amp; FF  Inc Exp Statement'!E98+'Sewer  Fund  Inc Exp Statem'!E93</f>
        <v>12876</v>
      </c>
      <c r="F95" s="707">
        <f>'Water  Fund  Inc Exp Statement '!F93+'GF &amp; FF  Inc Exp Statement'!F98+'Sewer  Fund  Inc Exp Statem'!F93</f>
        <v>13094.137000000001</v>
      </c>
      <c r="G95" s="707">
        <f>'Water  Fund  Inc Exp Statement '!G93+'GF &amp; FF  Inc Exp Statement'!G98+'Sewer  Fund  Inc Exp Statem'!G93</f>
        <v>13571.739</v>
      </c>
      <c r="H95" s="707">
        <f>'Water  Fund  Inc Exp Statement '!H93+'GF &amp; FF  Inc Exp Statement'!H98+'Sewer  Fund  Inc Exp Statem'!H93</f>
        <v>13889.526</v>
      </c>
      <c r="I95" s="707">
        <f>'Water  Fund  Inc Exp Statement '!I93+'GF &amp; FF  Inc Exp Statement'!I98+'Sewer  Fund  Inc Exp Statem'!I93</f>
        <v>14469.789999999999</v>
      </c>
      <c r="J95" s="707">
        <f>'Water  Fund  Inc Exp Statement '!J93+'GF &amp; FF  Inc Exp Statement'!J98+'Sewer  Fund  Inc Exp Statem'!J93</f>
        <v>15101.101000000001</v>
      </c>
      <c r="K95" s="707">
        <f>'Water  Fund  Inc Exp Statement '!K93+'GF &amp; FF  Inc Exp Statement'!K98+'Sewer  Fund  Inc Exp Statem'!K93</f>
        <v>15554.134029999999</v>
      </c>
      <c r="L95" s="707">
        <f>'Water  Fund  Inc Exp Statement '!L93+'GF &amp; FF  Inc Exp Statement'!L98+'Sewer  Fund  Inc Exp Statem'!L93</f>
        <v>16020.758050900002</v>
      </c>
      <c r="M95" s="707">
        <f>'Water  Fund  Inc Exp Statement '!M93+'GF &amp; FF  Inc Exp Statement'!M98+'Sewer  Fund  Inc Exp Statem'!M93</f>
        <v>16501.380792427004</v>
      </c>
      <c r="N95" s="707">
        <f>'Water  Fund  Inc Exp Statement '!N93+'GF &amp; FF  Inc Exp Statement'!N98+'Sewer  Fund  Inc Exp Statem'!N93</f>
        <v>16996.422216199811</v>
      </c>
      <c r="O95" s="707">
        <f>'Water  Fund  Inc Exp Statement '!O93+'GF &amp; FF  Inc Exp Statement'!O98+'Sewer  Fund  Inc Exp Statem'!O93</f>
        <v>17506.314882685809</v>
      </c>
      <c r="P95" s="707">
        <f>'Water  Fund  Inc Exp Statement '!P93+'GF &amp; FF  Inc Exp Statement'!P98+'Sewer  Fund  Inc Exp Statem'!P93</f>
        <v>18031.504329166382</v>
      </c>
    </row>
    <row r="96" spans="1:16" x14ac:dyDescent="0.2">
      <c r="A96" s="600" t="str">
        <f>A26</f>
        <v>Borrowing Costs</v>
      </c>
      <c r="B96" s="606"/>
      <c r="C96" s="606"/>
      <c r="D96" s="606">
        <f>+D26</f>
        <v>919</v>
      </c>
      <c r="E96" s="707">
        <f>'Water  Fund  Inc Exp Statement '!E94+'GF &amp; FF  Inc Exp Statement'!E99+'Sewer  Fund  Inc Exp Statem'!E94</f>
        <v>973</v>
      </c>
      <c r="F96" s="707">
        <f>'Water  Fund  Inc Exp Statement '!F94+'GF &amp; FF  Inc Exp Statement'!F99+'Sewer  Fund  Inc Exp Statem'!F94</f>
        <v>1715.8580000000002</v>
      </c>
      <c r="G96" s="707">
        <f>'Water  Fund  Inc Exp Statement '!G94+'GF &amp; FF  Inc Exp Statement'!G99+'Sewer  Fund  Inc Exp Statem'!G94</f>
        <v>2126.712</v>
      </c>
      <c r="H96" s="707">
        <f>'Water  Fund  Inc Exp Statement '!H94+'GF &amp; FF  Inc Exp Statement'!H99+'Sewer  Fund  Inc Exp Statem'!H94</f>
        <v>2428.0219999999999</v>
      </c>
      <c r="I96" s="707">
        <f>'Water  Fund  Inc Exp Statement '!I94+'GF &amp; FF  Inc Exp Statement'!I99+'Sewer  Fund  Inc Exp Statem'!I94</f>
        <v>2823.9700000000003</v>
      </c>
      <c r="J96" s="707">
        <f>'Water  Fund  Inc Exp Statement '!J94+'GF &amp; FF  Inc Exp Statement'!J99+'Sewer  Fund  Inc Exp Statem'!J94</f>
        <v>3230.4170000000004</v>
      </c>
      <c r="K96" s="707">
        <f>'Water  Fund  Inc Exp Statement '!K94+'GF &amp; FF  Inc Exp Statement'!K99+'Sewer  Fund  Inc Exp Statem'!K94</f>
        <v>3173.5130360000003</v>
      </c>
      <c r="L96" s="707">
        <f>'Water  Fund  Inc Exp Statement '!L94+'GF &amp; FF  Inc Exp Statement'!L99+'Sewer  Fund  Inc Exp Statem'!L94</f>
        <v>3115.4709927200001</v>
      </c>
      <c r="M96" s="707">
        <f>'Water  Fund  Inc Exp Statement '!M94+'GF &amp; FF  Inc Exp Statement'!M99+'Sewer  Fund  Inc Exp Statem'!M94</f>
        <v>3057.3881085744001</v>
      </c>
      <c r="N96" s="707">
        <f>'Water  Fund  Inc Exp Statement '!N94+'GF &amp; FF  Inc Exp Statement'!N99+'Sewer  Fund  Inc Exp Statem'!N94</f>
        <v>3011.3494111886976</v>
      </c>
      <c r="O96" s="707">
        <f>'Water  Fund  Inc Exp Statement '!O94+'GF &amp; FF  Inc Exp Statement'!O99+'Sewer  Fund  Inc Exp Statem'!O94</f>
        <v>2964.3899398552812</v>
      </c>
      <c r="P96" s="707">
        <f>'Water  Fund  Inc Exp Statement '!P94+'GF &amp; FF  Inc Exp Statement'!P99+'Sewer  Fund  Inc Exp Statem'!P94</f>
        <v>2916.4912790951962</v>
      </c>
    </row>
    <row r="97" spans="1:16" x14ac:dyDescent="0.2">
      <c r="A97" s="600" t="str">
        <f>A27</f>
        <v>Materials and Contracts</v>
      </c>
      <c r="B97" s="606">
        <f>+B27</f>
        <v>0</v>
      </c>
      <c r="C97" s="606">
        <f>+C27</f>
        <v>0</v>
      </c>
      <c r="D97" s="606">
        <f>+D27</f>
        <v>8897</v>
      </c>
      <c r="E97" s="707">
        <f>'Water  Fund  Inc Exp Statement '!E95+'GF &amp; FF  Inc Exp Statement'!E100+'Sewer  Fund  Inc Exp Statem'!E95</f>
        <v>12542</v>
      </c>
      <c r="F97" s="707">
        <f>'Water  Fund  Inc Exp Statement '!F95+'GF &amp; FF  Inc Exp Statement'!F100+'Sewer  Fund  Inc Exp Statem'!F95</f>
        <v>14214.548000000001</v>
      </c>
      <c r="G97" s="707">
        <f>'Water  Fund  Inc Exp Statement '!G95+'GF &amp; FF  Inc Exp Statement'!G100+'Sewer  Fund  Inc Exp Statem'!G95</f>
        <v>14424.867</v>
      </c>
      <c r="H97" s="707">
        <f>'Water  Fund  Inc Exp Statement '!H95+'GF &amp; FF  Inc Exp Statement'!H100+'Sewer  Fund  Inc Exp Statem'!H95</f>
        <v>14649.205000000002</v>
      </c>
      <c r="I97" s="707">
        <f>'Water  Fund  Inc Exp Statement '!I95+'GF &amp; FF  Inc Exp Statement'!I100+'Sewer  Fund  Inc Exp Statem'!I95</f>
        <v>15061.072</v>
      </c>
      <c r="J97" s="707">
        <f>'Water  Fund  Inc Exp Statement '!J95+'GF &amp; FF  Inc Exp Statement'!J100+'Sewer  Fund  Inc Exp Statem'!J95</f>
        <v>15809.757999999998</v>
      </c>
      <c r="K97" s="707">
        <f>'Water  Fund  Inc Exp Statement '!K95+'GF &amp; FF  Inc Exp Statement'!K100+'Sewer  Fund  Inc Exp Statem'!K95</f>
        <v>16125.953160000001</v>
      </c>
      <c r="L97" s="707">
        <f>'Water  Fund  Inc Exp Statement '!L95+'GF &amp; FF  Inc Exp Statement'!L100+'Sewer  Fund  Inc Exp Statem'!L95</f>
        <v>16448.472223199999</v>
      </c>
      <c r="M97" s="707">
        <f>'Water  Fund  Inc Exp Statement '!M95+'GF &amp; FF  Inc Exp Statement'!M100+'Sewer  Fund  Inc Exp Statem'!M95</f>
        <v>16777.441667663999</v>
      </c>
      <c r="N97" s="707">
        <f>'Water  Fund  Inc Exp Statement '!N95+'GF &amp; FF  Inc Exp Statement'!N100+'Sewer  Fund  Inc Exp Statem'!N95</f>
        <v>17112.990501017281</v>
      </c>
      <c r="O97" s="707">
        <f>'Water  Fund  Inc Exp Statement '!O95+'GF &amp; FF  Inc Exp Statement'!O100+'Sewer  Fund  Inc Exp Statem'!O95</f>
        <v>17455.250311037627</v>
      </c>
      <c r="P97" s="707">
        <f>'Water  Fund  Inc Exp Statement '!P95+'GF &amp; FF  Inc Exp Statement'!P100+'Sewer  Fund  Inc Exp Statem'!P95</f>
        <v>17804.355317258382</v>
      </c>
    </row>
    <row r="98" spans="1:16" x14ac:dyDescent="0.2">
      <c r="A98" s="600" t="s">
        <v>1077</v>
      </c>
      <c r="B98" s="606"/>
      <c r="C98" s="606"/>
      <c r="D98" s="606"/>
      <c r="E98" s="707">
        <f>'Water  Fund  Inc Exp Statement '!E96+'GF &amp; FF  Inc Exp Statement'!E101+'Sewer  Fund  Inc Exp Statem'!E96</f>
        <v>0</v>
      </c>
      <c r="F98" s="707">
        <f>'Water  Fund  Inc Exp Statement '!F96+'GF &amp; FF  Inc Exp Statement'!F101+'Sewer  Fund  Inc Exp Statem'!F96</f>
        <v>4783.3530000000001</v>
      </c>
      <c r="G98" s="707">
        <f>'Water  Fund  Inc Exp Statement '!G96+'GF &amp; FF  Inc Exp Statement'!G101+'Sewer  Fund  Inc Exp Statem'!G96</f>
        <v>4997.3519999999999</v>
      </c>
      <c r="H98" s="707">
        <f>'Water  Fund  Inc Exp Statement '!H96+'GF &amp; FF  Inc Exp Statement'!H101+'Sewer  Fund  Inc Exp Statem'!H96</f>
        <v>5174.6230000000005</v>
      </c>
      <c r="I98" s="707">
        <f>'Water  Fund  Inc Exp Statement '!I96+'GF &amp; FF  Inc Exp Statement'!I101+'Sewer  Fund  Inc Exp Statem'!I96</f>
        <v>5354.1780000000008</v>
      </c>
      <c r="J98" s="707">
        <f>'Water  Fund  Inc Exp Statement '!J96+'GF &amp; FF  Inc Exp Statement'!J101+'Sewer  Fund  Inc Exp Statem'!J96</f>
        <v>5535.7020000000002</v>
      </c>
      <c r="K98" s="707">
        <f>'Water  Fund  Inc Exp Statement '!K96+'GF &amp; FF  Inc Exp Statement'!K101+'Sewer  Fund  Inc Exp Statem'!K96</f>
        <v>5629.2908400000006</v>
      </c>
      <c r="L98" s="707">
        <f>'Water  Fund  Inc Exp Statement '!L96+'GF &amp; FF  Inc Exp Statement'!L101+'Sewer  Fund  Inc Exp Statem'!L96</f>
        <v>5741.8766568000001</v>
      </c>
      <c r="M98" s="707">
        <f>'Water  Fund  Inc Exp Statement '!M96+'GF &amp; FF  Inc Exp Statement'!M101+'Sewer  Fund  Inc Exp Statem'!M96</f>
        <v>5856.7141899360004</v>
      </c>
      <c r="N98" s="707">
        <f>'Water  Fund  Inc Exp Statement '!N96+'GF &amp; FF  Inc Exp Statement'!N101+'Sewer  Fund  Inc Exp Statem'!N96</f>
        <v>5973.8484737347198</v>
      </c>
      <c r="O98" s="707">
        <f>'Water  Fund  Inc Exp Statement '!O96+'GF &amp; FF  Inc Exp Statement'!O101+'Sewer  Fund  Inc Exp Statem'!O96</f>
        <v>6093.3254432094145</v>
      </c>
      <c r="P98" s="707">
        <f>'Water  Fund  Inc Exp Statement '!P96+'GF &amp; FF  Inc Exp Statement'!P101+'Sewer  Fund  Inc Exp Statem'!P96</f>
        <v>6215.1919520736037</v>
      </c>
    </row>
    <row r="99" spans="1:16" x14ac:dyDescent="0.2">
      <c r="A99" s="600" t="str">
        <f>A29</f>
        <v>Depreciation and Amortisation</v>
      </c>
      <c r="B99" s="606">
        <f>+B29</f>
        <v>0</v>
      </c>
      <c r="C99" s="606">
        <f>+C29</f>
        <v>0</v>
      </c>
      <c r="D99" s="606">
        <f>+D29</f>
        <v>10831</v>
      </c>
      <c r="E99" s="707">
        <f>'Water  Fund  Inc Exp Statement '!E97+'GF &amp; FF  Inc Exp Statement'!E102+'Sewer  Fund  Inc Exp Statem'!E97</f>
        <v>9874</v>
      </c>
      <c r="F99" s="707">
        <f>'Water  Fund  Inc Exp Statement '!F97+'GF &amp; FF  Inc Exp Statement'!F102+'Sewer  Fund  Inc Exp Statem'!F97</f>
        <v>11286.985000000001</v>
      </c>
      <c r="G99" s="707">
        <f>'Water  Fund  Inc Exp Statement '!G97+'GF &amp; FF  Inc Exp Statement'!G102+'Sewer  Fund  Inc Exp Statem'!G97</f>
        <v>10411.565000000001</v>
      </c>
      <c r="H99" s="707">
        <f>'Water  Fund  Inc Exp Statement '!H97+'GF &amp; FF  Inc Exp Statement'!H102+'Sewer  Fund  Inc Exp Statem'!H97</f>
        <v>10771.184000000001</v>
      </c>
      <c r="I99" s="707">
        <f>'Water  Fund  Inc Exp Statement '!I97+'GF &amp; FF  Inc Exp Statement'!I102+'Sewer  Fund  Inc Exp Statem'!I97</f>
        <v>11149.531999999999</v>
      </c>
      <c r="J99" s="707">
        <f>'Water  Fund  Inc Exp Statement '!J97+'GF &amp; FF  Inc Exp Statement'!J102+'Sewer  Fund  Inc Exp Statem'!J97</f>
        <v>11765.181</v>
      </c>
      <c r="K99" s="707">
        <f>'Water  Fund  Inc Exp Statement '!K97+'GF &amp; FF  Inc Exp Statement'!K102+'Sewer  Fund  Inc Exp Statem'!K97</f>
        <v>12059.310524999999</v>
      </c>
      <c r="L99" s="707">
        <f>'Water  Fund  Inc Exp Statement '!L97+'GF &amp; FF  Inc Exp Statement'!L102+'Sewer  Fund  Inc Exp Statem'!L97</f>
        <v>12360.793288124998</v>
      </c>
      <c r="M99" s="707">
        <f>'Water  Fund  Inc Exp Statement '!M97+'GF &amp; FF  Inc Exp Statement'!M102+'Sewer  Fund  Inc Exp Statem'!M97</f>
        <v>12669.813120328121</v>
      </c>
      <c r="N99" s="707">
        <f>'Water  Fund  Inc Exp Statement '!N97+'GF &amp; FF  Inc Exp Statement'!N102+'Sewer  Fund  Inc Exp Statem'!N97</f>
        <v>12986.558448336324</v>
      </c>
      <c r="O99" s="707">
        <f>'Water  Fund  Inc Exp Statement '!O97+'GF &amp; FF  Inc Exp Statement'!O102+'Sewer  Fund  Inc Exp Statem'!O97</f>
        <v>13311.222409544731</v>
      </c>
      <c r="P99" s="707">
        <f>'Water  Fund  Inc Exp Statement '!P97+'GF &amp; FF  Inc Exp Statement'!P102+'Sewer  Fund  Inc Exp Statem'!P97</f>
        <v>13644.002969783349</v>
      </c>
    </row>
    <row r="100" spans="1:16" ht="12" x14ac:dyDescent="0.25">
      <c r="A100" s="769" t="str">
        <f>A30</f>
        <v>Impairment</v>
      </c>
      <c r="B100" s="606"/>
      <c r="C100" s="606"/>
      <c r="D100" s="606">
        <f>+D30</f>
        <v>0</v>
      </c>
      <c r="E100" s="707">
        <f>'Water  Fund  Inc Exp Statement '!E98+'GF &amp; FF  Inc Exp Statement'!E103+'Sewer  Fund  Inc Exp Statem'!E98</f>
        <v>600</v>
      </c>
      <c r="F100" s="707">
        <f>'Water  Fund  Inc Exp Statement '!F98+'GF &amp; FF  Inc Exp Statement'!F103+'Sewer  Fund  Inc Exp Statem'!F98</f>
        <v>0</v>
      </c>
      <c r="G100" s="707">
        <f>'Water  Fund  Inc Exp Statement '!G98+'GF &amp; FF  Inc Exp Statement'!G103+'Sewer  Fund  Inc Exp Statem'!G98</f>
        <v>0</v>
      </c>
      <c r="H100" s="707">
        <f>'Water  Fund  Inc Exp Statement '!H98+'GF &amp; FF  Inc Exp Statement'!H103+'Sewer  Fund  Inc Exp Statem'!H98</f>
        <v>0</v>
      </c>
      <c r="I100" s="707">
        <f>'Water  Fund  Inc Exp Statement '!I98+'GF &amp; FF  Inc Exp Statement'!I103+'Sewer  Fund  Inc Exp Statem'!I98</f>
        <v>0</v>
      </c>
      <c r="J100" s="707">
        <f>'Water  Fund  Inc Exp Statement '!J98+'GF &amp; FF  Inc Exp Statement'!J103+'Sewer  Fund  Inc Exp Statem'!J98</f>
        <v>0</v>
      </c>
      <c r="K100" s="707">
        <f>'Water  Fund  Inc Exp Statement '!K98+'GF &amp; FF  Inc Exp Statement'!K103+'Sewer  Fund  Inc Exp Statem'!K98</f>
        <v>0</v>
      </c>
      <c r="L100" s="707">
        <f>'Water  Fund  Inc Exp Statement '!L98+'GF &amp; FF  Inc Exp Statement'!L103+'Sewer  Fund  Inc Exp Statem'!L98</f>
        <v>0</v>
      </c>
      <c r="M100" s="707">
        <f>'Water  Fund  Inc Exp Statement '!M98+'GF &amp; FF  Inc Exp Statement'!M103+'Sewer  Fund  Inc Exp Statem'!M98</f>
        <v>0</v>
      </c>
      <c r="N100" s="707">
        <f>'Water  Fund  Inc Exp Statement '!N98+'GF &amp; FF  Inc Exp Statement'!N103+'Sewer  Fund  Inc Exp Statem'!N98</f>
        <v>0</v>
      </c>
      <c r="O100" s="707">
        <f>'Water  Fund  Inc Exp Statement '!O98+'GF &amp; FF  Inc Exp Statement'!O103+'Sewer  Fund  Inc Exp Statem'!O98</f>
        <v>0</v>
      </c>
      <c r="P100" s="707">
        <f>'Water  Fund  Inc Exp Statement '!P98+'GF &amp; FF  Inc Exp Statement'!P103+'Sewer  Fund  Inc Exp Statem'!P98</f>
        <v>0</v>
      </c>
    </row>
    <row r="101" spans="1:16" ht="12" x14ac:dyDescent="0.25">
      <c r="A101" s="769" t="str">
        <f>A31</f>
        <v>Net Losses from the disposal of assets</v>
      </c>
      <c r="B101" s="606"/>
      <c r="C101" s="606"/>
      <c r="D101" s="606">
        <f>+D31</f>
        <v>618</v>
      </c>
      <c r="E101" s="707">
        <f>'Water  Fund  Inc Exp Statement '!E99+'GF &amp; FF  Inc Exp Statement'!E104+'Sewer  Fund  Inc Exp Statem'!E99</f>
        <v>0</v>
      </c>
      <c r="F101" s="707">
        <f>'Water  Fund  Inc Exp Statement '!F99+'GF &amp; FF  Inc Exp Statement'!F104+'Sewer  Fund  Inc Exp Statem'!F99</f>
        <v>0</v>
      </c>
      <c r="G101" s="707">
        <f>'Water  Fund  Inc Exp Statement '!G99+'GF &amp; FF  Inc Exp Statement'!G104+'Sewer  Fund  Inc Exp Statem'!G99</f>
        <v>0</v>
      </c>
      <c r="H101" s="707">
        <f>'Water  Fund  Inc Exp Statement '!H99+'GF &amp; FF  Inc Exp Statement'!H104+'Sewer  Fund  Inc Exp Statem'!H99</f>
        <v>0</v>
      </c>
      <c r="I101" s="707">
        <f>'Water  Fund  Inc Exp Statement '!I99+'GF &amp; FF  Inc Exp Statement'!I104+'Sewer  Fund  Inc Exp Statem'!I99</f>
        <v>0</v>
      </c>
      <c r="J101" s="707">
        <f>'Water  Fund  Inc Exp Statement '!J99+'GF &amp; FF  Inc Exp Statement'!J104+'Sewer  Fund  Inc Exp Statem'!J99</f>
        <v>0</v>
      </c>
      <c r="K101" s="707">
        <f>'Water  Fund  Inc Exp Statement '!K99+'GF &amp; FF  Inc Exp Statement'!K104+'Sewer  Fund  Inc Exp Statem'!K99</f>
        <v>0</v>
      </c>
      <c r="L101" s="707">
        <f>'Water  Fund  Inc Exp Statement '!L99+'GF &amp; FF  Inc Exp Statement'!L104+'Sewer  Fund  Inc Exp Statem'!L99</f>
        <v>0</v>
      </c>
      <c r="M101" s="707">
        <f>'Water  Fund  Inc Exp Statement '!M99+'GF &amp; FF  Inc Exp Statement'!M104+'Sewer  Fund  Inc Exp Statem'!M99</f>
        <v>0</v>
      </c>
      <c r="N101" s="707">
        <f>'Water  Fund  Inc Exp Statement '!N99+'GF &amp; FF  Inc Exp Statement'!N104+'Sewer  Fund  Inc Exp Statem'!N99</f>
        <v>0</v>
      </c>
      <c r="O101" s="707">
        <f>'Water  Fund  Inc Exp Statement '!O99+'GF &amp; FF  Inc Exp Statement'!O104+'Sewer  Fund  Inc Exp Statem'!O99</f>
        <v>0</v>
      </c>
      <c r="P101" s="707">
        <f>'Water  Fund  Inc Exp Statement '!P99+'GF &amp; FF  Inc Exp Statement'!P104+'Sewer  Fund  Inc Exp Statem'!P99</f>
        <v>0</v>
      </c>
    </row>
    <row r="102" spans="1:16" x14ac:dyDescent="0.2">
      <c r="A102" s="614" t="s">
        <v>28</v>
      </c>
      <c r="B102" s="606">
        <f>+B32</f>
        <v>0</v>
      </c>
      <c r="C102" s="606">
        <f>+C32</f>
        <v>0</v>
      </c>
      <c r="D102" s="606">
        <f>+D32</f>
        <v>5886</v>
      </c>
      <c r="E102" s="707">
        <f>'Water  Fund  Inc Exp Statement '!E100+'GF &amp; FF  Inc Exp Statement'!E105+'Sewer  Fund  Inc Exp Statem'!E100</f>
        <v>7060</v>
      </c>
      <c r="F102" s="707">
        <f>'Water  Fund  Inc Exp Statement '!F100+'GF &amp; FF  Inc Exp Statement'!F105+'Sewer  Fund  Inc Exp Statem'!F100</f>
        <v>3204.8429999999998</v>
      </c>
      <c r="G102" s="707">
        <f>'Water  Fund  Inc Exp Statement '!G100+'GF &amp; FF  Inc Exp Statement'!G105+'Sewer  Fund  Inc Exp Statem'!G100</f>
        <v>3307.2809999999999</v>
      </c>
      <c r="H102" s="707">
        <f>'Water  Fund  Inc Exp Statement '!H100+'GF &amp; FF  Inc Exp Statement'!H105+'Sewer  Fund  Inc Exp Statem'!H100</f>
        <v>3375.721</v>
      </c>
      <c r="I102" s="707">
        <f>'Water  Fund  Inc Exp Statement '!I100+'GF &amp; FF  Inc Exp Statement'!I105+'Sewer  Fund  Inc Exp Statem'!I100</f>
        <v>3469.5200000000004</v>
      </c>
      <c r="J102" s="707">
        <f>'Water  Fund  Inc Exp Statement '!J100+'GF &amp; FF  Inc Exp Statement'!J105+'Sewer  Fund  Inc Exp Statem'!J100</f>
        <v>3637.9970000000003</v>
      </c>
      <c r="K102" s="707">
        <f>'Water  Fund  Inc Exp Statement '!K100+'GF &amp; FF  Inc Exp Statement'!K105+'Sewer  Fund  Inc Exp Statem'!K100</f>
        <v>3710.7569399999998</v>
      </c>
      <c r="L102" s="707">
        <f>'Water  Fund  Inc Exp Statement '!L100+'GF &amp; FF  Inc Exp Statement'!L105+'Sewer  Fund  Inc Exp Statem'!L100</f>
        <v>3784.9720788</v>
      </c>
      <c r="M102" s="707">
        <f>'Water  Fund  Inc Exp Statement '!M100+'GF &amp; FF  Inc Exp Statement'!M105+'Sewer  Fund  Inc Exp Statem'!M100</f>
        <v>3860.671520376</v>
      </c>
      <c r="N102" s="707">
        <f>'Water  Fund  Inc Exp Statement '!N100+'GF &amp; FF  Inc Exp Statement'!N105+'Sewer  Fund  Inc Exp Statem'!N100</f>
        <v>3937.8849507835198</v>
      </c>
      <c r="O102" s="707">
        <f>'Water  Fund  Inc Exp Statement '!O100+'GF &amp; FF  Inc Exp Statement'!O105+'Sewer  Fund  Inc Exp Statem'!O100</f>
        <v>4016.6426497991906</v>
      </c>
      <c r="P102" s="707">
        <f>'Water  Fund  Inc Exp Statement '!P100+'GF &amp; FF  Inc Exp Statement'!P105+'Sewer  Fund  Inc Exp Statem'!P100</f>
        <v>4096.9755027951742</v>
      </c>
    </row>
    <row r="103" spans="1:16" x14ac:dyDescent="0.2">
      <c r="A103" s="604" t="s">
        <v>66</v>
      </c>
      <c r="B103" s="610">
        <f t="shared" ref="B103:P103" si="23">SUM(B95:B102)</f>
        <v>0</v>
      </c>
      <c r="C103" s="610">
        <f t="shared" si="23"/>
        <v>0</v>
      </c>
      <c r="D103" s="610">
        <f t="shared" si="23"/>
        <v>39949</v>
      </c>
      <c r="E103" s="610">
        <f t="shared" si="23"/>
        <v>43925</v>
      </c>
      <c r="F103" s="610">
        <f t="shared" si="23"/>
        <v>48299.724000000002</v>
      </c>
      <c r="G103" s="610">
        <f t="shared" si="23"/>
        <v>48839.516000000003</v>
      </c>
      <c r="H103" s="610">
        <f t="shared" si="23"/>
        <v>50288.281000000003</v>
      </c>
      <c r="I103" s="610">
        <f t="shared" si="23"/>
        <v>52328.062000000005</v>
      </c>
      <c r="J103" s="610">
        <f t="shared" si="23"/>
        <v>55080.156000000003</v>
      </c>
      <c r="K103" s="610">
        <f t="shared" si="23"/>
        <v>56252.958530999997</v>
      </c>
      <c r="L103" s="610">
        <f t="shared" si="23"/>
        <v>57472.343290545003</v>
      </c>
      <c r="M103" s="610">
        <f t="shared" si="23"/>
        <v>58723.409399305528</v>
      </c>
      <c r="N103" s="610">
        <f t="shared" si="23"/>
        <v>60019.054001260352</v>
      </c>
      <c r="O103" s="610">
        <f t="shared" si="23"/>
        <v>61347.14563613206</v>
      </c>
      <c r="P103" s="610">
        <f t="shared" si="23"/>
        <v>62708.521350172086</v>
      </c>
    </row>
    <row r="105" spans="1:16" ht="10.8" thickBot="1" x14ac:dyDescent="0.25">
      <c r="A105" s="604" t="s">
        <v>67</v>
      </c>
      <c r="B105" s="633">
        <f t="shared" ref="B105:P105" si="24">+B92-B103</f>
        <v>0</v>
      </c>
      <c r="C105" s="633">
        <f t="shared" si="24"/>
        <v>0</v>
      </c>
      <c r="D105" s="633">
        <f t="shared" si="24"/>
        <v>19960</v>
      </c>
      <c r="E105" s="633">
        <f t="shared" si="24"/>
        <v>14806</v>
      </c>
      <c r="F105" s="633">
        <f t="shared" si="24"/>
        <v>4932.0509999999995</v>
      </c>
      <c r="G105" s="633">
        <f t="shared" si="24"/>
        <v>13940.066000000006</v>
      </c>
      <c r="H105" s="633">
        <f t="shared" si="24"/>
        <v>5227.2930100000085</v>
      </c>
      <c r="I105" s="633">
        <f t="shared" si="24"/>
        <v>8818.7610152999987</v>
      </c>
      <c r="J105" s="633">
        <f t="shared" si="24"/>
        <v>4424.5550926339929</v>
      </c>
      <c r="K105" s="633">
        <f t="shared" si="24"/>
        <v>4288.5899180090491</v>
      </c>
      <c r="L105" s="633">
        <f t="shared" si="24"/>
        <v>4444.7528941952478</v>
      </c>
      <c r="M105" s="633">
        <f t="shared" si="24"/>
        <v>4567.6253984667346</v>
      </c>
      <c r="N105" s="633">
        <f t="shared" si="24"/>
        <v>4645.1506520135808</v>
      </c>
      <c r="O105" s="633">
        <f t="shared" si="24"/>
        <v>4756.9702387637371</v>
      </c>
      <c r="P105" s="633">
        <f t="shared" si="24"/>
        <v>4872.2377671681315</v>
      </c>
    </row>
    <row r="106" spans="1:16" x14ac:dyDescent="0.2">
      <c r="A106" s="616"/>
      <c r="B106" s="621"/>
      <c r="C106" s="621"/>
      <c r="D106" s="621"/>
      <c r="E106" s="621"/>
      <c r="F106" s="621"/>
      <c r="G106" s="621"/>
      <c r="H106" s="621"/>
      <c r="I106" s="621"/>
      <c r="J106" s="621"/>
      <c r="K106" s="621"/>
      <c r="L106" s="621"/>
      <c r="M106" s="621"/>
      <c r="N106" s="621"/>
      <c r="O106" s="621"/>
      <c r="P106" s="621"/>
    </row>
    <row r="107" spans="1:16" x14ac:dyDescent="0.2">
      <c r="A107" s="604" t="s">
        <v>75</v>
      </c>
      <c r="B107" s="621"/>
      <c r="C107" s="621"/>
      <c r="D107" s="621"/>
      <c r="E107" s="621"/>
      <c r="F107" s="621"/>
      <c r="G107" s="621"/>
      <c r="H107" s="621"/>
      <c r="I107" s="621"/>
      <c r="J107" s="621"/>
      <c r="K107" s="621"/>
      <c r="L107" s="621"/>
      <c r="M107" s="621"/>
      <c r="N107" s="621"/>
      <c r="O107" s="621"/>
      <c r="P107" s="621"/>
    </row>
    <row r="108" spans="1:16" x14ac:dyDescent="0.2">
      <c r="A108" s="614" t="s">
        <v>322</v>
      </c>
      <c r="B108" s="617">
        <v>0</v>
      </c>
      <c r="C108" s="617">
        <v>0</v>
      </c>
      <c r="D108" s="617">
        <v>0</v>
      </c>
      <c r="E108" s="617">
        <v>0</v>
      </c>
      <c r="F108" s="617">
        <v>0</v>
      </c>
      <c r="G108" s="617">
        <v>0</v>
      </c>
      <c r="H108" s="617">
        <v>0</v>
      </c>
      <c r="I108" s="617">
        <v>0</v>
      </c>
      <c r="J108" s="617">
        <v>0</v>
      </c>
      <c r="K108" s="617">
        <v>0</v>
      </c>
      <c r="L108" s="617">
        <v>0</v>
      </c>
      <c r="M108" s="617">
        <v>0</v>
      </c>
      <c r="N108" s="617">
        <v>0</v>
      </c>
      <c r="O108" s="617">
        <v>0</v>
      </c>
      <c r="P108" s="617">
        <v>0</v>
      </c>
    </row>
    <row r="109" spans="1:16" x14ac:dyDescent="0.2">
      <c r="B109" s="621"/>
      <c r="C109" s="621"/>
      <c r="D109" s="621"/>
      <c r="E109" s="621"/>
      <c r="F109" s="621"/>
      <c r="G109" s="621"/>
      <c r="H109" s="621"/>
      <c r="I109" s="621"/>
      <c r="J109" s="621"/>
      <c r="K109" s="621"/>
      <c r="L109" s="621"/>
      <c r="M109" s="621"/>
      <c r="N109" s="621"/>
      <c r="O109" s="621"/>
      <c r="P109" s="621"/>
    </row>
    <row r="110" spans="1:16" x14ac:dyDescent="0.2">
      <c r="A110" s="618" t="s">
        <v>76</v>
      </c>
      <c r="B110" s="634">
        <f>+B105+B108</f>
        <v>0</v>
      </c>
      <c r="C110" s="634">
        <f>+C105+C108</f>
        <v>0</v>
      </c>
      <c r="D110" s="634">
        <f>+D105+D108</f>
        <v>19960</v>
      </c>
      <c r="E110" s="634">
        <f t="shared" ref="E110:P110" si="25">+E105+E108</f>
        <v>14806</v>
      </c>
      <c r="F110" s="634">
        <f t="shared" si="25"/>
        <v>4932.0509999999995</v>
      </c>
      <c r="G110" s="634">
        <f t="shared" si="25"/>
        <v>13940.066000000006</v>
      </c>
      <c r="H110" s="634">
        <f t="shared" si="25"/>
        <v>5227.2930100000085</v>
      </c>
      <c r="I110" s="634">
        <f t="shared" si="25"/>
        <v>8818.7610152999987</v>
      </c>
      <c r="J110" s="634">
        <f t="shared" si="25"/>
        <v>4424.5550926339929</v>
      </c>
      <c r="K110" s="634">
        <f t="shared" si="25"/>
        <v>4288.5899180090491</v>
      </c>
      <c r="L110" s="634">
        <f t="shared" si="25"/>
        <v>4444.7528941952478</v>
      </c>
      <c r="M110" s="634">
        <f t="shared" si="25"/>
        <v>4567.6253984667346</v>
      </c>
      <c r="N110" s="634">
        <f t="shared" si="25"/>
        <v>4645.1506520135808</v>
      </c>
      <c r="O110" s="634">
        <f t="shared" si="25"/>
        <v>4756.9702387637371</v>
      </c>
      <c r="P110" s="634">
        <f t="shared" si="25"/>
        <v>4872.2377671681315</v>
      </c>
    </row>
    <row r="111" spans="1:16" x14ac:dyDescent="0.2">
      <c r="B111" s="621"/>
      <c r="C111" s="621"/>
      <c r="D111" s="621"/>
      <c r="E111" s="621"/>
      <c r="F111" s="621"/>
      <c r="G111" s="621"/>
      <c r="H111" s="621"/>
      <c r="I111" s="621"/>
      <c r="J111" s="621"/>
      <c r="K111" s="621"/>
      <c r="L111" s="621"/>
      <c r="M111" s="621"/>
      <c r="N111" s="621"/>
      <c r="O111" s="621"/>
      <c r="P111" s="621"/>
    </row>
    <row r="112" spans="1:16" s="601" customFormat="1" x14ac:dyDescent="0.2">
      <c r="A112" s="733" t="s">
        <v>77</v>
      </c>
      <c r="B112" s="715">
        <f>+B110</f>
        <v>0</v>
      </c>
      <c r="C112" s="734">
        <f>+C107+C110</f>
        <v>0</v>
      </c>
      <c r="D112" s="715">
        <f>+D110</f>
        <v>19960</v>
      </c>
      <c r="E112" s="734">
        <f t="shared" ref="E112:P112" si="26">+E107+E110</f>
        <v>14806</v>
      </c>
      <c r="F112" s="734">
        <f t="shared" si="26"/>
        <v>4932.0509999999995</v>
      </c>
      <c r="G112" s="734">
        <f t="shared" si="26"/>
        <v>13940.066000000006</v>
      </c>
      <c r="H112" s="734">
        <f t="shared" si="26"/>
        <v>5227.2930100000085</v>
      </c>
      <c r="I112" s="734">
        <f t="shared" si="26"/>
        <v>8818.7610152999987</v>
      </c>
      <c r="J112" s="734">
        <f t="shared" si="26"/>
        <v>4424.5550926339929</v>
      </c>
      <c r="K112" s="734">
        <f t="shared" si="26"/>
        <v>4288.5899180090491</v>
      </c>
      <c r="L112" s="734">
        <f t="shared" si="26"/>
        <v>4444.7528941952478</v>
      </c>
      <c r="M112" s="734">
        <f t="shared" si="26"/>
        <v>4567.6253984667346</v>
      </c>
      <c r="N112" s="734">
        <f t="shared" si="26"/>
        <v>4645.1506520135808</v>
      </c>
      <c r="O112" s="734">
        <f t="shared" si="26"/>
        <v>4756.9702387637371</v>
      </c>
      <c r="P112" s="734">
        <f t="shared" si="26"/>
        <v>4872.2377671681315</v>
      </c>
    </row>
    <row r="113" spans="1:17" s="601" customFormat="1" ht="10.5" customHeight="1" thickBot="1" x14ac:dyDescent="0.25">
      <c r="A113" s="739" t="s">
        <v>78</v>
      </c>
      <c r="B113" s="735">
        <v>0</v>
      </c>
      <c r="C113" s="735">
        <v>0</v>
      </c>
      <c r="D113" s="735">
        <v>0</v>
      </c>
      <c r="E113" s="735">
        <v>0</v>
      </c>
      <c r="F113" s="735"/>
      <c r="G113" s="735">
        <v>0</v>
      </c>
      <c r="H113" s="735">
        <v>0</v>
      </c>
      <c r="I113" s="735">
        <v>0</v>
      </c>
      <c r="J113" s="735">
        <v>0</v>
      </c>
      <c r="K113" s="735">
        <v>0</v>
      </c>
      <c r="L113" s="735">
        <v>0</v>
      </c>
      <c r="M113" s="735">
        <v>0</v>
      </c>
      <c r="N113" s="735">
        <v>0</v>
      </c>
      <c r="O113" s="735">
        <v>0</v>
      </c>
      <c r="P113" s="735">
        <v>0</v>
      </c>
    </row>
    <row r="114" spans="1:17" ht="3.75" customHeight="1" thickTop="1" x14ac:dyDescent="0.2">
      <c r="A114" s="726"/>
      <c r="B114" s="714"/>
      <c r="C114" s="714"/>
      <c r="D114" s="710"/>
      <c r="E114" s="710"/>
      <c r="F114" s="710"/>
      <c r="G114" s="710"/>
      <c r="H114" s="710"/>
      <c r="I114" s="710"/>
      <c r="J114" s="710"/>
      <c r="K114" s="710"/>
      <c r="L114" s="710"/>
      <c r="M114" s="710"/>
      <c r="N114" s="710"/>
      <c r="O114" s="710"/>
      <c r="P114" s="710"/>
    </row>
    <row r="115" spans="1:17" ht="31.5" customHeight="1" thickBot="1" x14ac:dyDescent="0.25">
      <c r="A115" s="705" t="s">
        <v>79</v>
      </c>
      <c r="B115" s="736">
        <f>+B110-B89-B91</f>
        <v>0</v>
      </c>
      <c r="C115" s="736">
        <f>+C110-C89-C91</f>
        <v>0</v>
      </c>
      <c r="D115" s="736">
        <f>+D110-D87-D90</f>
        <v>-2616</v>
      </c>
      <c r="E115" s="736">
        <f t="shared" ref="E115:P115" si="27">+E110-E87-E90</f>
        <v>-836</v>
      </c>
      <c r="F115" s="736">
        <f t="shared" si="27"/>
        <v>974.04399999999941</v>
      </c>
      <c r="G115" s="736">
        <f t="shared" si="27"/>
        <v>1412.0990000000056</v>
      </c>
      <c r="H115" s="736">
        <f t="shared" si="27"/>
        <v>1282.9220000000087</v>
      </c>
      <c r="I115" s="736">
        <f t="shared" si="27"/>
        <v>1316.3019999999988</v>
      </c>
      <c r="J115" s="736">
        <f t="shared" si="27"/>
        <v>362.27375999999276</v>
      </c>
      <c r="K115" s="736">
        <f t="shared" si="27"/>
        <v>136.35795872236849</v>
      </c>
      <c r="L115" s="736">
        <f t="shared" si="27"/>
        <v>200.55367072283298</v>
      </c>
      <c r="M115" s="736">
        <f t="shared" si="27"/>
        <v>230.43689989987161</v>
      </c>
      <c r="N115" s="736">
        <f t="shared" si="27"/>
        <v>212.88445058475645</v>
      </c>
      <c r="O115" s="736">
        <f t="shared" si="27"/>
        <v>227.4904220934468</v>
      </c>
      <c r="P115" s="736">
        <f t="shared" si="27"/>
        <v>243.35984567122159</v>
      </c>
    </row>
    <row r="116" spans="1:17" ht="4.5" customHeight="1" thickTop="1" x14ac:dyDescent="0.2">
      <c r="A116" s="705"/>
      <c r="B116" s="734"/>
      <c r="C116" s="734"/>
      <c r="D116" s="734"/>
      <c r="E116" s="734"/>
      <c r="F116" s="734"/>
      <c r="G116" s="734"/>
      <c r="H116" s="734"/>
      <c r="I116" s="734"/>
      <c r="J116" s="734"/>
      <c r="K116" s="734"/>
      <c r="L116" s="734"/>
      <c r="M116" s="734"/>
      <c r="N116" s="734"/>
      <c r="O116" s="734"/>
      <c r="P116" s="734"/>
    </row>
    <row r="117" spans="1:17" x14ac:dyDescent="0.2">
      <c r="A117" s="730" t="s">
        <v>76</v>
      </c>
      <c r="B117" s="732">
        <f t="shared" ref="B117:P117" si="28">B110</f>
        <v>0</v>
      </c>
      <c r="C117" s="732">
        <f t="shared" si="28"/>
        <v>0</v>
      </c>
      <c r="D117" s="732">
        <f t="shared" si="28"/>
        <v>19960</v>
      </c>
      <c r="E117" s="732">
        <f t="shared" si="28"/>
        <v>14806</v>
      </c>
      <c r="F117" s="732">
        <f t="shared" si="28"/>
        <v>4932.0509999999995</v>
      </c>
      <c r="G117" s="732">
        <f t="shared" si="28"/>
        <v>13940.066000000006</v>
      </c>
      <c r="H117" s="732">
        <f t="shared" si="28"/>
        <v>5227.2930100000085</v>
      </c>
      <c r="I117" s="732">
        <f t="shared" si="28"/>
        <v>8818.7610152999987</v>
      </c>
      <c r="J117" s="732">
        <f t="shared" si="28"/>
        <v>4424.5550926339929</v>
      </c>
      <c r="K117" s="732">
        <f t="shared" si="28"/>
        <v>4288.5899180090491</v>
      </c>
      <c r="L117" s="732">
        <f t="shared" si="28"/>
        <v>4444.7528941952478</v>
      </c>
      <c r="M117" s="732">
        <f t="shared" si="28"/>
        <v>4567.6253984667346</v>
      </c>
      <c r="N117" s="732">
        <f t="shared" si="28"/>
        <v>4645.1506520135808</v>
      </c>
      <c r="O117" s="732">
        <f t="shared" si="28"/>
        <v>4756.9702387637371</v>
      </c>
      <c r="P117" s="732">
        <f t="shared" si="28"/>
        <v>4872.2377671681315</v>
      </c>
    </row>
    <row r="118" spans="1:17" ht="9.75" customHeight="1" x14ac:dyDescent="0.2">
      <c r="A118" s="737" t="s">
        <v>1015</v>
      </c>
      <c r="B118" s="734"/>
      <c r="C118" s="734"/>
      <c r="D118" s="734"/>
      <c r="E118" s="734"/>
      <c r="F118" s="734"/>
      <c r="G118" s="734"/>
      <c r="H118" s="734"/>
      <c r="I118" s="734"/>
      <c r="J118" s="734"/>
      <c r="K118" s="734"/>
      <c r="L118" s="734"/>
      <c r="M118" s="734"/>
      <c r="N118" s="734"/>
      <c r="O118" s="734"/>
      <c r="P118" s="734"/>
    </row>
    <row r="119" spans="1:17" x14ac:dyDescent="0.2">
      <c r="A119" s="705" t="s">
        <v>1014</v>
      </c>
      <c r="B119" s="734"/>
      <c r="C119" s="734"/>
      <c r="D119" s="734">
        <v>-8350</v>
      </c>
      <c r="E119" s="734"/>
      <c r="F119" s="734"/>
      <c r="G119" s="734"/>
      <c r="H119" s="734"/>
      <c r="I119" s="734"/>
      <c r="J119" s="734"/>
      <c r="K119" s="734"/>
      <c r="L119" s="734"/>
      <c r="M119" s="734"/>
      <c r="N119" s="734"/>
      <c r="O119" s="734"/>
      <c r="P119" s="734"/>
    </row>
    <row r="120" spans="1:17" ht="1.5" customHeight="1" x14ac:dyDescent="0.2">
      <c r="A120" s="705"/>
      <c r="B120" s="734"/>
      <c r="C120" s="734"/>
      <c r="D120" s="734"/>
      <c r="E120" s="734"/>
      <c r="F120" s="734"/>
      <c r="G120" s="734"/>
      <c r="H120" s="734"/>
      <c r="I120" s="734"/>
      <c r="J120" s="734"/>
      <c r="K120" s="734"/>
      <c r="L120" s="734"/>
      <c r="M120" s="734"/>
      <c r="N120" s="734"/>
      <c r="O120" s="734"/>
      <c r="P120" s="734"/>
    </row>
    <row r="121" spans="1:17" ht="10.8" thickBot="1" x14ac:dyDescent="0.25">
      <c r="A121" s="705" t="s">
        <v>309</v>
      </c>
      <c r="B121" s="738">
        <f t="shared" ref="B121:P121" si="29">SUM(B117:B120)</f>
        <v>0</v>
      </c>
      <c r="C121" s="738">
        <f t="shared" si="29"/>
        <v>0</v>
      </c>
      <c r="D121" s="738">
        <f t="shared" si="29"/>
        <v>11610</v>
      </c>
      <c r="E121" s="738">
        <f t="shared" si="29"/>
        <v>14806</v>
      </c>
      <c r="F121" s="738">
        <f t="shared" si="29"/>
        <v>4932.0509999999995</v>
      </c>
      <c r="G121" s="738">
        <f t="shared" si="29"/>
        <v>13940.066000000006</v>
      </c>
      <c r="H121" s="738">
        <f t="shared" si="29"/>
        <v>5227.2930100000085</v>
      </c>
      <c r="I121" s="738">
        <f t="shared" si="29"/>
        <v>8818.7610152999987</v>
      </c>
      <c r="J121" s="738">
        <f t="shared" si="29"/>
        <v>4424.5550926339929</v>
      </c>
      <c r="K121" s="738">
        <f t="shared" si="29"/>
        <v>4288.5899180090491</v>
      </c>
      <c r="L121" s="738">
        <f t="shared" si="29"/>
        <v>4444.7528941952478</v>
      </c>
      <c r="M121" s="738">
        <f t="shared" si="29"/>
        <v>4567.6253984667346</v>
      </c>
      <c r="N121" s="738">
        <f t="shared" si="29"/>
        <v>4645.1506520135808</v>
      </c>
      <c r="O121" s="738">
        <f t="shared" si="29"/>
        <v>4756.9702387637371</v>
      </c>
      <c r="P121" s="738">
        <f t="shared" si="29"/>
        <v>4872.2377671681315</v>
      </c>
    </row>
    <row r="122" spans="1:17" ht="10.8" thickTop="1" x14ac:dyDescent="0.2">
      <c r="A122" s="616"/>
      <c r="B122" s="621"/>
      <c r="C122" s="621"/>
      <c r="D122" s="621"/>
      <c r="E122" s="621"/>
      <c r="F122" s="621"/>
      <c r="G122" s="621"/>
      <c r="H122" s="621"/>
      <c r="I122" s="621"/>
      <c r="J122" s="621"/>
      <c r="K122" s="621"/>
      <c r="L122" s="621"/>
      <c r="M122" s="621"/>
      <c r="N122" s="621"/>
      <c r="O122" s="621"/>
      <c r="P122" s="621"/>
    </row>
    <row r="123" spans="1:17" ht="11.25" hidden="1" outlineLevel="1" x14ac:dyDescent="0.2">
      <c r="A123" s="604" t="s">
        <v>1081</v>
      </c>
      <c r="B123" s="621"/>
      <c r="C123" s="621"/>
      <c r="D123" s="621">
        <f>'GF &amp; FF  Inc Exp Statement'!D126+'Water  Fund  Inc Exp Statement '!D121+'Sewer  Fund  Inc Exp Statem'!D121</f>
        <v>0</v>
      </c>
      <c r="E123" s="621">
        <f>'GF &amp; FF  Inc Exp Statement'!E126+'Water  Fund  Inc Exp Statement '!E121+'Sewer  Fund  Inc Exp Statem'!E121</f>
        <v>0</v>
      </c>
      <c r="F123" s="621">
        <f>'GF &amp; FF  Inc Exp Statement'!F126+'Water  Fund  Inc Exp Statement '!F121+'Sewer  Fund  Inc Exp Statem'!F121</f>
        <v>40805.421999999999</v>
      </c>
      <c r="G123" s="621">
        <f>'GF &amp; FF  Inc Exp Statement'!G126+'Water  Fund  Inc Exp Statement '!G121+'Sewer  Fund  Inc Exp Statem'!G121</f>
        <v>33395.813999999998</v>
      </c>
      <c r="H123" s="621">
        <f>'GF &amp; FF  Inc Exp Statement'!H126+'Water  Fund  Inc Exp Statement '!H121+'Sewer  Fund  Inc Exp Statem'!H121</f>
        <v>24051.5245</v>
      </c>
      <c r="I123" s="621">
        <f>'GF &amp; FF  Inc Exp Statement'!I126+'Water  Fund  Inc Exp Statement '!I121+'Sewer  Fund  Inc Exp Statem'!I121</f>
        <v>20727.895</v>
      </c>
      <c r="J123" s="621">
        <f>'GF &amp; FF  Inc Exp Statement'!J126+'Water  Fund  Inc Exp Statement '!J121+'Sewer  Fund  Inc Exp Statem'!J121</f>
        <v>5740.598</v>
      </c>
      <c r="K123" s="621">
        <f>'GF &amp; FF  Inc Exp Statement'!K126+'Water  Fund  Inc Exp Statement '!K121+'Sewer  Fund  Inc Exp Statem'!K121</f>
        <v>5194.4567000000006</v>
      </c>
      <c r="L123" s="621">
        <f>'GF &amp; FF  Inc Exp Statement'!L126+'Water  Fund  Inc Exp Statement '!L121+'Sewer  Fund  Inc Exp Statem'!L121</f>
        <v>6224.9193675000006</v>
      </c>
      <c r="M123" s="621">
        <f>'GF &amp; FF  Inc Exp Statement'!M126+'Water  Fund  Inc Exp Statement '!M121+'Sewer  Fund  Inc Exp Statem'!M121</f>
        <v>7107.0187516875012</v>
      </c>
      <c r="N123" s="621">
        <f>'GF &amp; FF  Inc Exp Statement'!N126+'Water  Fund  Inc Exp Statement '!N121+'Sewer  Fund  Inc Exp Statem'!N121</f>
        <v>7190.7882734796876</v>
      </c>
      <c r="O123" s="621">
        <f>'GF &amp; FF  Inc Exp Statement'!O126+'Water  Fund  Inc Exp Statement '!O121+'Sewer  Fund  Inc Exp Statem'!O121</f>
        <v>7226.2620393766801</v>
      </c>
      <c r="P123" s="621">
        <f>'GF &amp; FF  Inc Exp Statement'!P126+'Water  Fund  Inc Exp Statement '!P121+'Sewer  Fund  Inc Exp Statem'!P121</f>
        <v>7363.4748556022969</v>
      </c>
      <c r="Q123" s="599" t="s">
        <v>32</v>
      </c>
    </row>
    <row r="124" spans="1:17" ht="22.5" hidden="1" outlineLevel="1" x14ac:dyDescent="0.2">
      <c r="A124" s="604" t="s">
        <v>1112</v>
      </c>
      <c r="B124" s="621"/>
      <c r="C124" s="621"/>
      <c r="D124" s="621">
        <f>'GF &amp; FF  Inc Exp Statement'!D127+'Water  Fund  Inc Exp Statement '!D122+'Sewer  Fund  Inc Exp Statem'!D122</f>
        <v>0</v>
      </c>
      <c r="E124" s="621">
        <f>'GF &amp; FF  Inc Exp Statement'!E127+'Water  Fund  Inc Exp Statement '!E122+'Sewer  Fund  Inc Exp Statem'!E122</f>
        <v>0</v>
      </c>
      <c r="F124" s="621">
        <f>'GF &amp; FF  Inc Exp Statement'!F127+'Water  Fund  Inc Exp Statement '!F122+'Sewer  Fund  Inc Exp Statem'!F122</f>
        <v>0</v>
      </c>
      <c r="G124" s="621">
        <f>'GF &amp; FF  Inc Exp Statement'!G127+'Water  Fund  Inc Exp Statement '!G122+'Sewer  Fund  Inc Exp Statem'!G122</f>
        <v>0</v>
      </c>
      <c r="H124" s="621">
        <f>'GF &amp; FF  Inc Exp Statement'!H127+'Water  Fund  Inc Exp Statement '!H122+'Sewer  Fund  Inc Exp Statem'!H122</f>
        <v>0</v>
      </c>
      <c r="I124" s="621">
        <f>'GF &amp; FF  Inc Exp Statement'!I127+'Water  Fund  Inc Exp Statement '!I122+'Sewer  Fund  Inc Exp Statem'!I122</f>
        <v>0</v>
      </c>
      <c r="J124" s="621">
        <f>'GF &amp; FF  Inc Exp Statement'!J127+'Water  Fund  Inc Exp Statement '!J122+'Sewer  Fund  Inc Exp Statem'!J122</f>
        <v>0</v>
      </c>
      <c r="K124" s="621">
        <f>'GF &amp; FF  Inc Exp Statement'!K127+'Water  Fund  Inc Exp Statement '!K122+'Sewer  Fund  Inc Exp Statem'!K122</f>
        <v>0</v>
      </c>
      <c r="L124" s="621">
        <f>'GF &amp; FF  Inc Exp Statement'!L127+'Water  Fund  Inc Exp Statement '!L122+'Sewer  Fund  Inc Exp Statem'!L122</f>
        <v>0</v>
      </c>
      <c r="M124" s="621">
        <f>'GF &amp; FF  Inc Exp Statement'!M127+'Water  Fund  Inc Exp Statement '!M122+'Sewer  Fund  Inc Exp Statem'!M122</f>
        <v>0</v>
      </c>
      <c r="N124" s="621">
        <f>'GF &amp; FF  Inc Exp Statement'!N127+'Water  Fund  Inc Exp Statement '!N122+'Sewer  Fund  Inc Exp Statem'!N122</f>
        <v>0</v>
      </c>
      <c r="O124" s="621">
        <f>'GF &amp; FF  Inc Exp Statement'!O127+'Water  Fund  Inc Exp Statement '!O122+'Sewer  Fund  Inc Exp Statem'!O122</f>
        <v>0</v>
      </c>
      <c r="P124" s="621">
        <f>'GF &amp; FF  Inc Exp Statement'!P127+'Water  Fund  Inc Exp Statement '!P122+'Sewer  Fund  Inc Exp Statem'!P122</f>
        <v>0</v>
      </c>
    </row>
    <row r="125" spans="1:17" ht="11.25" hidden="1" outlineLevel="1" x14ac:dyDescent="0.2">
      <c r="A125" s="604" t="s">
        <v>1082</v>
      </c>
      <c r="B125" s="621"/>
      <c r="C125" s="621"/>
      <c r="D125" s="621">
        <f>'GF &amp; FF  Inc Exp Statement'!D128+'Water  Fund  Inc Exp Statement '!D123+'Sewer  Fund  Inc Exp Statem'!D123</f>
        <v>0</v>
      </c>
      <c r="E125" s="621">
        <f>'GF &amp; FF  Inc Exp Statement'!E128+'Water  Fund  Inc Exp Statement '!E123+'Sewer  Fund  Inc Exp Statem'!E123</f>
        <v>0</v>
      </c>
      <c r="F125" s="621">
        <f>'GF &amp; FF  Inc Exp Statement'!F128+'Water  Fund  Inc Exp Statement '!F123+'Sewer  Fund  Inc Exp Statem'!F123</f>
        <v>0</v>
      </c>
      <c r="G125" s="621">
        <f>'GF &amp; FF  Inc Exp Statement'!G128+'Water  Fund  Inc Exp Statement '!G123+'Sewer  Fund  Inc Exp Statem'!G123</f>
        <v>7827.9979999999996</v>
      </c>
      <c r="H125" s="621">
        <f>'GF &amp; FF  Inc Exp Statement'!H128+'Water  Fund  Inc Exp Statement '!H123+'Sewer  Fund  Inc Exp Statem'!H123</f>
        <v>12264.567300000001</v>
      </c>
      <c r="I125" s="621">
        <f>'GF &amp; FF  Inc Exp Statement'!I128+'Water  Fund  Inc Exp Statement '!I123+'Sewer  Fund  Inc Exp Statem'!I123</f>
        <v>8940.2783949999994</v>
      </c>
      <c r="J125" s="621">
        <f>'GF &amp; FF  Inc Exp Statement'!J128+'Water  Fund  Inc Exp Statement '!J123+'Sewer  Fund  Inc Exp Statem'!J123</f>
        <v>8916.9354048749992</v>
      </c>
      <c r="K125" s="621">
        <f>'GF &amp; FF  Inc Exp Statement'!K128+'Water  Fund  Inc Exp Statement '!K123+'Sewer  Fund  Inc Exp Statem'!K123</f>
        <v>8981.5654399968753</v>
      </c>
      <c r="L125" s="621">
        <f>'GF &amp; FF  Inc Exp Statement'!L128+'Water  Fund  Inc Exp Statement '!L123+'Sewer  Fund  Inc Exp Statem'!L123</f>
        <v>9157.3862259967955</v>
      </c>
      <c r="M125" s="621">
        <f>'GF &amp; FF  Inc Exp Statement'!M128+'Water  Fund  Inc Exp Statement '!M123+'Sewer  Fund  Inc Exp Statem'!M123</f>
        <v>9799.0455316467178</v>
      </c>
      <c r="N125" s="621">
        <f>'GF &amp; FF  Inc Exp Statement'!N128+'Water  Fund  Inc Exp Statement '!N123+'Sewer  Fund  Inc Exp Statem'!N123</f>
        <v>9654.5641799378845</v>
      </c>
      <c r="O125" s="621">
        <f>'GF &amp; FF  Inc Exp Statement'!O128+'Water  Fund  Inc Exp Statement '!O123+'Sewer  Fund  Inc Exp Statem'!O123</f>
        <v>9950.9635116363297</v>
      </c>
      <c r="P125" s="621">
        <f>'GF &amp; FF  Inc Exp Statement'!P128+'Water  Fund  Inc Exp Statement '!P123+'Sewer  Fund  Inc Exp Statem'!P123</f>
        <v>10148.265398171241</v>
      </c>
      <c r="Q125" s="599" t="s">
        <v>32</v>
      </c>
    </row>
    <row r="126" spans="1:17" ht="11.25" hidden="1" outlineLevel="1" x14ac:dyDescent="0.2">
      <c r="A126" s="604" t="s">
        <v>1083</v>
      </c>
      <c r="B126" s="621"/>
      <c r="C126" s="621"/>
      <c r="D126" s="621">
        <f>'GF &amp; FF  Inc Exp Statement'!D129+'Water  Fund  Inc Exp Statement '!D124+'Sewer  Fund  Inc Exp Statem'!D124</f>
        <v>0</v>
      </c>
      <c r="E126" s="621">
        <f>'GF &amp; FF  Inc Exp Statement'!E129+'Water  Fund  Inc Exp Statement '!E124+'Sewer  Fund  Inc Exp Statem'!E124</f>
        <v>0</v>
      </c>
      <c r="F126" s="621">
        <f>'GF &amp; FF  Inc Exp Statement'!F129+'Water  Fund  Inc Exp Statement '!F124+'Sewer  Fund  Inc Exp Statem'!F124</f>
        <v>1248.338</v>
      </c>
      <c r="G126" s="621">
        <f>'GF &amp; FF  Inc Exp Statement'!G129+'Water  Fund  Inc Exp Statement '!G124+'Sewer  Fund  Inc Exp Statem'!G124</f>
        <v>978.11200000000008</v>
      </c>
      <c r="H126" s="621">
        <f>'GF &amp; FF  Inc Exp Statement'!H129+'Water  Fund  Inc Exp Statement '!H124+'Sewer  Fund  Inc Exp Statem'!H124</f>
        <v>932.58900000000006</v>
      </c>
      <c r="I126" s="621">
        <f>'GF &amp; FF  Inc Exp Statement'!I129+'Water  Fund  Inc Exp Statement '!I124+'Sewer  Fund  Inc Exp Statem'!I124</f>
        <v>1070.8130000000001</v>
      </c>
      <c r="J126" s="621">
        <f>'GF &amp; FF  Inc Exp Statement'!J129+'Water  Fund  Inc Exp Statement '!J124+'Sewer  Fund  Inc Exp Statem'!J124</f>
        <v>1394.7049999999999</v>
      </c>
      <c r="K126" s="621">
        <f>'GF &amp; FF  Inc Exp Statement'!K129+'Water  Fund  Inc Exp Statement '!K124+'Sewer  Fund  Inc Exp Statem'!K124</f>
        <v>1437.4461199999998</v>
      </c>
      <c r="L126" s="621">
        <f>'GF &amp; FF  Inc Exp Statement'!L129+'Water  Fund  Inc Exp Statement '!L124+'Sewer  Fund  Inc Exp Statem'!L124</f>
        <v>1493.0550424</v>
      </c>
      <c r="M126" s="621">
        <f>'GF &amp; FF  Inc Exp Statement'!M129+'Water  Fund  Inc Exp Statement '!M124+'Sewer  Fund  Inc Exp Statem'!M124</f>
        <v>1228.8361432480001</v>
      </c>
      <c r="N126" s="621">
        <f>'GF &amp; FF  Inc Exp Statement'!N129+'Water  Fund  Inc Exp Statement '!N124+'Sewer  Fund  Inc Exp Statem'!N124</f>
        <v>843.08675504272003</v>
      </c>
      <c r="O126" s="621">
        <f>'GF &amp; FF  Inc Exp Statement'!O129+'Water  Fund  Inc Exp Statement '!O124+'Sewer  Fund  Inc Exp Statem'!O124</f>
        <v>877.04849014357444</v>
      </c>
      <c r="P126" s="621">
        <f>'GF &amp; FF  Inc Exp Statement'!P129+'Water  Fund  Inc Exp Statement '!P124+'Sewer  Fund  Inc Exp Statem'!P124</f>
        <v>913.04945994644595</v>
      </c>
    </row>
    <row r="127" spans="1:17" ht="11.25" hidden="1" outlineLevel="1" x14ac:dyDescent="0.2">
      <c r="A127" s="604" t="s">
        <v>1089</v>
      </c>
      <c r="B127" s="621"/>
      <c r="C127" s="621"/>
      <c r="D127" s="621">
        <f>'GF &amp; FF  Inc Exp Statement'!D130+'Water  Fund  Inc Exp Statement '!D125+'Sewer  Fund  Inc Exp Statem'!D125</f>
        <v>0</v>
      </c>
      <c r="E127" s="621">
        <f>'GF &amp; FF  Inc Exp Statement'!E130+'Water  Fund  Inc Exp Statement '!E125+'Sewer  Fund  Inc Exp Statem'!E125</f>
        <v>0</v>
      </c>
      <c r="F127" s="621">
        <f>'GF &amp; FF  Inc Exp Statement'!F130+'Water  Fund  Inc Exp Statement '!F125+'Sewer  Fund  Inc Exp Statem'!F125</f>
        <v>1950.8820000000001</v>
      </c>
      <c r="G127" s="621">
        <f>'GF &amp; FF  Inc Exp Statement'!G130+'Water  Fund  Inc Exp Statement '!G125+'Sewer  Fund  Inc Exp Statem'!G125</f>
        <v>2244.2849999999999</v>
      </c>
      <c r="H127" s="621">
        <f>'GF &amp; FF  Inc Exp Statement'!H130+'Water  Fund  Inc Exp Statement '!H125+'Sewer  Fund  Inc Exp Statem'!H125</f>
        <v>3818.17301</v>
      </c>
      <c r="I127" s="621">
        <f>'GF &amp; FF  Inc Exp Statement'!I130+'Water  Fund  Inc Exp Statement '!I125+'Sewer  Fund  Inc Exp Statem'!I125</f>
        <v>2635.6813903000002</v>
      </c>
      <c r="J127" s="621">
        <f>'GF &amp; FF  Inc Exp Statement'!J130+'Water  Fund  Inc Exp Statement '!J125+'Sewer  Fund  Inc Exp Statem'!J125</f>
        <v>2795.4954420090003</v>
      </c>
      <c r="K127" s="621">
        <f>'GF &amp; FF  Inc Exp Statement'!K130+'Water  Fund  Inc Exp Statement '!K125+'Sewer  Fund  Inc Exp Statem'!K125</f>
        <v>2851.4053508491797</v>
      </c>
      <c r="L127" s="621">
        <f>'GF &amp; FF  Inc Exp Statement'!L130+'Water  Fund  Inc Exp Statement '!L125+'Sewer  Fund  Inc Exp Statem'!L125</f>
        <v>2908.4334578661633</v>
      </c>
      <c r="M127" s="621">
        <f>'GF &amp; FF  Inc Exp Statement'!M130+'Water  Fund  Inc Exp Statement '!M125+'Sewer  Fund  Inc Exp Statem'!M125</f>
        <v>2966.6021270234864</v>
      </c>
      <c r="N127" s="621">
        <f>'GF &amp; FF  Inc Exp Statement'!N130+'Water  Fund  Inc Exp Statement '!N125+'Sewer  Fund  Inc Exp Statem'!N125</f>
        <v>3025.9341695639564</v>
      </c>
      <c r="O127" s="621">
        <f>'GF &amp; FF  Inc Exp Statement'!O130+'Water  Fund  Inc Exp Statement '!O125+'Sewer  Fund  Inc Exp Statem'!O125</f>
        <v>3086.4528529552358</v>
      </c>
      <c r="P127" s="621">
        <f>'GF &amp; FF  Inc Exp Statement'!P130+'Water  Fund  Inc Exp Statement '!P125+'Sewer  Fund  Inc Exp Statem'!P125</f>
        <v>3148.1819100143407</v>
      </c>
    </row>
    <row r="128" spans="1:17" ht="11.25" hidden="1" outlineLevel="1" x14ac:dyDescent="0.2">
      <c r="A128" s="604"/>
      <c r="B128" s="621"/>
      <c r="C128" s="621"/>
      <c r="D128" s="771">
        <f>SUM(D123:D127)</f>
        <v>0</v>
      </c>
      <c r="E128" s="771">
        <f t="shared" ref="E128:P128" si="30">SUM(E123:E127)</f>
        <v>0</v>
      </c>
      <c r="F128" s="771">
        <f t="shared" si="30"/>
        <v>44004.642</v>
      </c>
      <c r="G128" s="771">
        <f t="shared" si="30"/>
        <v>44446.209000000003</v>
      </c>
      <c r="H128" s="771">
        <f t="shared" si="30"/>
        <v>41066.853810000001</v>
      </c>
      <c r="I128" s="771">
        <f t="shared" si="30"/>
        <v>33374.6677853</v>
      </c>
      <c r="J128" s="771">
        <f t="shared" si="30"/>
        <v>18847.733846883999</v>
      </c>
      <c r="K128" s="771">
        <f t="shared" si="30"/>
        <v>18464.873610846058</v>
      </c>
      <c r="L128" s="771">
        <f t="shared" si="30"/>
        <v>19783.794093762957</v>
      </c>
      <c r="M128" s="771">
        <f t="shared" si="30"/>
        <v>21101.502553605707</v>
      </c>
      <c r="N128" s="771">
        <f t="shared" si="30"/>
        <v>20714.373378024251</v>
      </c>
      <c r="O128" s="771">
        <f t="shared" si="30"/>
        <v>21140.72689411182</v>
      </c>
      <c r="P128" s="771">
        <f t="shared" si="30"/>
        <v>21572.971623734327</v>
      </c>
    </row>
    <row r="129" spans="1:16" s="608" customFormat="1" ht="11.25" hidden="1" outlineLevel="1" x14ac:dyDescent="0.2">
      <c r="A129" s="623" t="s">
        <v>1084</v>
      </c>
      <c r="B129" s="621"/>
      <c r="C129" s="621"/>
      <c r="D129" s="621"/>
      <c r="E129" s="621"/>
      <c r="F129" s="621">
        <f>F128-'Capital Budget -  Incl SRV'!C126/1000</f>
        <v>0</v>
      </c>
      <c r="G129" s="621">
        <f>G128-'Capital Budget -  Incl SRV'!E126/1000</f>
        <v>2099.5339999999997</v>
      </c>
      <c r="H129" s="621">
        <f>H128-'Capital Budget -  Incl SRV'!F126/1000</f>
        <v>10285.785</v>
      </c>
      <c r="I129" s="621">
        <f>I128-'Capital Budget -  Incl SRV'!G126/1000</f>
        <v>8749.820749999999</v>
      </c>
      <c r="J129" s="621">
        <f>J128-'Capital Budget -  Incl SRV'!H126/1000</f>
        <v>2585.1172187499997</v>
      </c>
      <c r="K129" s="621"/>
      <c r="L129" s="621"/>
      <c r="M129" s="621"/>
      <c r="N129" s="621"/>
      <c r="O129" s="621"/>
      <c r="P129" s="621"/>
    </row>
    <row r="130" spans="1:16" ht="11.25" hidden="1" outlineLevel="1" x14ac:dyDescent="0.2">
      <c r="A130" s="604" t="s">
        <v>931</v>
      </c>
      <c r="B130" s="621"/>
      <c r="C130" s="621"/>
      <c r="D130" s="621">
        <f>'GF &amp; FF  Inc Exp Statement'!D133+'Water  Fund  Inc Exp Statement '!D128+'Sewer  Fund  Inc Exp Statem'!D128</f>
        <v>0</v>
      </c>
      <c r="E130" s="621">
        <f>'GF &amp; FF  Inc Exp Statement'!E133+'Water  Fund  Inc Exp Statement '!E128+'Sewer  Fund  Inc Exp Statem'!E128</f>
        <v>0</v>
      </c>
      <c r="F130" s="621">
        <f>'GF &amp; FF  Inc Exp Statement'!F133+'Water  Fund  Inc Exp Statement '!F128+'Sewer  Fund  Inc Exp Statem'!F128</f>
        <v>974.0440000000001</v>
      </c>
      <c r="G130" s="621">
        <f>'GF &amp; FF  Inc Exp Statement'!G133+'Water  Fund  Inc Exp Statement '!G128+'Sewer  Fund  Inc Exp Statem'!G128</f>
        <v>1512.0989999999999</v>
      </c>
      <c r="H130" s="621">
        <f>'GF &amp; FF  Inc Exp Statement'!H133+'Water  Fund  Inc Exp Statement '!H128+'Sewer  Fund  Inc Exp Statem'!H128</f>
        <v>1507.5219999999999</v>
      </c>
      <c r="I130" s="621">
        <f>'GF &amp; FF  Inc Exp Statement'!I133+'Water  Fund  Inc Exp Statement '!I128+'Sewer  Fund  Inc Exp Statem'!I128</f>
        <v>1921.1140000000003</v>
      </c>
      <c r="J130" s="621">
        <f>'GF &amp; FF  Inc Exp Statement'!J133+'Water  Fund  Inc Exp Statement '!J128+'Sewer  Fund  Inc Exp Statem'!J128</f>
        <v>926.702</v>
      </c>
      <c r="K130" s="621">
        <f>'GF &amp; FF  Inc Exp Statement'!K133+'Water  Fund  Inc Exp Statement '!K128+'Sewer  Fund  Inc Exp Statem'!K128</f>
        <v>-130.72735019999936</v>
      </c>
      <c r="L130" s="621">
        <f>'GF &amp; FF  Inc Exp Statement'!L133+'Water  Fund  Inc Exp Statement '!L128+'Sewer  Fund  Inc Exp Statem'!L128</f>
        <v>-139.32772263700099</v>
      </c>
      <c r="M130" s="621">
        <f>'GF &amp; FF  Inc Exp Statement'!M133+'Water  Fund  Inc Exp Statement '!M128+'Sewer  Fund  Inc Exp Statem'!M128</f>
        <v>-150.16615340418593</v>
      </c>
      <c r="N130" s="621">
        <f>'GF &amp; FF  Inc Exp Statement'!N133+'Water  Fund  Inc Exp Statement '!N128+'Sewer  Fund  Inc Exp Statem'!N128</f>
        <v>-173.29060345578546</v>
      </c>
      <c r="O130" s="621">
        <f>'GF &amp; FF  Inc Exp Statement'!O133+'Water  Fund  Inc Exp Statement '!O128+'Sewer  Fund  Inc Exp Statem'!O128</f>
        <v>-184.13296919681807</v>
      </c>
      <c r="P130" s="621">
        <f>'GF &amp; FF  Inc Exp Statement'!P133+'Water  Fund  Inc Exp Statement '!P128+'Sewer  Fund  Inc Exp Statem'!P128</f>
        <v>-195.13874954952098</v>
      </c>
    </row>
    <row r="131" spans="1:16" ht="11.25" hidden="1" outlineLevel="1" x14ac:dyDescent="0.2">
      <c r="A131" s="604" t="s">
        <v>244</v>
      </c>
      <c r="B131" s="621"/>
      <c r="C131" s="621"/>
      <c r="D131" s="621">
        <f>'GF &amp; FF  Inc Exp Statement'!D134+'Water  Fund  Inc Exp Statement '!D129+'Sewer  Fund  Inc Exp Statem'!D129</f>
        <v>0</v>
      </c>
      <c r="E131" s="621">
        <f>'GF &amp; FF  Inc Exp Statement'!E134+'Water  Fund  Inc Exp Statement '!E129+'Sewer  Fund  Inc Exp Statem'!E129</f>
        <v>0</v>
      </c>
      <c r="F131" s="621">
        <f>'GF &amp; FF  Inc Exp Statement'!F134+'Water  Fund  Inc Exp Statement '!F129+'Sewer  Fund  Inc Exp Statem'!F129</f>
        <v>1654.0070000000001</v>
      </c>
      <c r="G131" s="621">
        <f>'GF &amp; FF  Inc Exp Statement'!G134+'Water  Fund  Inc Exp Statement '!G129+'Sewer  Fund  Inc Exp Statem'!G129</f>
        <v>2081.9670000000001</v>
      </c>
      <c r="H131" s="621">
        <f>'GF &amp; FF  Inc Exp Statement'!H134+'Water  Fund  Inc Exp Statement '!H129+'Sewer  Fund  Inc Exp Statem'!H129</f>
        <v>2136.7460099999998</v>
      </c>
      <c r="I131" s="621">
        <f>'GF &amp; FF  Inc Exp Statement'!I134+'Water  Fund  Inc Exp Statement '!I129+'Sewer  Fund  Inc Exp Statem'!I129</f>
        <v>2193.1683903000003</v>
      </c>
      <c r="J131" s="621">
        <f>'GF &amp; FF  Inc Exp Statement'!J134+'Water  Fund  Inc Exp Statement '!J129+'Sewer  Fund  Inc Exp Statem'!J129</f>
        <v>2251.2834420090003</v>
      </c>
      <c r="K131" s="621">
        <f>'GF &amp; FF  Inc Exp Statement'!K134+'Water  Fund  Inc Exp Statement '!K129+'Sewer  Fund  Inc Exp Statem'!K129</f>
        <v>2296.3091108491803</v>
      </c>
      <c r="L131" s="621">
        <f>'GF &amp; FF  Inc Exp Statement'!L134+'Water  Fund  Inc Exp Statement '!L129+'Sewer  Fund  Inc Exp Statem'!L129</f>
        <v>2342.2352930661641</v>
      </c>
      <c r="M131" s="621">
        <f>'GF &amp; FF  Inc Exp Statement'!M134+'Water  Fund  Inc Exp Statement '!M129+'Sewer  Fund  Inc Exp Statem'!M129</f>
        <v>2388.0395989274871</v>
      </c>
      <c r="N131" s="621">
        <f>'GF &amp; FF  Inc Exp Statement'!N134+'Water  Fund  Inc Exp Statement '!N129+'Sewer  Fund  Inc Exp Statem'!N129</f>
        <v>2434.7599909060368</v>
      </c>
      <c r="O131" s="621">
        <f>'GF &amp; FF  Inc Exp Statement'!O134+'Water  Fund  Inc Exp Statement '!O129+'Sewer  Fund  Inc Exp Statem'!O129</f>
        <v>2482.4147907241577</v>
      </c>
      <c r="P131" s="621">
        <f>'GF &amp; FF  Inc Exp Statement'!P134+'Water  Fund  Inc Exp Statement '!P129+'Sewer  Fund  Inc Exp Statem'!P129</f>
        <v>2531.0226865386408</v>
      </c>
    </row>
    <row r="132" spans="1:16" ht="11.25" hidden="1" outlineLevel="1" x14ac:dyDescent="0.2">
      <c r="A132" s="604" t="s">
        <v>1085</v>
      </c>
      <c r="B132" s="621"/>
      <c r="C132" s="621"/>
      <c r="D132" s="621">
        <f>'GF &amp; FF  Inc Exp Statement'!D135+'Water  Fund  Inc Exp Statement '!D130+'Sewer  Fund  Inc Exp Statem'!D130</f>
        <v>0</v>
      </c>
      <c r="E132" s="621">
        <f>'GF &amp; FF  Inc Exp Statement'!E135+'Water  Fund  Inc Exp Statement '!E130+'Sewer  Fund  Inc Exp Statem'!E130</f>
        <v>0</v>
      </c>
      <c r="F132" s="621">
        <f>'GF &amp; FF  Inc Exp Statement'!F135+'Water  Fund  Inc Exp Statement '!F130+'Sewer  Fund  Inc Exp Statem'!F130</f>
        <v>2226</v>
      </c>
      <c r="G132" s="621">
        <f>'GF &amp; FF  Inc Exp Statement'!G135+'Water  Fund  Inc Exp Statement '!G130+'Sewer  Fund  Inc Exp Statem'!G130</f>
        <v>10381</v>
      </c>
      <c r="H132" s="621">
        <f>'GF &amp; FF  Inc Exp Statement'!H135+'Water  Fund  Inc Exp Statement '!H130+'Sewer  Fund  Inc Exp Statem'!H130</f>
        <v>1741</v>
      </c>
      <c r="I132" s="621">
        <f>'GF &amp; FF  Inc Exp Statement'!I135+'Water  Fund  Inc Exp Statement '!I130+'Sewer  Fund  Inc Exp Statem'!I130</f>
        <v>5241</v>
      </c>
      <c r="J132" s="621">
        <f>'GF &amp; FF  Inc Exp Statement'!J135+'Water  Fund  Inc Exp Statement '!J130+'Sewer  Fund  Inc Exp Statem'!J130</f>
        <v>1741</v>
      </c>
      <c r="K132" s="621">
        <f>'GF &amp; FF  Inc Exp Statement'!K135+'Water  Fund  Inc Exp Statement '!K130+'Sewer  Fund  Inc Exp Statem'!K130</f>
        <v>1784.5249999999999</v>
      </c>
      <c r="L132" s="621">
        <f>'GF &amp; FF  Inc Exp Statement'!L135+'Water  Fund  Inc Exp Statement '!L130+'Sewer  Fund  Inc Exp Statem'!L130</f>
        <v>1829.1381249999995</v>
      </c>
      <c r="M132" s="621">
        <f>'GF &amp; FF  Inc Exp Statement'!M135+'Water  Fund  Inc Exp Statement '!M130+'Sewer  Fund  Inc Exp Statem'!M130</f>
        <v>1874.8665781249993</v>
      </c>
      <c r="N132" s="621">
        <f>'GF &amp; FF  Inc Exp Statement'!N135+'Water  Fund  Inc Exp Statement '!N130+'Sewer  Fund  Inc Exp Statem'!N130</f>
        <v>1921.7382425781241</v>
      </c>
      <c r="O132" s="621">
        <f>'GF &amp; FF  Inc Exp Statement'!O135+'Water  Fund  Inc Exp Statement '!O130+'Sewer  Fund  Inc Exp Statem'!O130</f>
        <v>1969.7816986425771</v>
      </c>
      <c r="P132" s="621">
        <f>'GF &amp; FF  Inc Exp Statement'!P135+'Water  Fund  Inc Exp Statement '!P130+'Sewer  Fund  Inc Exp Statem'!P130</f>
        <v>2019.0262411086412</v>
      </c>
    </row>
    <row r="133" spans="1:16" ht="11.25" hidden="1" outlineLevel="1" x14ac:dyDescent="0.2">
      <c r="A133" s="604" t="s">
        <v>1086</v>
      </c>
      <c r="B133" s="621"/>
      <c r="C133" s="621"/>
      <c r="D133" s="621">
        <f>'GF &amp; FF  Inc Exp Statement'!D136+'Water  Fund  Inc Exp Statement '!D131+'Sewer  Fund  Inc Exp Statem'!D131</f>
        <v>0</v>
      </c>
      <c r="E133" s="621">
        <f>'GF &amp; FF  Inc Exp Statement'!E136+'Water  Fund  Inc Exp Statement '!E131+'Sewer  Fund  Inc Exp Statem'!E131</f>
        <v>0</v>
      </c>
      <c r="F133" s="621">
        <f>'GF &amp; FF  Inc Exp Statement'!F136+'Water  Fund  Inc Exp Statement '!F131+'Sewer  Fund  Inc Exp Statem'!F131</f>
        <v>78</v>
      </c>
      <c r="G133" s="621">
        <f>'GF &amp; FF  Inc Exp Statement'!G136+'Water  Fund  Inc Exp Statement '!G131+'Sewer  Fund  Inc Exp Statem'!G131</f>
        <v>65</v>
      </c>
      <c r="H133" s="621">
        <f>'GF &amp; FF  Inc Exp Statement'!H136+'Water  Fund  Inc Exp Statement '!H131+'Sewer  Fund  Inc Exp Statem'!H131</f>
        <v>66.625</v>
      </c>
      <c r="I133" s="621">
        <f>'GF &amp; FF  Inc Exp Statement'!I136+'Water  Fund  Inc Exp Statement '!I131+'Sewer  Fund  Inc Exp Statem'!I131</f>
        <v>68.290625000000006</v>
      </c>
      <c r="J133" s="621">
        <f>'GF &amp; FF  Inc Exp Statement'!J136+'Water  Fund  Inc Exp Statement '!J131+'Sewer  Fund  Inc Exp Statem'!J131</f>
        <v>69.997890624999997</v>
      </c>
      <c r="K133" s="621">
        <f>'GF &amp; FF  Inc Exp Statement'!K136+'Water  Fund  Inc Exp Statement '!K131+'Sewer  Fund  Inc Exp Statem'!K131</f>
        <v>71.397848437500002</v>
      </c>
      <c r="L133" s="621">
        <f>'GF &amp; FF  Inc Exp Statement'!L136+'Water  Fund  Inc Exp Statement '!L131+'Sewer  Fund  Inc Exp Statem'!L131</f>
        <v>72.825805406249998</v>
      </c>
      <c r="M133" s="621">
        <f>'GF &amp; FF  Inc Exp Statement'!M136+'Water  Fund  Inc Exp Statement '!M131+'Sewer  Fund  Inc Exp Statem'!M131</f>
        <v>74.282321514374999</v>
      </c>
      <c r="N133" s="621">
        <f>'GF &amp; FF  Inc Exp Statement'!N136+'Water  Fund  Inc Exp Statement '!N131+'Sewer  Fund  Inc Exp Statem'!N131</f>
        <v>75.767967944662487</v>
      </c>
      <c r="O133" s="621">
        <f>'GF &amp; FF  Inc Exp Statement'!O136+'Water  Fund  Inc Exp Statement '!O131+'Sewer  Fund  Inc Exp Statem'!O131</f>
        <v>77.283327303555751</v>
      </c>
      <c r="P133" s="621">
        <f>'GF &amp; FF  Inc Exp Statement'!P136+'Water  Fund  Inc Exp Statement '!P131+'Sewer  Fund  Inc Exp Statem'!P131</f>
        <v>78.828993849626869</v>
      </c>
    </row>
    <row r="134" spans="1:16" ht="11.25" hidden="1" outlineLevel="1" x14ac:dyDescent="0.2">
      <c r="A134" s="604" t="s">
        <v>33</v>
      </c>
      <c r="B134" s="621">
        <f>+B99</f>
        <v>0</v>
      </c>
      <c r="C134" s="621">
        <f>C99</f>
        <v>0</v>
      </c>
      <c r="D134" s="621">
        <f>'GF &amp; FF  Inc Exp Statement'!D137+'Water  Fund  Inc Exp Statement '!D132+'Sewer  Fund  Inc Exp Statem'!D132</f>
        <v>0</v>
      </c>
      <c r="E134" s="621">
        <f>'GF &amp; FF  Inc Exp Statement'!E137+'Water  Fund  Inc Exp Statement '!E132+'Sewer  Fund  Inc Exp Statem'!E132</f>
        <v>9874</v>
      </c>
      <c r="F134" s="621">
        <f>'GF &amp; FF  Inc Exp Statement'!F137+'Water  Fund  Inc Exp Statement '!F132+'Sewer  Fund  Inc Exp Statem'!F132</f>
        <v>11286.985000000001</v>
      </c>
      <c r="G134" s="621">
        <f>'GF &amp; FF  Inc Exp Statement'!G137+'Water  Fund  Inc Exp Statement '!G132+'Sewer  Fund  Inc Exp Statem'!G132</f>
        <v>10148.165000000001</v>
      </c>
      <c r="H134" s="621">
        <f>'GF &amp; FF  Inc Exp Statement'!H137+'Water  Fund  Inc Exp Statement '!H132+'Sewer  Fund  Inc Exp Statem'!H132</f>
        <v>10497.301170000001</v>
      </c>
      <c r="I134" s="621">
        <f>'GF &amp; FF  Inc Exp Statement'!I137+'Water  Fund  Inc Exp Statement '!I132+'Sewer  Fund  Inc Exp Statem'!I132</f>
        <v>10864.801653649998</v>
      </c>
      <c r="J134" s="621">
        <f>'GF &amp; FF  Inc Exp Statement'!J137+'Water  Fund  Inc Exp Statement '!J132+'Sewer  Fund  Inc Exp Statem'!J132</f>
        <v>11469.334227979247</v>
      </c>
      <c r="K134" s="621">
        <f>'GF &amp; FF  Inc Exp Statement'!K137+'Water  Fund  Inc Exp Statement '!K132+'Sewer  Fund  Inc Exp Statem'!K132</f>
        <v>12059.500383678729</v>
      </c>
      <c r="L134" s="621">
        <f>'GF &amp; FF  Inc Exp Statement'!L137+'Water  Fund  Inc Exp Statement '!L132+'Sewer  Fund  Inc Exp Statem'!L132</f>
        <v>12360.987893270694</v>
      </c>
      <c r="M134" s="621">
        <f>'GF &amp; FF  Inc Exp Statement'!M137+'Water  Fund  Inc Exp Statement '!M132+'Sewer  Fund  Inc Exp Statem'!M132</f>
        <v>12670.01259060246</v>
      </c>
      <c r="N134" s="621">
        <f>'GF &amp; FF  Inc Exp Statement'!N137+'Water  Fund  Inc Exp Statement '!N132+'Sewer  Fund  Inc Exp Statem'!N132</f>
        <v>12986.762905367523</v>
      </c>
      <c r="O134" s="621">
        <f>'GF &amp; FF  Inc Exp Statement'!O137+'Water  Fund  Inc Exp Statement '!O132+'Sewer  Fund  Inc Exp Statem'!O132</f>
        <v>13311.431978001709</v>
      </c>
      <c r="P134" s="621">
        <f>'GF &amp; FF  Inc Exp Statement'!P137+'Water  Fund  Inc Exp Statement '!P132+'Sewer  Fund  Inc Exp Statem'!P132</f>
        <v>13644.217777451751</v>
      </c>
    </row>
    <row r="135" spans="1:16" ht="11.25" hidden="1" outlineLevel="1" x14ac:dyDescent="0.2">
      <c r="A135" s="604" t="s">
        <v>22</v>
      </c>
      <c r="B135" s="621"/>
      <c r="C135" s="621"/>
      <c r="D135" s="621">
        <f>'GF &amp; FF  Inc Exp Statement'!D138+'Water  Fund  Inc Exp Statement '!D133+'Sewer  Fund  Inc Exp Statem'!D133</f>
        <v>0</v>
      </c>
      <c r="E135" s="621">
        <f>'GF &amp; FF  Inc Exp Statement'!E138+'Water  Fund  Inc Exp Statement '!E133+'Sewer  Fund  Inc Exp Statem'!E133</f>
        <v>0</v>
      </c>
      <c r="F135" s="621">
        <f>'GF &amp; FF  Inc Exp Statement'!F138+'Water  Fund  Inc Exp Statement '!F133+'Sewer  Fund  Inc Exp Statem'!F133</f>
        <v>7989.6059999999998</v>
      </c>
      <c r="G135" s="621">
        <f>'GF &amp; FF  Inc Exp Statement'!G138+'Water  Fund  Inc Exp Statement '!G133+'Sewer  Fund  Inc Exp Statem'!G133</f>
        <v>2702.2619999999997</v>
      </c>
      <c r="H135" s="621">
        <f>'GF &amp; FF  Inc Exp Statement'!H138+'Water  Fund  Inc Exp Statement '!H133+'Sewer  Fund  Inc Exp Statem'!H133</f>
        <v>13251.865</v>
      </c>
      <c r="I135" s="621">
        <f>'GF &amp; FF  Inc Exp Statement'!I138+'Water  Fund  Inc Exp Statement '!I133+'Sewer  Fund  Inc Exp Statem'!I133</f>
        <v>2276.4720000000002</v>
      </c>
      <c r="J135" s="621">
        <f>'GF &amp; FF  Inc Exp Statement'!J138+'Water  Fund  Inc Exp Statement '!J133+'Sewer  Fund  Inc Exp Statem'!J133</f>
        <v>1387.239</v>
      </c>
      <c r="K135" s="621">
        <f>'GF &amp; FF  Inc Exp Statement'!K138+'Water  Fund  Inc Exp Statement '!K133+'Sewer  Fund  Inc Exp Statem'!K133</f>
        <v>3614.98378</v>
      </c>
      <c r="L135" s="621">
        <f>'GF &amp; FF  Inc Exp Statement'!L138+'Water  Fund  Inc Exp Statement '!L133+'Sewer  Fund  Inc Exp Statem'!L133</f>
        <v>3687.2834555999998</v>
      </c>
      <c r="M135" s="621">
        <f>'GF &amp; FF  Inc Exp Statement'!M138+'Water  Fund  Inc Exp Statement '!M133+'Sewer  Fund  Inc Exp Statem'!M133</f>
        <v>3761.0291247120003</v>
      </c>
      <c r="N135" s="621">
        <f>'GF &amp; FF  Inc Exp Statement'!N138+'Water  Fund  Inc Exp Statement '!N133+'Sewer  Fund  Inc Exp Statem'!N133</f>
        <v>3836.2497072062397</v>
      </c>
      <c r="O135" s="621">
        <f>'GF &amp; FF  Inc Exp Statement'!O138+'Water  Fund  Inc Exp Statement '!O133+'Sewer  Fund  Inc Exp Statem'!O133</f>
        <v>3912.9747013503647</v>
      </c>
      <c r="P135" s="621">
        <f>'GF &amp; FF  Inc Exp Statement'!P138+'Water  Fund  Inc Exp Statement '!P133+'Sewer  Fund  Inc Exp Statem'!P133</f>
        <v>3991.2341953773721</v>
      </c>
    </row>
    <row r="136" spans="1:16" ht="11.25" hidden="1" outlineLevel="1" x14ac:dyDescent="0.2">
      <c r="A136" s="604" t="s">
        <v>1087</v>
      </c>
      <c r="B136" s="621"/>
      <c r="C136" s="621"/>
      <c r="D136" s="621">
        <f>'GF &amp; FF  Inc Exp Statement'!D139+'Water  Fund  Inc Exp Statement '!D134+'Sewer  Fund  Inc Exp Statem'!D134</f>
        <v>0</v>
      </c>
      <c r="E136" s="621">
        <f>'GF &amp; FF  Inc Exp Statement'!E139+'Water  Fund  Inc Exp Statement '!E134+'Sewer  Fund  Inc Exp Statem'!E134</f>
        <v>0</v>
      </c>
      <c r="F136" s="621">
        <f>'GF &amp; FF  Inc Exp Statement'!F139+'Water  Fund  Inc Exp Statement '!F134+'Sewer  Fund  Inc Exp Statem'!F134</f>
        <v>19756</v>
      </c>
      <c r="G136" s="621">
        <f>'GF &amp; FF  Inc Exp Statement'!G139+'Water  Fund  Inc Exp Statement '!G134+'Sewer  Fund  Inc Exp Statem'!G134</f>
        <v>17356.182000000001</v>
      </c>
      <c r="H136" s="621">
        <f>'GF &amp; FF  Inc Exp Statement'!H139+'Water  Fund  Inc Exp Statement '!H134+'Sewer  Fund  Inc Exp Statem'!H134</f>
        <v>10500</v>
      </c>
      <c r="I136" s="621">
        <f>'GF &amp; FF  Inc Exp Statement'!I139+'Water  Fund  Inc Exp Statement '!I134+'Sewer  Fund  Inc Exp Statem'!I134</f>
        <v>11000</v>
      </c>
      <c r="J136" s="621">
        <f>'GF &amp; FF  Inc Exp Statement'!J139+'Water  Fund  Inc Exp Statement '!J134+'Sewer  Fund  Inc Exp Statem'!J134</f>
        <v>0</v>
      </c>
      <c r="K136" s="621">
        <f>'GF &amp; FF  Inc Exp Statement'!K139+'Water  Fund  Inc Exp Statement '!K134+'Sewer  Fund  Inc Exp Statem'!K134</f>
        <v>0</v>
      </c>
      <c r="L136" s="621">
        <f>'GF &amp; FF  Inc Exp Statement'!L139+'Water  Fund  Inc Exp Statement '!L134+'Sewer  Fund  Inc Exp Statem'!L134</f>
        <v>0</v>
      </c>
      <c r="M136" s="621">
        <f>'GF &amp; FF  Inc Exp Statement'!M139+'Water  Fund  Inc Exp Statement '!M134+'Sewer  Fund  Inc Exp Statem'!M134</f>
        <v>0</v>
      </c>
      <c r="N136" s="621">
        <f>'GF &amp; FF  Inc Exp Statement'!N139+'Water  Fund  Inc Exp Statement '!N134+'Sewer  Fund  Inc Exp Statem'!N134</f>
        <v>0</v>
      </c>
      <c r="O136" s="621">
        <f>'GF &amp; FF  Inc Exp Statement'!O139+'Water  Fund  Inc Exp Statement '!O134+'Sewer  Fund  Inc Exp Statem'!O134</f>
        <v>0</v>
      </c>
      <c r="P136" s="621">
        <f>'GF &amp; FF  Inc Exp Statement'!P139+'Water  Fund  Inc Exp Statement '!P134+'Sewer  Fund  Inc Exp Statem'!P134</f>
        <v>0</v>
      </c>
    </row>
    <row r="137" spans="1:16" ht="11.25" hidden="1" outlineLevel="1" x14ac:dyDescent="0.2">
      <c r="A137" s="604" t="s">
        <v>1088</v>
      </c>
      <c r="B137" s="621"/>
      <c r="C137" s="621"/>
      <c r="D137" s="621">
        <f>'GF &amp; FF  Inc Exp Statement'!D140+'Water  Fund  Inc Exp Statement '!D135+'Sewer  Fund  Inc Exp Statem'!D135</f>
        <v>0</v>
      </c>
      <c r="E137" s="621">
        <f>'GF &amp; FF  Inc Exp Statement'!E140+'Water  Fund  Inc Exp Statement '!E135+'Sewer  Fund  Inc Exp Statem'!E135</f>
        <v>0</v>
      </c>
      <c r="F137" s="621">
        <f>'GF &amp; FF  Inc Exp Statement'!F140+'Water  Fund  Inc Exp Statement '!F135+'Sewer  Fund  Inc Exp Statem'!F135</f>
        <v>70</v>
      </c>
      <c r="G137" s="621">
        <f>'GF &amp; FF  Inc Exp Statement'!G140+'Water  Fund  Inc Exp Statement '!G135+'Sewer  Fund  Inc Exp Statem'!G135</f>
        <v>70</v>
      </c>
      <c r="H137" s="621">
        <f>'GF &amp; FF  Inc Exp Statement'!H140+'Water  Fund  Inc Exp Statement '!H135+'Sewer  Fund  Inc Exp Statem'!H135</f>
        <v>1570</v>
      </c>
      <c r="I137" s="621">
        <f>'GF &amp; FF  Inc Exp Statement'!I140+'Water  Fund  Inc Exp Statement '!I135+'Sewer  Fund  Inc Exp Statem'!I135</f>
        <v>70</v>
      </c>
      <c r="J137" s="621">
        <f>'GF &amp; FF  Inc Exp Statement'!J140+'Water  Fund  Inc Exp Statement '!J135+'Sewer  Fund  Inc Exp Statem'!J135</f>
        <v>70</v>
      </c>
      <c r="K137" s="621">
        <f>'GF &amp; FF  Inc Exp Statement'!K140+'Water  Fund  Inc Exp Statement '!K135+'Sewer  Fund  Inc Exp Statem'!K135</f>
        <v>71.400000000000006</v>
      </c>
      <c r="L137" s="621">
        <f>'GF &amp; FF  Inc Exp Statement'!L140+'Water  Fund  Inc Exp Statement '!L135+'Sewer  Fund  Inc Exp Statem'!L135</f>
        <v>72.828000000000003</v>
      </c>
      <c r="M137" s="621">
        <f>'GF &amp; FF  Inc Exp Statement'!M140+'Water  Fund  Inc Exp Statement '!M135+'Sewer  Fund  Inc Exp Statem'!M135</f>
        <v>74.284559999999999</v>
      </c>
      <c r="N137" s="621">
        <f>'GF &amp; FF  Inc Exp Statement'!N140+'Water  Fund  Inc Exp Statement '!N135+'Sewer  Fund  Inc Exp Statem'!N135</f>
        <v>75.770251200000004</v>
      </c>
      <c r="O137" s="621">
        <f>'GF &amp; FF  Inc Exp Statement'!O140+'Water  Fund  Inc Exp Statement '!O135+'Sewer  Fund  Inc Exp Statem'!O135</f>
        <v>77.285656224000007</v>
      </c>
      <c r="P137" s="621">
        <f>'GF &amp; FF  Inc Exp Statement'!P140+'Water  Fund  Inc Exp Statement '!P135+'Sewer  Fund  Inc Exp Statem'!P135</f>
        <v>78.831369348479996</v>
      </c>
    </row>
    <row r="138" spans="1:16" ht="11.25" hidden="1" outlineLevel="1" x14ac:dyDescent="0.2">
      <c r="A138" s="604"/>
      <c r="B138" s="621"/>
      <c r="C138" s="621"/>
      <c r="D138" s="771">
        <f t="shared" ref="D138:P138" si="31">SUM(D130:D137)</f>
        <v>0</v>
      </c>
      <c r="E138" s="771">
        <f t="shared" si="31"/>
        <v>9874</v>
      </c>
      <c r="F138" s="771">
        <f t="shared" si="31"/>
        <v>44034.642</v>
      </c>
      <c r="G138" s="771">
        <f t="shared" si="31"/>
        <v>44316.675000000003</v>
      </c>
      <c r="H138" s="771">
        <f t="shared" si="31"/>
        <v>41271.059179999997</v>
      </c>
      <c r="I138" s="771">
        <f t="shared" si="31"/>
        <v>33634.846668949998</v>
      </c>
      <c r="J138" s="771">
        <f t="shared" si="31"/>
        <v>17915.556560613248</v>
      </c>
      <c r="K138" s="771">
        <f t="shared" si="31"/>
        <v>19767.388772765411</v>
      </c>
      <c r="L138" s="771">
        <f t="shared" si="31"/>
        <v>20225.970849706107</v>
      </c>
      <c r="M138" s="771">
        <f t="shared" si="31"/>
        <v>20692.348620477136</v>
      </c>
      <c r="N138" s="771">
        <f t="shared" si="31"/>
        <v>21157.758461746798</v>
      </c>
      <c r="O138" s="771">
        <f t="shared" si="31"/>
        <v>21647.039183049546</v>
      </c>
      <c r="P138" s="771">
        <f t="shared" si="31"/>
        <v>22148.022514124994</v>
      </c>
    </row>
    <row r="139" spans="1:16" ht="11.25" hidden="1" outlineLevel="1" x14ac:dyDescent="0.2">
      <c r="A139" s="599"/>
      <c r="B139" s="621"/>
      <c r="C139" s="621"/>
      <c r="D139" s="622"/>
      <c r="E139" s="622"/>
      <c r="F139" s="622">
        <f>F138+'Capital Budget -  Incl SRV'!C119/1000</f>
        <v>0</v>
      </c>
      <c r="G139" s="622">
        <f>G138+'Capital Budget -  Incl SRV'!E119/1000</f>
        <v>1970</v>
      </c>
      <c r="H139" s="622">
        <f>H138+'Capital Budget -  Incl SRV'!F119/1000</f>
        <v>10489.999999999996</v>
      </c>
      <c r="I139" s="622">
        <f>I138+'Capital Budget -  Incl SRV'!G119/1000</f>
        <v>9010</v>
      </c>
      <c r="J139" s="622">
        <f>J138+'Capital Budget -  Incl SRV'!H119/1000</f>
        <v>1653</v>
      </c>
      <c r="K139" s="624"/>
      <c r="L139" s="624"/>
      <c r="M139" s="624"/>
      <c r="N139" s="624"/>
      <c r="O139" s="624"/>
      <c r="P139" s="624"/>
    </row>
    <row r="140" spans="1:16" ht="11.25" hidden="1" outlineLevel="1" x14ac:dyDescent="0.2">
      <c r="A140" s="604"/>
      <c r="B140" s="621"/>
      <c r="C140" s="621"/>
      <c r="D140" s="621"/>
      <c r="E140" s="621"/>
      <c r="F140" s="621"/>
      <c r="G140" s="621"/>
      <c r="H140" s="621"/>
      <c r="I140" s="621"/>
      <c r="J140" s="621"/>
      <c r="K140" s="621"/>
      <c r="L140" s="621"/>
      <c r="M140" s="621"/>
      <c r="N140" s="621"/>
      <c r="O140" s="621"/>
      <c r="P140" s="621"/>
    </row>
    <row r="141" spans="1:16" ht="11.25" hidden="1" outlineLevel="1" x14ac:dyDescent="0.2">
      <c r="A141" s="604" t="s">
        <v>34</v>
      </c>
      <c r="B141" s="621">
        <f>+B110+SUM(B123:B140)</f>
        <v>0</v>
      </c>
      <c r="C141" s="621">
        <f>+C110+SUM(C123:C140)</f>
        <v>0</v>
      </c>
      <c r="D141" s="625">
        <f>D138-D128</f>
        <v>0</v>
      </c>
      <c r="E141" s="625">
        <f t="shared" ref="E141:P141" si="32">E138-E128</f>
        <v>9874</v>
      </c>
      <c r="F141" s="625">
        <f t="shared" si="32"/>
        <v>30</v>
      </c>
      <c r="G141" s="625">
        <f t="shared" si="32"/>
        <v>-129.53399999999965</v>
      </c>
      <c r="H141" s="625">
        <f t="shared" si="32"/>
        <v>204.20536999999604</v>
      </c>
      <c r="I141" s="625">
        <f t="shared" si="32"/>
        <v>260.17888364999817</v>
      </c>
      <c r="J141" s="625">
        <f t="shared" si="32"/>
        <v>-932.17728627075121</v>
      </c>
      <c r="K141" s="625">
        <f t="shared" si="32"/>
        <v>1302.515161919353</v>
      </c>
      <c r="L141" s="625">
        <f t="shared" si="32"/>
        <v>442.17675594315006</v>
      </c>
      <c r="M141" s="625">
        <f t="shared" si="32"/>
        <v>-409.15393312857123</v>
      </c>
      <c r="N141" s="625">
        <f t="shared" si="32"/>
        <v>443.38508372254728</v>
      </c>
      <c r="O141" s="625">
        <f t="shared" si="32"/>
        <v>506.31228893772641</v>
      </c>
      <c r="P141" s="625">
        <f t="shared" si="32"/>
        <v>575.05089039066661</v>
      </c>
    </row>
    <row r="142" spans="1:16" ht="11.25" hidden="1" outlineLevel="1" x14ac:dyDescent="0.2">
      <c r="A142" s="600" t="s">
        <v>451</v>
      </c>
      <c r="C142" s="606">
        <f>B143</f>
        <v>0</v>
      </c>
      <c r="D142" s="606">
        <f t="shared" ref="D142" si="33">C143</f>
        <v>0</v>
      </c>
      <c r="E142" s="606">
        <f t="shared" ref="E142" si="34">D143</f>
        <v>0</v>
      </c>
      <c r="F142" s="606">
        <v>0</v>
      </c>
      <c r="G142" s="606">
        <f t="shared" ref="G142" si="35">F143</f>
        <v>30</v>
      </c>
      <c r="H142" s="606">
        <f t="shared" ref="H142" si="36">G143</f>
        <v>-99.533999999999651</v>
      </c>
      <c r="I142" s="606">
        <f t="shared" ref="I142" si="37">H143</f>
        <v>104.67136999999639</v>
      </c>
      <c r="J142" s="606">
        <f t="shared" ref="J142" si="38">I143</f>
        <v>364.85025364999456</v>
      </c>
      <c r="K142" s="606">
        <f t="shared" ref="K142" si="39">J143</f>
        <v>-567.32703262075665</v>
      </c>
      <c r="L142" s="606">
        <f t="shared" ref="L142" si="40">K143</f>
        <v>735.18812929859632</v>
      </c>
      <c r="M142" s="606">
        <f t="shared" ref="M142" si="41">L143</f>
        <v>1177.3648852417464</v>
      </c>
      <c r="N142" s="606">
        <f t="shared" ref="N142" si="42">M143</f>
        <v>768.21095211317515</v>
      </c>
      <c r="O142" s="606">
        <f t="shared" ref="O142" si="43">N143</f>
        <v>1211.5960358357224</v>
      </c>
      <c r="P142" s="606">
        <f t="shared" ref="P142" si="44">O143</f>
        <v>1717.9083247734488</v>
      </c>
    </row>
    <row r="143" spans="1:16" ht="11.25" hidden="1" outlineLevel="1" x14ac:dyDescent="0.2">
      <c r="A143" s="620" t="s">
        <v>452</v>
      </c>
      <c r="B143" s="626"/>
      <c r="C143" s="627">
        <f>SUM(C141:C142)</f>
        <v>0</v>
      </c>
      <c r="D143" s="627">
        <f t="shared" ref="D143:P143" si="45">SUM(D141:D142)</f>
        <v>0</v>
      </c>
      <c r="E143" s="627">
        <f t="shared" si="45"/>
        <v>9874</v>
      </c>
      <c r="F143" s="627">
        <f t="shared" si="45"/>
        <v>30</v>
      </c>
      <c r="G143" s="627">
        <f t="shared" si="45"/>
        <v>-99.533999999999651</v>
      </c>
      <c r="H143" s="627">
        <f t="shared" si="45"/>
        <v>104.67136999999639</v>
      </c>
      <c r="I143" s="627">
        <f t="shared" si="45"/>
        <v>364.85025364999456</v>
      </c>
      <c r="J143" s="627">
        <f t="shared" si="45"/>
        <v>-567.32703262075665</v>
      </c>
      <c r="K143" s="627">
        <f t="shared" si="45"/>
        <v>735.18812929859632</v>
      </c>
      <c r="L143" s="627">
        <f t="shared" si="45"/>
        <v>1177.3648852417464</v>
      </c>
      <c r="M143" s="627">
        <f t="shared" si="45"/>
        <v>768.21095211317515</v>
      </c>
      <c r="N143" s="627">
        <f t="shared" si="45"/>
        <v>1211.5960358357224</v>
      </c>
      <c r="O143" s="627">
        <f t="shared" si="45"/>
        <v>1717.9083247734488</v>
      </c>
      <c r="P143" s="627">
        <f t="shared" si="45"/>
        <v>2292.9592151641154</v>
      </c>
    </row>
    <row r="144" spans="1:16" ht="11.25" hidden="1" outlineLevel="1" x14ac:dyDescent="0.2">
      <c r="A144" s="620"/>
      <c r="B144" s="626"/>
      <c r="C144" s="627"/>
      <c r="D144" s="627"/>
      <c r="E144" s="627"/>
      <c r="F144" s="627"/>
      <c r="G144" s="627"/>
      <c r="H144" s="627"/>
      <c r="I144" s="627"/>
      <c r="J144" s="627"/>
      <c r="K144" s="627"/>
      <c r="L144" s="627"/>
      <c r="M144" s="627"/>
      <c r="N144" s="627"/>
      <c r="O144" s="627"/>
      <c r="P144" s="627"/>
    </row>
    <row r="145" spans="1:16" ht="13.8" collapsed="1" x14ac:dyDescent="0.3">
      <c r="A145" s="1091" t="s">
        <v>1361</v>
      </c>
    </row>
    <row r="146" spans="1:16" ht="12" x14ac:dyDescent="0.25">
      <c r="A146" s="635" t="s">
        <v>1066</v>
      </c>
      <c r="B146" s="586" t="s">
        <v>69</v>
      </c>
      <c r="C146" s="586" t="s">
        <v>69</v>
      </c>
      <c r="D146" s="586" t="s">
        <v>69</v>
      </c>
      <c r="E146" s="586" t="s">
        <v>69</v>
      </c>
      <c r="F146" s="586" t="s">
        <v>70</v>
      </c>
      <c r="G146" s="586" t="s">
        <v>70</v>
      </c>
      <c r="H146" s="586" t="s">
        <v>71</v>
      </c>
      <c r="I146" s="586" t="s">
        <v>71</v>
      </c>
      <c r="J146" s="586" t="s">
        <v>71</v>
      </c>
      <c r="K146" s="586" t="s">
        <v>71</v>
      </c>
      <c r="L146" s="586" t="s">
        <v>71</v>
      </c>
      <c r="M146" s="586" t="s">
        <v>71</v>
      </c>
      <c r="N146" s="586" t="s">
        <v>71</v>
      </c>
      <c r="O146" s="586" t="s">
        <v>71</v>
      </c>
      <c r="P146" s="586" t="s">
        <v>71</v>
      </c>
    </row>
    <row r="147" spans="1:16" x14ac:dyDescent="0.2">
      <c r="A147" s="598" t="s">
        <v>73</v>
      </c>
      <c r="B147" s="741" t="s">
        <v>68</v>
      </c>
      <c r="C147" s="694" t="s">
        <v>0</v>
      </c>
      <c r="D147" s="694" t="s">
        <v>1</v>
      </c>
      <c r="E147" s="694" t="s">
        <v>2</v>
      </c>
      <c r="F147" s="694" t="s">
        <v>3</v>
      </c>
      <c r="G147" s="694" t="s">
        <v>4</v>
      </c>
      <c r="H147" s="694" t="s">
        <v>5</v>
      </c>
      <c r="I147" s="694" t="s">
        <v>6</v>
      </c>
      <c r="J147" s="694" t="s">
        <v>7</v>
      </c>
      <c r="K147" s="694" t="s">
        <v>8</v>
      </c>
      <c r="L147" s="694" t="s">
        <v>9</v>
      </c>
      <c r="M147" s="694" t="s">
        <v>514</v>
      </c>
      <c r="N147" s="694" t="s">
        <v>515</v>
      </c>
      <c r="O147" s="694" t="s">
        <v>904</v>
      </c>
      <c r="P147" s="694" t="s">
        <v>1046</v>
      </c>
    </row>
    <row r="148" spans="1:16" x14ac:dyDescent="0.2">
      <c r="A148" s="604" t="s">
        <v>61</v>
      </c>
    </row>
    <row r="149" spans="1:16" x14ac:dyDescent="0.2">
      <c r="A149" s="607" t="s">
        <v>62</v>
      </c>
    </row>
    <row r="150" spans="1:16" x14ac:dyDescent="0.2">
      <c r="A150" s="600" t="s">
        <v>11</v>
      </c>
      <c r="B150" s="606">
        <f t="shared" ref="B150:D155" si="46">+B13</f>
        <v>0</v>
      </c>
      <c r="C150" s="606">
        <f t="shared" si="46"/>
        <v>0</v>
      </c>
      <c r="D150" s="606">
        <f t="shared" si="46"/>
        <v>17715</v>
      </c>
      <c r="E150" s="707">
        <f>'Water  Fund  Inc Exp Statement '!E148+'GF &amp; FF  Inc Exp Statement'!E153+'Sewer  Fund  Inc Exp Statem'!E148</f>
        <v>18420</v>
      </c>
      <c r="F150" s="707">
        <f>'Water  Fund  Inc Exp Statement '!F148+'GF &amp; FF  Inc Exp Statement'!F153+'Sewer  Fund  Inc Exp Statem'!F148</f>
        <v>20031.815000000002</v>
      </c>
      <c r="G150" s="707">
        <f>'Water  Fund  Inc Exp Statement '!G148+'GF &amp; FF  Inc Exp Statement'!G153+'Sewer  Fund  Inc Exp Statem'!G148</f>
        <v>21473.328500000003</v>
      </c>
      <c r="H150" s="707">
        <f>'Water  Fund  Inc Exp Statement '!H148+'GF &amp; FF  Inc Exp Statement'!H153+'Sewer  Fund  Inc Exp Statem'!H148</f>
        <v>22077.295283500003</v>
      </c>
      <c r="I150" s="707">
        <f>'Water  Fund  Inc Exp Statement '!I148+'GF &amp; FF  Inc Exp Statement'!I153+'Sewer  Fund  Inc Exp Statem'!I148</f>
        <v>23575.982834337497</v>
      </c>
      <c r="J150" s="707">
        <f>'Water  Fund  Inc Exp Statement '!J148+'GF &amp; FF  Inc Exp Statement'!J153+'Sewer  Fund  Inc Exp Statem'!J148</f>
        <v>24552.556530195932</v>
      </c>
      <c r="K150" s="707">
        <f>'Water  Fund  Inc Exp Statement '!K148+'GF &amp; FF  Inc Exp Statement'!K153+'Sewer  Fund  Inc Exp Statem'!K148</f>
        <v>24606.185401458646</v>
      </c>
      <c r="L150" s="707">
        <f>'Water  Fund  Inc Exp Statement '!L148+'GF &amp; FF  Inc Exp Statement'!L153+'Sewer  Fund  Inc Exp Statem'!L148</f>
        <v>25221.340036495109</v>
      </c>
      <c r="M150" s="707">
        <f>'Water  Fund  Inc Exp Statement '!M148+'GF &amp; FF  Inc Exp Statement'!M153+'Sewer  Fund  Inc Exp Statem'!M148</f>
        <v>25452.214216349734</v>
      </c>
      <c r="N150" s="707">
        <f>'Water  Fund  Inc Exp Statement '!N148+'GF &amp; FF  Inc Exp Statement'!N153+'Sewer  Fund  Inc Exp Statem'!N148</f>
        <v>26088.519571758479</v>
      </c>
      <c r="O150" s="707">
        <f>'Water  Fund  Inc Exp Statement '!O148+'GF &amp; FF  Inc Exp Statement'!O153+'Sewer  Fund  Inc Exp Statem'!O148</f>
        <v>25442.219673031243</v>
      </c>
      <c r="P150" s="707">
        <f>'Water  Fund  Inc Exp Statement '!P148+'GF &amp; FF  Inc Exp Statement'!P153+'Sewer  Fund  Inc Exp Statem'!P148</f>
        <v>24070.456475322368</v>
      </c>
    </row>
    <row r="151" spans="1:16" x14ac:dyDescent="0.2">
      <c r="A151" s="600" t="s">
        <v>12</v>
      </c>
      <c r="B151" s="606">
        <f t="shared" si="46"/>
        <v>0</v>
      </c>
      <c r="C151" s="606">
        <f t="shared" si="46"/>
        <v>0</v>
      </c>
      <c r="D151" s="606">
        <f t="shared" si="46"/>
        <v>10647</v>
      </c>
      <c r="E151" s="707">
        <f>'Water  Fund  Inc Exp Statement '!E149+'GF &amp; FF  Inc Exp Statement'!E154+'Sewer  Fund  Inc Exp Statem'!E149</f>
        <v>11495</v>
      </c>
      <c r="F151" s="707">
        <f>'Water  Fund  Inc Exp Statement '!F149+'GF &amp; FF  Inc Exp Statement'!F154+'Sewer  Fund  Inc Exp Statem'!F149</f>
        <v>13528.819000000001</v>
      </c>
      <c r="G151" s="707">
        <f>'Water  Fund  Inc Exp Statement '!G149+'GF &amp; FF  Inc Exp Statement'!G154+'Sewer  Fund  Inc Exp Statem'!G149</f>
        <v>14184.400000000001</v>
      </c>
      <c r="H151" s="707">
        <f>'Water  Fund  Inc Exp Statement '!H149+'GF &amp; FF  Inc Exp Statement'!H154+'Sewer  Fund  Inc Exp Statem'!H149</f>
        <v>14288.015000000001</v>
      </c>
      <c r="I151" s="707">
        <f>'Water  Fund  Inc Exp Statement '!I149+'GF &amp; FF  Inc Exp Statement'!I154+'Sewer  Fund  Inc Exp Statem'!I149</f>
        <v>14861.232999999998</v>
      </c>
      <c r="J151" s="707">
        <f>'Water  Fund  Inc Exp Statement '!J149+'GF &amp; FF  Inc Exp Statement'!J154+'Sewer  Fund  Inc Exp Statem'!J149</f>
        <v>15527.495999999999</v>
      </c>
      <c r="K151" s="707">
        <f>'Water  Fund  Inc Exp Statement '!K149+'GF &amp; FF  Inc Exp Statement'!K154+'Sewer  Fund  Inc Exp Statem'!K149</f>
        <v>15838.04592</v>
      </c>
      <c r="L151" s="707">
        <f>'Water  Fund  Inc Exp Statement '!L149+'GF &amp; FF  Inc Exp Statement'!L154+'Sewer  Fund  Inc Exp Statem'!L149</f>
        <v>16154.8068384</v>
      </c>
      <c r="M151" s="707">
        <f>'Water  Fund  Inc Exp Statement '!M149+'GF &amp; FF  Inc Exp Statement'!M154+'Sewer  Fund  Inc Exp Statem'!M149</f>
        <v>16477.902975167999</v>
      </c>
      <c r="N151" s="707">
        <f>'Water  Fund  Inc Exp Statement '!N149+'GF &amp; FF  Inc Exp Statement'!N154+'Sewer  Fund  Inc Exp Statem'!N149</f>
        <v>16807.46103467136</v>
      </c>
      <c r="O151" s="707">
        <f>'Water  Fund  Inc Exp Statement '!O149+'GF &amp; FF  Inc Exp Statement'!O154+'Sewer  Fund  Inc Exp Statem'!O149</f>
        <v>17143.610255364791</v>
      </c>
      <c r="P151" s="707">
        <f>'Water  Fund  Inc Exp Statement '!P149+'GF &amp; FF  Inc Exp Statement'!P154+'Sewer  Fund  Inc Exp Statem'!P149</f>
        <v>17486.482460472089</v>
      </c>
    </row>
    <row r="152" spans="1:16" x14ac:dyDescent="0.2">
      <c r="A152" s="600" t="s">
        <v>13</v>
      </c>
      <c r="B152" s="606">
        <f t="shared" si="46"/>
        <v>0</v>
      </c>
      <c r="C152" s="606">
        <f t="shared" si="46"/>
        <v>0</v>
      </c>
      <c r="D152" s="606">
        <f t="shared" si="46"/>
        <v>2340</v>
      </c>
      <c r="E152" s="707">
        <f>'Water  Fund  Inc Exp Statement '!E150+'GF &amp; FF  Inc Exp Statement'!E155+'Sewer  Fund  Inc Exp Statem'!E150</f>
        <v>2586</v>
      </c>
      <c r="F152" s="707">
        <f>'Water  Fund  Inc Exp Statement '!F150+'GF &amp; FF  Inc Exp Statement'!F155+'Sewer  Fund  Inc Exp Statem'!F150</f>
        <v>2254.5</v>
      </c>
      <c r="G152" s="707">
        <f>'Water  Fund  Inc Exp Statement '!G150+'GF &amp; FF  Inc Exp Statement'!G155+'Sewer  Fund  Inc Exp Statem'!G150</f>
        <v>2162.2089999999998</v>
      </c>
      <c r="H152" s="707">
        <f>'Water  Fund  Inc Exp Statement '!H150+'GF &amp; FF  Inc Exp Statement'!H155+'Sewer  Fund  Inc Exp Statem'!H150</f>
        <v>1977.5630000000001</v>
      </c>
      <c r="I152" s="707">
        <f>'Water  Fund  Inc Exp Statement '!I150+'GF &amp; FF  Inc Exp Statement'!I155+'Sewer  Fund  Inc Exp Statem'!I150</f>
        <v>1913.963</v>
      </c>
      <c r="J152" s="707">
        <f>'Water  Fund  Inc Exp Statement '!J150+'GF &amp; FF  Inc Exp Statement'!J155+'Sewer  Fund  Inc Exp Statem'!J150</f>
        <v>1883.6479999999999</v>
      </c>
      <c r="K152" s="707">
        <f>'Water  Fund  Inc Exp Statement '!K150+'GF &amp; FF  Inc Exp Statement'!K155+'Sewer  Fund  Inc Exp Statem'!K150</f>
        <v>1664.7866266436981</v>
      </c>
      <c r="L152" s="707">
        <f>'Water  Fund  Inc Exp Statement '!L150+'GF &amp; FF  Inc Exp Statement'!L155+'Sewer  Fund  Inc Exp Statem'!L150</f>
        <v>1663.3274865403587</v>
      </c>
      <c r="M152" s="707">
        <f>'Water  Fund  Inc Exp Statement '!M150+'GF &amp; FF  Inc Exp Statement'!M155+'Sewer  Fund  Inc Exp Statem'!M150</f>
        <v>1665.8125601835957</v>
      </c>
      <c r="N152" s="707">
        <f>'Water  Fund  Inc Exp Statement '!N150+'GF &amp; FF  Inc Exp Statement'!N155+'Sewer  Fund  Inc Exp Statem'!N150</f>
        <v>1657.5161877558287</v>
      </c>
      <c r="O152" s="707">
        <f>'Water  Fund  Inc Exp Statement '!O150+'GF &amp; FF  Inc Exp Statement'!O155+'Sewer  Fund  Inc Exp Statem'!O150</f>
        <v>1665.2419625274351</v>
      </c>
      <c r="P152" s="707">
        <f>'Water  Fund  Inc Exp Statement '!P150+'GF &amp; FF  Inc Exp Statement'!P155+'Sewer  Fund  Inc Exp Statem'!P150</f>
        <v>1624.7969780311123</v>
      </c>
    </row>
    <row r="153" spans="1:16" x14ac:dyDescent="0.2">
      <c r="A153" s="600" t="s">
        <v>14</v>
      </c>
      <c r="B153" s="606">
        <f t="shared" si="46"/>
        <v>0</v>
      </c>
      <c r="C153" s="606">
        <f t="shared" si="46"/>
        <v>0</v>
      </c>
      <c r="D153" s="606">
        <f t="shared" si="46"/>
        <v>1392</v>
      </c>
      <c r="E153" s="707">
        <f>'Water  Fund  Inc Exp Statement '!E151+'GF &amp; FF  Inc Exp Statement'!E156+'Sewer  Fund  Inc Exp Statem'!E151</f>
        <v>1563</v>
      </c>
      <c r="F153" s="707">
        <f>'Water  Fund  Inc Exp Statement '!F151+'GF &amp; FF  Inc Exp Statement'!F156+'Sewer  Fund  Inc Exp Statem'!F151</f>
        <v>2424.5369999999998</v>
      </c>
      <c r="G153" s="707">
        <f>'Water  Fund  Inc Exp Statement '!G151+'GF &amp; FF  Inc Exp Statement'!G156+'Sewer  Fund  Inc Exp Statem'!G151</f>
        <v>2409.788</v>
      </c>
      <c r="H153" s="707">
        <f>'Water  Fund  Inc Exp Statement '!H151+'GF &amp; FF  Inc Exp Statement'!H156+'Sewer  Fund  Inc Exp Statem'!H151</f>
        <v>2463.8040000000001</v>
      </c>
      <c r="I153" s="707">
        <f>'Water  Fund  Inc Exp Statement '!I151+'GF &amp; FF  Inc Exp Statement'!I156+'Sewer  Fund  Inc Exp Statem'!I151</f>
        <v>2520.3789999999999</v>
      </c>
      <c r="J153" s="707">
        <f>'Water  Fund  Inc Exp Statement '!J151+'GF &amp; FF  Inc Exp Statement'!J156+'Sewer  Fund  Inc Exp Statem'!J151</f>
        <v>2578.0160000000001</v>
      </c>
      <c r="K153" s="707">
        <f>'Water  Fund  Inc Exp Statement '!K151+'GF &amp; FF  Inc Exp Statement'!K156+'Sewer  Fund  Inc Exp Statem'!K151</f>
        <v>2629.5763200000001</v>
      </c>
      <c r="L153" s="707">
        <f>'Water  Fund  Inc Exp Statement '!L151+'GF &amp; FF  Inc Exp Statement'!L156+'Sewer  Fund  Inc Exp Statem'!L151</f>
        <v>2682.1678464000001</v>
      </c>
      <c r="M153" s="707">
        <f>'Water  Fund  Inc Exp Statement '!M151+'GF &amp; FF  Inc Exp Statement'!M156+'Sewer  Fund  Inc Exp Statem'!M151</f>
        <v>2735.8112033280004</v>
      </c>
      <c r="N153" s="707">
        <f>'Water  Fund  Inc Exp Statement '!N151+'GF &amp; FF  Inc Exp Statement'!N156+'Sewer  Fund  Inc Exp Statem'!N151</f>
        <v>2790.5274273945606</v>
      </c>
      <c r="O153" s="707">
        <f>'Water  Fund  Inc Exp Statement '!O151+'GF &amp; FF  Inc Exp Statement'!O156+'Sewer  Fund  Inc Exp Statem'!O151</f>
        <v>2846.337975942452</v>
      </c>
      <c r="P153" s="707">
        <f>'Water  Fund  Inc Exp Statement '!P151+'GF &amp; FF  Inc Exp Statement'!P156+'Sewer  Fund  Inc Exp Statem'!P151</f>
        <v>2903.2647354613009</v>
      </c>
    </row>
    <row r="154" spans="1:16" ht="20.399999999999999" x14ac:dyDescent="0.2">
      <c r="A154" s="600" t="s">
        <v>15</v>
      </c>
      <c r="B154" s="606">
        <f t="shared" si="46"/>
        <v>0</v>
      </c>
      <c r="C154" s="606">
        <f t="shared" si="46"/>
        <v>0</v>
      </c>
      <c r="D154" s="606">
        <f t="shared" si="46"/>
        <v>5209</v>
      </c>
      <c r="E154" s="707">
        <f>'Water  Fund  Inc Exp Statement '!E152+'GF &amp; FF  Inc Exp Statement'!E157+'Sewer  Fund  Inc Exp Statem'!E152</f>
        <v>9023</v>
      </c>
      <c r="F154" s="707">
        <f>'Water  Fund  Inc Exp Statement '!F152+'GF &amp; FF  Inc Exp Statement'!F157+'Sewer  Fund  Inc Exp Statem'!F152</f>
        <v>6250.7439999999997</v>
      </c>
      <c r="G154" s="707">
        <f>'Water  Fund  Inc Exp Statement '!G152+'GF &amp; FF  Inc Exp Statement'!G157+'Sewer  Fund  Inc Exp Statem'!G152</f>
        <v>5520.3890000000001</v>
      </c>
      <c r="H154" s="707">
        <f>'Water  Fund  Inc Exp Statement '!H152+'GF &amp; FF  Inc Exp Statement'!H157+'Sewer  Fund  Inc Exp Statem'!H152</f>
        <v>5618.2409999999991</v>
      </c>
      <c r="I154" s="707">
        <f>'Water  Fund  Inc Exp Statement '!I152+'GF &amp; FF  Inc Exp Statement'!I157+'Sewer  Fund  Inc Exp Statem'!I152</f>
        <v>5715.8959999999997</v>
      </c>
      <c r="J154" s="707">
        <f>'Water  Fund  Inc Exp Statement '!J152+'GF &amp; FF  Inc Exp Statement'!J157+'Sewer  Fund  Inc Exp Statem'!J152</f>
        <v>5815.5187599999999</v>
      </c>
      <c r="K154" s="707">
        <f>'Water  Fund  Inc Exp Statement '!K152+'GF &amp; FF  Inc Exp Statement'!K157+'Sewer  Fund  Inc Exp Statem'!K152</f>
        <v>5960.9067290000003</v>
      </c>
      <c r="L154" s="707">
        <f>'Water  Fund  Inc Exp Statement '!L152+'GF &amp; FF  Inc Exp Statement'!L157+'Sewer  Fund  Inc Exp Statem'!L152</f>
        <v>6109.9293972249989</v>
      </c>
      <c r="M154" s="707">
        <f>'Water  Fund  Inc Exp Statement '!M152+'GF &amp; FF  Inc Exp Statement'!M157+'Sewer  Fund  Inc Exp Statem'!M152</f>
        <v>6262.6776321556235</v>
      </c>
      <c r="N154" s="707">
        <f>'Water  Fund  Inc Exp Statement '!N152+'GF &amp; FF  Inc Exp Statement'!N157+'Sewer  Fund  Inc Exp Statem'!N152</f>
        <v>6419.2445729595138</v>
      </c>
      <c r="O154" s="707">
        <f>'Water  Fund  Inc Exp Statement '!O152+'GF &amp; FF  Inc Exp Statement'!O157+'Sewer  Fund  Inc Exp Statem'!O152</f>
        <v>6579.7256872835014</v>
      </c>
      <c r="P154" s="707">
        <f>'Water  Fund  Inc Exp Statement '!P152+'GF &amp; FF  Inc Exp Statement'!P157+'Sewer  Fund  Inc Exp Statem'!P152</f>
        <v>6744.2188294655889</v>
      </c>
    </row>
    <row r="155" spans="1:16" ht="20.399999999999999" x14ac:dyDescent="0.2">
      <c r="A155" s="600" t="s">
        <v>18</v>
      </c>
      <c r="B155" s="606">
        <f t="shared" si="46"/>
        <v>0</v>
      </c>
      <c r="C155" s="606">
        <f t="shared" si="46"/>
        <v>0</v>
      </c>
      <c r="D155" s="606">
        <f t="shared" si="46"/>
        <v>22576</v>
      </c>
      <c r="E155" s="707">
        <f>'Water  Fund  Inc Exp Statement '!E153+'GF &amp; FF  Inc Exp Statement'!E158+'Sewer  Fund  Inc Exp Statem'!E153</f>
        <v>15638</v>
      </c>
      <c r="F155" s="707">
        <f>'Water  Fund  Inc Exp Statement '!F153+'GF &amp; FF  Inc Exp Statement'!F158+'Sewer  Fund  Inc Exp Statem'!F153</f>
        <v>3958.0070000000001</v>
      </c>
      <c r="G155" s="707">
        <f>'Water  Fund  Inc Exp Statement '!G153+'GF &amp; FF  Inc Exp Statement'!G158+'Sewer  Fund  Inc Exp Statem'!G153</f>
        <v>12527.967000000001</v>
      </c>
      <c r="H155" s="707">
        <f>'Water  Fund  Inc Exp Statement '!H153+'GF &amp; FF  Inc Exp Statement'!H158+'Sewer  Fund  Inc Exp Statem'!H153</f>
        <v>3944.3710099999998</v>
      </c>
      <c r="I155" s="707">
        <f>'Water  Fund  Inc Exp Statement '!I153+'GF &amp; FF  Inc Exp Statement'!I158+'Sewer  Fund  Inc Exp Statem'!I153</f>
        <v>7502.4590152999999</v>
      </c>
      <c r="J155" s="707">
        <f>'Water  Fund  Inc Exp Statement '!J153+'GF &amp; FF  Inc Exp Statement'!J158+'Sewer  Fund  Inc Exp Statem'!J153</f>
        <v>4062.2813326340001</v>
      </c>
      <c r="K155" s="707">
        <f>'Water  Fund  Inc Exp Statement '!K153+'GF &amp; FF  Inc Exp Statement'!K158+'Sewer  Fund  Inc Exp Statem'!K153</f>
        <v>4143.5269592866807</v>
      </c>
      <c r="L155" s="707">
        <f>'Water  Fund  Inc Exp Statement '!L153+'GF &amp; FF  Inc Exp Statement'!L158+'Sewer  Fund  Inc Exp Statem'!L153</f>
        <v>4226.3974984724146</v>
      </c>
      <c r="M155" s="707">
        <f>'Water  Fund  Inc Exp Statement '!M153+'GF &amp; FF  Inc Exp Statement'!M158+'Sewer  Fund  Inc Exp Statem'!M153</f>
        <v>4309.8850484418635</v>
      </c>
      <c r="N155" s="707">
        <f>'Water  Fund  Inc Exp Statement '!N153+'GF &amp; FF  Inc Exp Statement'!N158+'Sewer  Fund  Inc Exp Statem'!N153</f>
        <v>4395.0423494107008</v>
      </c>
      <c r="O155" s="707">
        <f>'Water  Fund  Inc Exp Statement '!O153+'GF &amp; FF  Inc Exp Statement'!O158+'Sewer  Fund  Inc Exp Statem'!O153</f>
        <v>4481.9027963989138</v>
      </c>
      <c r="P155" s="707">
        <f>'Water  Fund  Inc Exp Statement '!P153+'GF &amp; FF  Inc Exp Statement'!P158+'Sewer  Fund  Inc Exp Statem'!P153</f>
        <v>4570.5004523268926</v>
      </c>
    </row>
    <row r="156" spans="1:16" outlineLevel="1" x14ac:dyDescent="0.2">
      <c r="A156" s="1149" t="s">
        <v>1180</v>
      </c>
      <c r="B156" s="606"/>
      <c r="C156" s="606"/>
      <c r="D156" s="606"/>
      <c r="E156" s="707">
        <f>'Water  Fund  Inc Exp Statement '!E154+'GF &amp; FF  Inc Exp Statement'!E159+'Sewer  Fund  Inc Exp Statem'!E154</f>
        <v>0</v>
      </c>
      <c r="F156" s="707">
        <f>'Water  Fund  Inc Exp Statement '!F154+'GF &amp; FF  Inc Exp Statement'!F159+'Sewer  Fund  Inc Exp Statem'!F154</f>
        <v>4783.3530000000001</v>
      </c>
      <c r="G156" s="707">
        <f>'Water  Fund  Inc Exp Statement '!G154+'GF &amp; FF  Inc Exp Statement'!G159+'Sewer  Fund  Inc Exp Statem'!G154</f>
        <v>5059.8519999999999</v>
      </c>
      <c r="H156" s="707">
        <f>'Water  Fund  Inc Exp Statement '!H154+'GF &amp; FF  Inc Exp Statement'!H159+'Sewer  Fund  Inc Exp Statem'!H154</f>
        <v>5239.6229999999996</v>
      </c>
      <c r="I156" s="707">
        <f>'Water  Fund  Inc Exp Statement '!I154+'GF &amp; FF  Inc Exp Statement'!I159+'Sewer  Fund  Inc Exp Statem'!I154</f>
        <v>5419.1779999999999</v>
      </c>
      <c r="J156" s="707">
        <f>'Water  Fund  Inc Exp Statement '!J154+'GF &amp; FF  Inc Exp Statement'!J159+'Sewer  Fund  Inc Exp Statem'!J154</f>
        <v>5456.5190000000002</v>
      </c>
      <c r="K156" s="707">
        <f>'Water  Fund  Inc Exp Statement '!K154+'GF &amp; FF  Inc Exp Statement'!K159+'Sewer  Fund  Inc Exp Statem'!K154</f>
        <v>5565.6493800000007</v>
      </c>
      <c r="L156" s="707">
        <f>'Water  Fund  Inc Exp Statement '!L154+'GF &amp; FF  Inc Exp Statement'!L159+'Sewer  Fund  Inc Exp Statem'!L154</f>
        <v>5676.962367600001</v>
      </c>
      <c r="M156" s="707">
        <f>'Water  Fund  Inc Exp Statement '!M154+'GF &amp; FF  Inc Exp Statement'!M159+'Sewer  Fund  Inc Exp Statem'!M154</f>
        <v>5790.5016149520015</v>
      </c>
      <c r="N156" s="707">
        <f>'Water  Fund  Inc Exp Statement '!N154+'GF &amp; FF  Inc Exp Statement'!N159+'Sewer  Fund  Inc Exp Statem'!N154</f>
        <v>5906.3116472510419</v>
      </c>
      <c r="O156" s="707">
        <f>'Water  Fund  Inc Exp Statement '!O154+'GF &amp; FF  Inc Exp Statement'!O159+'Sewer  Fund  Inc Exp Statem'!O154</f>
        <v>6024.4378801960629</v>
      </c>
      <c r="P156" s="707">
        <f>'Water  Fund  Inc Exp Statement '!P154+'GF &amp; FF  Inc Exp Statement'!P159+'Sewer  Fund  Inc Exp Statem'!P154</f>
        <v>6144.9266377999838</v>
      </c>
    </row>
    <row r="157" spans="1:16" x14ac:dyDescent="0.2">
      <c r="A157" s="607" t="s">
        <v>63</v>
      </c>
      <c r="B157" s="606"/>
      <c r="C157" s="606"/>
      <c r="D157" s="606"/>
      <c r="E157" s="707"/>
      <c r="F157" s="707"/>
      <c r="G157" s="707"/>
      <c r="H157" s="707"/>
      <c r="I157" s="707"/>
      <c r="J157" s="707"/>
      <c r="K157" s="707"/>
      <c r="L157" s="707"/>
      <c r="M157" s="707"/>
      <c r="N157" s="707"/>
      <c r="O157" s="707"/>
      <c r="P157" s="707"/>
    </row>
    <row r="158" spans="1:16" x14ac:dyDescent="0.2">
      <c r="A158" s="764" t="s">
        <v>74</v>
      </c>
      <c r="B158" s="765">
        <f>+B21</f>
        <v>0</v>
      </c>
      <c r="C158" s="765">
        <f>+C21</f>
        <v>0</v>
      </c>
      <c r="D158" s="765">
        <f>+D21</f>
        <v>0</v>
      </c>
      <c r="E158" s="707">
        <f>'Water  Fund  Inc Exp Statement '!E156+'GF &amp; FF  Inc Exp Statement'!E161+'Sewer  Fund  Inc Exp Statem'!E156</f>
        <v>4</v>
      </c>
      <c r="F158" s="707">
        <f>'Water  Fund  Inc Exp Statement '!F156+'GF &amp; FF  Inc Exp Statement'!F161+'Sewer  Fund  Inc Exp Statem'!F156</f>
        <v>0</v>
      </c>
      <c r="G158" s="707">
        <f>'Water  Fund  Inc Exp Statement '!G156+'GF &amp; FF  Inc Exp Statement'!G161+'Sewer  Fund  Inc Exp Statem'!G156</f>
        <v>0</v>
      </c>
      <c r="H158" s="707">
        <f>'Water  Fund  Inc Exp Statement '!H156+'GF &amp; FF  Inc Exp Statement'!H161+'Sewer  Fund  Inc Exp Statem'!H156</f>
        <v>0</v>
      </c>
      <c r="I158" s="707">
        <f>'Water  Fund  Inc Exp Statement '!I156+'GF &amp; FF  Inc Exp Statement'!I161+'Sewer  Fund  Inc Exp Statem'!I156</f>
        <v>0</v>
      </c>
      <c r="J158" s="707">
        <f>'Water  Fund  Inc Exp Statement '!J156+'GF &amp; FF  Inc Exp Statement'!J161+'Sewer  Fund  Inc Exp Statem'!J156</f>
        <v>0</v>
      </c>
      <c r="K158" s="707">
        <f>'Water  Fund  Inc Exp Statement '!K156+'GF &amp; FF  Inc Exp Statement'!K161+'Sewer  Fund  Inc Exp Statem'!K156</f>
        <v>0</v>
      </c>
      <c r="L158" s="707">
        <f>'Water  Fund  Inc Exp Statement '!L156+'GF &amp; FF  Inc Exp Statement'!L161+'Sewer  Fund  Inc Exp Statem'!L156</f>
        <v>0</v>
      </c>
      <c r="M158" s="707">
        <f>'Water  Fund  Inc Exp Statement '!M156+'GF &amp; FF  Inc Exp Statement'!M161+'Sewer  Fund  Inc Exp Statem'!M156</f>
        <v>0</v>
      </c>
      <c r="N158" s="707">
        <f>'Water  Fund  Inc Exp Statement '!N156+'GF &amp; FF  Inc Exp Statement'!N161+'Sewer  Fund  Inc Exp Statem'!N156</f>
        <v>0</v>
      </c>
      <c r="O158" s="707">
        <f>'Water  Fund  Inc Exp Statement '!O156+'GF &amp; FF  Inc Exp Statement'!O161+'Sewer  Fund  Inc Exp Statem'!O156</f>
        <v>0</v>
      </c>
      <c r="P158" s="707">
        <f>'Water  Fund  Inc Exp Statement '!P156+'GF &amp; FF  Inc Exp Statement'!P161+'Sewer  Fund  Inc Exp Statem'!P156</f>
        <v>0</v>
      </c>
    </row>
    <row r="159" spans="1:16" x14ac:dyDescent="0.2">
      <c r="A159" s="758" t="s">
        <v>1047</v>
      </c>
      <c r="B159" s="765"/>
      <c r="C159" s="765"/>
      <c r="D159" s="765">
        <f>+D22</f>
        <v>30</v>
      </c>
      <c r="E159" s="707">
        <f>'Water  Fund  Inc Exp Statement '!E157+'GF &amp; FF  Inc Exp Statement'!E162+'Sewer  Fund  Inc Exp Statem'!E157</f>
        <v>2</v>
      </c>
      <c r="F159" s="707">
        <f>'Water  Fund  Inc Exp Statement '!F157+'GF &amp; FF  Inc Exp Statement'!F162+'Sewer  Fund  Inc Exp Statem'!F157</f>
        <v>0</v>
      </c>
      <c r="G159" s="707">
        <f>'Water  Fund  Inc Exp Statement '!G157+'GF &amp; FF  Inc Exp Statement'!G162+'Sewer  Fund  Inc Exp Statem'!G157</f>
        <v>0</v>
      </c>
      <c r="H159" s="707">
        <f>'Water  Fund  Inc Exp Statement '!H157+'GF &amp; FF  Inc Exp Statement'!H162+'Sewer  Fund  Inc Exp Statem'!H157</f>
        <v>0</v>
      </c>
      <c r="I159" s="707">
        <f>'Water  Fund  Inc Exp Statement '!I157+'GF &amp; FF  Inc Exp Statement'!I162+'Sewer  Fund  Inc Exp Statem'!I157</f>
        <v>0</v>
      </c>
      <c r="J159" s="707">
        <f>'Water  Fund  Inc Exp Statement '!J157+'GF &amp; FF  Inc Exp Statement'!J162+'Sewer  Fund  Inc Exp Statem'!J157</f>
        <v>0</v>
      </c>
      <c r="K159" s="707">
        <f>'Water  Fund  Inc Exp Statement '!K157+'GF &amp; FF  Inc Exp Statement'!K162+'Sewer  Fund  Inc Exp Statem'!K157</f>
        <v>0</v>
      </c>
      <c r="L159" s="707">
        <f>'Water  Fund  Inc Exp Statement '!L157+'GF &amp; FF  Inc Exp Statement'!L162+'Sewer  Fund  Inc Exp Statem'!L157</f>
        <v>0</v>
      </c>
      <c r="M159" s="707">
        <f>'Water  Fund  Inc Exp Statement '!M157+'GF &amp; FF  Inc Exp Statement'!M162+'Sewer  Fund  Inc Exp Statem'!M157</f>
        <v>0</v>
      </c>
      <c r="N159" s="707">
        <f>'Water  Fund  Inc Exp Statement '!N157+'GF &amp; FF  Inc Exp Statement'!N162+'Sewer  Fund  Inc Exp Statem'!N157</f>
        <v>0</v>
      </c>
      <c r="O159" s="707">
        <f>'Water  Fund  Inc Exp Statement '!O157+'GF &amp; FF  Inc Exp Statement'!O162+'Sewer  Fund  Inc Exp Statem'!O157</f>
        <v>0</v>
      </c>
      <c r="P159" s="707">
        <f>'Water  Fund  Inc Exp Statement '!P157+'GF &amp; FF  Inc Exp Statement'!P162+'Sewer  Fund  Inc Exp Statem'!P157</f>
        <v>0</v>
      </c>
    </row>
    <row r="160" spans="1:16" x14ac:dyDescent="0.2">
      <c r="A160" s="604" t="s">
        <v>64</v>
      </c>
      <c r="B160" s="766">
        <f>SUM(B150:B158)</f>
        <v>0</v>
      </c>
      <c r="C160" s="766">
        <f t="shared" ref="C160" si="47">SUM(C150:C158)</f>
        <v>0</v>
      </c>
      <c r="D160" s="767">
        <f>SUM(D150:D159)</f>
        <v>59909</v>
      </c>
      <c r="E160" s="767">
        <f t="shared" ref="E160:P160" si="48">SUM(E150:E159)</f>
        <v>58731</v>
      </c>
      <c r="F160" s="767">
        <f t="shared" si="48"/>
        <v>53231.775000000001</v>
      </c>
      <c r="G160" s="767">
        <f t="shared" si="48"/>
        <v>63337.933500000014</v>
      </c>
      <c r="H160" s="767">
        <f t="shared" si="48"/>
        <v>55608.912293500005</v>
      </c>
      <c r="I160" s="767">
        <f t="shared" si="48"/>
        <v>61509.090849637505</v>
      </c>
      <c r="J160" s="767">
        <f t="shared" si="48"/>
        <v>59876.035622829935</v>
      </c>
      <c r="K160" s="767">
        <f t="shared" si="48"/>
        <v>60408.677336389032</v>
      </c>
      <c r="L160" s="767">
        <f t="shared" si="48"/>
        <v>61734.931471132877</v>
      </c>
      <c r="M160" s="767">
        <f t="shared" si="48"/>
        <v>62694.805250578815</v>
      </c>
      <c r="N160" s="767">
        <f t="shared" si="48"/>
        <v>64064.622791201487</v>
      </c>
      <c r="O160" s="767">
        <f t="shared" si="48"/>
        <v>64183.476230744396</v>
      </c>
      <c r="P160" s="767">
        <f t="shared" si="48"/>
        <v>63544.646568879332</v>
      </c>
    </row>
    <row r="162" spans="1:17" x14ac:dyDescent="0.2">
      <c r="A162" s="604" t="s">
        <v>65</v>
      </c>
    </row>
    <row r="163" spans="1:17" x14ac:dyDescent="0.2">
      <c r="A163" s="600" t="s">
        <v>25</v>
      </c>
      <c r="B163" s="606">
        <f>+B25</f>
        <v>0</v>
      </c>
      <c r="C163" s="606">
        <f>+C25</f>
        <v>0</v>
      </c>
      <c r="D163" s="606">
        <f>+D25</f>
        <v>12798</v>
      </c>
      <c r="E163" s="707">
        <f>'Water  Fund  Inc Exp Statement '!E161+'GF &amp; FF  Inc Exp Statement'!E167+'Sewer  Fund  Inc Exp Statem'!E161</f>
        <v>12876</v>
      </c>
      <c r="F163" s="707">
        <f>'Water  Fund  Inc Exp Statement '!F161+'GF &amp; FF  Inc Exp Statement'!F167+'Sewer  Fund  Inc Exp Statem'!F161</f>
        <v>13094.137000000001</v>
      </c>
      <c r="G163" s="707">
        <f>'Water  Fund  Inc Exp Statement '!G161+'GF &amp; FF  Inc Exp Statement'!G167+'Sewer  Fund  Inc Exp Statem'!G161</f>
        <v>13571.739</v>
      </c>
      <c r="H163" s="707">
        <f>'Water  Fund  Inc Exp Statement '!H161+'GF &amp; FF  Inc Exp Statement'!H167+'Sewer  Fund  Inc Exp Statem'!H161</f>
        <v>13889.526</v>
      </c>
      <c r="I163" s="707">
        <f>'Water  Fund  Inc Exp Statement '!I161+'GF &amp; FF  Inc Exp Statement'!I167+'Sewer  Fund  Inc Exp Statem'!I161</f>
        <v>14469.789999999999</v>
      </c>
      <c r="J163" s="707">
        <f>'Water  Fund  Inc Exp Statement '!J161+'GF &amp; FF  Inc Exp Statement'!J167+'Sewer  Fund  Inc Exp Statem'!J161</f>
        <v>15101.101000000001</v>
      </c>
      <c r="K163" s="707">
        <f>'Water  Fund  Inc Exp Statement '!K161+'GF &amp; FF  Inc Exp Statement'!K167+'Sewer  Fund  Inc Exp Statem'!K161</f>
        <v>15554.134029999999</v>
      </c>
      <c r="L163" s="707">
        <f>'Water  Fund  Inc Exp Statement '!L161+'GF &amp; FF  Inc Exp Statement'!L167+'Sewer  Fund  Inc Exp Statem'!L161</f>
        <v>16020.758050900002</v>
      </c>
      <c r="M163" s="707">
        <f>'Water  Fund  Inc Exp Statement '!M161+'GF &amp; FF  Inc Exp Statement'!M167+'Sewer  Fund  Inc Exp Statem'!M161</f>
        <v>16501.380792427004</v>
      </c>
      <c r="N163" s="707">
        <f>'Water  Fund  Inc Exp Statement '!N161+'GF &amp; FF  Inc Exp Statement'!N167+'Sewer  Fund  Inc Exp Statem'!N161</f>
        <v>16996.422216199811</v>
      </c>
      <c r="O163" s="707">
        <f>'Water  Fund  Inc Exp Statement '!O161+'GF &amp; FF  Inc Exp Statement'!O167+'Sewer  Fund  Inc Exp Statem'!O161</f>
        <v>17506.314882685809</v>
      </c>
      <c r="P163" s="707">
        <f>'Water  Fund  Inc Exp Statement '!P161+'GF &amp; FF  Inc Exp Statement'!P167+'Sewer  Fund  Inc Exp Statem'!P161</f>
        <v>18031.504329166382</v>
      </c>
    </row>
    <row r="164" spans="1:17" x14ac:dyDescent="0.2">
      <c r="A164" s="600" t="s">
        <v>926</v>
      </c>
      <c r="B164" s="606"/>
      <c r="C164" s="606"/>
      <c r="D164" s="606">
        <f>+D26</f>
        <v>919</v>
      </c>
      <c r="E164" s="707">
        <f>'Water  Fund  Inc Exp Statement '!E162+'GF &amp; FF  Inc Exp Statement'!E168+'Sewer  Fund  Inc Exp Statem'!E162</f>
        <v>973</v>
      </c>
      <c r="F164" s="707">
        <f>'Water  Fund  Inc Exp Statement '!F162+'GF &amp; FF  Inc Exp Statement'!F168+'Sewer  Fund  Inc Exp Statem'!F162</f>
        <v>1715.8580000000002</v>
      </c>
      <c r="G164" s="707">
        <f>'Water  Fund  Inc Exp Statement '!G162+'GF &amp; FF  Inc Exp Statement'!G168+'Sewer  Fund  Inc Exp Statem'!G162</f>
        <v>2126.712</v>
      </c>
      <c r="H164" s="707">
        <f>'Water  Fund  Inc Exp Statement '!H162+'GF &amp; FF  Inc Exp Statement'!H168+'Sewer  Fund  Inc Exp Statem'!H162</f>
        <v>2428.0219999999999</v>
      </c>
      <c r="I164" s="707">
        <f>'Water  Fund  Inc Exp Statement '!I162+'GF &amp; FF  Inc Exp Statement'!I168+'Sewer  Fund  Inc Exp Statem'!I162</f>
        <v>2823.9700000000003</v>
      </c>
      <c r="J164" s="707">
        <f>'Water  Fund  Inc Exp Statement '!J162+'GF &amp; FF  Inc Exp Statement'!J168+'Sewer  Fund  Inc Exp Statem'!J162</f>
        <v>3230.4170000000004</v>
      </c>
      <c r="K164" s="707">
        <f>'Water  Fund  Inc Exp Statement '!K162+'GF &amp; FF  Inc Exp Statement'!K168+'Sewer  Fund  Inc Exp Statem'!K162</f>
        <v>3173.5130360000003</v>
      </c>
      <c r="L164" s="707">
        <f>'Water  Fund  Inc Exp Statement '!L162+'GF &amp; FF  Inc Exp Statement'!L168+'Sewer  Fund  Inc Exp Statem'!L162</f>
        <v>3115.4709927200001</v>
      </c>
      <c r="M164" s="707">
        <f>'Water  Fund  Inc Exp Statement '!M162+'GF &amp; FF  Inc Exp Statement'!M168+'Sewer  Fund  Inc Exp Statem'!M162</f>
        <v>3057.3881085744001</v>
      </c>
      <c r="N164" s="707">
        <f>'Water  Fund  Inc Exp Statement '!N162+'GF &amp; FF  Inc Exp Statement'!N168+'Sewer  Fund  Inc Exp Statem'!N162</f>
        <v>3011.3494111886976</v>
      </c>
      <c r="O164" s="707">
        <f>'Water  Fund  Inc Exp Statement '!O162+'GF &amp; FF  Inc Exp Statement'!O168+'Sewer  Fund  Inc Exp Statem'!O162</f>
        <v>2964.3899398552812</v>
      </c>
      <c r="P164" s="707">
        <f>'Water  Fund  Inc Exp Statement '!P162+'GF &amp; FF  Inc Exp Statement'!P168+'Sewer  Fund  Inc Exp Statem'!P162</f>
        <v>2916.4912790951962</v>
      </c>
    </row>
    <row r="165" spans="1:17" x14ac:dyDescent="0.2">
      <c r="A165" s="600" t="s">
        <v>27</v>
      </c>
      <c r="B165" s="606">
        <f>+B27</f>
        <v>0</v>
      </c>
      <c r="C165" s="606">
        <f>+C27</f>
        <v>0</v>
      </c>
      <c r="D165" s="606">
        <f>+D27</f>
        <v>8897</v>
      </c>
      <c r="E165" s="707">
        <f>'Water  Fund  Inc Exp Statement '!E163+'GF &amp; FF  Inc Exp Statement'!E169+'Sewer  Fund  Inc Exp Statem'!E163</f>
        <v>12542</v>
      </c>
      <c r="F165" s="707">
        <f>'Water  Fund  Inc Exp Statement '!F163+'GF &amp; FF  Inc Exp Statement'!F169+'Sewer  Fund  Inc Exp Statem'!F163</f>
        <v>14214.548000000001</v>
      </c>
      <c r="G165" s="707">
        <f>'Water  Fund  Inc Exp Statement '!G163+'GF &amp; FF  Inc Exp Statement'!G169+'Sewer  Fund  Inc Exp Statem'!G163</f>
        <v>14424.867</v>
      </c>
      <c r="H165" s="707">
        <f>'Water  Fund  Inc Exp Statement '!H163+'GF &amp; FF  Inc Exp Statement'!H169+'Sewer  Fund  Inc Exp Statem'!H163</f>
        <v>14649.205000000002</v>
      </c>
      <c r="I165" s="707">
        <f>'Water  Fund  Inc Exp Statement '!I163+'GF &amp; FF  Inc Exp Statement'!I169+'Sewer  Fund  Inc Exp Statem'!I163</f>
        <v>15061.072</v>
      </c>
      <c r="J165" s="707">
        <f>'Water  Fund  Inc Exp Statement '!J163+'GF &amp; FF  Inc Exp Statement'!J169+'Sewer  Fund  Inc Exp Statem'!J163</f>
        <v>15809.757999999998</v>
      </c>
      <c r="K165" s="707">
        <f>'Water  Fund  Inc Exp Statement '!K163+'GF &amp; FF  Inc Exp Statement'!K169+'Sewer  Fund  Inc Exp Statem'!K163</f>
        <v>16125.953160000001</v>
      </c>
      <c r="L165" s="707">
        <f>'Water  Fund  Inc Exp Statement '!L163+'GF &amp; FF  Inc Exp Statement'!L169+'Sewer  Fund  Inc Exp Statem'!L163</f>
        <v>16448.472223199999</v>
      </c>
      <c r="M165" s="707">
        <f>'Water  Fund  Inc Exp Statement '!M163+'GF &amp; FF  Inc Exp Statement'!M169+'Sewer  Fund  Inc Exp Statem'!M163</f>
        <v>16777.441667663999</v>
      </c>
      <c r="N165" s="707">
        <f>'Water  Fund  Inc Exp Statement '!N163+'GF &amp; FF  Inc Exp Statement'!N169+'Sewer  Fund  Inc Exp Statem'!N163</f>
        <v>17112.990501017281</v>
      </c>
      <c r="O165" s="707">
        <f>'Water  Fund  Inc Exp Statement '!O163+'GF &amp; FF  Inc Exp Statement'!O169+'Sewer  Fund  Inc Exp Statem'!O163</f>
        <v>17455.250311037627</v>
      </c>
      <c r="P165" s="707">
        <f>'Water  Fund  Inc Exp Statement '!P163+'GF &amp; FF  Inc Exp Statement'!P169+'Sewer  Fund  Inc Exp Statem'!P163</f>
        <v>17804.355317258382</v>
      </c>
    </row>
    <row r="166" spans="1:17" outlineLevel="1" x14ac:dyDescent="0.2">
      <c r="A166" s="600" t="s">
        <v>1077</v>
      </c>
      <c r="B166" s="606"/>
      <c r="C166" s="606"/>
      <c r="D166" s="606"/>
      <c r="E166" s="707">
        <f>'Water  Fund  Inc Exp Statement '!E164+'GF &amp; FF  Inc Exp Statement'!E170+'Sewer  Fund  Inc Exp Statem'!E164</f>
        <v>0</v>
      </c>
      <c r="F166" s="707">
        <f>'Water  Fund  Inc Exp Statement '!F164+'GF &amp; FF  Inc Exp Statement'!F170+'Sewer  Fund  Inc Exp Statem'!F164</f>
        <v>4783.3530000000001</v>
      </c>
      <c r="G166" s="707">
        <f>'Water  Fund  Inc Exp Statement '!G164+'GF &amp; FF  Inc Exp Statement'!G170+'Sewer  Fund  Inc Exp Statem'!G164</f>
        <v>4997.3519999999999</v>
      </c>
      <c r="H166" s="707">
        <f>'Water  Fund  Inc Exp Statement '!H164+'GF &amp; FF  Inc Exp Statement'!H170+'Sewer  Fund  Inc Exp Statem'!H164</f>
        <v>5174.6230000000005</v>
      </c>
      <c r="I166" s="707">
        <f>'Water  Fund  Inc Exp Statement '!I164+'GF &amp; FF  Inc Exp Statement'!I170+'Sewer  Fund  Inc Exp Statem'!I164</f>
        <v>5354.1780000000008</v>
      </c>
      <c r="J166" s="707">
        <f>'Water  Fund  Inc Exp Statement '!J164+'GF &amp; FF  Inc Exp Statement'!J170+'Sewer  Fund  Inc Exp Statem'!J164</f>
        <v>5535.7020000000002</v>
      </c>
      <c r="K166" s="707">
        <f>'Water  Fund  Inc Exp Statement '!K164+'GF &amp; FF  Inc Exp Statement'!K170+'Sewer  Fund  Inc Exp Statem'!K164</f>
        <v>5629.2908400000006</v>
      </c>
      <c r="L166" s="707">
        <f>'Water  Fund  Inc Exp Statement '!L164+'GF &amp; FF  Inc Exp Statement'!L170+'Sewer  Fund  Inc Exp Statem'!L164</f>
        <v>5741.8766568000001</v>
      </c>
      <c r="M166" s="707">
        <f>'Water  Fund  Inc Exp Statement '!M164+'GF &amp; FF  Inc Exp Statement'!M170+'Sewer  Fund  Inc Exp Statem'!M164</f>
        <v>5856.7141899360004</v>
      </c>
      <c r="N166" s="707">
        <f>'Water  Fund  Inc Exp Statement '!N164+'GF &amp; FF  Inc Exp Statement'!N170+'Sewer  Fund  Inc Exp Statem'!N164</f>
        <v>5973.8484737347198</v>
      </c>
      <c r="O166" s="707">
        <f>'Water  Fund  Inc Exp Statement '!O164+'GF &amp; FF  Inc Exp Statement'!O170+'Sewer  Fund  Inc Exp Statem'!O164</f>
        <v>6093.3254432094145</v>
      </c>
      <c r="P166" s="707">
        <f>'Water  Fund  Inc Exp Statement '!P164+'GF &amp; FF  Inc Exp Statement'!P170+'Sewer  Fund  Inc Exp Statem'!P164</f>
        <v>6215.1919520736037</v>
      </c>
    </row>
    <row r="167" spans="1:17" x14ac:dyDescent="0.2">
      <c r="A167" s="600" t="s">
        <v>29</v>
      </c>
      <c r="B167" s="606">
        <f>+B29</f>
        <v>0</v>
      </c>
      <c r="C167" s="606">
        <f>+C29</f>
        <v>0</v>
      </c>
      <c r="D167" s="606">
        <f>+D29</f>
        <v>10831</v>
      </c>
      <c r="E167" s="707">
        <f>'Water  Fund  Inc Exp Statement '!E165+'GF &amp; FF  Inc Exp Statement'!E171+'Sewer  Fund  Inc Exp Statem'!E165</f>
        <v>9874</v>
      </c>
      <c r="F167" s="707">
        <f>'Water  Fund  Inc Exp Statement '!F165+'GF &amp; FF  Inc Exp Statement'!F171+'Sewer  Fund  Inc Exp Statem'!F165</f>
        <v>11286.985000000001</v>
      </c>
      <c r="G167" s="707">
        <f>'Water  Fund  Inc Exp Statement '!G165+'GF &amp; FF  Inc Exp Statement'!G171+'Sewer  Fund  Inc Exp Statem'!G165</f>
        <v>10411.565000000001</v>
      </c>
      <c r="H167" s="707">
        <f>'Water  Fund  Inc Exp Statement '!H165+'GF &amp; FF  Inc Exp Statement'!H171+'Sewer  Fund  Inc Exp Statem'!H165</f>
        <v>10771.184000000001</v>
      </c>
      <c r="I167" s="707">
        <f>'Water  Fund  Inc Exp Statement '!I165+'GF &amp; FF  Inc Exp Statement'!I171+'Sewer  Fund  Inc Exp Statem'!I165</f>
        <v>11149.531999999999</v>
      </c>
      <c r="J167" s="707">
        <f>'Water  Fund  Inc Exp Statement '!J165+'GF &amp; FF  Inc Exp Statement'!J171+'Sewer  Fund  Inc Exp Statem'!J165</f>
        <v>11765.181</v>
      </c>
      <c r="K167" s="707">
        <f>'Water  Fund  Inc Exp Statement '!K165+'GF &amp; FF  Inc Exp Statement'!K171+'Sewer  Fund  Inc Exp Statem'!K165</f>
        <v>12059.310524999999</v>
      </c>
      <c r="L167" s="707">
        <f>'Water  Fund  Inc Exp Statement '!L165+'GF &amp; FF  Inc Exp Statement'!L171+'Sewer  Fund  Inc Exp Statem'!L165</f>
        <v>12360.793288124998</v>
      </c>
      <c r="M167" s="707">
        <f>'Water  Fund  Inc Exp Statement '!M165+'GF &amp; FF  Inc Exp Statement'!M171+'Sewer  Fund  Inc Exp Statem'!M165</f>
        <v>12669.813120328121</v>
      </c>
      <c r="N167" s="707">
        <f>'Water  Fund  Inc Exp Statement '!N165+'GF &amp; FF  Inc Exp Statement'!N171+'Sewer  Fund  Inc Exp Statem'!N165</f>
        <v>12986.558448336324</v>
      </c>
      <c r="O167" s="707">
        <f>'Water  Fund  Inc Exp Statement '!O165+'GF &amp; FF  Inc Exp Statement'!O171+'Sewer  Fund  Inc Exp Statem'!O165</f>
        <v>13311.222409544731</v>
      </c>
      <c r="P167" s="707">
        <f>'Water  Fund  Inc Exp Statement '!P165+'GF &amp; FF  Inc Exp Statement'!P171+'Sewer  Fund  Inc Exp Statem'!P165</f>
        <v>13644.002969783349</v>
      </c>
    </row>
    <row r="168" spans="1:17" x14ac:dyDescent="0.2">
      <c r="A168" s="600" t="str">
        <f>A100</f>
        <v>Impairment</v>
      </c>
      <c r="B168" s="606"/>
      <c r="C168" s="606"/>
      <c r="D168" s="606">
        <f>+D30</f>
        <v>0</v>
      </c>
      <c r="E168" s="707">
        <f>'Water  Fund  Inc Exp Statement '!E166+'GF &amp; FF  Inc Exp Statement'!E172+'Sewer  Fund  Inc Exp Statem'!E166</f>
        <v>600</v>
      </c>
      <c r="F168" s="707">
        <f>'Water  Fund  Inc Exp Statement '!F166+'GF &amp; FF  Inc Exp Statement'!F172+'Sewer  Fund  Inc Exp Statem'!F166</f>
        <v>0</v>
      </c>
      <c r="G168" s="707">
        <f>'Water  Fund  Inc Exp Statement '!G166+'GF &amp; FF  Inc Exp Statement'!G172+'Sewer  Fund  Inc Exp Statem'!G166</f>
        <v>0</v>
      </c>
      <c r="H168" s="707">
        <f>'Water  Fund  Inc Exp Statement '!H166+'GF &amp; FF  Inc Exp Statement'!H172+'Sewer  Fund  Inc Exp Statem'!H166</f>
        <v>0</v>
      </c>
      <c r="I168" s="707">
        <f>'Water  Fund  Inc Exp Statement '!I166+'GF &amp; FF  Inc Exp Statement'!I172+'Sewer  Fund  Inc Exp Statem'!I166</f>
        <v>0</v>
      </c>
      <c r="J168" s="707">
        <f>'Water  Fund  Inc Exp Statement '!J166+'GF &amp; FF  Inc Exp Statement'!J172+'Sewer  Fund  Inc Exp Statem'!J166</f>
        <v>0</v>
      </c>
      <c r="K168" s="707">
        <f>'Water  Fund  Inc Exp Statement '!K166+'GF &amp; FF  Inc Exp Statement'!K172+'Sewer  Fund  Inc Exp Statem'!K166</f>
        <v>0</v>
      </c>
      <c r="L168" s="707">
        <f>'Water  Fund  Inc Exp Statement '!L166+'GF &amp; FF  Inc Exp Statement'!L172+'Sewer  Fund  Inc Exp Statem'!L166</f>
        <v>0</v>
      </c>
      <c r="M168" s="707">
        <f>'Water  Fund  Inc Exp Statement '!M166+'GF &amp; FF  Inc Exp Statement'!M172+'Sewer  Fund  Inc Exp Statem'!M166</f>
        <v>0</v>
      </c>
      <c r="N168" s="707">
        <f>'Water  Fund  Inc Exp Statement '!N166+'GF &amp; FF  Inc Exp Statement'!N172+'Sewer  Fund  Inc Exp Statem'!N166</f>
        <v>0</v>
      </c>
      <c r="O168" s="707">
        <f>'Water  Fund  Inc Exp Statement '!O166+'GF &amp; FF  Inc Exp Statement'!O172+'Sewer  Fund  Inc Exp Statem'!O166</f>
        <v>0</v>
      </c>
      <c r="P168" s="707">
        <f>'Water  Fund  Inc Exp Statement '!P166+'GF &amp; FF  Inc Exp Statement'!P172+'Sewer  Fund  Inc Exp Statem'!P166</f>
        <v>0</v>
      </c>
      <c r="Q168" s="606">
        <f>+Q30</f>
        <v>0</v>
      </c>
    </row>
    <row r="169" spans="1:17" x14ac:dyDescent="0.2">
      <c r="A169" s="600" t="str">
        <f>A101</f>
        <v>Net Losses from the disposal of assets</v>
      </c>
      <c r="B169" s="606"/>
      <c r="C169" s="606"/>
      <c r="D169" s="606">
        <f>+D31</f>
        <v>618</v>
      </c>
      <c r="E169" s="707">
        <f>'Water  Fund  Inc Exp Statement '!E167+'GF &amp; FF  Inc Exp Statement'!E173+'Sewer  Fund  Inc Exp Statem'!E167</f>
        <v>0</v>
      </c>
      <c r="F169" s="707">
        <f>'Water  Fund  Inc Exp Statement '!F167+'GF &amp; FF  Inc Exp Statement'!F173+'Sewer  Fund  Inc Exp Statem'!F167</f>
        <v>0</v>
      </c>
      <c r="G169" s="707">
        <f>'Water  Fund  Inc Exp Statement '!G167+'GF &amp; FF  Inc Exp Statement'!G173+'Sewer  Fund  Inc Exp Statem'!G167</f>
        <v>0</v>
      </c>
      <c r="H169" s="707">
        <f>'Water  Fund  Inc Exp Statement '!H167+'GF &amp; FF  Inc Exp Statement'!H173+'Sewer  Fund  Inc Exp Statem'!H167</f>
        <v>0</v>
      </c>
      <c r="I169" s="707">
        <f>'Water  Fund  Inc Exp Statement '!I167+'GF &amp; FF  Inc Exp Statement'!I173+'Sewer  Fund  Inc Exp Statem'!I167</f>
        <v>0</v>
      </c>
      <c r="J169" s="707">
        <f>'Water  Fund  Inc Exp Statement '!J167+'GF &amp; FF  Inc Exp Statement'!J173+'Sewer  Fund  Inc Exp Statem'!J167</f>
        <v>0</v>
      </c>
      <c r="K169" s="707">
        <f>'Water  Fund  Inc Exp Statement '!K167+'GF &amp; FF  Inc Exp Statement'!K173+'Sewer  Fund  Inc Exp Statem'!K167</f>
        <v>0</v>
      </c>
      <c r="L169" s="707">
        <f>'Water  Fund  Inc Exp Statement '!L167+'GF &amp; FF  Inc Exp Statement'!L173+'Sewer  Fund  Inc Exp Statem'!L167</f>
        <v>0</v>
      </c>
      <c r="M169" s="707">
        <f>'Water  Fund  Inc Exp Statement '!M167+'GF &amp; FF  Inc Exp Statement'!M173+'Sewer  Fund  Inc Exp Statem'!M167</f>
        <v>0</v>
      </c>
      <c r="N169" s="707">
        <f>'Water  Fund  Inc Exp Statement '!N167+'GF &amp; FF  Inc Exp Statement'!N173+'Sewer  Fund  Inc Exp Statem'!N167</f>
        <v>0</v>
      </c>
      <c r="O169" s="707">
        <f>'Water  Fund  Inc Exp Statement '!O167+'GF &amp; FF  Inc Exp Statement'!O173+'Sewer  Fund  Inc Exp Statem'!O167</f>
        <v>0</v>
      </c>
      <c r="P169" s="707">
        <f>'Water  Fund  Inc Exp Statement '!P167+'GF &amp; FF  Inc Exp Statement'!P173+'Sewer  Fund  Inc Exp Statem'!P167</f>
        <v>0</v>
      </c>
      <c r="Q169" s="606">
        <f>+Q31</f>
        <v>0</v>
      </c>
    </row>
    <row r="170" spans="1:17" x14ac:dyDescent="0.2">
      <c r="A170" s="614" t="s">
        <v>28</v>
      </c>
      <c r="B170" s="606">
        <f>+B32</f>
        <v>0</v>
      </c>
      <c r="C170" s="606">
        <f>+C32</f>
        <v>0</v>
      </c>
      <c r="D170" s="606">
        <f>+D32</f>
        <v>5886</v>
      </c>
      <c r="E170" s="707">
        <f>'Water  Fund  Inc Exp Statement '!E168+'GF &amp; FF  Inc Exp Statement'!E174+'Sewer  Fund  Inc Exp Statem'!E168</f>
        <v>7060</v>
      </c>
      <c r="F170" s="707">
        <f>'Water  Fund  Inc Exp Statement '!F168+'GF &amp; FF  Inc Exp Statement'!F174+'Sewer  Fund  Inc Exp Statem'!F168</f>
        <v>3204.8429999999998</v>
      </c>
      <c r="G170" s="707">
        <f>'Water  Fund  Inc Exp Statement '!G168+'GF &amp; FF  Inc Exp Statement'!G174+'Sewer  Fund  Inc Exp Statem'!G168</f>
        <v>3307.2809999999999</v>
      </c>
      <c r="H170" s="707">
        <f>'Water  Fund  Inc Exp Statement '!H168+'GF &amp; FF  Inc Exp Statement'!H174+'Sewer  Fund  Inc Exp Statem'!H168</f>
        <v>3375.721</v>
      </c>
      <c r="I170" s="707">
        <f>'Water  Fund  Inc Exp Statement '!I168+'GF &amp; FF  Inc Exp Statement'!I174+'Sewer  Fund  Inc Exp Statem'!I168</f>
        <v>3469.5200000000004</v>
      </c>
      <c r="J170" s="707">
        <f>'Water  Fund  Inc Exp Statement '!J168+'GF &amp; FF  Inc Exp Statement'!J174+'Sewer  Fund  Inc Exp Statem'!J168</f>
        <v>3637.9970000000003</v>
      </c>
      <c r="K170" s="707">
        <f>'Water  Fund  Inc Exp Statement '!K168+'GF &amp; FF  Inc Exp Statement'!K174+'Sewer  Fund  Inc Exp Statem'!K168</f>
        <v>3710.7569399999998</v>
      </c>
      <c r="L170" s="707">
        <f>'Water  Fund  Inc Exp Statement '!L168+'GF &amp; FF  Inc Exp Statement'!L174+'Sewer  Fund  Inc Exp Statem'!L168</f>
        <v>3784.9720788</v>
      </c>
      <c r="M170" s="707">
        <f>'Water  Fund  Inc Exp Statement '!M168+'GF &amp; FF  Inc Exp Statement'!M174+'Sewer  Fund  Inc Exp Statem'!M168</f>
        <v>3860.671520376</v>
      </c>
      <c r="N170" s="707">
        <f>'Water  Fund  Inc Exp Statement '!N168+'GF &amp; FF  Inc Exp Statement'!N174+'Sewer  Fund  Inc Exp Statem'!N168</f>
        <v>3937.8849507835198</v>
      </c>
      <c r="O170" s="707">
        <f>'Water  Fund  Inc Exp Statement '!O168+'GF &amp; FF  Inc Exp Statement'!O174+'Sewer  Fund  Inc Exp Statem'!O168</f>
        <v>4016.6426497991906</v>
      </c>
      <c r="P170" s="707">
        <f>'Water  Fund  Inc Exp Statement '!P168+'GF &amp; FF  Inc Exp Statement'!P174+'Sewer  Fund  Inc Exp Statem'!P168</f>
        <v>4096.9755027951742</v>
      </c>
    </row>
    <row r="171" spans="1:17" x14ac:dyDescent="0.2">
      <c r="A171" s="604" t="s">
        <v>66</v>
      </c>
      <c r="B171" s="610">
        <f>SUM(B163:B170)</f>
        <v>0</v>
      </c>
      <c r="C171" s="610">
        <f t="shared" ref="C171:P171" si="49">SUM(C163:C170)</f>
        <v>0</v>
      </c>
      <c r="D171" s="610">
        <f t="shared" si="49"/>
        <v>39949</v>
      </c>
      <c r="E171" s="610">
        <f t="shared" si="49"/>
        <v>43925</v>
      </c>
      <c r="F171" s="610">
        <f t="shared" si="49"/>
        <v>48299.724000000002</v>
      </c>
      <c r="G171" s="610">
        <f t="shared" si="49"/>
        <v>48839.516000000003</v>
      </c>
      <c r="H171" s="610">
        <f t="shared" si="49"/>
        <v>50288.281000000003</v>
      </c>
      <c r="I171" s="610">
        <f t="shared" si="49"/>
        <v>52328.062000000005</v>
      </c>
      <c r="J171" s="610">
        <f t="shared" si="49"/>
        <v>55080.156000000003</v>
      </c>
      <c r="K171" s="610">
        <f t="shared" si="49"/>
        <v>56252.958530999997</v>
      </c>
      <c r="L171" s="610">
        <f t="shared" si="49"/>
        <v>57472.343290545003</v>
      </c>
      <c r="M171" s="610">
        <f t="shared" si="49"/>
        <v>58723.409399305528</v>
      </c>
      <c r="N171" s="610">
        <f t="shared" si="49"/>
        <v>60019.054001260352</v>
      </c>
      <c r="O171" s="610">
        <f t="shared" si="49"/>
        <v>61347.14563613206</v>
      </c>
      <c r="P171" s="610">
        <f t="shared" si="49"/>
        <v>62708.521350172086</v>
      </c>
    </row>
    <row r="173" spans="1:17" ht="10.8" thickBot="1" x14ac:dyDescent="0.25">
      <c r="A173" s="604" t="s">
        <v>67</v>
      </c>
      <c r="B173" s="636">
        <f t="shared" ref="B173:P173" si="50">+B160-B171</f>
        <v>0</v>
      </c>
      <c r="C173" s="636">
        <f t="shared" si="50"/>
        <v>0</v>
      </c>
      <c r="D173" s="636">
        <f t="shared" si="50"/>
        <v>19960</v>
      </c>
      <c r="E173" s="636">
        <f t="shared" si="50"/>
        <v>14806</v>
      </c>
      <c r="F173" s="636">
        <f t="shared" si="50"/>
        <v>4932.0509999999995</v>
      </c>
      <c r="G173" s="636">
        <f t="shared" si="50"/>
        <v>14498.41750000001</v>
      </c>
      <c r="H173" s="636">
        <f t="shared" si="50"/>
        <v>5320.6312935000024</v>
      </c>
      <c r="I173" s="636">
        <f t="shared" si="50"/>
        <v>9181.0288496374997</v>
      </c>
      <c r="J173" s="636">
        <f t="shared" si="50"/>
        <v>4795.8796228299325</v>
      </c>
      <c r="K173" s="636">
        <f t="shared" si="50"/>
        <v>4155.718805389035</v>
      </c>
      <c r="L173" s="636">
        <f t="shared" si="50"/>
        <v>4262.5881805878744</v>
      </c>
      <c r="M173" s="636">
        <f t="shared" si="50"/>
        <v>3971.3958512732861</v>
      </c>
      <c r="N173" s="636">
        <f t="shared" si="50"/>
        <v>4045.568789941135</v>
      </c>
      <c r="O173" s="636">
        <f t="shared" si="50"/>
        <v>2836.3305946123364</v>
      </c>
      <c r="P173" s="636">
        <f t="shared" si="50"/>
        <v>836.12521870724595</v>
      </c>
    </row>
    <row r="174" spans="1:17" x14ac:dyDescent="0.2">
      <c r="A174" s="616"/>
      <c r="B174" s="621"/>
      <c r="C174" s="621"/>
      <c r="D174" s="621"/>
      <c r="E174" s="621"/>
      <c r="F174" s="621"/>
      <c r="G174" s="621"/>
      <c r="H174" s="621"/>
      <c r="I174" s="621"/>
      <c r="J174" s="621"/>
      <c r="K174" s="621"/>
      <c r="L174" s="621"/>
      <c r="M174" s="621"/>
      <c r="N174" s="621"/>
      <c r="O174" s="621"/>
      <c r="P174" s="621"/>
    </row>
    <row r="175" spans="1:17" x14ac:dyDescent="0.2">
      <c r="A175" s="604" t="s">
        <v>75</v>
      </c>
      <c r="B175" s="621"/>
      <c r="C175" s="621"/>
      <c r="D175" s="621"/>
      <c r="E175" s="621"/>
      <c r="F175" s="621"/>
      <c r="G175" s="621"/>
      <c r="H175" s="621"/>
      <c r="I175" s="621"/>
      <c r="J175" s="621"/>
      <c r="K175" s="621"/>
      <c r="L175" s="621"/>
      <c r="M175" s="621"/>
      <c r="N175" s="621"/>
      <c r="O175" s="621"/>
      <c r="P175" s="621"/>
    </row>
    <row r="176" spans="1:17" x14ac:dyDescent="0.2">
      <c r="A176" s="614" t="s">
        <v>322</v>
      </c>
      <c r="B176" s="617">
        <v>0</v>
      </c>
      <c r="C176" s="617">
        <v>0</v>
      </c>
      <c r="D176" s="617">
        <v>0</v>
      </c>
      <c r="E176" s="617">
        <v>0</v>
      </c>
      <c r="F176" s="617">
        <v>0</v>
      </c>
      <c r="G176" s="617">
        <v>0</v>
      </c>
      <c r="H176" s="617">
        <v>0</v>
      </c>
      <c r="I176" s="617">
        <v>0</v>
      </c>
      <c r="J176" s="617">
        <v>0</v>
      </c>
      <c r="K176" s="617">
        <v>0</v>
      </c>
      <c r="L176" s="617">
        <v>0</v>
      </c>
      <c r="M176" s="617">
        <v>0</v>
      </c>
      <c r="N176" s="617">
        <v>0</v>
      </c>
      <c r="O176" s="617">
        <v>0</v>
      </c>
      <c r="P176" s="617">
        <v>1</v>
      </c>
    </row>
    <row r="177" spans="1:17" x14ac:dyDescent="0.2">
      <c r="B177" s="621"/>
      <c r="C177" s="621"/>
      <c r="D177" s="621"/>
      <c r="E177" s="621"/>
      <c r="F177" s="621"/>
      <c r="G177" s="621"/>
      <c r="H177" s="621"/>
      <c r="I177" s="621"/>
      <c r="J177" s="621"/>
      <c r="K177" s="621"/>
      <c r="L177" s="621"/>
      <c r="M177" s="621"/>
      <c r="N177" s="621"/>
      <c r="O177" s="621"/>
      <c r="P177" s="621"/>
    </row>
    <row r="178" spans="1:17" x14ac:dyDescent="0.2">
      <c r="A178" s="618" t="s">
        <v>76</v>
      </c>
      <c r="B178" s="634">
        <f>+B173+B176</f>
        <v>0</v>
      </c>
      <c r="C178" s="634">
        <f>+C173+C176</f>
        <v>0</v>
      </c>
      <c r="D178" s="634">
        <f>+D173+D176</f>
        <v>19960</v>
      </c>
      <c r="E178" s="634">
        <f t="shared" ref="E178:P178" si="51">+E173+E176</f>
        <v>14806</v>
      </c>
      <c r="F178" s="634">
        <f t="shared" si="51"/>
        <v>4932.0509999999995</v>
      </c>
      <c r="G178" s="634">
        <f t="shared" si="51"/>
        <v>14498.41750000001</v>
      </c>
      <c r="H178" s="634">
        <f t="shared" si="51"/>
        <v>5320.6312935000024</v>
      </c>
      <c r="I178" s="634">
        <f t="shared" si="51"/>
        <v>9181.0288496374997</v>
      </c>
      <c r="J178" s="634">
        <f t="shared" si="51"/>
        <v>4795.8796228299325</v>
      </c>
      <c r="K178" s="634">
        <f t="shared" si="51"/>
        <v>4155.718805389035</v>
      </c>
      <c r="L178" s="634">
        <f t="shared" si="51"/>
        <v>4262.5881805878744</v>
      </c>
      <c r="M178" s="634">
        <f t="shared" si="51"/>
        <v>3971.3958512732861</v>
      </c>
      <c r="N178" s="634">
        <f t="shared" si="51"/>
        <v>4045.568789941135</v>
      </c>
      <c r="O178" s="634">
        <f t="shared" si="51"/>
        <v>2836.3305946123364</v>
      </c>
      <c r="P178" s="634">
        <f t="shared" si="51"/>
        <v>837.12521870724595</v>
      </c>
    </row>
    <row r="179" spans="1:17" x14ac:dyDescent="0.2">
      <c r="B179" s="621"/>
      <c r="C179" s="621"/>
      <c r="D179" s="621"/>
      <c r="E179" s="621"/>
      <c r="F179" s="621"/>
      <c r="G179" s="621"/>
      <c r="H179" s="621"/>
      <c r="I179" s="621"/>
      <c r="J179" s="621"/>
      <c r="K179" s="621"/>
      <c r="L179" s="621"/>
      <c r="M179" s="621"/>
      <c r="N179" s="621"/>
      <c r="O179" s="621"/>
      <c r="P179" s="621"/>
    </row>
    <row r="180" spans="1:17" s="601" customFormat="1" x14ac:dyDescent="0.2">
      <c r="A180" s="733" t="s">
        <v>77</v>
      </c>
      <c r="B180" s="715">
        <f>+B178</f>
        <v>0</v>
      </c>
      <c r="C180" s="734">
        <f>+C175+C178</f>
        <v>0</v>
      </c>
      <c r="D180" s="715">
        <f>+D178</f>
        <v>19960</v>
      </c>
      <c r="E180" s="734">
        <f t="shared" ref="E180:P180" si="52">+E175+E178</f>
        <v>14806</v>
      </c>
      <c r="F180" s="734">
        <f t="shared" si="52"/>
        <v>4932.0509999999995</v>
      </c>
      <c r="G180" s="734">
        <f t="shared" si="52"/>
        <v>14498.41750000001</v>
      </c>
      <c r="H180" s="734">
        <f t="shared" si="52"/>
        <v>5320.6312935000024</v>
      </c>
      <c r="I180" s="734">
        <f t="shared" si="52"/>
        <v>9181.0288496374997</v>
      </c>
      <c r="J180" s="734">
        <f t="shared" si="52"/>
        <v>4795.8796228299325</v>
      </c>
      <c r="K180" s="734">
        <f t="shared" si="52"/>
        <v>4155.718805389035</v>
      </c>
      <c r="L180" s="734">
        <f t="shared" si="52"/>
        <v>4262.5881805878744</v>
      </c>
      <c r="M180" s="734">
        <f t="shared" si="52"/>
        <v>3971.3958512732861</v>
      </c>
      <c r="N180" s="734">
        <f t="shared" si="52"/>
        <v>4045.568789941135</v>
      </c>
      <c r="O180" s="734">
        <f t="shared" si="52"/>
        <v>2836.3305946123364</v>
      </c>
      <c r="P180" s="734">
        <f t="shared" si="52"/>
        <v>837.12521870724595</v>
      </c>
    </row>
    <row r="181" spans="1:17" s="601" customFormat="1" ht="10.5" customHeight="1" thickBot="1" x14ac:dyDescent="0.25">
      <c r="A181" s="739" t="s">
        <v>78</v>
      </c>
      <c r="B181" s="735">
        <v>0</v>
      </c>
      <c r="C181" s="735">
        <v>0</v>
      </c>
      <c r="D181" s="735">
        <v>0</v>
      </c>
      <c r="E181" s="735">
        <v>0</v>
      </c>
      <c r="F181" s="735"/>
      <c r="G181" s="735">
        <v>0</v>
      </c>
      <c r="H181" s="735">
        <v>0</v>
      </c>
      <c r="I181" s="735">
        <v>0</v>
      </c>
      <c r="J181" s="735">
        <v>0</v>
      </c>
      <c r="K181" s="735">
        <v>0</v>
      </c>
      <c r="L181" s="735">
        <v>0</v>
      </c>
      <c r="M181" s="735">
        <v>0</v>
      </c>
      <c r="N181" s="735">
        <v>0</v>
      </c>
      <c r="O181" s="735">
        <v>0</v>
      </c>
      <c r="P181" s="735">
        <v>0</v>
      </c>
    </row>
    <row r="182" spans="1:17" ht="3.75" customHeight="1" thickTop="1" x14ac:dyDescent="0.2">
      <c r="A182" s="726"/>
      <c r="B182" s="714"/>
      <c r="C182" s="714"/>
      <c r="D182" s="710"/>
      <c r="E182" s="710"/>
      <c r="F182" s="710"/>
      <c r="G182" s="710"/>
      <c r="H182" s="710"/>
      <c r="I182" s="710"/>
      <c r="J182" s="710"/>
      <c r="K182" s="710"/>
      <c r="L182" s="710"/>
      <c r="M182" s="710"/>
      <c r="N182" s="710"/>
      <c r="O182" s="710"/>
      <c r="P182" s="710"/>
    </row>
    <row r="183" spans="1:17" ht="31.5" customHeight="1" thickBot="1" x14ac:dyDescent="0.25">
      <c r="A183" s="705" t="s">
        <v>79</v>
      </c>
      <c r="B183" s="736">
        <f>+B178-B157-B159</f>
        <v>0</v>
      </c>
      <c r="C183" s="736">
        <f>+C178-C157-C159</f>
        <v>0</v>
      </c>
      <c r="D183" s="736">
        <f>+D178-D155-D158</f>
        <v>-2616</v>
      </c>
      <c r="E183" s="736">
        <f t="shared" ref="E183:P183" si="53">+E178-E155-E158</f>
        <v>-836</v>
      </c>
      <c r="F183" s="736">
        <f t="shared" si="53"/>
        <v>974.04399999999941</v>
      </c>
      <c r="G183" s="736">
        <f t="shared" si="53"/>
        <v>1970.4505000000099</v>
      </c>
      <c r="H183" s="736">
        <f t="shared" si="53"/>
        <v>1376.2602835000025</v>
      </c>
      <c r="I183" s="736">
        <f t="shared" si="53"/>
        <v>1678.5698343374997</v>
      </c>
      <c r="J183" s="736">
        <f t="shared" si="53"/>
        <v>733.59829019593235</v>
      </c>
      <c r="K183" s="736">
        <f t="shared" si="53"/>
        <v>12.191846102354248</v>
      </c>
      <c r="L183" s="736">
        <f t="shared" si="53"/>
        <v>36.190682115459822</v>
      </c>
      <c r="M183" s="736">
        <f t="shared" si="53"/>
        <v>-338.48919716857745</v>
      </c>
      <c r="N183" s="736">
        <f t="shared" si="53"/>
        <v>-349.47355946956577</v>
      </c>
      <c r="O183" s="736">
        <f t="shared" si="53"/>
        <v>-1645.5722017865774</v>
      </c>
      <c r="P183" s="736">
        <f t="shared" si="53"/>
        <v>-3733.3752336196467</v>
      </c>
    </row>
    <row r="184" spans="1:17" ht="4.5" customHeight="1" thickTop="1" x14ac:dyDescent="0.2">
      <c r="A184" s="705"/>
      <c r="B184" s="734"/>
      <c r="C184" s="734"/>
      <c r="D184" s="734"/>
      <c r="E184" s="734"/>
      <c r="F184" s="734"/>
      <c r="G184" s="734"/>
      <c r="H184" s="734"/>
      <c r="I184" s="734"/>
      <c r="J184" s="734"/>
      <c r="K184" s="734"/>
      <c r="L184" s="734"/>
      <c r="M184" s="734"/>
      <c r="N184" s="734"/>
      <c r="O184" s="734"/>
      <c r="P184" s="734"/>
    </row>
    <row r="185" spans="1:17" x14ac:dyDescent="0.2">
      <c r="A185" s="730" t="s">
        <v>76</v>
      </c>
      <c r="B185" s="732">
        <f t="shared" ref="B185:P185" si="54">B178</f>
        <v>0</v>
      </c>
      <c r="C185" s="732">
        <f t="shared" si="54"/>
        <v>0</v>
      </c>
      <c r="D185" s="732">
        <f t="shared" si="54"/>
        <v>19960</v>
      </c>
      <c r="E185" s="732">
        <f t="shared" si="54"/>
        <v>14806</v>
      </c>
      <c r="F185" s="732">
        <f t="shared" si="54"/>
        <v>4932.0509999999995</v>
      </c>
      <c r="G185" s="732">
        <f t="shared" si="54"/>
        <v>14498.41750000001</v>
      </c>
      <c r="H185" s="732">
        <f t="shared" si="54"/>
        <v>5320.6312935000024</v>
      </c>
      <c r="I185" s="732">
        <f t="shared" si="54"/>
        <v>9181.0288496374997</v>
      </c>
      <c r="J185" s="732">
        <f t="shared" si="54"/>
        <v>4795.8796228299325</v>
      </c>
      <c r="K185" s="732">
        <f t="shared" si="54"/>
        <v>4155.718805389035</v>
      </c>
      <c r="L185" s="732">
        <f t="shared" si="54"/>
        <v>4262.5881805878744</v>
      </c>
      <c r="M185" s="732">
        <f t="shared" si="54"/>
        <v>3971.3958512732861</v>
      </c>
      <c r="N185" s="732">
        <f t="shared" si="54"/>
        <v>4045.568789941135</v>
      </c>
      <c r="O185" s="732">
        <f t="shared" si="54"/>
        <v>2836.3305946123364</v>
      </c>
      <c r="P185" s="732">
        <f t="shared" si="54"/>
        <v>837.12521870724595</v>
      </c>
    </row>
    <row r="186" spans="1:17" ht="9.75" customHeight="1" x14ac:dyDescent="0.2">
      <c r="A186" s="737" t="s">
        <v>1015</v>
      </c>
      <c r="B186" s="734"/>
      <c r="C186" s="734"/>
      <c r="D186" s="734"/>
      <c r="E186" s="734"/>
      <c r="F186" s="734"/>
      <c r="G186" s="734"/>
      <c r="H186" s="734"/>
      <c r="I186" s="734"/>
      <c r="J186" s="734"/>
      <c r="K186" s="734"/>
      <c r="L186" s="734"/>
      <c r="M186" s="734"/>
      <c r="N186" s="734"/>
      <c r="O186" s="734"/>
      <c r="P186" s="734"/>
    </row>
    <row r="187" spans="1:17" x14ac:dyDescent="0.2">
      <c r="A187" s="705" t="s">
        <v>1014</v>
      </c>
      <c r="B187" s="734"/>
      <c r="C187" s="734"/>
      <c r="D187" s="734">
        <f>D49</f>
        <v>-8350</v>
      </c>
      <c r="E187" s="734"/>
      <c r="F187" s="734"/>
      <c r="G187" s="734"/>
      <c r="H187" s="734"/>
      <c r="I187" s="734"/>
      <c r="J187" s="734"/>
      <c r="K187" s="734"/>
      <c r="L187" s="734"/>
      <c r="M187" s="734"/>
      <c r="N187" s="734"/>
      <c r="O187" s="734"/>
      <c r="P187" s="734"/>
    </row>
    <row r="188" spans="1:17" ht="1.5" customHeight="1" x14ac:dyDescent="0.2">
      <c r="A188" s="705"/>
      <c r="B188" s="734"/>
      <c r="C188" s="734"/>
      <c r="D188" s="734"/>
      <c r="E188" s="734"/>
      <c r="F188" s="734"/>
      <c r="G188" s="734"/>
      <c r="H188" s="734"/>
      <c r="I188" s="734"/>
      <c r="J188" s="734"/>
      <c r="K188" s="734"/>
      <c r="L188" s="734"/>
      <c r="M188" s="734"/>
      <c r="N188" s="734"/>
      <c r="O188" s="734"/>
      <c r="P188" s="734"/>
    </row>
    <row r="189" spans="1:17" ht="10.8" thickBot="1" x14ac:dyDescent="0.25">
      <c r="A189" s="705" t="s">
        <v>309</v>
      </c>
      <c r="B189" s="738">
        <f t="shared" ref="B189:P189" si="55">SUM(B185:B188)</f>
        <v>0</v>
      </c>
      <c r="C189" s="738">
        <f t="shared" si="55"/>
        <v>0</v>
      </c>
      <c r="D189" s="738">
        <f t="shared" si="55"/>
        <v>11610</v>
      </c>
      <c r="E189" s="738">
        <f t="shared" si="55"/>
        <v>14806</v>
      </c>
      <c r="F189" s="738">
        <f t="shared" si="55"/>
        <v>4932.0509999999995</v>
      </c>
      <c r="G189" s="738">
        <f t="shared" si="55"/>
        <v>14498.41750000001</v>
      </c>
      <c r="H189" s="738">
        <f t="shared" si="55"/>
        <v>5320.6312935000024</v>
      </c>
      <c r="I189" s="738">
        <f t="shared" si="55"/>
        <v>9181.0288496374997</v>
      </c>
      <c r="J189" s="738">
        <f t="shared" si="55"/>
        <v>4795.8796228299325</v>
      </c>
      <c r="K189" s="738">
        <f t="shared" si="55"/>
        <v>4155.718805389035</v>
      </c>
      <c r="L189" s="738">
        <f t="shared" si="55"/>
        <v>4262.5881805878744</v>
      </c>
      <c r="M189" s="738">
        <f t="shared" si="55"/>
        <v>3971.3958512732861</v>
      </c>
      <c r="N189" s="738">
        <f t="shared" si="55"/>
        <v>4045.568789941135</v>
      </c>
      <c r="O189" s="738">
        <f t="shared" si="55"/>
        <v>2836.3305946123364</v>
      </c>
      <c r="P189" s="738">
        <f t="shared" si="55"/>
        <v>837.12521870724595</v>
      </c>
    </row>
    <row r="190" spans="1:17" ht="10.8" thickTop="1" x14ac:dyDescent="0.2">
      <c r="A190" s="616"/>
      <c r="B190" s="621"/>
      <c r="C190" s="621"/>
      <c r="D190" s="621"/>
      <c r="E190" s="621"/>
      <c r="F190" s="621"/>
      <c r="G190" s="621"/>
      <c r="H190" s="621"/>
      <c r="I190" s="621"/>
      <c r="J190" s="621"/>
      <c r="K190" s="621"/>
      <c r="L190" s="621"/>
      <c r="M190" s="621"/>
      <c r="N190" s="621"/>
      <c r="O190" s="621"/>
      <c r="P190" s="621"/>
    </row>
    <row r="191" spans="1:17" outlineLevel="1" x14ac:dyDescent="0.2">
      <c r="A191" s="604" t="s">
        <v>1081</v>
      </c>
      <c r="B191" s="621"/>
      <c r="C191" s="621"/>
      <c r="D191" s="621">
        <f>'GF &amp; FF  Inc Exp Statement'!D195</f>
        <v>0</v>
      </c>
      <c r="E191" s="707">
        <f>'Water  Fund  Inc Exp Statement '!E189+'GF &amp; FF  Inc Exp Statement'!E195+'Sewer  Fund  Inc Exp Statem'!E189</f>
        <v>0</v>
      </c>
      <c r="F191" s="707">
        <f>'Water  Fund  Inc Exp Statement '!F189+'GF &amp; FF  Inc Exp Statement'!F195+'Sewer  Fund  Inc Exp Statem'!F189</f>
        <v>40805.421999999999</v>
      </c>
      <c r="G191" s="707">
        <f>'Water  Fund  Inc Exp Statement '!G189+'GF &amp; FF  Inc Exp Statement'!G195+'Sewer  Fund  Inc Exp Statem'!G189</f>
        <v>33395.813999999998</v>
      </c>
      <c r="H191" s="707">
        <f>'Water  Fund  Inc Exp Statement '!H189+'GF &amp; FF  Inc Exp Statement'!H195+'Sewer  Fund  Inc Exp Statem'!H189</f>
        <v>24051.5245</v>
      </c>
      <c r="I191" s="707">
        <f>'Water  Fund  Inc Exp Statement '!I189+'GF &amp; FF  Inc Exp Statement'!I195+'Sewer  Fund  Inc Exp Statem'!I189</f>
        <v>20727.895</v>
      </c>
      <c r="J191" s="707">
        <f>'Water  Fund  Inc Exp Statement '!J189+'GF &amp; FF  Inc Exp Statement'!J195+'Sewer  Fund  Inc Exp Statem'!J189</f>
        <v>5740.598</v>
      </c>
      <c r="K191" s="707">
        <f>'Water  Fund  Inc Exp Statement '!K189+'GF &amp; FF  Inc Exp Statement'!K195+'Sewer  Fund  Inc Exp Statem'!K189</f>
        <v>5855.4099600000009</v>
      </c>
      <c r="L191" s="707">
        <f>'Water  Fund  Inc Exp Statement '!L189+'GF &amp; FF  Inc Exp Statement'!L195+'Sewer  Fund  Inc Exp Statem'!L189</f>
        <v>5972.5181592000008</v>
      </c>
      <c r="M191" s="707">
        <f>'Water  Fund  Inc Exp Statement '!M189+'GF &amp; FF  Inc Exp Statement'!M195+'Sewer  Fund  Inc Exp Statem'!M189</f>
        <v>6091.9685223840006</v>
      </c>
      <c r="N191" s="707">
        <f>'Water  Fund  Inc Exp Statement '!N189+'GF &amp; FF  Inc Exp Statement'!N195+'Sewer  Fund  Inc Exp Statem'!N189</f>
        <v>6213.8078928316809</v>
      </c>
      <c r="O191" s="707">
        <f>'Water  Fund  Inc Exp Statement '!O189+'GF &amp; FF  Inc Exp Statement'!O195+'Sewer  Fund  Inc Exp Statem'!O189</f>
        <v>6338.0840506883142</v>
      </c>
      <c r="P191" s="707">
        <f>'Water  Fund  Inc Exp Statement '!P189+'GF &amp; FF  Inc Exp Statement'!P195+'Sewer  Fund  Inc Exp Statem'!P189</f>
        <v>6464.8457317020802</v>
      </c>
      <c r="Q191" s="599" t="s">
        <v>32</v>
      </c>
    </row>
    <row r="192" spans="1:17" ht="20.399999999999999" outlineLevel="1" x14ac:dyDescent="0.2">
      <c r="A192" s="604" t="s">
        <v>1112</v>
      </c>
      <c r="B192" s="621"/>
      <c r="C192" s="621"/>
      <c r="D192" s="621">
        <f>'GF &amp; FF  Inc Exp Statement'!D196</f>
        <v>0</v>
      </c>
      <c r="E192" s="707">
        <f>'Water  Fund  Inc Exp Statement '!E190+'GF &amp; FF  Inc Exp Statement'!E196+'Sewer  Fund  Inc Exp Statem'!E190</f>
        <v>0</v>
      </c>
      <c r="F192" s="707">
        <f>'Water  Fund  Inc Exp Statement '!F190+'GF &amp; FF  Inc Exp Statement'!F196+'Sewer  Fund  Inc Exp Statem'!F190</f>
        <v>0</v>
      </c>
      <c r="G192" s="707">
        <f>'Water  Fund  Inc Exp Statement '!G190+'GF &amp; FF  Inc Exp Statement'!G196+'Sewer  Fund  Inc Exp Statem'!G190</f>
        <v>0</v>
      </c>
      <c r="H192" s="707">
        <f>'Water  Fund  Inc Exp Statement '!H190+'GF &amp; FF  Inc Exp Statement'!H196+'Sewer  Fund  Inc Exp Statem'!H190</f>
        <v>0</v>
      </c>
      <c r="I192" s="707">
        <f>'Water  Fund  Inc Exp Statement '!I190+'GF &amp; FF  Inc Exp Statement'!I196+'Sewer  Fund  Inc Exp Statem'!I190</f>
        <v>0</v>
      </c>
      <c r="J192" s="707">
        <f>'Water  Fund  Inc Exp Statement '!J190+'GF &amp; FF  Inc Exp Statement'!J196+'Sewer  Fund  Inc Exp Statem'!J190</f>
        <v>0</v>
      </c>
      <c r="K192" s="707">
        <f>'Water  Fund  Inc Exp Statement '!K190+'GF &amp; FF  Inc Exp Statement'!K196+'Sewer  Fund  Inc Exp Statem'!K190</f>
        <v>0</v>
      </c>
      <c r="L192" s="707">
        <f>'Water  Fund  Inc Exp Statement '!L190+'GF &amp; FF  Inc Exp Statement'!L196+'Sewer  Fund  Inc Exp Statem'!L190</f>
        <v>0</v>
      </c>
      <c r="M192" s="707">
        <f>'Water  Fund  Inc Exp Statement '!M190+'GF &amp; FF  Inc Exp Statement'!M196+'Sewer  Fund  Inc Exp Statem'!M190</f>
        <v>0</v>
      </c>
      <c r="N192" s="707">
        <f>'Water  Fund  Inc Exp Statement '!N190+'GF &amp; FF  Inc Exp Statement'!N196+'Sewer  Fund  Inc Exp Statem'!N190</f>
        <v>0</v>
      </c>
      <c r="O192" s="707">
        <f>'Water  Fund  Inc Exp Statement '!O190+'GF &amp; FF  Inc Exp Statement'!O196+'Sewer  Fund  Inc Exp Statem'!O190</f>
        <v>0</v>
      </c>
      <c r="P192" s="707">
        <f>'Water  Fund  Inc Exp Statement '!P190+'GF &amp; FF  Inc Exp Statement'!P196+'Sewer  Fund  Inc Exp Statem'!P190</f>
        <v>0</v>
      </c>
    </row>
    <row r="193" spans="1:17" outlineLevel="1" x14ac:dyDescent="0.2">
      <c r="A193" s="604" t="s">
        <v>1082</v>
      </c>
      <c r="B193" s="621"/>
      <c r="C193" s="621"/>
      <c r="D193" s="621">
        <f>'GF &amp; FF  Inc Exp Statement'!D197</f>
        <v>0</v>
      </c>
      <c r="E193" s="707">
        <f>'Water  Fund  Inc Exp Statement '!E191+'GF &amp; FF  Inc Exp Statement'!E197+'Sewer  Fund  Inc Exp Statem'!E191</f>
        <v>0</v>
      </c>
      <c r="F193" s="707">
        <f>'Water  Fund  Inc Exp Statement '!F191+'GF &amp; FF  Inc Exp Statement'!F197+'Sewer  Fund  Inc Exp Statem'!F191</f>
        <v>0</v>
      </c>
      <c r="G193" s="707">
        <f>'Water  Fund  Inc Exp Statement '!G191+'GF &amp; FF  Inc Exp Statement'!G197+'Sewer  Fund  Inc Exp Statem'!G191</f>
        <v>7827.9979999999996</v>
      </c>
      <c r="H193" s="707">
        <f>'Water  Fund  Inc Exp Statement '!H191+'GF &amp; FF  Inc Exp Statement'!H197+'Sewer  Fund  Inc Exp Statem'!H191</f>
        <v>12264.567300000001</v>
      </c>
      <c r="I193" s="707">
        <f>'Water  Fund  Inc Exp Statement '!I191+'GF &amp; FF  Inc Exp Statement'!I197+'Sewer  Fund  Inc Exp Statem'!I191</f>
        <v>8940.2783949999994</v>
      </c>
      <c r="J193" s="707">
        <f>'Water  Fund  Inc Exp Statement '!J191+'GF &amp; FF  Inc Exp Statement'!J197+'Sewer  Fund  Inc Exp Statem'!J191</f>
        <v>8916.9354048749992</v>
      </c>
      <c r="K193" s="707">
        <f>'Water  Fund  Inc Exp Statement '!K191+'GF &amp; FF  Inc Exp Statement'!K197+'Sewer  Fund  Inc Exp Statem'!K191</f>
        <v>9095.2741129725</v>
      </c>
      <c r="L193" s="707">
        <f>'Water  Fund  Inc Exp Statement '!L191+'GF &amp; FF  Inc Exp Statement'!L197+'Sewer  Fund  Inc Exp Statem'!L191</f>
        <v>9277.1795952319499</v>
      </c>
      <c r="M193" s="707">
        <f>'Water  Fund  Inc Exp Statement '!M191+'GF &amp; FF  Inc Exp Statement'!M197+'Sewer  Fund  Inc Exp Statem'!M191</f>
        <v>9462.7231871365893</v>
      </c>
      <c r="N193" s="707">
        <f>'Water  Fund  Inc Exp Statement '!N191+'GF &amp; FF  Inc Exp Statement'!N197+'Sewer  Fund  Inc Exp Statem'!N191</f>
        <v>9651.977650879322</v>
      </c>
      <c r="O193" s="707">
        <f>'Water  Fund  Inc Exp Statement '!O191+'GF &amp; FF  Inc Exp Statement'!O197+'Sewer  Fund  Inc Exp Statem'!O191</f>
        <v>9845.0172038969085</v>
      </c>
      <c r="P193" s="707">
        <f>'Water  Fund  Inc Exp Statement '!P191+'GF &amp; FF  Inc Exp Statement'!P197+'Sewer  Fund  Inc Exp Statem'!P191</f>
        <v>10041.917547974846</v>
      </c>
      <c r="Q193" s="599" t="s">
        <v>32</v>
      </c>
    </row>
    <row r="194" spans="1:17" outlineLevel="1" x14ac:dyDescent="0.2">
      <c r="A194" s="604" t="s">
        <v>1083</v>
      </c>
      <c r="B194" s="621"/>
      <c r="C194" s="621"/>
      <c r="D194" s="621">
        <f>'GF &amp; FF  Inc Exp Statement'!D198</f>
        <v>0</v>
      </c>
      <c r="E194" s="707">
        <f>'Water  Fund  Inc Exp Statement '!E192+'GF &amp; FF  Inc Exp Statement'!E198+'Sewer  Fund  Inc Exp Statem'!E192</f>
        <v>0</v>
      </c>
      <c r="F194" s="707">
        <f>'Water  Fund  Inc Exp Statement '!F192+'GF &amp; FF  Inc Exp Statement'!F198+'Sewer  Fund  Inc Exp Statem'!F192</f>
        <v>1248.338</v>
      </c>
      <c r="G194" s="707">
        <f>'Water  Fund  Inc Exp Statement '!G192+'GF &amp; FF  Inc Exp Statement'!G198+'Sewer  Fund  Inc Exp Statem'!G192</f>
        <v>978.11200000000008</v>
      </c>
      <c r="H194" s="707">
        <f>'Water  Fund  Inc Exp Statement '!H192+'GF &amp; FF  Inc Exp Statement'!H198+'Sewer  Fund  Inc Exp Statem'!H192</f>
        <v>932.58900000000006</v>
      </c>
      <c r="I194" s="707">
        <f>'Water  Fund  Inc Exp Statement '!I192+'GF &amp; FF  Inc Exp Statement'!I198+'Sewer  Fund  Inc Exp Statem'!I192</f>
        <v>1070.8130000000001</v>
      </c>
      <c r="J194" s="707">
        <f>'Water  Fund  Inc Exp Statement '!J192+'GF &amp; FF  Inc Exp Statement'!J198+'Sewer  Fund  Inc Exp Statem'!J192</f>
        <v>1394.7049999999999</v>
      </c>
      <c r="K194" s="707">
        <f>'Water  Fund  Inc Exp Statement '!K192+'GF &amp; FF  Inc Exp Statement'!K198+'Sewer  Fund  Inc Exp Statem'!K192</f>
        <v>1422.5990999999999</v>
      </c>
      <c r="L194" s="707">
        <f>'Water  Fund  Inc Exp Statement '!L192+'GF &amp; FF  Inc Exp Statement'!L198+'Sewer  Fund  Inc Exp Statem'!L192</f>
        <v>1451.051082</v>
      </c>
      <c r="M194" s="707">
        <f>'Water  Fund  Inc Exp Statement '!M192+'GF &amp; FF  Inc Exp Statement'!M198+'Sewer  Fund  Inc Exp Statem'!M192</f>
        <v>1452.07210364</v>
      </c>
      <c r="N194" s="707">
        <f>'Water  Fund  Inc Exp Statement '!N192+'GF &amp; FF  Inc Exp Statement'!N198+'Sewer  Fund  Inc Exp Statem'!N192</f>
        <v>1150.96743464256</v>
      </c>
      <c r="O194" s="707">
        <f>'Water  Fund  Inc Exp Statement '!O192+'GF &amp; FF  Inc Exp Statement'!O198+'Sewer  Fund  Inc Exp Statem'!O192</f>
        <v>1173.9867833354112</v>
      </c>
      <c r="P194" s="707">
        <f>'Water  Fund  Inc Exp Statement '!P192+'GF &amp; FF  Inc Exp Statement'!P198+'Sewer  Fund  Inc Exp Statem'!P192</f>
        <v>1197.4665190021196</v>
      </c>
    </row>
    <row r="195" spans="1:17" outlineLevel="1" x14ac:dyDescent="0.2">
      <c r="A195" s="604" t="s">
        <v>1089</v>
      </c>
      <c r="B195" s="621"/>
      <c r="C195" s="621"/>
      <c r="D195" s="621">
        <f>'GF &amp; FF  Inc Exp Statement'!D199</f>
        <v>0</v>
      </c>
      <c r="E195" s="707">
        <f>'Water  Fund  Inc Exp Statement '!E193+'GF &amp; FF  Inc Exp Statement'!E199+'Sewer  Fund  Inc Exp Statem'!E193</f>
        <v>0</v>
      </c>
      <c r="F195" s="707">
        <f>'Water  Fund  Inc Exp Statement '!F193+'GF &amp; FF  Inc Exp Statement'!F199+'Sewer  Fund  Inc Exp Statem'!F193</f>
        <v>1950.8820000000001</v>
      </c>
      <c r="G195" s="707">
        <f>'Water  Fund  Inc Exp Statement '!G193+'GF &amp; FF  Inc Exp Statement'!G199+'Sewer  Fund  Inc Exp Statem'!G193</f>
        <v>2244.2849999999999</v>
      </c>
      <c r="H195" s="707">
        <f>'Water  Fund  Inc Exp Statement '!H193+'GF &amp; FF  Inc Exp Statement'!H199+'Sewer  Fund  Inc Exp Statem'!H193</f>
        <v>3818.17301</v>
      </c>
      <c r="I195" s="707">
        <f>'Water  Fund  Inc Exp Statement '!I193+'GF &amp; FF  Inc Exp Statement'!I199+'Sewer  Fund  Inc Exp Statem'!I193</f>
        <v>2635.6813903000002</v>
      </c>
      <c r="J195" s="707">
        <f>'Water  Fund  Inc Exp Statement '!J193+'GF &amp; FF  Inc Exp Statement'!J199+'Sewer  Fund  Inc Exp Statem'!J193</f>
        <v>2795.4954420090003</v>
      </c>
      <c r="K195" s="707">
        <f>'Water  Fund  Inc Exp Statement '!K193+'GF &amp; FF  Inc Exp Statement'!K199+'Sewer  Fund  Inc Exp Statem'!K193</f>
        <v>2851.4053508491802</v>
      </c>
      <c r="L195" s="707">
        <f>'Water  Fund  Inc Exp Statement '!L193+'GF &amp; FF  Inc Exp Statement'!L199+'Sewer  Fund  Inc Exp Statem'!L193</f>
        <v>2908.4334578661637</v>
      </c>
      <c r="M195" s="707">
        <f>'Water  Fund  Inc Exp Statement '!M193+'GF &amp; FF  Inc Exp Statement'!M199+'Sewer  Fund  Inc Exp Statem'!M193</f>
        <v>2966.6021270234869</v>
      </c>
      <c r="N195" s="707">
        <f>'Water  Fund  Inc Exp Statement '!N193+'GF &amp; FF  Inc Exp Statement'!N199+'Sewer  Fund  Inc Exp Statem'!N193</f>
        <v>3025.9341695639569</v>
      </c>
      <c r="O195" s="707">
        <f>'Water  Fund  Inc Exp Statement '!O193+'GF &amp; FF  Inc Exp Statement'!O199+'Sewer  Fund  Inc Exp Statem'!O193</f>
        <v>3086.4528529552358</v>
      </c>
      <c r="P195" s="707">
        <f>'Water  Fund  Inc Exp Statement '!P193+'GF &amp; FF  Inc Exp Statement'!P199+'Sewer  Fund  Inc Exp Statem'!P193</f>
        <v>3148.1819100143407</v>
      </c>
    </row>
    <row r="196" spans="1:17" outlineLevel="1" x14ac:dyDescent="0.2">
      <c r="A196" s="604"/>
      <c r="B196" s="621"/>
      <c r="C196" s="621"/>
      <c r="D196" s="771">
        <f>SUM(D191:D195)</f>
        <v>0</v>
      </c>
      <c r="E196" s="771">
        <f t="shared" ref="E196:P196" si="56">SUM(E191:E195)</f>
        <v>0</v>
      </c>
      <c r="F196" s="771">
        <f t="shared" si="56"/>
        <v>44004.642</v>
      </c>
      <c r="G196" s="771">
        <f t="shared" si="56"/>
        <v>44446.209000000003</v>
      </c>
      <c r="H196" s="771">
        <f t="shared" si="56"/>
        <v>41066.853810000001</v>
      </c>
      <c r="I196" s="771">
        <f t="shared" si="56"/>
        <v>33374.6677853</v>
      </c>
      <c r="J196" s="771">
        <f t="shared" si="56"/>
        <v>18847.733846883999</v>
      </c>
      <c r="K196" s="771">
        <f t="shared" si="56"/>
        <v>19224.688523821682</v>
      </c>
      <c r="L196" s="771">
        <f t="shared" si="56"/>
        <v>19609.182294298116</v>
      </c>
      <c r="M196" s="771">
        <f t="shared" si="56"/>
        <v>19973.365940184078</v>
      </c>
      <c r="N196" s="771">
        <f t="shared" si="56"/>
        <v>20042.687147917521</v>
      </c>
      <c r="O196" s="771">
        <f t="shared" si="56"/>
        <v>20443.540890875873</v>
      </c>
      <c r="P196" s="771">
        <f t="shared" si="56"/>
        <v>20852.411708693384</v>
      </c>
    </row>
    <row r="197" spans="1:17" s="608" customFormat="1" outlineLevel="1" x14ac:dyDescent="0.2">
      <c r="A197" s="623" t="s">
        <v>1084</v>
      </c>
      <c r="B197" s="621"/>
      <c r="C197" s="621"/>
      <c r="D197" s="621"/>
      <c r="E197" s="621"/>
      <c r="F197" s="621"/>
      <c r="G197" s="621"/>
      <c r="H197" s="621"/>
      <c r="I197" s="621"/>
      <c r="J197" s="621"/>
      <c r="K197" s="621"/>
      <c r="L197" s="621"/>
      <c r="M197" s="621"/>
      <c r="N197" s="621"/>
      <c r="O197" s="621"/>
      <c r="P197" s="621"/>
    </row>
    <row r="198" spans="1:17" outlineLevel="1" x14ac:dyDescent="0.2">
      <c r="A198" s="604" t="s">
        <v>931</v>
      </c>
      <c r="B198" s="621"/>
      <c r="C198" s="621"/>
      <c r="D198" s="621">
        <f>'GF &amp; FF  Inc Exp Statement'!D202</f>
        <v>0</v>
      </c>
      <c r="E198" s="707">
        <f>'Water  Fund  Inc Exp Statement '!E196+'GF &amp; FF  Inc Exp Statement'!E202+'Sewer  Fund  Inc Exp Statem'!E196</f>
        <v>0</v>
      </c>
      <c r="F198" s="707">
        <f>'Water  Fund  Inc Exp Statement '!F196+'GF &amp; FF  Inc Exp Statement'!F202+'Sewer  Fund  Inc Exp Statem'!F196</f>
        <v>974.0440000000001</v>
      </c>
      <c r="G198" s="707">
        <f>'Water  Fund  Inc Exp Statement '!G196+'GF &amp; FF  Inc Exp Statement'!G202+'Sewer  Fund  Inc Exp Statem'!G196</f>
        <v>1512.0989999999999</v>
      </c>
      <c r="H198" s="707">
        <f>'Water  Fund  Inc Exp Statement '!H196+'GF &amp; FF  Inc Exp Statement'!H202+'Sewer  Fund  Inc Exp Statem'!H196</f>
        <v>1507.5219999999999</v>
      </c>
      <c r="I198" s="707">
        <f>'Water  Fund  Inc Exp Statement '!I196+'GF &amp; FF  Inc Exp Statement'!I202+'Sewer  Fund  Inc Exp Statem'!I196</f>
        <v>1921.1140000000003</v>
      </c>
      <c r="J198" s="707">
        <f>'Water  Fund  Inc Exp Statement '!J196+'GF &amp; FF  Inc Exp Statement'!J202+'Sewer  Fund  Inc Exp Statem'!J196</f>
        <v>926.702</v>
      </c>
      <c r="K198" s="707">
        <f>'Water  Fund  Inc Exp Statement '!K196+'GF &amp; FF  Inc Exp Statement'!K202+'Sewer  Fund  Inc Exp Statem'!K196</f>
        <v>114.19184610234288</v>
      </c>
      <c r="L198" s="707">
        <f>'Water  Fund  Inc Exp Statement '!L196+'GF &amp; FF  Inc Exp Statement'!L202+'Sewer  Fund  Inc Exp Statem'!L196</f>
        <v>140.23068211547161</v>
      </c>
      <c r="M198" s="707">
        <f>'Water  Fund  Inc Exp Statement '!M196+'GF &amp; FF  Inc Exp Statement'!M202+'Sewer  Fund  Inc Exp Statem'!M196</f>
        <v>-233.40879716855579</v>
      </c>
      <c r="N198" s="707">
        <f>'Water  Fund  Inc Exp Statement '!N196+'GF &amp; FF  Inc Exp Statement'!N202+'Sewer  Fund  Inc Exp Statem'!N196</f>
        <v>-243.33195146956859</v>
      </c>
      <c r="O198" s="707">
        <f>'Water  Fund  Inc Exp Statement '!O196+'GF &amp; FF  Inc Exp Statement'!O202+'Sewer  Fund  Inc Exp Statem'!O196</f>
        <v>-1538.3481616265749</v>
      </c>
      <c r="P198" s="707">
        <f>'Water  Fund  Inc Exp Statement '!P196+'GF &amp; FF  Inc Exp Statement'!P202+'Sewer  Fund  Inc Exp Statem'!P196</f>
        <v>-3626.0471126564453</v>
      </c>
    </row>
    <row r="199" spans="1:17" outlineLevel="1" x14ac:dyDescent="0.2">
      <c r="A199" s="604" t="s">
        <v>244</v>
      </c>
      <c r="B199" s="621"/>
      <c r="C199" s="621"/>
      <c r="D199" s="621">
        <f>'GF &amp; FF  Inc Exp Statement'!D203</f>
        <v>0</v>
      </c>
      <c r="E199" s="707">
        <f>'Water  Fund  Inc Exp Statement '!E197+'GF &amp; FF  Inc Exp Statement'!E203+'Sewer  Fund  Inc Exp Statem'!E197</f>
        <v>0</v>
      </c>
      <c r="F199" s="707">
        <f>'Water  Fund  Inc Exp Statement '!F197+'GF &amp; FF  Inc Exp Statement'!F203+'Sewer  Fund  Inc Exp Statem'!F197</f>
        <v>1654.0070000000001</v>
      </c>
      <c r="G199" s="707">
        <f>'Water  Fund  Inc Exp Statement '!G197+'GF &amp; FF  Inc Exp Statement'!G203+'Sewer  Fund  Inc Exp Statem'!G197</f>
        <v>2081.9670000000001</v>
      </c>
      <c r="H199" s="707">
        <f>'Water  Fund  Inc Exp Statement '!H197+'GF &amp; FF  Inc Exp Statement'!H203+'Sewer  Fund  Inc Exp Statem'!H197</f>
        <v>2136.7460099999998</v>
      </c>
      <c r="I199" s="707">
        <f>'Water  Fund  Inc Exp Statement '!I197+'GF &amp; FF  Inc Exp Statement'!I203+'Sewer  Fund  Inc Exp Statem'!I197</f>
        <v>2193.1683903000003</v>
      </c>
      <c r="J199" s="707">
        <f>'Water  Fund  Inc Exp Statement '!J197+'GF &amp; FF  Inc Exp Statement'!J203+'Sewer  Fund  Inc Exp Statem'!J197</f>
        <v>2251.2834420090003</v>
      </c>
      <c r="K199" s="707">
        <f>'Water  Fund  Inc Exp Statement '!K197+'GF &amp; FF  Inc Exp Statement'!K203+'Sewer  Fund  Inc Exp Statem'!K197</f>
        <v>2296.3091108491803</v>
      </c>
      <c r="L199" s="707">
        <f>'Water  Fund  Inc Exp Statement '!L197+'GF &amp; FF  Inc Exp Statement'!L203+'Sewer  Fund  Inc Exp Statem'!L197</f>
        <v>2342.2352930661641</v>
      </c>
      <c r="M199" s="707">
        <f>'Water  Fund  Inc Exp Statement '!M197+'GF &amp; FF  Inc Exp Statement'!M203+'Sewer  Fund  Inc Exp Statem'!M197</f>
        <v>2388.0395989274871</v>
      </c>
      <c r="N199" s="707">
        <f>'Water  Fund  Inc Exp Statement '!N197+'GF &amp; FF  Inc Exp Statement'!N203+'Sewer  Fund  Inc Exp Statem'!N197</f>
        <v>2434.7599909060368</v>
      </c>
      <c r="O199" s="707">
        <f>'Water  Fund  Inc Exp Statement '!O197+'GF &amp; FF  Inc Exp Statement'!O203+'Sewer  Fund  Inc Exp Statem'!O197</f>
        <v>2482.4147907241577</v>
      </c>
      <c r="P199" s="707">
        <f>'Water  Fund  Inc Exp Statement '!P197+'GF &amp; FF  Inc Exp Statement'!P203+'Sewer  Fund  Inc Exp Statem'!P197</f>
        <v>2531.0226865386408</v>
      </c>
    </row>
    <row r="200" spans="1:17" outlineLevel="1" x14ac:dyDescent="0.2">
      <c r="A200" s="604" t="s">
        <v>1085</v>
      </c>
      <c r="B200" s="621"/>
      <c r="C200" s="621"/>
      <c r="D200" s="621">
        <f>'GF &amp; FF  Inc Exp Statement'!D204</f>
        <v>0</v>
      </c>
      <c r="E200" s="707">
        <f>'Water  Fund  Inc Exp Statement '!E198+'GF &amp; FF  Inc Exp Statement'!E204+'Sewer  Fund  Inc Exp Statem'!E198</f>
        <v>0</v>
      </c>
      <c r="F200" s="707">
        <f>'Water  Fund  Inc Exp Statement '!F198+'GF &amp; FF  Inc Exp Statement'!F204+'Sewer  Fund  Inc Exp Statem'!F198</f>
        <v>2226</v>
      </c>
      <c r="G200" s="707">
        <f>'Water  Fund  Inc Exp Statement '!G198+'GF &amp; FF  Inc Exp Statement'!G204+'Sewer  Fund  Inc Exp Statem'!G198</f>
        <v>10381</v>
      </c>
      <c r="H200" s="707">
        <f>'Water  Fund  Inc Exp Statement '!H198+'GF &amp; FF  Inc Exp Statement'!H204+'Sewer  Fund  Inc Exp Statem'!H198</f>
        <v>1741</v>
      </c>
      <c r="I200" s="707">
        <f>'Water  Fund  Inc Exp Statement '!I198+'GF &amp; FF  Inc Exp Statement'!I204+'Sewer  Fund  Inc Exp Statem'!I198</f>
        <v>5241</v>
      </c>
      <c r="J200" s="707">
        <f>'Water  Fund  Inc Exp Statement '!J198+'GF &amp; FF  Inc Exp Statement'!J204+'Sewer  Fund  Inc Exp Statem'!J198</f>
        <v>1741</v>
      </c>
      <c r="K200" s="707">
        <f>'Water  Fund  Inc Exp Statement '!K198+'GF &amp; FF  Inc Exp Statement'!K204+'Sewer  Fund  Inc Exp Statem'!K198</f>
        <v>1775.82</v>
      </c>
      <c r="L200" s="707">
        <f>'Water  Fund  Inc Exp Statement '!L198+'GF &amp; FF  Inc Exp Statement'!L204+'Sewer  Fund  Inc Exp Statem'!L198</f>
        <v>1811.3363999999999</v>
      </c>
      <c r="M200" s="707">
        <f>'Water  Fund  Inc Exp Statement '!M198+'GF &amp; FF  Inc Exp Statement'!M204+'Sewer  Fund  Inc Exp Statem'!M198</f>
        <v>1847.563128</v>
      </c>
      <c r="N200" s="707">
        <f>'Water  Fund  Inc Exp Statement '!N198+'GF &amp; FF  Inc Exp Statement'!N204+'Sewer  Fund  Inc Exp Statem'!N198</f>
        <v>1884.51439056</v>
      </c>
      <c r="O200" s="707">
        <f>'Water  Fund  Inc Exp Statement '!O198+'GF &amp; FF  Inc Exp Statement'!O204+'Sewer  Fund  Inc Exp Statem'!O198</f>
        <v>1922.2046783712001</v>
      </c>
      <c r="P200" s="707">
        <f>'Water  Fund  Inc Exp Statement '!P198+'GF &amp; FF  Inc Exp Statement'!P204+'Sewer  Fund  Inc Exp Statem'!P198</f>
        <v>1960.6487719386241</v>
      </c>
    </row>
    <row r="201" spans="1:17" outlineLevel="1" x14ac:dyDescent="0.2">
      <c r="A201" s="604" t="s">
        <v>1086</v>
      </c>
      <c r="B201" s="621"/>
      <c r="C201" s="621"/>
      <c r="D201" s="621">
        <f>'GF &amp; FF  Inc Exp Statement'!D205</f>
        <v>0</v>
      </c>
      <c r="E201" s="707">
        <f>'Water  Fund  Inc Exp Statement '!E199+'GF &amp; FF  Inc Exp Statement'!E205+'Sewer  Fund  Inc Exp Statem'!E199</f>
        <v>0</v>
      </c>
      <c r="F201" s="707">
        <f>'Water  Fund  Inc Exp Statement '!F199+'GF &amp; FF  Inc Exp Statement'!F205+'Sewer  Fund  Inc Exp Statem'!F199</f>
        <v>78</v>
      </c>
      <c r="G201" s="707">
        <f>'Water  Fund  Inc Exp Statement '!G199+'GF &amp; FF  Inc Exp Statement'!G205+'Sewer  Fund  Inc Exp Statem'!G199</f>
        <v>65</v>
      </c>
      <c r="H201" s="707">
        <f>'Water  Fund  Inc Exp Statement '!H199+'GF &amp; FF  Inc Exp Statement'!H205+'Sewer  Fund  Inc Exp Statem'!H199</f>
        <v>66.625</v>
      </c>
      <c r="I201" s="707">
        <f>'Water  Fund  Inc Exp Statement '!I199+'GF &amp; FF  Inc Exp Statement'!I205+'Sewer  Fund  Inc Exp Statem'!I199</f>
        <v>68.290625000000006</v>
      </c>
      <c r="J201" s="707">
        <f>'Water  Fund  Inc Exp Statement '!J199+'GF &amp; FF  Inc Exp Statement'!J205+'Sewer  Fund  Inc Exp Statem'!J199</f>
        <v>69.997890624999997</v>
      </c>
      <c r="K201" s="707">
        <f>'Water  Fund  Inc Exp Statement '!K199+'GF &amp; FF  Inc Exp Statement'!K205+'Sewer  Fund  Inc Exp Statem'!K199</f>
        <v>71.397848437500002</v>
      </c>
      <c r="L201" s="707">
        <f>'Water  Fund  Inc Exp Statement '!L199+'GF &amp; FF  Inc Exp Statement'!L205+'Sewer  Fund  Inc Exp Statem'!L199</f>
        <v>72.825805406249998</v>
      </c>
      <c r="M201" s="707">
        <f>'Water  Fund  Inc Exp Statement '!M199+'GF &amp; FF  Inc Exp Statement'!M205+'Sewer  Fund  Inc Exp Statem'!M199</f>
        <v>74.282321514374999</v>
      </c>
      <c r="N201" s="707">
        <f>'Water  Fund  Inc Exp Statement '!N199+'GF &amp; FF  Inc Exp Statement'!N205+'Sewer  Fund  Inc Exp Statem'!N199</f>
        <v>75.767967944662502</v>
      </c>
      <c r="O201" s="707">
        <f>'Water  Fund  Inc Exp Statement '!O199+'GF &amp; FF  Inc Exp Statement'!O205+'Sewer  Fund  Inc Exp Statem'!O199</f>
        <v>77.283327303555751</v>
      </c>
      <c r="P201" s="707">
        <f>'Water  Fund  Inc Exp Statement '!P199+'GF &amp; FF  Inc Exp Statement'!P205+'Sewer  Fund  Inc Exp Statem'!P199</f>
        <v>78.828993849626869</v>
      </c>
    </row>
    <row r="202" spans="1:17" outlineLevel="1" x14ac:dyDescent="0.2">
      <c r="A202" s="604" t="s">
        <v>33</v>
      </c>
      <c r="B202" s="621">
        <f>+B167</f>
        <v>0</v>
      </c>
      <c r="C202" s="621">
        <f>C167</f>
        <v>0</v>
      </c>
      <c r="D202" s="621">
        <f>'GF &amp; FF  Inc Exp Statement'!D206</f>
        <v>0</v>
      </c>
      <c r="E202" s="707">
        <f>'Water  Fund  Inc Exp Statement '!E200+'GF &amp; FF  Inc Exp Statement'!E206+'Sewer  Fund  Inc Exp Statem'!E200</f>
        <v>9874</v>
      </c>
      <c r="F202" s="707">
        <f>'Water  Fund  Inc Exp Statement '!F200+'GF &amp; FF  Inc Exp Statement'!F206+'Sewer  Fund  Inc Exp Statem'!F200</f>
        <v>11286.985000000001</v>
      </c>
      <c r="G202" s="707">
        <f>'Water  Fund  Inc Exp Statement '!G200+'GF &amp; FF  Inc Exp Statement'!G206+'Sewer  Fund  Inc Exp Statem'!G200</f>
        <v>10148.165000000001</v>
      </c>
      <c r="H202" s="707">
        <f>'Water  Fund  Inc Exp Statement '!H200+'GF &amp; FF  Inc Exp Statement'!H206+'Sewer  Fund  Inc Exp Statem'!H200</f>
        <v>10497.300999999999</v>
      </c>
      <c r="I202" s="707">
        <f>'Water  Fund  Inc Exp Statement '!I200+'GF &amp; FF  Inc Exp Statement'!I206+'Sewer  Fund  Inc Exp Statem'!I200</f>
        <v>10864.802</v>
      </c>
      <c r="J202" s="707">
        <f>'Water  Fund  Inc Exp Statement '!J200+'GF &amp; FF  Inc Exp Statement'!J206+'Sewer  Fund  Inc Exp Statem'!J200</f>
        <v>11469.334000000001</v>
      </c>
      <c r="K202" s="707">
        <f>'Water  Fund  Inc Exp Statement '!K200+'GF &amp; FF  Inc Exp Statement'!K206+'Sewer  Fund  Inc Exp Statem'!K200</f>
        <v>12059.310524999999</v>
      </c>
      <c r="L202" s="707">
        <f>'Water  Fund  Inc Exp Statement '!L200+'GF &amp; FF  Inc Exp Statement'!L206+'Sewer  Fund  Inc Exp Statem'!L200</f>
        <v>12360.793288124998</v>
      </c>
      <c r="M202" s="707">
        <f>'Water  Fund  Inc Exp Statement '!M200+'GF &amp; FF  Inc Exp Statement'!M206+'Sewer  Fund  Inc Exp Statem'!M200</f>
        <v>12669.813120328121</v>
      </c>
      <c r="N202" s="707">
        <f>'Water  Fund  Inc Exp Statement '!N200+'GF &amp; FF  Inc Exp Statement'!N206+'Sewer  Fund  Inc Exp Statem'!N200</f>
        <v>12986.558448336324</v>
      </c>
      <c r="O202" s="707">
        <f>'Water  Fund  Inc Exp Statement '!O200+'GF &amp; FF  Inc Exp Statement'!O206+'Sewer  Fund  Inc Exp Statem'!O200</f>
        <v>13311.222409544731</v>
      </c>
      <c r="P202" s="707">
        <f>'Water  Fund  Inc Exp Statement '!P200+'GF &amp; FF  Inc Exp Statement'!P206+'Sewer  Fund  Inc Exp Statem'!P200</f>
        <v>13644.002969783349</v>
      </c>
    </row>
    <row r="203" spans="1:17" outlineLevel="1" x14ac:dyDescent="0.2">
      <c r="A203" s="604" t="s">
        <v>22</v>
      </c>
      <c r="B203" s="621"/>
      <c r="C203" s="621"/>
      <c r="D203" s="621">
        <f>'GF &amp; FF  Inc Exp Statement'!D207</f>
        <v>0</v>
      </c>
      <c r="E203" s="707">
        <f>'Water  Fund  Inc Exp Statement '!E201+'GF &amp; FF  Inc Exp Statement'!E207+'Sewer  Fund  Inc Exp Statem'!E201</f>
        <v>0</v>
      </c>
      <c r="F203" s="707">
        <f>'Water  Fund  Inc Exp Statement '!F201+'GF &amp; FF  Inc Exp Statement'!F207+'Sewer  Fund  Inc Exp Statem'!F201</f>
        <v>7989.6059999999998</v>
      </c>
      <c r="G203" s="707">
        <f>'Water  Fund  Inc Exp Statement '!G201+'GF &amp; FF  Inc Exp Statement'!G207+'Sewer  Fund  Inc Exp Statem'!G201</f>
        <v>2702.2619999999997</v>
      </c>
      <c r="H203" s="707">
        <f>'Water  Fund  Inc Exp Statement '!H201+'GF &amp; FF  Inc Exp Statement'!H207+'Sewer  Fund  Inc Exp Statem'!H201</f>
        <v>13251.865</v>
      </c>
      <c r="I203" s="707">
        <f>'Water  Fund  Inc Exp Statement '!I201+'GF &amp; FF  Inc Exp Statement'!I207+'Sewer  Fund  Inc Exp Statem'!I201</f>
        <v>2276.4720000000002</v>
      </c>
      <c r="J203" s="707">
        <f>'Water  Fund  Inc Exp Statement '!J201+'GF &amp; FF  Inc Exp Statement'!J207+'Sewer  Fund  Inc Exp Statem'!J201</f>
        <v>1387.239</v>
      </c>
      <c r="K203" s="707">
        <f>'Water  Fund  Inc Exp Statement '!K201+'GF &amp; FF  Inc Exp Statement'!K207+'Sewer  Fund  Inc Exp Statem'!K201</f>
        <v>3614.98378</v>
      </c>
      <c r="L203" s="707">
        <f>'Water  Fund  Inc Exp Statement '!L201+'GF &amp; FF  Inc Exp Statement'!L207+'Sewer  Fund  Inc Exp Statem'!L201</f>
        <v>3687.2834555999998</v>
      </c>
      <c r="M203" s="707">
        <f>'Water  Fund  Inc Exp Statement '!M201+'GF &amp; FF  Inc Exp Statement'!M207+'Sewer  Fund  Inc Exp Statem'!M201</f>
        <v>3761.0291247120003</v>
      </c>
      <c r="N203" s="707">
        <f>'Water  Fund  Inc Exp Statement '!N201+'GF &amp; FF  Inc Exp Statement'!N207+'Sewer  Fund  Inc Exp Statem'!N201</f>
        <v>3836.2497072062397</v>
      </c>
      <c r="O203" s="707">
        <f>'Water  Fund  Inc Exp Statement '!O201+'GF &amp; FF  Inc Exp Statement'!O207+'Sewer  Fund  Inc Exp Statem'!O201</f>
        <v>3912.9747013503647</v>
      </c>
      <c r="P203" s="707">
        <f>'Water  Fund  Inc Exp Statement '!P201+'GF &amp; FF  Inc Exp Statement'!P207+'Sewer  Fund  Inc Exp Statem'!P201</f>
        <v>3991.2341953773721</v>
      </c>
    </row>
    <row r="204" spans="1:17" outlineLevel="1" x14ac:dyDescent="0.2">
      <c r="A204" s="604" t="s">
        <v>1087</v>
      </c>
      <c r="B204" s="621"/>
      <c r="C204" s="621"/>
      <c r="D204" s="621">
        <f>'GF &amp; FF  Inc Exp Statement'!D208</f>
        <v>0</v>
      </c>
      <c r="E204" s="707">
        <f>'Water  Fund  Inc Exp Statement '!E202+'GF &amp; FF  Inc Exp Statement'!E208+'Sewer  Fund  Inc Exp Statem'!E202</f>
        <v>0</v>
      </c>
      <c r="F204" s="707">
        <f>'Water  Fund  Inc Exp Statement '!F202+'GF &amp; FF  Inc Exp Statement'!F208+'Sewer  Fund  Inc Exp Statem'!F202</f>
        <v>19756</v>
      </c>
      <c r="G204" s="707">
        <f>'Water  Fund  Inc Exp Statement '!G202+'GF &amp; FF  Inc Exp Statement'!G208+'Sewer  Fund  Inc Exp Statem'!G202</f>
        <v>17356.182000000001</v>
      </c>
      <c r="H204" s="707">
        <f>'Water  Fund  Inc Exp Statement '!H202+'GF &amp; FF  Inc Exp Statement'!H208+'Sewer  Fund  Inc Exp Statem'!H202</f>
        <v>10500</v>
      </c>
      <c r="I204" s="707">
        <f>'Water  Fund  Inc Exp Statement '!I202+'GF &amp; FF  Inc Exp Statement'!I208+'Sewer  Fund  Inc Exp Statem'!I202</f>
        <v>11000</v>
      </c>
      <c r="J204" s="707">
        <f>'Water  Fund  Inc Exp Statement '!J202+'GF &amp; FF  Inc Exp Statement'!J208+'Sewer  Fund  Inc Exp Statem'!J202</f>
        <v>0</v>
      </c>
      <c r="K204" s="707">
        <f>'Water  Fund  Inc Exp Statement '!K202+'GF &amp; FF  Inc Exp Statement'!K208+'Sewer  Fund  Inc Exp Statem'!K202</f>
        <v>0</v>
      </c>
      <c r="L204" s="707">
        <f>'Water  Fund  Inc Exp Statement '!L202+'GF &amp; FF  Inc Exp Statement'!L208+'Sewer  Fund  Inc Exp Statem'!L202</f>
        <v>0</v>
      </c>
      <c r="M204" s="707">
        <f>'Water  Fund  Inc Exp Statement '!M202+'GF &amp; FF  Inc Exp Statement'!M208+'Sewer  Fund  Inc Exp Statem'!M202</f>
        <v>0</v>
      </c>
      <c r="N204" s="707">
        <f>'Water  Fund  Inc Exp Statement '!N202+'GF &amp; FF  Inc Exp Statement'!N208+'Sewer  Fund  Inc Exp Statem'!N202</f>
        <v>0</v>
      </c>
      <c r="O204" s="707">
        <f>'Water  Fund  Inc Exp Statement '!O202+'GF &amp; FF  Inc Exp Statement'!O208+'Sewer  Fund  Inc Exp Statem'!O202</f>
        <v>0</v>
      </c>
      <c r="P204" s="707">
        <f>'Water  Fund  Inc Exp Statement '!P202+'GF &amp; FF  Inc Exp Statement'!P208+'Sewer  Fund  Inc Exp Statem'!P202</f>
        <v>0</v>
      </c>
    </row>
    <row r="205" spans="1:17" outlineLevel="1" x14ac:dyDescent="0.2">
      <c r="A205" s="604" t="s">
        <v>1088</v>
      </c>
      <c r="B205" s="621"/>
      <c r="C205" s="621"/>
      <c r="D205" s="621">
        <f>'GF &amp; FF  Inc Exp Statement'!D209</f>
        <v>0</v>
      </c>
      <c r="E205" s="707">
        <f>'Water  Fund  Inc Exp Statement '!E203+'GF &amp; FF  Inc Exp Statement'!E209+'Sewer  Fund  Inc Exp Statem'!E203</f>
        <v>0</v>
      </c>
      <c r="F205" s="707">
        <f>'Water  Fund  Inc Exp Statement '!F203+'GF &amp; FF  Inc Exp Statement'!F209+'Sewer  Fund  Inc Exp Statem'!F203</f>
        <v>70</v>
      </c>
      <c r="G205" s="707">
        <f>'Water  Fund  Inc Exp Statement '!G203+'GF &amp; FF  Inc Exp Statement'!G209+'Sewer  Fund  Inc Exp Statem'!G203</f>
        <v>70</v>
      </c>
      <c r="H205" s="707">
        <f>'Water  Fund  Inc Exp Statement '!H203+'GF &amp; FF  Inc Exp Statement'!H209+'Sewer  Fund  Inc Exp Statem'!H203</f>
        <v>1570</v>
      </c>
      <c r="I205" s="707">
        <f>'Water  Fund  Inc Exp Statement '!I203+'GF &amp; FF  Inc Exp Statement'!I209+'Sewer  Fund  Inc Exp Statem'!I203</f>
        <v>70</v>
      </c>
      <c r="J205" s="707">
        <f>'Water  Fund  Inc Exp Statement '!J203+'GF &amp; FF  Inc Exp Statement'!J209+'Sewer  Fund  Inc Exp Statem'!J203</f>
        <v>70</v>
      </c>
      <c r="K205" s="707">
        <f>'Water  Fund  Inc Exp Statement '!K203+'GF &amp; FF  Inc Exp Statement'!K209+'Sewer  Fund  Inc Exp Statem'!K203</f>
        <v>71.400000000000006</v>
      </c>
      <c r="L205" s="707">
        <f>'Water  Fund  Inc Exp Statement '!L203+'GF &amp; FF  Inc Exp Statement'!L209+'Sewer  Fund  Inc Exp Statem'!L203</f>
        <v>72.828000000000003</v>
      </c>
      <c r="M205" s="707">
        <f>'Water  Fund  Inc Exp Statement '!M203+'GF &amp; FF  Inc Exp Statement'!M209+'Sewer  Fund  Inc Exp Statem'!M203</f>
        <v>74.284559999999999</v>
      </c>
      <c r="N205" s="707">
        <f>'Water  Fund  Inc Exp Statement '!N203+'GF &amp; FF  Inc Exp Statement'!N209+'Sewer  Fund  Inc Exp Statem'!N203</f>
        <v>75.770251200000004</v>
      </c>
      <c r="O205" s="707">
        <f>'Water  Fund  Inc Exp Statement '!O203+'GF &amp; FF  Inc Exp Statement'!O209+'Sewer  Fund  Inc Exp Statem'!O203</f>
        <v>77.285656224000007</v>
      </c>
      <c r="P205" s="707">
        <f>'Water  Fund  Inc Exp Statement '!P203+'GF &amp; FF  Inc Exp Statement'!P209+'Sewer  Fund  Inc Exp Statem'!P203</f>
        <v>78.83136934848001</v>
      </c>
    </row>
    <row r="206" spans="1:17" outlineLevel="1" x14ac:dyDescent="0.2">
      <c r="A206" s="604"/>
      <c r="B206" s="621"/>
      <c r="C206" s="621"/>
      <c r="D206" s="771">
        <f t="shared" ref="D206:P206" si="57">SUM(D198:D205)</f>
        <v>0</v>
      </c>
      <c r="E206" s="771">
        <f t="shared" si="57"/>
        <v>9874</v>
      </c>
      <c r="F206" s="771">
        <f t="shared" si="57"/>
        <v>44034.642</v>
      </c>
      <c r="G206" s="771">
        <f t="shared" si="57"/>
        <v>44316.675000000003</v>
      </c>
      <c r="H206" s="771">
        <f t="shared" si="57"/>
        <v>41271.059009999997</v>
      </c>
      <c r="I206" s="771">
        <f t="shared" si="57"/>
        <v>33634.847015300002</v>
      </c>
      <c r="J206" s="771">
        <f t="shared" si="57"/>
        <v>17915.556332634002</v>
      </c>
      <c r="K206" s="771">
        <f t="shared" si="57"/>
        <v>20003.413110389021</v>
      </c>
      <c r="L206" s="771">
        <f t="shared" si="57"/>
        <v>20487.532924312887</v>
      </c>
      <c r="M206" s="771">
        <f t="shared" si="57"/>
        <v>20581.603056313426</v>
      </c>
      <c r="N206" s="771">
        <f t="shared" si="57"/>
        <v>21050.288804683692</v>
      </c>
      <c r="O206" s="771">
        <f t="shared" si="57"/>
        <v>20245.037401891437</v>
      </c>
      <c r="P206" s="771">
        <f t="shared" si="57"/>
        <v>18658.521874179649</v>
      </c>
    </row>
    <row r="207" spans="1:17" outlineLevel="1" x14ac:dyDescent="0.2">
      <c r="A207" s="599"/>
      <c r="B207" s="621"/>
      <c r="C207" s="621"/>
      <c r="D207" s="622"/>
      <c r="E207" s="622"/>
      <c r="F207" s="622"/>
      <c r="G207" s="622"/>
      <c r="H207" s="622"/>
      <c r="I207" s="622"/>
      <c r="J207" s="624"/>
      <c r="K207" s="624"/>
      <c r="L207" s="624"/>
      <c r="M207" s="624"/>
      <c r="N207" s="624"/>
      <c r="O207" s="624"/>
      <c r="P207" s="624"/>
    </row>
    <row r="208" spans="1:17" outlineLevel="1" x14ac:dyDescent="0.2">
      <c r="A208" s="604"/>
      <c r="B208" s="621"/>
      <c r="C208" s="621"/>
      <c r="D208" s="621"/>
      <c r="E208" s="621"/>
      <c r="F208" s="621"/>
      <c r="G208" s="621"/>
      <c r="H208" s="621"/>
      <c r="I208" s="621"/>
      <c r="J208" s="621"/>
      <c r="K208" s="621"/>
      <c r="L208" s="621"/>
      <c r="M208" s="621"/>
      <c r="N208" s="621"/>
      <c r="O208" s="621"/>
      <c r="P208" s="621"/>
    </row>
    <row r="209" spans="1:31" outlineLevel="1" x14ac:dyDescent="0.2">
      <c r="A209" s="604" t="s">
        <v>34</v>
      </c>
      <c r="B209" s="621">
        <f>+B178+SUM(B191:B208)</f>
        <v>0</v>
      </c>
      <c r="C209" s="621">
        <f>+C178+SUM(C191:C208)</f>
        <v>0</v>
      </c>
      <c r="D209" s="625">
        <f>D206-D196</f>
        <v>0</v>
      </c>
      <c r="E209" s="625">
        <f t="shared" ref="E209:P209" si="58">E206-E196</f>
        <v>9874</v>
      </c>
      <c r="F209" s="625">
        <f t="shared" si="58"/>
        <v>30</v>
      </c>
      <c r="G209" s="625">
        <f t="shared" si="58"/>
        <v>-129.53399999999965</v>
      </c>
      <c r="H209" s="625">
        <f t="shared" si="58"/>
        <v>204.20519999999669</v>
      </c>
      <c r="I209" s="625">
        <f t="shared" si="58"/>
        <v>260.17923000000155</v>
      </c>
      <c r="J209" s="625">
        <f t="shared" si="58"/>
        <v>-932.17751424999733</v>
      </c>
      <c r="K209" s="625">
        <f t="shared" si="58"/>
        <v>778.72458656733943</v>
      </c>
      <c r="L209" s="625">
        <f t="shared" si="58"/>
        <v>878.35063001477101</v>
      </c>
      <c r="M209" s="625">
        <f t="shared" si="58"/>
        <v>608.23711612934858</v>
      </c>
      <c r="N209" s="625">
        <f t="shared" si="58"/>
        <v>1007.6016567661718</v>
      </c>
      <c r="O209" s="625">
        <f t="shared" si="58"/>
        <v>-198.50348898443553</v>
      </c>
      <c r="P209" s="625">
        <f t="shared" si="58"/>
        <v>-2193.889834513735</v>
      </c>
    </row>
    <row r="210" spans="1:31" outlineLevel="1" x14ac:dyDescent="0.2">
      <c r="A210" s="600" t="s">
        <v>451</v>
      </c>
      <c r="C210" s="606">
        <f>B211</f>
        <v>0</v>
      </c>
      <c r="D210" s="606">
        <f t="shared" ref="D210" si="59">C211</f>
        <v>0</v>
      </c>
      <c r="E210" s="606">
        <f t="shared" ref="E210" si="60">D211</f>
        <v>0</v>
      </c>
      <c r="F210" s="606">
        <v>0</v>
      </c>
      <c r="G210" s="606">
        <f t="shared" ref="G210" si="61">F211</f>
        <v>30</v>
      </c>
      <c r="H210" s="606">
        <f t="shared" ref="H210" si="62">G211</f>
        <v>-99.533999999999651</v>
      </c>
      <c r="I210" s="606">
        <f t="shared" ref="I210" si="63">H211</f>
        <v>104.67119999999704</v>
      </c>
      <c r="J210" s="606">
        <f t="shared" ref="J210" si="64">I211</f>
        <v>364.8504299999986</v>
      </c>
      <c r="K210" s="606">
        <f t="shared" ref="K210" si="65">J211</f>
        <v>-567.32708424999873</v>
      </c>
      <c r="L210" s="606">
        <f t="shared" ref="L210" si="66">K211</f>
        <v>211.3975023173407</v>
      </c>
      <c r="M210" s="606">
        <f t="shared" ref="M210" si="67">L211</f>
        <v>1089.7481323321117</v>
      </c>
      <c r="N210" s="606">
        <f t="shared" ref="N210" si="68">M211</f>
        <v>1697.9852484614603</v>
      </c>
      <c r="O210" s="606">
        <f t="shared" ref="O210" si="69">N211</f>
        <v>2705.5869052276321</v>
      </c>
      <c r="P210" s="606">
        <f t="shared" ref="P210" si="70">O211</f>
        <v>2507.0834162431966</v>
      </c>
    </row>
    <row r="211" spans="1:31" outlineLevel="1" x14ac:dyDescent="0.2">
      <c r="A211" s="620" t="s">
        <v>452</v>
      </c>
      <c r="B211" s="626"/>
      <c r="C211" s="627">
        <f>SUM(C209:C210)</f>
        <v>0</v>
      </c>
      <c r="D211" s="627">
        <f t="shared" ref="D211:P211" si="71">SUM(D209:D210)</f>
        <v>0</v>
      </c>
      <c r="E211" s="627">
        <f t="shared" si="71"/>
        <v>9874</v>
      </c>
      <c r="F211" s="627">
        <f t="shared" si="71"/>
        <v>30</v>
      </c>
      <c r="G211" s="627">
        <f t="shared" si="71"/>
        <v>-99.533999999999651</v>
      </c>
      <c r="H211" s="627">
        <f t="shared" si="71"/>
        <v>104.67119999999704</v>
      </c>
      <c r="I211" s="627">
        <f t="shared" si="71"/>
        <v>364.8504299999986</v>
      </c>
      <c r="J211" s="627">
        <f t="shared" si="71"/>
        <v>-567.32708424999873</v>
      </c>
      <c r="K211" s="627">
        <f t="shared" si="71"/>
        <v>211.3975023173407</v>
      </c>
      <c r="L211" s="627">
        <f t="shared" si="71"/>
        <v>1089.7481323321117</v>
      </c>
      <c r="M211" s="627">
        <f t="shared" si="71"/>
        <v>1697.9852484614603</v>
      </c>
      <c r="N211" s="627">
        <f t="shared" si="71"/>
        <v>2705.5869052276321</v>
      </c>
      <c r="O211" s="627">
        <f t="shared" si="71"/>
        <v>2507.0834162431966</v>
      </c>
      <c r="P211" s="627">
        <f t="shared" si="71"/>
        <v>313.19358172946158</v>
      </c>
    </row>
    <row r="212" spans="1:31" s="600" customFormat="1" x14ac:dyDescent="0.2">
      <c r="B212" s="599"/>
      <c r="C212" s="599"/>
      <c r="D212" s="599"/>
      <c r="E212" s="599"/>
      <c r="F212" s="599"/>
      <c r="G212" s="599"/>
      <c r="H212" s="599"/>
      <c r="I212" s="599"/>
      <c r="J212" s="599"/>
      <c r="K212" s="599"/>
      <c r="L212" s="599"/>
      <c r="M212" s="599"/>
      <c r="N212" s="599"/>
      <c r="O212" s="599"/>
      <c r="P212" s="599"/>
      <c r="Q212" s="599"/>
      <c r="R212" s="599"/>
      <c r="S212" s="599"/>
      <c r="T212" s="599"/>
      <c r="U212" s="599"/>
      <c r="V212" s="599"/>
      <c r="W212" s="599"/>
      <c r="X212" s="599"/>
      <c r="Y212" s="599"/>
      <c r="Z212" s="599"/>
      <c r="AA212" s="599"/>
      <c r="AB212" s="599"/>
      <c r="AC212" s="599"/>
      <c r="AD212" s="599"/>
      <c r="AE212" s="599"/>
    </row>
  </sheetData>
  <pageMargins left="0.74803149606299213" right="0.74803149606299213" top="0.6692913385826772" bottom="0.6692913385826772" header="0.51181102362204722" footer="0.51181102362204722"/>
  <pageSetup paperSize="9" scale="89" fitToHeight="0" orientation="landscape" r:id="rId1"/>
  <headerFooter alignWithMargins="0"/>
  <rowBreaks count="2" manualBreakCount="2">
    <brk id="52" max="16383" man="1"/>
    <brk id="122" max="16383" man="1"/>
  </rowBreaks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  <pageSetUpPr fitToPage="1"/>
  </sheetPr>
  <dimension ref="A1:R159"/>
  <sheetViews>
    <sheetView zoomScaleNormal="100" workbookViewId="0">
      <pane xSplit="3" ySplit="3" topLeftCell="F42" activePane="bottomRight" state="frozen"/>
      <selection pane="topRight" activeCell="D1" sqref="D1"/>
      <selection pane="bottomLeft" activeCell="A3" sqref="A3"/>
      <selection pane="bottomRight" activeCell="A102" sqref="A102"/>
    </sheetView>
  </sheetViews>
  <sheetFormatPr defaultColWidth="9.109375" defaultRowHeight="12" outlineLevelRow="1" outlineLevelCol="1" x14ac:dyDescent="0.25"/>
  <cols>
    <col min="1" max="1" width="38.88671875" style="639" customWidth="1"/>
    <col min="2" max="2" width="16.44140625" style="639" hidden="1" customWidth="1" outlineLevel="1"/>
    <col min="3" max="3" width="12.109375" style="639" hidden="1" customWidth="1" outlineLevel="1"/>
    <col min="4" max="4" width="13.109375" style="639" hidden="1" customWidth="1" outlineLevel="1" collapsed="1"/>
    <col min="5" max="5" width="10.33203125" style="639" hidden="1" customWidth="1" outlineLevel="1"/>
    <col min="6" max="6" width="9.88671875" style="639" bestFit="1" customWidth="1" collapsed="1"/>
    <col min="7" max="16" width="9.88671875" style="639" bestFit="1" customWidth="1"/>
    <col min="17" max="16384" width="9.109375" style="639"/>
  </cols>
  <sheetData>
    <row r="1" spans="1:16" ht="12.75" x14ac:dyDescent="0.2">
      <c r="A1" s="1091" t="s">
        <v>1361</v>
      </c>
    </row>
    <row r="2" spans="1:16" s="637" customFormat="1" x14ac:dyDescent="0.2">
      <c r="A2" s="585" t="s">
        <v>1110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16" x14ac:dyDescent="0.2">
      <c r="A3" s="585" t="s">
        <v>73</v>
      </c>
      <c r="B3" s="638" t="s">
        <v>68</v>
      </c>
      <c r="C3" s="586" t="s">
        <v>0</v>
      </c>
      <c r="D3" s="586" t="s">
        <v>1</v>
      </c>
      <c r="E3" s="586" t="s">
        <v>2</v>
      </c>
      <c r="F3" s="586" t="s">
        <v>3</v>
      </c>
      <c r="G3" s="586" t="s">
        <v>4</v>
      </c>
      <c r="H3" s="586" t="s">
        <v>5</v>
      </c>
      <c r="I3" s="586" t="s">
        <v>6</v>
      </c>
      <c r="J3" s="586" t="s">
        <v>7</v>
      </c>
      <c r="K3" s="586" t="s">
        <v>8</v>
      </c>
      <c r="L3" s="586" t="s">
        <v>9</v>
      </c>
      <c r="M3" s="586" t="s">
        <v>514</v>
      </c>
      <c r="N3" s="586" t="s">
        <v>515</v>
      </c>
      <c r="O3" s="586" t="s">
        <v>904</v>
      </c>
      <c r="P3" s="586" t="s">
        <v>1046</v>
      </c>
    </row>
    <row r="5" spans="1:16" x14ac:dyDescent="0.2">
      <c r="A5" s="592" t="s">
        <v>82</v>
      </c>
    </row>
    <row r="6" spans="1:16" x14ac:dyDescent="0.2">
      <c r="A6" s="640" t="s">
        <v>83</v>
      </c>
      <c r="B6" s="590"/>
      <c r="C6" s="590"/>
      <c r="D6" s="590" t="s">
        <v>516</v>
      </c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</row>
    <row r="7" spans="1:16" x14ac:dyDescent="0.2">
      <c r="A7" s="639" t="s">
        <v>11</v>
      </c>
      <c r="B7" s="594"/>
      <c r="C7" s="594"/>
      <c r="D7" s="594">
        <v>18724</v>
      </c>
      <c r="E7" s="594">
        <f>'Water  Fund  Cash Flow'!E7+'GF &amp; FF   Cash Flow'!E7+'Sewer  Fund  Cash Flow'!E7</f>
        <v>18207</v>
      </c>
      <c r="F7" s="594">
        <f>'Water  Fund  Cash Flow'!F7+'GF &amp; FF   Cash Flow'!F7+'Sewer  Fund  Cash Flow'!F7</f>
        <v>20031.815000000002</v>
      </c>
      <c r="G7" s="594">
        <f>'Water  Fund  Cash Flow'!G7+'GF &amp; FF   Cash Flow'!G7+'Sewer  Fund  Cash Flow'!G7</f>
        <v>20614.939960000003</v>
      </c>
      <c r="H7" s="594">
        <f>'Water  Fund  Cash Flow'!H7+'GF &amp; FF   Cash Flow'!H7+'Sewer  Fund  Cash Flow'!H7</f>
        <v>21403.672474999999</v>
      </c>
      <c r="I7" s="594">
        <f>'Water  Fund  Cash Flow'!I7+'GF &amp; FF   Cash Flow'!I7+'Sewer  Fund  Cash Flow'!I7</f>
        <v>22200.168275</v>
      </c>
      <c r="J7" s="594">
        <f>'Water  Fund  Cash Flow'!J7+'GF &amp; FF   Cash Flow'!J7+'Sewer  Fund  Cash Flow'!J7</f>
        <v>22777.611424999999</v>
      </c>
      <c r="K7" s="594">
        <f>'Water  Fund  Cash Flow'!K7+'GF &amp; FF   Cash Flow'!K7+'Sewer  Fund  Cash Flow'!K7</f>
        <v>23347.051710625001</v>
      </c>
      <c r="L7" s="594">
        <f>'Water  Fund  Cash Flow'!L7+'GF &amp; FF   Cash Flow'!L7+'Sewer  Fund  Cash Flow'!L7</f>
        <v>23930.728003390621</v>
      </c>
      <c r="M7" s="594">
        <f>'Water  Fund  Cash Flow'!M7+'GF &amp; FF   Cash Flow'!M7+'Sewer  Fund  Cash Flow'!M7</f>
        <v>24528.996203475384</v>
      </c>
      <c r="N7" s="594">
        <f>'Water  Fund  Cash Flow'!N7+'GF &amp; FF   Cash Flow'!N7+'Sewer  Fund  Cash Flow'!N7</f>
        <v>25142.221108562269</v>
      </c>
      <c r="O7" s="594">
        <f>'Water  Fund  Cash Flow'!O7+'GF &amp; FF   Cash Flow'!O7+'Sewer  Fund  Cash Flow'!O7</f>
        <v>25770.776636276321</v>
      </c>
      <c r="P7" s="594">
        <f>'Water  Fund  Cash Flow'!P7+'GF &amp; FF   Cash Flow'!P7+'Sewer  Fund  Cash Flow'!P7</f>
        <v>26415.046052183228</v>
      </c>
    </row>
    <row r="8" spans="1:16" x14ac:dyDescent="0.2">
      <c r="A8" s="639" t="s">
        <v>12</v>
      </c>
      <c r="B8" s="594"/>
      <c r="C8" s="594"/>
      <c r="D8" s="594">
        <v>11585</v>
      </c>
      <c r="E8" s="594">
        <f>'Water  Fund  Cash Flow'!E8+'GF &amp; FF   Cash Flow'!E8+'Sewer  Fund  Cash Flow'!E8</f>
        <v>10646</v>
      </c>
      <c r="F8" s="594">
        <f>'Water  Fund  Cash Flow'!F8+'GF &amp; FF   Cash Flow'!F8+'Sewer  Fund  Cash Flow'!F8</f>
        <v>13528.819000000001</v>
      </c>
      <c r="G8" s="594">
        <f>'Water  Fund  Cash Flow'!G8+'GF &amp; FF   Cash Flow'!G8+'Sewer  Fund  Cash Flow'!G8</f>
        <v>14184.400000000001</v>
      </c>
      <c r="H8" s="594">
        <f>'Water  Fund  Cash Flow'!H8+'GF &amp; FF   Cash Flow'!H8+'Sewer  Fund  Cash Flow'!H8</f>
        <v>14558.772000000001</v>
      </c>
      <c r="I8" s="594">
        <f>'Water  Fund  Cash Flow'!I8+'GF &amp; FF   Cash Flow'!I8+'Sewer  Fund  Cash Flow'!I8</f>
        <v>14956.825999999999</v>
      </c>
      <c r="J8" s="594">
        <f>'Water  Fund  Cash Flow'!J8+'GF &amp; FF   Cash Flow'!J8+'Sewer  Fund  Cash Flow'!J8</f>
        <v>15414.074199999999</v>
      </c>
      <c r="K8" s="594">
        <f>'Water  Fund  Cash Flow'!K8+'GF &amp; FF   Cash Flow'!K8+'Sewer  Fund  Cash Flow'!K8</f>
        <v>15722.355684000002</v>
      </c>
      <c r="L8" s="594">
        <f>'Water  Fund  Cash Flow'!L8+'GF &amp; FF   Cash Flow'!L8+'Sewer  Fund  Cash Flow'!L8</f>
        <v>16036.80279768</v>
      </c>
      <c r="M8" s="594">
        <f>'Water  Fund  Cash Flow'!M8+'GF &amp; FF   Cash Flow'!M8+'Sewer  Fund  Cash Flow'!M8</f>
        <v>16357.538853633601</v>
      </c>
      <c r="N8" s="594">
        <f>'Water  Fund  Cash Flow'!N8+'GF &amp; FF   Cash Flow'!N8+'Sewer  Fund  Cash Flow'!N8</f>
        <v>16684.689630706274</v>
      </c>
      <c r="O8" s="594">
        <f>'Water  Fund  Cash Flow'!O8+'GF &amp; FF   Cash Flow'!O8+'Sewer  Fund  Cash Flow'!O8</f>
        <v>17018.3834233204</v>
      </c>
      <c r="P8" s="594">
        <f>'Water  Fund  Cash Flow'!P8+'GF &amp; FF   Cash Flow'!P8+'Sewer  Fund  Cash Flow'!P8</f>
        <v>17358.751091786809</v>
      </c>
    </row>
    <row r="9" spans="1:16" x14ac:dyDescent="0.2">
      <c r="A9" s="639" t="s">
        <v>84</v>
      </c>
      <c r="B9" s="594"/>
      <c r="C9" s="594"/>
      <c r="D9" s="594">
        <v>2499</v>
      </c>
      <c r="E9" s="594">
        <f>'Water  Fund  Cash Flow'!E9+'GF &amp; FF   Cash Flow'!E9+'Sewer  Fund  Cash Flow'!E9</f>
        <v>2571</v>
      </c>
      <c r="F9" s="594">
        <f>'Water  Fund  Cash Flow'!F9+'GF &amp; FF   Cash Flow'!F9+'Sewer  Fund  Cash Flow'!F9</f>
        <v>2254.5</v>
      </c>
      <c r="G9" s="594">
        <f>'Water  Fund  Cash Flow'!G9+'GF &amp; FF   Cash Flow'!G9+'Sewer  Fund  Cash Flow'!G9</f>
        <v>2162.2089999999998</v>
      </c>
      <c r="H9" s="594">
        <f>'Water  Fund  Cash Flow'!H9+'GF &amp; FF   Cash Flow'!H9+'Sewer  Fund  Cash Flow'!H9</f>
        <v>1977.5630000000001</v>
      </c>
      <c r="I9" s="594">
        <f>'Water  Fund  Cash Flow'!I9+'GF &amp; FF   Cash Flow'!I9+'Sewer  Fund  Cash Flow'!I9</f>
        <v>1913.963</v>
      </c>
      <c r="J9" s="594">
        <f>'Water  Fund  Cash Flow'!J9+'GF &amp; FF   Cash Flow'!J9+'Sewer  Fund  Cash Flow'!J9</f>
        <v>1883.6479999999999</v>
      </c>
      <c r="K9" s="594">
        <f>'Water  Fund  Cash Flow'!K9+'GF &amp; FF   Cash Flow'!K9+'Sewer  Fund  Cash Flow'!K9</f>
        <v>1451.4429941223602</v>
      </c>
      <c r="L9" s="594">
        <f>'Water  Fund  Cash Flow'!L9+'GF &amp; FF   Cash Flow'!L9+'Sewer  Fund  Cash Flow'!L9</f>
        <v>1422.4632852622485</v>
      </c>
      <c r="M9" s="594">
        <f>'Water  Fund  Cash Flow'!M9+'GF &amp; FF   Cash Flow'!M9+'Sewer  Fund  Cash Flow'!M9</f>
        <v>1395.7325594163472</v>
      </c>
      <c r="N9" s="594">
        <f>'Water  Fund  Cash Flow'!N9+'GF &amp; FF   Cash Flow'!N9+'Sewer  Fund  Cash Flow'!N9</f>
        <v>1383.8329939182649</v>
      </c>
      <c r="O9" s="594">
        <f>'Water  Fund  Cash Flow'!O9+'GF &amp; FF   Cash Flow'!O9+'Sewer  Fund  Cash Flow'!O9</f>
        <v>1378.6672577789122</v>
      </c>
      <c r="P9" s="594">
        <f>'Water  Fund  Cash Flow'!P9+'GF &amp; FF   Cash Flow'!P9+'Sewer  Fund  Cash Flow'!P9</f>
        <v>1372.954925666053</v>
      </c>
    </row>
    <row r="10" spans="1:16" x14ac:dyDescent="0.2">
      <c r="A10" s="639" t="s">
        <v>85</v>
      </c>
      <c r="B10" s="594"/>
      <c r="C10" s="594"/>
      <c r="D10" s="594">
        <v>26703</v>
      </c>
      <c r="E10" s="594">
        <f>'Water  Fund  Cash Flow'!E10+'GF &amp; FF   Cash Flow'!E10+'Sewer  Fund  Cash Flow'!E10</f>
        <v>24423</v>
      </c>
      <c r="F10" s="594">
        <f>'Water  Fund  Cash Flow'!F10+'GF &amp; FF   Cash Flow'!F10+'Sewer  Fund  Cash Flow'!F10</f>
        <v>10209.751</v>
      </c>
      <c r="G10" s="594">
        <f>'Water  Fund  Cash Flow'!G10+'GF &amp; FF   Cash Flow'!G10+'Sewer  Fund  Cash Flow'!G10</f>
        <v>18047.856</v>
      </c>
      <c r="H10" s="594">
        <f>'Water  Fund  Cash Flow'!H10+'GF &amp; FF   Cash Flow'!H10+'Sewer  Fund  Cash Flow'!H10</f>
        <v>9562.1020100000005</v>
      </c>
      <c r="I10" s="594">
        <f>'Water  Fund  Cash Flow'!I10+'GF &amp; FF   Cash Flow'!I10+'Sewer  Fund  Cash Flow'!I10</f>
        <v>9717.8340153000008</v>
      </c>
      <c r="J10" s="594">
        <f>'Water  Fund  Cash Flow'!J10+'GF &amp; FF   Cash Flow'!J10+'Sewer  Fund  Cash Flow'!J10</f>
        <v>9877.2690926340019</v>
      </c>
      <c r="K10" s="594">
        <f>'Water  Fund  Cash Flow'!K10+'GF &amp; FF   Cash Flow'!K10+'Sewer  Fund  Cash Flow'!K10</f>
        <v>10123.70081994985</v>
      </c>
      <c r="L10" s="594">
        <f>'Water  Fund  Cash Flow'!L10+'GF &amp; FF   Cash Flow'!L10+'Sewer  Fund  Cash Flow'!L10</f>
        <v>10375.263340448593</v>
      </c>
      <c r="M10" s="594">
        <f>'Water  Fund  Cash Flow'!M10+'GF &amp; FF   Cash Flow'!M10+'Sewer  Fund  Cash Flow'!M10</f>
        <v>10634.129823959809</v>
      </c>
      <c r="N10" s="594">
        <f>'Water  Fund  Cash Flow'!N10+'GF &amp; FF   Cash Flow'!N10+'Sewer  Fund  Cash Flow'!N10</f>
        <v>10899.457667558803</v>
      </c>
      <c r="O10" s="594">
        <f>'Water  Fund  Cash Flow'!O10+'GF &amp; FF   Cash Flow'!O10+'Sewer  Fund  Cash Flow'!O10</f>
        <v>11170.346991207773</v>
      </c>
      <c r="P10" s="594">
        <f>'Water  Fund  Cash Flow'!P10+'GF &amp; FF   Cash Flow'!P10+'Sewer  Fund  Cash Flow'!P10</f>
        <v>11448.003135787167</v>
      </c>
    </row>
    <row r="11" spans="1:16" hidden="1" outlineLevel="1" x14ac:dyDescent="0.2">
      <c r="A11" s="639" t="s">
        <v>86</v>
      </c>
      <c r="B11" s="594"/>
      <c r="C11" s="594"/>
      <c r="D11" s="594">
        <v>97</v>
      </c>
      <c r="E11" s="594">
        <f>'Water  Fund  Cash Flow'!E11+'GF &amp; FF   Cash Flow'!E11+'Sewer  Fund  Cash Flow'!E11</f>
        <v>296</v>
      </c>
      <c r="F11" s="594">
        <f>'Water  Fund  Cash Flow'!F11+'GF &amp; FF   Cash Flow'!F11+'Sewer  Fund  Cash Flow'!F11</f>
        <v>0</v>
      </c>
      <c r="G11" s="594">
        <f>'Water  Fund  Cash Flow'!G11+'GF &amp; FF   Cash Flow'!G11+'Sewer  Fund  Cash Flow'!G11</f>
        <v>0</v>
      </c>
      <c r="H11" s="594">
        <f>'Water  Fund  Cash Flow'!H11+'GF &amp; FF   Cash Flow'!H11+'Sewer  Fund  Cash Flow'!H11</f>
        <v>0</v>
      </c>
      <c r="I11" s="594">
        <f>'Water  Fund  Cash Flow'!I11+'GF &amp; FF   Cash Flow'!I11+'Sewer  Fund  Cash Flow'!I11</f>
        <v>0</v>
      </c>
      <c r="J11" s="594">
        <f>'Water  Fund  Cash Flow'!J11+'GF &amp; FF   Cash Flow'!J11+'Sewer  Fund  Cash Flow'!J11</f>
        <v>0</v>
      </c>
      <c r="K11" s="594">
        <f>'Water  Fund  Cash Flow'!K11+'GF &amp; FF   Cash Flow'!K11+'Sewer  Fund  Cash Flow'!K11</f>
        <v>0</v>
      </c>
      <c r="L11" s="594">
        <f>'Water  Fund  Cash Flow'!L11+'GF &amp; FF   Cash Flow'!L11+'Sewer  Fund  Cash Flow'!L11</f>
        <v>0</v>
      </c>
      <c r="M11" s="594">
        <f>'Water  Fund  Cash Flow'!M11+'GF &amp; FF   Cash Flow'!M11+'Sewer  Fund  Cash Flow'!M11</f>
        <v>0</v>
      </c>
      <c r="N11" s="594">
        <f>'Water  Fund  Cash Flow'!N11+'GF &amp; FF   Cash Flow'!N11+'Sewer  Fund  Cash Flow'!N11</f>
        <v>0</v>
      </c>
      <c r="O11" s="594">
        <f>'Water  Fund  Cash Flow'!O11+'GF &amp; FF   Cash Flow'!O11+'Sewer  Fund  Cash Flow'!O11</f>
        <v>0</v>
      </c>
      <c r="P11" s="594">
        <f>'Water  Fund  Cash Flow'!P11+'GF &amp; FF   Cash Flow'!P11+'Sewer  Fund  Cash Flow'!P11</f>
        <v>0</v>
      </c>
    </row>
    <row r="12" spans="1:16" collapsed="1" x14ac:dyDescent="0.2">
      <c r="A12" s="639" t="s">
        <v>41</v>
      </c>
      <c r="B12" s="594"/>
      <c r="C12" s="594"/>
      <c r="D12" s="594">
        <v>5309</v>
      </c>
      <c r="E12" s="594">
        <f>'Water  Fund  Cash Flow'!E12+'GF &amp; FF   Cash Flow'!E12+'Sewer  Fund  Cash Flow'!E12</f>
        <v>4000</v>
      </c>
      <c r="F12" s="594">
        <f>'Water  Fund  Cash Flow'!F12+'GF &amp; FF   Cash Flow'!F12+'Sewer  Fund  Cash Flow'!F12</f>
        <v>7207.8899999999994</v>
      </c>
      <c r="G12" s="594">
        <f>'Water  Fund  Cash Flow'!G12+'GF &amp; FF   Cash Flow'!G12+'Sewer  Fund  Cash Flow'!G12</f>
        <v>7469.6399999999994</v>
      </c>
      <c r="H12" s="594">
        <f>'Water  Fund  Cash Flow'!H12+'GF &amp; FF   Cash Flow'!H12+'Sewer  Fund  Cash Flow'!H12</f>
        <v>7703.4269999999997</v>
      </c>
      <c r="I12" s="594">
        <f>'Water  Fund  Cash Flow'!I12+'GF &amp; FF   Cash Flow'!I12+'Sewer  Fund  Cash Flow'!I12</f>
        <v>7939.5569999999998</v>
      </c>
      <c r="J12" s="594">
        <f>'Water  Fund  Cash Flow'!J12+'GF &amp; FF   Cash Flow'!J12+'Sewer  Fund  Cash Flow'!J12</f>
        <v>8034.5349999999999</v>
      </c>
      <c r="K12" s="594">
        <f>'Water  Fund  Cash Flow'!K12+'GF &amp; FF   Cash Flow'!K12+'Sewer  Fund  Cash Flow'!K12</f>
        <v>8195.2257000000009</v>
      </c>
      <c r="L12" s="594">
        <f>'Water  Fund  Cash Flow'!L12+'GF &amp; FF   Cash Flow'!L12+'Sewer  Fund  Cash Flow'!L12</f>
        <v>8359.1302140000007</v>
      </c>
      <c r="M12" s="594">
        <f>'Water  Fund  Cash Flow'!M12+'GF &amp; FF   Cash Flow'!M12+'Sewer  Fund  Cash Flow'!M12</f>
        <v>8526.3128182800028</v>
      </c>
      <c r="N12" s="594">
        <f>'Water  Fund  Cash Flow'!N12+'GF &amp; FF   Cash Flow'!N12+'Sewer  Fund  Cash Flow'!N12</f>
        <v>8696.8390746456025</v>
      </c>
      <c r="O12" s="594">
        <f>'Water  Fund  Cash Flow'!O12+'GF &amp; FF   Cash Flow'!O12+'Sewer  Fund  Cash Flow'!O12</f>
        <v>8870.7758561385144</v>
      </c>
      <c r="P12" s="594">
        <f>'Water  Fund  Cash Flow'!P12+'GF &amp; FF   Cash Flow'!P12+'Sewer  Fund  Cash Flow'!P12</f>
        <v>9048.1913732612848</v>
      </c>
    </row>
    <row r="13" spans="1:16" ht="6" customHeight="1" x14ac:dyDescent="0.2">
      <c r="B13" s="594"/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4"/>
      <c r="O13" s="594"/>
      <c r="P13" s="594"/>
    </row>
    <row r="14" spans="1:16" x14ac:dyDescent="0.2">
      <c r="A14" s="640" t="s">
        <v>87</v>
      </c>
      <c r="B14" s="594"/>
      <c r="C14" s="594"/>
      <c r="D14" s="594"/>
      <c r="E14" s="594"/>
      <c r="F14" s="594"/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">
      <c r="A15" s="639" t="s">
        <v>25</v>
      </c>
      <c r="B15" s="594"/>
      <c r="C15" s="594"/>
      <c r="D15" s="594">
        <v>-12900</v>
      </c>
      <c r="E15" s="594">
        <f>'Water  Fund  Cash Flow'!E15+'GF &amp; FF   Cash Flow'!E15+'Sewer  Fund  Cash Flow'!E15</f>
        <v>-12519</v>
      </c>
      <c r="F15" s="594">
        <f>'Water  Fund  Cash Flow'!F15+'GF &amp; FF   Cash Flow'!F15+'Sewer  Fund  Cash Flow'!F15</f>
        <v>-13094.137000000001</v>
      </c>
      <c r="G15" s="594">
        <f>'Water  Fund  Cash Flow'!G15+'GF &amp; FF   Cash Flow'!G15+'Sewer  Fund  Cash Flow'!G15</f>
        <v>-13571.739</v>
      </c>
      <c r="H15" s="594">
        <f>'Water  Fund  Cash Flow'!H15+'GF &amp; FF   Cash Flow'!H15+'Sewer  Fund  Cash Flow'!H15</f>
        <v>-14063.325999999999</v>
      </c>
      <c r="I15" s="594">
        <f>'Water  Fund  Cash Flow'!I15+'GF &amp; FF   Cash Flow'!I15+'Sewer  Fund  Cash Flow'!I15</f>
        <v>-14472.804</v>
      </c>
      <c r="J15" s="594">
        <f>'Water  Fund  Cash Flow'!J15+'GF &amp; FF   Cash Flow'!J15+'Sewer  Fund  Cash Flow'!J15</f>
        <v>-14911.101000000001</v>
      </c>
      <c r="K15" s="594">
        <f>'Water  Fund  Cash Flow'!K15+'GF &amp; FF   Cash Flow'!K15+'Sewer  Fund  Cash Flow'!K15</f>
        <v>-15358.43403</v>
      </c>
      <c r="L15" s="594">
        <f>'Water  Fund  Cash Flow'!L15+'GF &amp; FF   Cash Flow'!L15+'Sewer  Fund  Cash Flow'!L15</f>
        <v>-15819.187050900004</v>
      </c>
      <c r="M15" s="594">
        <f>'Water  Fund  Cash Flow'!M15+'GF &amp; FF   Cash Flow'!M15+'Sewer  Fund  Cash Flow'!M15</f>
        <v>-16293.762662427005</v>
      </c>
      <c r="N15" s="594">
        <f>'Water  Fund  Cash Flow'!N15+'GF &amp; FF   Cash Flow'!N15+'Sewer  Fund  Cash Flow'!N15</f>
        <v>-16782.575542299812</v>
      </c>
      <c r="O15" s="594">
        <f>'Water  Fund  Cash Flow'!O15+'GF &amp; FF   Cash Flow'!O15+'Sewer  Fund  Cash Flow'!O15</f>
        <v>-17286.052808568809</v>
      </c>
      <c r="P15" s="594">
        <f>'Water  Fund  Cash Flow'!P15+'GF &amp; FF   Cash Flow'!P15+'Sewer  Fund  Cash Flow'!P15</f>
        <v>-17804.634392825876</v>
      </c>
    </row>
    <row r="16" spans="1:16" x14ac:dyDescent="0.2">
      <c r="A16" s="639" t="s">
        <v>27</v>
      </c>
      <c r="B16" s="594"/>
      <c r="C16" s="594"/>
      <c r="D16" s="594">
        <v>-9702</v>
      </c>
      <c r="E16" s="594">
        <f>'Water  Fund  Cash Flow'!E16+'GF &amp; FF   Cash Flow'!E16+'Sewer  Fund  Cash Flow'!E16</f>
        <v>-12687</v>
      </c>
      <c r="F16" s="594">
        <f>'Water  Fund  Cash Flow'!F16+'GF &amp; FF   Cash Flow'!F16+'Sewer  Fund  Cash Flow'!F16</f>
        <v>-18997.901000000002</v>
      </c>
      <c r="G16" s="594">
        <f>'Water  Fund  Cash Flow'!G16+'GF &amp; FF   Cash Flow'!G16+'Sewer  Fund  Cash Flow'!G16</f>
        <v>-19422.218999999997</v>
      </c>
      <c r="H16" s="594">
        <f>'Water  Fund  Cash Flow'!H16+'GF &amp; FF   Cash Flow'!H16+'Sewer  Fund  Cash Flow'!H16</f>
        <v>-19878.803000000004</v>
      </c>
      <c r="I16" s="594">
        <f>'Water  Fund  Cash Flow'!I16+'GF &amp; FF   Cash Flow'!I16+'Sewer  Fund  Cash Flow'!I16</f>
        <v>-20419.310999999998</v>
      </c>
      <c r="J16" s="594">
        <f>'Water  Fund  Cash Flow'!J16+'GF &amp; FF   Cash Flow'!J16+'Sewer  Fund  Cash Flow'!J16</f>
        <v>-20976.021000000001</v>
      </c>
      <c r="K16" s="594">
        <f>'Water  Fund  Cash Flow'!K16+'GF &amp; FF   Cash Flow'!K16+'Sewer  Fund  Cash Flow'!K16</f>
        <v>-21378.416219999999</v>
      </c>
      <c r="L16" s="594">
        <f>'Water  Fund  Cash Flow'!L16+'GF &amp; FF   Cash Flow'!L16+'Sewer  Fund  Cash Flow'!L16</f>
        <v>-21805.984544399998</v>
      </c>
      <c r="M16" s="594">
        <f>'Water  Fund  Cash Flow'!M16+'GF &amp; FF   Cash Flow'!M16+'Sewer  Fund  Cash Flow'!M16</f>
        <v>-22242.104235287999</v>
      </c>
      <c r="N16" s="594">
        <f>'Water  Fund  Cash Flow'!N16+'GF &amp; FF   Cash Flow'!N16+'Sewer  Fund  Cash Flow'!N16</f>
        <v>-22686.94631999376</v>
      </c>
      <c r="O16" s="594">
        <f>'Water  Fund  Cash Flow'!O16+'GF &amp; FF   Cash Flow'!O16+'Sewer  Fund  Cash Flow'!O16</f>
        <v>-23140.685246393634</v>
      </c>
      <c r="P16" s="594">
        <f>'Water  Fund  Cash Flow'!P16+'GF &amp; FF   Cash Flow'!P16+'Sewer  Fund  Cash Flow'!P16</f>
        <v>-23603.498951321508</v>
      </c>
    </row>
    <row r="17" spans="1:18" x14ac:dyDescent="0.2">
      <c r="A17" s="639" t="s">
        <v>926</v>
      </c>
      <c r="B17" s="594"/>
      <c r="C17" s="594"/>
      <c r="D17" s="594">
        <v>-639</v>
      </c>
      <c r="E17" s="594">
        <f>'Water  Fund  Cash Flow'!E17+'GF &amp; FF   Cash Flow'!E17+'Sewer  Fund  Cash Flow'!E17</f>
        <v>-634</v>
      </c>
      <c r="F17" s="594">
        <f>'Water  Fund  Cash Flow'!F17+'GF &amp; FF   Cash Flow'!F17+'Sewer  Fund  Cash Flow'!F17</f>
        <v>-1715.8580000000002</v>
      </c>
      <c r="G17" s="594">
        <f>'Water  Fund  Cash Flow'!G17+'GF &amp; FF   Cash Flow'!G17+'Sewer  Fund  Cash Flow'!G17</f>
        <v>-2126.712</v>
      </c>
      <c r="H17" s="594">
        <f>'Water  Fund  Cash Flow'!H17+'GF &amp; FF   Cash Flow'!H17+'Sewer  Fund  Cash Flow'!H17</f>
        <v>-2428.0219999999999</v>
      </c>
      <c r="I17" s="594">
        <f>'Water  Fund  Cash Flow'!I17+'GF &amp; FF   Cash Flow'!I17+'Sewer  Fund  Cash Flow'!I17</f>
        <v>-2404.3050000000003</v>
      </c>
      <c r="J17" s="594">
        <f>'Water  Fund  Cash Flow'!J17+'GF &amp; FF   Cash Flow'!J17+'Sewer  Fund  Cash Flow'!J17</f>
        <v>-2377.3849999999998</v>
      </c>
      <c r="K17" s="594">
        <f>'Water  Fund  Cash Flow'!K17+'GF &amp; FF   Cash Flow'!K17+'Sewer  Fund  Cash Flow'!K17</f>
        <v>-2341.2071551999998</v>
      </c>
      <c r="L17" s="594">
        <f>'Water  Fund  Cash Flow'!L17+'GF &amp; FF   Cash Flow'!L17+'Sewer  Fund  Cash Flow'!L17</f>
        <v>-2303.6049535040002</v>
      </c>
      <c r="M17" s="594">
        <f>'Water  Fund  Cash Flow'!M17+'GF &amp; FF   Cash Flow'!M17+'Sewer  Fund  Cash Flow'!M17</f>
        <v>-2277.5315077740802</v>
      </c>
      <c r="N17" s="594">
        <f>'Water  Fund  Cash Flow'!N17+'GF &amp; FF   Cash Flow'!N17+'Sewer  Fund  Cash Flow'!N17</f>
        <v>-2267.8080375723712</v>
      </c>
      <c r="O17" s="594">
        <f>'Water  Fund  Cash Flow'!O17+'GF &amp; FF   Cash Flow'!O17+'Sewer  Fund  Cash Flow'!O17</f>
        <v>-2257.7260979666285</v>
      </c>
      <c r="P17" s="594">
        <f>'Water  Fund  Cash Flow'!P17+'GF &amp; FF   Cash Flow'!P17+'Sewer  Fund  Cash Flow'!P17</f>
        <v>-2247.2441195687707</v>
      </c>
    </row>
    <row r="18" spans="1:18" hidden="1" outlineLevel="1" x14ac:dyDescent="0.2">
      <c r="A18" s="639" t="s">
        <v>88</v>
      </c>
      <c r="B18" s="594"/>
      <c r="C18" s="594"/>
      <c r="D18" s="594">
        <v>-79</v>
      </c>
      <c r="E18" s="594">
        <f>'Water  Fund  Cash Flow'!E18+'GF &amp; FF   Cash Flow'!E18+'Sewer  Fund  Cash Flow'!E18</f>
        <v>-305</v>
      </c>
      <c r="F18" s="594">
        <f>'Water  Fund  Cash Flow'!F18+'GF &amp; FF   Cash Flow'!F18+'Sewer  Fund  Cash Flow'!F18</f>
        <v>0</v>
      </c>
      <c r="G18" s="594">
        <f>'Water  Fund  Cash Flow'!G18+'GF &amp; FF   Cash Flow'!G18+'Sewer  Fund  Cash Flow'!G18</f>
        <v>0</v>
      </c>
      <c r="H18" s="594">
        <f>'Water  Fund  Cash Flow'!H18+'GF &amp; FF   Cash Flow'!H18+'Sewer  Fund  Cash Flow'!H18</f>
        <v>0</v>
      </c>
      <c r="I18" s="594">
        <f>'Water  Fund  Cash Flow'!I18+'GF &amp; FF   Cash Flow'!I18+'Sewer  Fund  Cash Flow'!I18</f>
        <v>0</v>
      </c>
      <c r="J18" s="594">
        <f>'Water  Fund  Cash Flow'!J18+'GF &amp; FF   Cash Flow'!J18+'Sewer  Fund  Cash Flow'!J18</f>
        <v>0</v>
      </c>
      <c r="K18" s="594">
        <f>'Water  Fund  Cash Flow'!K18+'GF &amp; FF   Cash Flow'!K18+'Sewer  Fund  Cash Flow'!K18</f>
        <v>0</v>
      </c>
      <c r="L18" s="594">
        <f>'Water  Fund  Cash Flow'!L18+'GF &amp; FF   Cash Flow'!L18+'Sewer  Fund  Cash Flow'!L18</f>
        <v>0</v>
      </c>
      <c r="M18" s="594">
        <f>'Water  Fund  Cash Flow'!M18+'GF &amp; FF   Cash Flow'!M18+'Sewer  Fund  Cash Flow'!M18</f>
        <v>0</v>
      </c>
      <c r="N18" s="594">
        <f>'Water  Fund  Cash Flow'!N18+'GF &amp; FF   Cash Flow'!N18+'Sewer  Fund  Cash Flow'!N18</f>
        <v>0</v>
      </c>
      <c r="O18" s="594">
        <f>'Water  Fund  Cash Flow'!O18+'GF &amp; FF   Cash Flow'!O18+'Sewer  Fund  Cash Flow'!O18</f>
        <v>0</v>
      </c>
      <c r="P18" s="594">
        <f>'Water  Fund  Cash Flow'!P18+'GF &amp; FF   Cash Flow'!P18+'Sewer  Fund  Cash Flow'!P18</f>
        <v>0</v>
      </c>
    </row>
    <row r="19" spans="1:18" collapsed="1" x14ac:dyDescent="0.2">
      <c r="A19" s="641" t="s">
        <v>41</v>
      </c>
      <c r="B19" s="591"/>
      <c r="C19" s="591"/>
      <c r="D19" s="591">
        <v>-7816</v>
      </c>
      <c r="E19" s="594">
        <f>'Water  Fund  Cash Flow'!E19+'GF &amp; FF   Cash Flow'!E19+'Sewer  Fund  Cash Flow'!E19</f>
        <v>-9383</v>
      </c>
      <c r="F19" s="594">
        <f>'Water  Fund  Cash Flow'!F19+'GF &amp; FF   Cash Flow'!F19+'Sewer  Fund  Cash Flow'!F19</f>
        <v>-3204.8429999999998</v>
      </c>
      <c r="G19" s="594">
        <f>'Water  Fund  Cash Flow'!G19+'GF &amp; FF   Cash Flow'!G19+'Sewer  Fund  Cash Flow'!G19</f>
        <v>-3307.2809999999999</v>
      </c>
      <c r="H19" s="594">
        <f>'Water  Fund  Cash Flow'!H19+'GF &amp; FF   Cash Flow'!H19+'Sewer  Fund  Cash Flow'!H19</f>
        <v>-3375.721</v>
      </c>
      <c r="I19" s="594">
        <f>'Water  Fund  Cash Flow'!I19+'GF &amp; FF   Cash Flow'!I19+'Sewer  Fund  Cash Flow'!I19</f>
        <v>-3453.9440000000004</v>
      </c>
      <c r="J19" s="594">
        <f>'Water  Fund  Cash Flow'!J19+'GF &amp; FF   Cash Flow'!J19+'Sewer  Fund  Cash Flow'!J19</f>
        <v>-3544.6689999999999</v>
      </c>
      <c r="K19" s="594">
        <f>'Water  Fund  Cash Flow'!K19+'GF &amp; FF   Cash Flow'!K19+'Sewer  Fund  Cash Flow'!K19</f>
        <v>-3615.5623799999998</v>
      </c>
      <c r="L19" s="594">
        <f>'Water  Fund  Cash Flow'!L19+'GF &amp; FF   Cash Flow'!L19+'Sewer  Fund  Cash Flow'!L19</f>
        <v>-3687.8736276000004</v>
      </c>
      <c r="M19" s="594">
        <f>'Water  Fund  Cash Flow'!M19+'GF &amp; FF   Cash Flow'!M19+'Sewer  Fund  Cash Flow'!M19</f>
        <v>-3761.6311001520003</v>
      </c>
      <c r="N19" s="594">
        <f>'Water  Fund  Cash Flow'!N19+'GF &amp; FF   Cash Flow'!N19+'Sewer  Fund  Cash Flow'!N19</f>
        <v>-3836.8637221550403</v>
      </c>
      <c r="O19" s="594">
        <f>'Water  Fund  Cash Flow'!O19+'GF &amp; FF   Cash Flow'!O19+'Sewer  Fund  Cash Flow'!O19</f>
        <v>-3913.6009965981411</v>
      </c>
      <c r="P19" s="594">
        <f>'Water  Fund  Cash Flow'!P19+'GF &amp; FF   Cash Flow'!P19+'Sewer  Fund  Cash Flow'!P19</f>
        <v>-3991.8730165301049</v>
      </c>
    </row>
    <row r="20" spans="1:18" s="644" customFormat="1" x14ac:dyDescent="0.2">
      <c r="A20" s="642" t="s">
        <v>89</v>
      </c>
      <c r="B20" s="643">
        <f>SUM(B7:B19)</f>
        <v>0</v>
      </c>
      <c r="C20" s="643">
        <f t="shared" ref="C20:P20" si="0">SUM(C7:C19)</f>
        <v>0</v>
      </c>
      <c r="D20" s="643">
        <f t="shared" si="0"/>
        <v>33781</v>
      </c>
      <c r="E20" s="643">
        <f t="shared" si="0"/>
        <v>24615</v>
      </c>
      <c r="F20" s="643">
        <f t="shared" si="0"/>
        <v>16220.036000000004</v>
      </c>
      <c r="G20" s="643">
        <f t="shared" si="0"/>
        <v>24051.093960000009</v>
      </c>
      <c r="H20" s="643">
        <f t="shared" si="0"/>
        <v>15459.664484999999</v>
      </c>
      <c r="I20" s="643">
        <f t="shared" si="0"/>
        <v>15977.98429030001</v>
      </c>
      <c r="J20" s="643">
        <f t="shared" si="0"/>
        <v>16177.961717634002</v>
      </c>
      <c r="K20" s="643">
        <f t="shared" si="0"/>
        <v>16146.157123497211</v>
      </c>
      <c r="L20" s="643">
        <f t="shared" si="0"/>
        <v>16507.737464377467</v>
      </c>
      <c r="M20" s="643">
        <f t="shared" si="0"/>
        <v>16867.680753124059</v>
      </c>
      <c r="N20" s="643">
        <f t="shared" si="0"/>
        <v>17232.846853370229</v>
      </c>
      <c r="O20" s="643">
        <f t="shared" si="0"/>
        <v>17610.885015194697</v>
      </c>
      <c r="P20" s="643">
        <f t="shared" si="0"/>
        <v>17995.696098438282</v>
      </c>
    </row>
    <row r="21" spans="1:18" x14ac:dyDescent="0.2">
      <c r="B21" s="590"/>
      <c r="C21" s="590"/>
      <c r="D21" s="590"/>
      <c r="E21" s="590"/>
      <c r="F21" s="590"/>
      <c r="G21" s="590"/>
      <c r="H21" s="590"/>
      <c r="I21" s="590"/>
      <c r="J21" s="590"/>
      <c r="K21" s="590"/>
      <c r="L21" s="590"/>
      <c r="M21" s="590"/>
      <c r="N21" s="590"/>
      <c r="O21" s="590"/>
      <c r="P21" s="590"/>
    </row>
    <row r="22" spans="1:18" x14ac:dyDescent="0.2">
      <c r="A22" s="592" t="s">
        <v>90</v>
      </c>
      <c r="B22" s="590"/>
      <c r="C22" s="590"/>
      <c r="D22" s="590"/>
      <c r="E22" s="590"/>
      <c r="F22" s="590"/>
      <c r="G22" s="590"/>
      <c r="H22" s="590"/>
      <c r="I22" s="590"/>
      <c r="J22" s="590"/>
      <c r="K22" s="590"/>
      <c r="L22" s="590"/>
      <c r="M22" s="590"/>
      <c r="N22" s="590"/>
      <c r="O22" s="590"/>
      <c r="P22" s="590"/>
    </row>
    <row r="23" spans="1:18" x14ac:dyDescent="0.2">
      <c r="A23" s="640" t="s">
        <v>83</v>
      </c>
      <c r="B23" s="590"/>
      <c r="C23" s="590"/>
      <c r="D23" s="590"/>
      <c r="E23" s="590"/>
      <c r="F23" s="590"/>
      <c r="G23" s="590"/>
      <c r="H23" s="590"/>
      <c r="I23" s="590"/>
      <c r="J23" s="590"/>
      <c r="K23" s="590"/>
      <c r="L23" s="590"/>
      <c r="M23" s="590"/>
      <c r="N23" s="590"/>
      <c r="O23" s="590"/>
      <c r="P23" s="590"/>
    </row>
    <row r="24" spans="1:18" x14ac:dyDescent="0.2">
      <c r="A24" s="639" t="s">
        <v>431</v>
      </c>
      <c r="B24" s="594"/>
      <c r="C24" s="594"/>
      <c r="D24" s="594">
        <v>7491</v>
      </c>
      <c r="E24" s="594">
        <f>'Water  Fund  Cash Flow'!E24+'GF &amp; FF   Cash Flow'!E24+'Sewer  Fund  Cash Flow'!E24</f>
        <v>8839</v>
      </c>
      <c r="F24" s="594">
        <f>'Water  Fund  Cash Flow'!F24+'GF &amp; FF   Cash Flow'!F24+'Sewer  Fund  Cash Flow'!F24</f>
        <v>7989.6059999999998</v>
      </c>
      <c r="G24" s="594">
        <f>'Water  Fund  Cash Flow'!G24+'GF &amp; FF   Cash Flow'!G24+'Sewer  Fund  Cash Flow'!G24</f>
        <v>4352.2619999999997</v>
      </c>
      <c r="H24" s="594">
        <f>'Water  Fund  Cash Flow'!H24+'GF &amp; FF   Cash Flow'!H24+'Sewer  Fund  Cash Flow'!H24</f>
        <v>10251.865</v>
      </c>
      <c r="I24" s="594">
        <f>'Water  Fund  Cash Flow'!I24+'GF &amp; FF   Cash Flow'!I24+'Sewer  Fund  Cash Flow'!I24</f>
        <v>4276.4719999999998</v>
      </c>
      <c r="J24" s="594">
        <f>'Water  Fund  Cash Flow'!J24+'GF &amp; FF   Cash Flow'!J24+'Sewer  Fund  Cash Flow'!J24</f>
        <v>3387.239</v>
      </c>
      <c r="K24" s="594">
        <f>'Water  Fund  Cash Flow'!K24+'GF &amp; FF   Cash Flow'!K24+'Sewer  Fund  Cash Flow'!K24</f>
        <v>2040</v>
      </c>
      <c r="L24" s="594">
        <f>'Water  Fund  Cash Flow'!L24+'GF &amp; FF   Cash Flow'!L24+'Sewer  Fund  Cash Flow'!L24</f>
        <v>2080.8000000000002</v>
      </c>
      <c r="M24" s="594">
        <f>'Water  Fund  Cash Flow'!M24+'GF &amp; FF   Cash Flow'!M24+'Sewer  Fund  Cash Flow'!M24</f>
        <v>2122.4160000000002</v>
      </c>
      <c r="N24" s="594">
        <f>'Water  Fund  Cash Flow'!N24+'GF &amp; FF   Cash Flow'!N24+'Sewer  Fund  Cash Flow'!N24</f>
        <v>2164.8643199999997</v>
      </c>
      <c r="O24" s="594">
        <f>'Water  Fund  Cash Flow'!O24+'GF &amp; FF   Cash Flow'!O24+'Sewer  Fund  Cash Flow'!O24</f>
        <v>2208.1616064</v>
      </c>
      <c r="P24" s="594">
        <f>'Water  Fund  Cash Flow'!P24+'GF &amp; FF   Cash Flow'!P24+'Sewer  Fund  Cash Flow'!P24</f>
        <v>2252.3248385279999</v>
      </c>
      <c r="R24" s="639" t="s">
        <v>1036</v>
      </c>
    </row>
    <row r="25" spans="1:18" x14ac:dyDescent="0.2">
      <c r="A25" s="639" t="s">
        <v>1052</v>
      </c>
      <c r="B25" s="594"/>
      <c r="C25" s="594"/>
      <c r="D25" s="594"/>
      <c r="E25" s="594">
        <f>'Water  Fund  Cash Flow'!E25+'GF &amp; FF   Cash Flow'!E25+'Sewer  Fund  Cash Flow'!E25</f>
        <v>0</v>
      </c>
      <c r="F25" s="594">
        <f>'Water  Fund  Cash Flow'!F25+'GF &amp; FF   Cash Flow'!F25+'Sewer  Fund  Cash Flow'!F25</f>
        <v>0</v>
      </c>
      <c r="G25" s="594">
        <f>'Water  Fund  Cash Flow'!G25+'GF &amp; FF   Cash Flow'!G25+'Sewer  Fund  Cash Flow'!G25</f>
        <v>0</v>
      </c>
      <c r="H25" s="594">
        <f>'Water  Fund  Cash Flow'!H25+'GF &amp; FF   Cash Flow'!H25+'Sewer  Fund  Cash Flow'!H25</f>
        <v>0</v>
      </c>
      <c r="I25" s="594">
        <f>'Water  Fund  Cash Flow'!I25+'GF &amp; FF   Cash Flow'!I25+'Sewer  Fund  Cash Flow'!I25</f>
        <v>0</v>
      </c>
      <c r="J25" s="594">
        <f>'Water  Fund  Cash Flow'!J25+'GF &amp; FF   Cash Flow'!J25+'Sewer  Fund  Cash Flow'!J25</f>
        <v>0</v>
      </c>
      <c r="K25" s="594">
        <f>'Water  Fund  Cash Flow'!K25+'GF &amp; FF   Cash Flow'!K25+'Sewer  Fund  Cash Flow'!K25</f>
        <v>0</v>
      </c>
      <c r="L25" s="594">
        <f>'Water  Fund  Cash Flow'!L25+'GF &amp; FF   Cash Flow'!L25+'Sewer  Fund  Cash Flow'!L25</f>
        <v>0</v>
      </c>
      <c r="M25" s="594">
        <f>'Water  Fund  Cash Flow'!M25+'GF &amp; FF   Cash Flow'!M25+'Sewer  Fund  Cash Flow'!M25</f>
        <v>0</v>
      </c>
      <c r="N25" s="594">
        <f>'Water  Fund  Cash Flow'!N25+'GF &amp; FF   Cash Flow'!N25+'Sewer  Fund  Cash Flow'!N25</f>
        <v>0</v>
      </c>
      <c r="O25" s="594">
        <f>'Water  Fund  Cash Flow'!O25+'GF &amp; FF   Cash Flow'!O25+'Sewer  Fund  Cash Flow'!O25</f>
        <v>0</v>
      </c>
      <c r="P25" s="594">
        <f>'Water  Fund  Cash Flow'!P25+'GF &amp; FF   Cash Flow'!P25+'Sewer  Fund  Cash Flow'!P25</f>
        <v>0</v>
      </c>
    </row>
    <row r="26" spans="1:18" x14ac:dyDescent="0.2">
      <c r="A26" s="639" t="s">
        <v>91</v>
      </c>
      <c r="B26" s="594"/>
      <c r="C26" s="594"/>
      <c r="D26" s="594"/>
      <c r="E26" s="594">
        <f>'Water  Fund  Cash Flow'!E26+'GF &amp; FF   Cash Flow'!E26+'Sewer  Fund  Cash Flow'!E26</f>
        <v>0</v>
      </c>
      <c r="F26" s="594">
        <f>'Water  Fund  Cash Flow'!F26+'GF &amp; FF   Cash Flow'!F26+'Sewer  Fund  Cash Flow'!F26</f>
        <v>0</v>
      </c>
      <c r="G26" s="594">
        <f>'Water  Fund  Cash Flow'!G26+'GF &amp; FF   Cash Flow'!G26+'Sewer  Fund  Cash Flow'!G26</f>
        <v>0</v>
      </c>
      <c r="H26" s="594">
        <f>'Water  Fund  Cash Flow'!H26+'GF &amp; FF   Cash Flow'!H26+'Sewer  Fund  Cash Flow'!H26</f>
        <v>0</v>
      </c>
      <c r="I26" s="594">
        <f>'Water  Fund  Cash Flow'!I26+'GF &amp; FF   Cash Flow'!I26+'Sewer  Fund  Cash Flow'!I26</f>
        <v>0</v>
      </c>
      <c r="J26" s="594">
        <f>'Water  Fund  Cash Flow'!J26+'GF &amp; FF   Cash Flow'!J26+'Sewer  Fund  Cash Flow'!J26</f>
        <v>0</v>
      </c>
      <c r="K26" s="594">
        <f>'Water  Fund  Cash Flow'!K26+'GF &amp; FF   Cash Flow'!K26+'Sewer  Fund  Cash Flow'!K26</f>
        <v>0</v>
      </c>
      <c r="L26" s="594">
        <f>'Water  Fund  Cash Flow'!L26+'GF &amp; FF   Cash Flow'!L26+'Sewer  Fund  Cash Flow'!L26</f>
        <v>0</v>
      </c>
      <c r="M26" s="594">
        <f>'Water  Fund  Cash Flow'!M26+'GF &amp; FF   Cash Flow'!M26+'Sewer  Fund  Cash Flow'!M26</f>
        <v>0</v>
      </c>
      <c r="N26" s="594">
        <f>'Water  Fund  Cash Flow'!N26+'GF &amp; FF   Cash Flow'!N26+'Sewer  Fund  Cash Flow'!N26</f>
        <v>0</v>
      </c>
      <c r="O26" s="594">
        <f>'Water  Fund  Cash Flow'!O26+'GF &amp; FF   Cash Flow'!O26+'Sewer  Fund  Cash Flow'!O26</f>
        <v>0</v>
      </c>
      <c r="P26" s="594">
        <f>'Water  Fund  Cash Flow'!P26+'GF &amp; FF   Cash Flow'!P26+'Sewer  Fund  Cash Flow'!P26</f>
        <v>0</v>
      </c>
    </row>
    <row r="27" spans="1:18" x14ac:dyDescent="0.2">
      <c r="A27" s="639" t="s">
        <v>92</v>
      </c>
      <c r="B27" s="594"/>
      <c r="C27" s="594"/>
      <c r="D27" s="594">
        <v>167</v>
      </c>
      <c r="E27" s="594">
        <f>'Water  Fund  Cash Flow'!E27+'GF &amp; FF   Cash Flow'!E27+'Sewer  Fund  Cash Flow'!E27</f>
        <v>339</v>
      </c>
      <c r="F27" s="594">
        <f>'Water  Fund  Cash Flow'!F27+'GF &amp; FF   Cash Flow'!F27+'Sewer  Fund  Cash Flow'!F27</f>
        <v>70</v>
      </c>
      <c r="G27" s="594">
        <f>'Water  Fund  Cash Flow'!G27+'GF &amp; FF   Cash Flow'!G27+'Sewer  Fund  Cash Flow'!G27</f>
        <v>70</v>
      </c>
      <c r="H27" s="594">
        <f>'Water  Fund  Cash Flow'!H27+'GF &amp; FF   Cash Flow'!H27+'Sewer  Fund  Cash Flow'!H27</f>
        <v>70</v>
      </c>
      <c r="I27" s="594">
        <f>'Water  Fund  Cash Flow'!I27+'GF &amp; FF   Cash Flow'!I27+'Sewer  Fund  Cash Flow'!I27</f>
        <v>70</v>
      </c>
      <c r="J27" s="594">
        <f>'Water  Fund  Cash Flow'!J27+'GF &amp; FF   Cash Flow'!J27+'Sewer  Fund  Cash Flow'!J27</f>
        <v>70</v>
      </c>
      <c r="K27" s="594">
        <f>'Water  Fund  Cash Flow'!K27+'GF &amp; FF   Cash Flow'!K27+'Sewer  Fund  Cash Flow'!K27</f>
        <v>71.400000000000006</v>
      </c>
      <c r="L27" s="594">
        <f>'Water  Fund  Cash Flow'!L27+'GF &amp; FF   Cash Flow'!L27+'Sewer  Fund  Cash Flow'!L27</f>
        <v>72.828000000000003</v>
      </c>
      <c r="M27" s="594">
        <f>'Water  Fund  Cash Flow'!M27+'GF &amp; FF   Cash Flow'!M27+'Sewer  Fund  Cash Flow'!M27</f>
        <v>74.284559999999999</v>
      </c>
      <c r="N27" s="594">
        <f>'Water  Fund  Cash Flow'!N27+'GF &amp; FF   Cash Flow'!N27+'Sewer  Fund  Cash Flow'!N27</f>
        <v>75.770251200000004</v>
      </c>
      <c r="O27" s="594">
        <f>'Water  Fund  Cash Flow'!O27+'GF &amp; FF   Cash Flow'!O27+'Sewer  Fund  Cash Flow'!O27</f>
        <v>77.285656224000007</v>
      </c>
      <c r="P27" s="594">
        <f>'Water  Fund  Cash Flow'!P27+'GF &amp; FF   Cash Flow'!P27+'Sewer  Fund  Cash Flow'!P27</f>
        <v>78.831369348479996</v>
      </c>
    </row>
    <row r="28" spans="1:18" ht="5.25" customHeight="1" x14ac:dyDescent="0.2"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594"/>
    </row>
    <row r="29" spans="1:18" x14ac:dyDescent="0.2">
      <c r="A29" s="640" t="s">
        <v>87</v>
      </c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P29" s="594"/>
    </row>
    <row r="30" spans="1:18" x14ac:dyDescent="0.2">
      <c r="A30" s="639" t="s">
        <v>93</v>
      </c>
      <c r="B30" s="594"/>
      <c r="C30" s="594"/>
      <c r="D30" s="594">
        <v>-10303</v>
      </c>
      <c r="E30" s="594">
        <f>'Water  Fund  Cash Flow'!E30+'GF &amp; FF   Cash Flow'!E30+'Sewer  Fund  Cash Flow'!E30</f>
        <v>-11000</v>
      </c>
      <c r="F30" s="594">
        <f>'Water  Fund  Cash Flow'!F30+'GF &amp; FF   Cash Flow'!F30+'Sewer  Fund  Cash Flow'!F30</f>
        <v>-1950.8820000000001</v>
      </c>
      <c r="G30" s="594">
        <f>'Water  Fund  Cash Flow'!G30+'GF &amp; FF   Cash Flow'!G30+'Sewer  Fund  Cash Flow'!G30</f>
        <v>-2244.2849999999999</v>
      </c>
      <c r="H30" s="594">
        <f>'Water  Fund  Cash Flow'!H30+'GF &amp; FF   Cash Flow'!H30+'Sewer  Fund  Cash Flow'!H30</f>
        <v>-2318.1630099999998</v>
      </c>
      <c r="I30" s="594">
        <f>'Water  Fund  Cash Flow'!I30+'GF &amp; FF   Cash Flow'!I30+'Sewer  Fund  Cash Flow'!I30</f>
        <v>-2635.6813903000002</v>
      </c>
      <c r="J30" s="594">
        <f>'Water  Fund  Cash Flow'!J30+'GF &amp; FF   Cash Flow'!J30+'Sewer  Fund  Cash Flow'!J30</f>
        <v>-2795.5554420090002</v>
      </c>
      <c r="K30" s="594">
        <f>'Water  Fund  Cash Flow'!K30+'GF &amp; FF   Cash Flow'!K30+'Sewer  Fund  Cash Flow'!K30</f>
        <v>-2851.4665508491798</v>
      </c>
      <c r="L30" s="594">
        <f>'Water  Fund  Cash Flow'!L30+'GF &amp; FF   Cash Flow'!L30+'Sewer  Fund  Cash Flow'!L30</f>
        <v>-2908.4958818661635</v>
      </c>
      <c r="M30" s="594">
        <f>'Water  Fund  Cash Flow'!M30+'GF &amp; FF   Cash Flow'!M30+'Sewer  Fund  Cash Flow'!M30</f>
        <v>-2966.6657995034866</v>
      </c>
      <c r="N30" s="594">
        <f>'Water  Fund  Cash Flow'!N30+'GF &amp; FF   Cash Flow'!N30+'Sewer  Fund  Cash Flow'!N30</f>
        <v>-3025.9991154935569</v>
      </c>
      <c r="O30" s="594">
        <f>'Water  Fund  Cash Flow'!O30+'GF &amp; FF   Cash Flow'!O30+'Sewer  Fund  Cash Flow'!O30</f>
        <v>-3086.5190978034284</v>
      </c>
      <c r="P30" s="594">
        <f>'Water  Fund  Cash Flow'!P30+'GF &amp; FF   Cash Flow'!P30+'Sewer  Fund  Cash Flow'!P30</f>
        <v>-3148.2494797594968</v>
      </c>
      <c r="R30" s="639" t="s">
        <v>1036</v>
      </c>
    </row>
    <row r="31" spans="1:18" x14ac:dyDescent="0.2">
      <c r="A31" s="639" t="s">
        <v>1053</v>
      </c>
      <c r="B31" s="594"/>
      <c r="C31" s="594"/>
      <c r="D31" s="594">
        <v>-2531</v>
      </c>
      <c r="E31" s="594">
        <f>'Water  Fund  Cash Flow'!E31+'GF &amp; FF   Cash Flow'!E31+'Sewer  Fund  Cash Flow'!E31</f>
        <v>-15180</v>
      </c>
      <c r="F31" s="594">
        <f>'Water  Fund  Cash Flow'!F31+'GF &amp; FF   Cash Flow'!F31+'Sewer  Fund  Cash Flow'!F31</f>
        <v>-10000</v>
      </c>
      <c r="G31" s="594">
        <f>'Water  Fund  Cash Flow'!G31+'GF &amp; FF   Cash Flow'!G31+'Sewer  Fund  Cash Flow'!G31</f>
        <v>0</v>
      </c>
      <c r="H31" s="594">
        <f>'Water  Fund  Cash Flow'!H31+'GF &amp; FF   Cash Flow'!H31+'Sewer  Fund  Cash Flow'!H31</f>
        <v>0</v>
      </c>
      <c r="I31" s="594">
        <f>'Water  Fund  Cash Flow'!I31+'GF &amp; FF   Cash Flow'!I31+'Sewer  Fund  Cash Flow'!I31</f>
        <v>0</v>
      </c>
      <c r="J31" s="594">
        <f>'Water  Fund  Cash Flow'!J31+'GF &amp; FF   Cash Flow'!J31+'Sewer  Fund  Cash Flow'!J31</f>
        <v>0</v>
      </c>
      <c r="K31" s="594">
        <f>'Water  Fund  Cash Flow'!K31+'GF &amp; FF   Cash Flow'!K31+'Sewer  Fund  Cash Flow'!K31</f>
        <v>0</v>
      </c>
      <c r="L31" s="594">
        <f>'Water  Fund  Cash Flow'!L31+'GF &amp; FF   Cash Flow'!L31+'Sewer  Fund  Cash Flow'!L31</f>
        <v>0</v>
      </c>
      <c r="M31" s="594">
        <f>'Water  Fund  Cash Flow'!M31+'GF &amp; FF   Cash Flow'!M31+'Sewer  Fund  Cash Flow'!M31</f>
        <v>0</v>
      </c>
      <c r="N31" s="594">
        <f>'Water  Fund  Cash Flow'!N31+'GF &amp; FF   Cash Flow'!N31+'Sewer  Fund  Cash Flow'!N31</f>
        <v>0</v>
      </c>
      <c r="O31" s="594">
        <f>'Water  Fund  Cash Flow'!O31+'GF &amp; FF   Cash Flow'!O31+'Sewer  Fund  Cash Flow'!O31</f>
        <v>0</v>
      </c>
      <c r="P31" s="594">
        <f>'Water  Fund  Cash Flow'!P31+'GF &amp; FF   Cash Flow'!P31+'Sewer  Fund  Cash Flow'!P31</f>
        <v>0</v>
      </c>
    </row>
    <row r="32" spans="1:18" x14ac:dyDescent="0.2">
      <c r="A32" s="639" t="s">
        <v>94</v>
      </c>
      <c r="B32" s="594"/>
      <c r="C32" s="594"/>
      <c r="D32" s="594">
        <v>-26369</v>
      </c>
      <c r="E32" s="594">
        <f>'Water  Fund  Cash Flow'!E32+'GF &amp; FF   Cash Flow'!E32+'Sewer  Fund  Cash Flow'!E32</f>
        <v>-25288</v>
      </c>
      <c r="F32" s="594">
        <f>'Water  Fund  Cash Flow'!F32+'GF &amp; FF   Cash Flow'!F32+'Sewer  Fund  Cash Flow'!F32</f>
        <v>-30805.421999999999</v>
      </c>
      <c r="G32" s="594">
        <f>'Water  Fund  Cash Flow'!G32+'GF &amp; FF   Cash Flow'!G32+'Sewer  Fund  Cash Flow'!G32</f>
        <v>-42253.993999999999</v>
      </c>
      <c r="H32" s="594">
        <f>'Water  Fund  Cash Flow'!H32+'GF &amp; FF   Cash Flow'!H32+'Sewer  Fund  Cash Flow'!H32</f>
        <v>-22092.594800000003</v>
      </c>
      <c r="I32" s="594">
        <f>'Water  Fund  Cash Flow'!I32+'GF &amp; FF   Cash Flow'!I32+'Sewer  Fund  Cash Flow'!I32</f>
        <v>-16774.422395000001</v>
      </c>
      <c r="J32" s="594">
        <f>'Water  Fund  Cash Flow'!J32+'GF &amp; FF   Cash Flow'!J32+'Sewer  Fund  Cash Flow'!J32</f>
        <v>-16020.785404875</v>
      </c>
      <c r="K32" s="594">
        <f>'Water  Fund  Cash Flow'!K32+'GF &amp; FF   Cash Flow'!K32+'Sewer  Fund  Cash Flow'!K32</f>
        <v>-14474.223000000002</v>
      </c>
      <c r="L32" s="594">
        <f>'Water  Fund  Cash Flow'!L32+'GF &amp; FF   Cash Flow'!L32+'Sewer  Fund  Cash Flow'!L32</f>
        <v>-14746.537324999998</v>
      </c>
      <c r="M32" s="594">
        <f>'Water  Fund  Cash Flow'!M32+'GF &amp; FF   Cash Flow'!M32+'Sewer  Fund  Cash Flow'!M32</f>
        <v>-15073.488613124999</v>
      </c>
      <c r="N32" s="594">
        <f>'Water  Fund  Cash Flow'!N32+'GF &amp; FF   Cash Flow'!N32+'Sewer  Fund  Cash Flow'!N32</f>
        <v>-15727.627758053128</v>
      </c>
      <c r="O32" s="594">
        <f>'Water  Fund  Cash Flow'!O32+'GF &amp; FF   Cash Flow'!O32+'Sewer  Fund  Cash Flow'!O32</f>
        <v>-16058.981237696453</v>
      </c>
      <c r="P32" s="594">
        <f>'Water  Fund  Cash Flow'!P32+'GF &amp; FF   Cash Flow'!P32+'Sewer  Fund  Cash Flow'!P32</f>
        <v>-16236.576127544704</v>
      </c>
    </row>
    <row r="33" spans="1:18" x14ac:dyDescent="0.2">
      <c r="A33" s="641" t="s">
        <v>95</v>
      </c>
      <c r="B33" s="591"/>
      <c r="C33" s="591"/>
      <c r="D33" s="591">
        <v>-26</v>
      </c>
      <c r="E33" s="594">
        <f>'Water  Fund  Cash Flow'!E33+'GF &amp; FF   Cash Flow'!E33+'Sewer  Fund  Cash Flow'!E33</f>
        <v>-26</v>
      </c>
      <c r="F33" s="594">
        <f>'Water  Fund  Cash Flow'!F33+'GF &amp; FF   Cash Flow'!F33+'Sewer  Fund  Cash Flow'!F33</f>
        <v>0</v>
      </c>
      <c r="G33" s="594">
        <f>'Water  Fund  Cash Flow'!G33+'GF &amp; FF   Cash Flow'!G33+'Sewer  Fund  Cash Flow'!G33</f>
        <v>0</v>
      </c>
      <c r="H33" s="594">
        <f>'Water  Fund  Cash Flow'!H33+'GF &amp; FF   Cash Flow'!H33+'Sewer  Fund  Cash Flow'!H33</f>
        <v>0</v>
      </c>
      <c r="I33" s="594">
        <f>'Water  Fund  Cash Flow'!I33+'GF &amp; FF   Cash Flow'!I33+'Sewer  Fund  Cash Flow'!I33</f>
        <v>0</v>
      </c>
      <c r="J33" s="594">
        <f>'Water  Fund  Cash Flow'!J33+'GF &amp; FF   Cash Flow'!J33+'Sewer  Fund  Cash Flow'!J33</f>
        <v>0</v>
      </c>
      <c r="K33" s="594">
        <f>'Water  Fund  Cash Flow'!K33+'GF &amp; FF   Cash Flow'!K33+'Sewer  Fund  Cash Flow'!K33</f>
        <v>0</v>
      </c>
      <c r="L33" s="594">
        <f>'Water  Fund  Cash Flow'!L33+'GF &amp; FF   Cash Flow'!L33+'Sewer  Fund  Cash Flow'!L33</f>
        <v>0</v>
      </c>
      <c r="M33" s="594">
        <f>'Water  Fund  Cash Flow'!M33+'GF &amp; FF   Cash Flow'!M33+'Sewer  Fund  Cash Flow'!M33</f>
        <v>0</v>
      </c>
      <c r="N33" s="594">
        <f>'Water  Fund  Cash Flow'!N33+'GF &amp; FF   Cash Flow'!N33+'Sewer  Fund  Cash Flow'!N33</f>
        <v>0</v>
      </c>
      <c r="O33" s="594">
        <f>'Water  Fund  Cash Flow'!O33+'GF &amp; FF   Cash Flow'!O33+'Sewer  Fund  Cash Flow'!O33</f>
        <v>0</v>
      </c>
      <c r="P33" s="594">
        <f>'Water  Fund  Cash Flow'!P33+'GF &amp; FF   Cash Flow'!P33+'Sewer  Fund  Cash Flow'!P33</f>
        <v>0</v>
      </c>
    </row>
    <row r="34" spans="1:18" s="644" customFormat="1" x14ac:dyDescent="0.2">
      <c r="A34" s="642" t="s">
        <v>110</v>
      </c>
      <c r="B34" s="593">
        <f>SUM(B24:B33)</f>
        <v>0</v>
      </c>
      <c r="C34" s="593">
        <f t="shared" ref="C34:P34" si="1">SUM(C24:C33)</f>
        <v>0</v>
      </c>
      <c r="D34" s="593">
        <f t="shared" si="1"/>
        <v>-31571</v>
      </c>
      <c r="E34" s="772">
        <f t="shared" si="1"/>
        <v>-42316</v>
      </c>
      <c r="F34" s="772">
        <f t="shared" si="1"/>
        <v>-34696.697999999997</v>
      </c>
      <c r="G34" s="772">
        <f t="shared" si="1"/>
        <v>-40076.017</v>
      </c>
      <c r="H34" s="772">
        <f t="shared" si="1"/>
        <v>-14088.892810000003</v>
      </c>
      <c r="I34" s="772">
        <f t="shared" si="1"/>
        <v>-15063.631785300002</v>
      </c>
      <c r="J34" s="772">
        <f t="shared" si="1"/>
        <v>-15359.101846883999</v>
      </c>
      <c r="K34" s="772">
        <f t="shared" si="1"/>
        <v>-15214.289550849182</v>
      </c>
      <c r="L34" s="772">
        <f t="shared" si="1"/>
        <v>-15501.40520686616</v>
      </c>
      <c r="M34" s="772">
        <f t="shared" si="1"/>
        <v>-15843.453852628485</v>
      </c>
      <c r="N34" s="772">
        <f t="shared" si="1"/>
        <v>-16512.992302346684</v>
      </c>
      <c r="O34" s="772">
        <f t="shared" si="1"/>
        <v>-16860.053072875882</v>
      </c>
      <c r="P34" s="772">
        <f t="shared" si="1"/>
        <v>-17053.669399427719</v>
      </c>
    </row>
    <row r="35" spans="1:18" ht="9" customHeight="1" x14ac:dyDescent="0.2">
      <c r="B35" s="594"/>
      <c r="C35" s="594"/>
      <c r="D35" s="594"/>
      <c r="E35" s="594"/>
      <c r="F35" s="594"/>
      <c r="G35" s="594"/>
      <c r="H35" s="594"/>
      <c r="I35" s="594"/>
      <c r="J35" s="594"/>
      <c r="K35" s="594"/>
      <c r="L35" s="594"/>
      <c r="M35" s="594"/>
      <c r="N35" s="594"/>
      <c r="O35" s="594"/>
      <c r="P35" s="594"/>
    </row>
    <row r="36" spans="1:18" x14ac:dyDescent="0.2">
      <c r="A36" s="592" t="s">
        <v>1054</v>
      </c>
      <c r="B36" s="590"/>
      <c r="C36" s="590"/>
      <c r="D36" s="590"/>
      <c r="E36" s="590"/>
      <c r="F36" s="590"/>
      <c r="G36" s="590"/>
      <c r="H36" s="590"/>
      <c r="I36" s="590"/>
      <c r="J36" s="590"/>
      <c r="K36" s="590"/>
      <c r="L36" s="590"/>
      <c r="M36" s="590"/>
      <c r="N36" s="590"/>
      <c r="O36" s="590"/>
      <c r="P36" s="590"/>
    </row>
    <row r="37" spans="1:18" x14ac:dyDescent="0.2">
      <c r="A37" s="640" t="s">
        <v>83</v>
      </c>
      <c r="B37" s="590"/>
      <c r="C37" s="590"/>
      <c r="D37" s="590"/>
      <c r="E37" s="590"/>
      <c r="F37" s="590"/>
      <c r="G37" s="590"/>
      <c r="H37" s="590"/>
      <c r="I37" s="590"/>
      <c r="J37" s="590"/>
      <c r="K37" s="590"/>
      <c r="L37" s="590"/>
      <c r="M37" s="590"/>
      <c r="N37" s="590"/>
      <c r="O37" s="590"/>
      <c r="P37" s="590"/>
    </row>
    <row r="38" spans="1:18" x14ac:dyDescent="0.2">
      <c r="A38" s="639" t="s">
        <v>1055</v>
      </c>
      <c r="B38" s="594"/>
      <c r="C38" s="594"/>
      <c r="D38" s="594">
        <v>5350</v>
      </c>
      <c r="E38" s="594">
        <f>'Water  Fund  Cash Flow'!E38+'GF &amp; FF   Cash Flow'!E38+'Sewer  Fund  Cash Flow'!E38</f>
        <v>13500</v>
      </c>
      <c r="F38" s="594">
        <f>'Water  Fund  Cash Flow'!F38+'GF &amp; FF   Cash Flow'!F38+'Sewer  Fund  Cash Flow'!F38</f>
        <v>19756</v>
      </c>
      <c r="G38" s="594">
        <f>'Water  Fund  Cash Flow'!G38+'GF &amp; FF   Cash Flow'!G38+'Sewer  Fund  Cash Flow'!G38</f>
        <v>17356.182000000001</v>
      </c>
      <c r="H38" s="594">
        <f>'Water  Fund  Cash Flow'!H38+'GF &amp; FF   Cash Flow'!H38+'Sewer  Fund  Cash Flow'!H38</f>
        <v>0</v>
      </c>
      <c r="I38" s="594">
        <f>'Water  Fund  Cash Flow'!I38+'GF &amp; FF   Cash Flow'!I38+'Sewer  Fund  Cash Flow'!I38</f>
        <v>0</v>
      </c>
      <c r="J38" s="594">
        <f>'Water  Fund  Cash Flow'!J38+'GF &amp; FF   Cash Flow'!J38+'Sewer  Fund  Cash Flow'!J38</f>
        <v>0</v>
      </c>
      <c r="K38" s="594">
        <f>'Water  Fund  Cash Flow'!K38+'GF &amp; FF   Cash Flow'!K38+'Sewer  Fund  Cash Flow'!K38</f>
        <v>0</v>
      </c>
      <c r="L38" s="594">
        <f>'Water  Fund  Cash Flow'!L38+'GF &amp; FF   Cash Flow'!L38+'Sewer  Fund  Cash Flow'!L38</f>
        <v>0</v>
      </c>
      <c r="M38" s="594">
        <f>'Water  Fund  Cash Flow'!M38+'GF &amp; FF   Cash Flow'!M38+'Sewer  Fund  Cash Flow'!M38</f>
        <v>0</v>
      </c>
      <c r="N38" s="594">
        <f>'Water  Fund  Cash Flow'!N38+'GF &amp; FF   Cash Flow'!N38+'Sewer  Fund  Cash Flow'!N38</f>
        <v>0</v>
      </c>
      <c r="O38" s="594">
        <f>'Water  Fund  Cash Flow'!O38+'GF &amp; FF   Cash Flow'!O38+'Sewer  Fund  Cash Flow'!O38</f>
        <v>0</v>
      </c>
      <c r="P38" s="594">
        <f>'Water  Fund  Cash Flow'!P38+'GF &amp; FF   Cash Flow'!P38+'Sewer  Fund  Cash Flow'!P38</f>
        <v>0</v>
      </c>
      <c r="R38" s="639" t="s">
        <v>1036</v>
      </c>
    </row>
    <row r="39" spans="1:18" ht="5.25" customHeight="1" x14ac:dyDescent="0.2">
      <c r="B39" s="594"/>
      <c r="C39" s="594"/>
      <c r="D39" s="594"/>
      <c r="E39" s="594"/>
      <c r="F39" s="594"/>
      <c r="G39" s="594"/>
      <c r="H39" s="594"/>
      <c r="I39" s="594"/>
      <c r="J39" s="594"/>
      <c r="K39" s="594"/>
      <c r="L39" s="594"/>
      <c r="M39" s="594"/>
      <c r="N39" s="594"/>
      <c r="O39" s="594"/>
      <c r="P39" s="594"/>
    </row>
    <row r="40" spans="1:18" x14ac:dyDescent="0.2">
      <c r="A40" s="640" t="s">
        <v>87</v>
      </c>
      <c r="B40" s="594"/>
      <c r="C40" s="594"/>
      <c r="D40" s="594"/>
      <c r="E40" s="594"/>
      <c r="F40" s="594"/>
      <c r="G40" s="594"/>
      <c r="H40" s="594"/>
      <c r="I40" s="594"/>
      <c r="J40" s="594"/>
      <c r="K40" s="594"/>
      <c r="L40" s="594"/>
      <c r="M40" s="594"/>
      <c r="N40" s="594"/>
      <c r="O40" s="594"/>
      <c r="P40" s="594"/>
    </row>
    <row r="41" spans="1:18" x14ac:dyDescent="0.2">
      <c r="A41" s="639" t="s">
        <v>1056</v>
      </c>
      <c r="B41" s="594"/>
      <c r="C41" s="594"/>
      <c r="D41" s="594">
        <v>-1616</v>
      </c>
      <c r="E41" s="594">
        <f>'Water  Fund  Cash Flow'!E41+'GF &amp; FF   Cash Flow'!E41+'Sewer  Fund  Cash Flow'!E41</f>
        <v>-2776</v>
      </c>
      <c r="F41" s="594">
        <f>'Water  Fund  Cash Flow'!F41+'GF &amp; FF   Cash Flow'!F41+'Sewer  Fund  Cash Flow'!F41</f>
        <v>-1248.338</v>
      </c>
      <c r="G41" s="594">
        <f>'Water  Fund  Cash Flow'!G41+'GF &amp; FF   Cash Flow'!G41+'Sewer  Fund  Cash Flow'!G41</f>
        <v>-978.11200000000008</v>
      </c>
      <c r="H41" s="594">
        <f>'Water  Fund  Cash Flow'!H41+'GF &amp; FF   Cash Flow'!H41+'Sewer  Fund  Cash Flow'!H41</f>
        <v>-932.58900000000006</v>
      </c>
      <c r="I41" s="594">
        <f>'Water  Fund  Cash Flow'!I41+'GF &amp; FF   Cash Flow'!I41+'Sewer  Fund  Cash Flow'!I41</f>
        <v>-820.72099999999989</v>
      </c>
      <c r="J41" s="594">
        <f>'Water  Fund  Cash Flow'!J41+'GF &amp; FF   Cash Flow'!J41+'Sewer  Fund  Cash Flow'!J41</f>
        <v>-868.93100000000004</v>
      </c>
      <c r="K41" s="594">
        <f>'Water  Fund  Cash Flow'!K41+'GF &amp; FF   Cash Flow'!K41+'Sewer  Fund  Cash Flow'!K41</f>
        <v>-904.44612000000006</v>
      </c>
      <c r="L41" s="594">
        <f>'Water  Fund  Cash Flow'!L41+'GF &amp; FF   Cash Flow'!L41+'Sewer  Fund  Cash Flow'!L41</f>
        <v>-940.05504240000016</v>
      </c>
      <c r="M41" s="594">
        <f>'Water  Fund  Cash Flow'!M41+'GF &amp; FF   Cash Flow'!M41+'Sewer  Fund  Cash Flow'!M41</f>
        <v>-651.83614324799998</v>
      </c>
      <c r="N41" s="594">
        <f>'Water  Fund  Cash Flow'!N41+'GF &amp; FF   Cash Flow'!N41+'Sewer  Fund  Cash Flow'!N41</f>
        <v>-243.08675504272003</v>
      </c>
      <c r="O41" s="594">
        <f>'Water  Fund  Cash Flow'!O41+'GF &amp; FF   Cash Flow'!O41+'Sewer  Fund  Cash Flow'!O41</f>
        <v>-252.04849014357444</v>
      </c>
      <c r="P41" s="594">
        <f>'Water  Fund  Cash Flow'!P41+'GF &amp; FF   Cash Flow'!P41+'Sewer  Fund  Cash Flow'!P41</f>
        <v>-262.04945994644595</v>
      </c>
      <c r="R41" s="639" t="s">
        <v>1036</v>
      </c>
    </row>
    <row r="42" spans="1:18" s="644" customFormat="1" x14ac:dyDescent="0.2">
      <c r="A42" s="770" t="s">
        <v>110</v>
      </c>
      <c r="B42" s="772">
        <f t="shared" ref="B42:P42" si="2">SUM(B38:B41)</f>
        <v>0</v>
      </c>
      <c r="C42" s="772">
        <f t="shared" si="2"/>
        <v>0</v>
      </c>
      <c r="D42" s="772">
        <f t="shared" si="2"/>
        <v>3734</v>
      </c>
      <c r="E42" s="772">
        <f t="shared" si="2"/>
        <v>10724</v>
      </c>
      <c r="F42" s="772">
        <f t="shared" si="2"/>
        <v>18507.662</v>
      </c>
      <c r="G42" s="772">
        <f t="shared" si="2"/>
        <v>16378.07</v>
      </c>
      <c r="H42" s="772">
        <f t="shared" si="2"/>
        <v>-932.58900000000006</v>
      </c>
      <c r="I42" s="772">
        <f t="shared" si="2"/>
        <v>-820.72099999999989</v>
      </c>
      <c r="J42" s="772">
        <f t="shared" si="2"/>
        <v>-868.93100000000004</v>
      </c>
      <c r="K42" s="772">
        <f t="shared" si="2"/>
        <v>-904.44612000000006</v>
      </c>
      <c r="L42" s="772">
        <f t="shared" si="2"/>
        <v>-940.05504240000016</v>
      </c>
      <c r="M42" s="772">
        <f t="shared" si="2"/>
        <v>-651.83614324799998</v>
      </c>
      <c r="N42" s="772">
        <f t="shared" si="2"/>
        <v>-243.08675504272003</v>
      </c>
      <c r="O42" s="772">
        <f t="shared" si="2"/>
        <v>-252.04849014357444</v>
      </c>
      <c r="P42" s="772">
        <f t="shared" si="2"/>
        <v>-262.04945994644595</v>
      </c>
    </row>
    <row r="43" spans="1:18" ht="3.75" customHeight="1" x14ac:dyDescent="0.2">
      <c r="B43" s="594"/>
      <c r="C43" s="594"/>
      <c r="D43" s="594"/>
      <c r="E43" s="594"/>
      <c r="F43" s="594"/>
      <c r="G43" s="594"/>
      <c r="H43" s="594"/>
      <c r="I43" s="594"/>
      <c r="J43" s="594"/>
      <c r="K43" s="594"/>
      <c r="L43" s="594"/>
      <c r="M43" s="594"/>
      <c r="N43" s="594"/>
      <c r="O43" s="594"/>
      <c r="P43" s="594"/>
    </row>
    <row r="44" spans="1:18" x14ac:dyDescent="0.2">
      <c r="A44" s="592" t="s">
        <v>321</v>
      </c>
      <c r="B44" s="594">
        <f>+B20+B34</f>
        <v>0</v>
      </c>
      <c r="C44" s="594">
        <f>+C20+C34</f>
        <v>0</v>
      </c>
      <c r="D44" s="594">
        <f>+D20+D34+D42</f>
        <v>5944</v>
      </c>
      <c r="E44" s="594">
        <f t="shared" ref="E44:P44" si="3">+E20+E34+E42</f>
        <v>-6977</v>
      </c>
      <c r="F44" s="594">
        <f t="shared" si="3"/>
        <v>31.000000000007276</v>
      </c>
      <c r="G44" s="594">
        <f t="shared" si="3"/>
        <v>353.14696000000913</v>
      </c>
      <c r="H44" s="594">
        <f t="shared" si="3"/>
        <v>438.18267499999627</v>
      </c>
      <c r="I44" s="594">
        <f t="shared" si="3"/>
        <v>93.631505000008133</v>
      </c>
      <c r="J44" s="594">
        <f t="shared" si="3"/>
        <v>-50.071129249997739</v>
      </c>
      <c r="K44" s="594">
        <f t="shared" si="3"/>
        <v>27.421452648028662</v>
      </c>
      <c r="L44" s="594">
        <f t="shared" si="3"/>
        <v>66.277215111306873</v>
      </c>
      <c r="M44" s="594">
        <f t="shared" si="3"/>
        <v>372.39075724757424</v>
      </c>
      <c r="N44" s="594">
        <f t="shared" si="3"/>
        <v>476.76779598082533</v>
      </c>
      <c r="O44" s="594">
        <f t="shared" si="3"/>
        <v>498.78345217524054</v>
      </c>
      <c r="P44" s="594">
        <f t="shared" si="3"/>
        <v>679.97723906411693</v>
      </c>
    </row>
    <row r="45" spans="1:18" ht="3.75" customHeight="1" x14ac:dyDescent="0.2">
      <c r="A45" s="644"/>
      <c r="B45" s="594"/>
      <c r="C45" s="594"/>
      <c r="D45" s="594"/>
      <c r="E45" s="594"/>
      <c r="F45" s="594"/>
      <c r="G45" s="594"/>
      <c r="H45" s="594"/>
      <c r="I45" s="594"/>
      <c r="J45" s="594"/>
      <c r="K45" s="594"/>
      <c r="L45" s="594"/>
      <c r="M45" s="594"/>
      <c r="N45" s="594"/>
      <c r="O45" s="594"/>
      <c r="P45" s="594"/>
    </row>
    <row r="46" spans="1:18" x14ac:dyDescent="0.2">
      <c r="A46" s="592" t="s">
        <v>96</v>
      </c>
      <c r="B46" s="594"/>
      <c r="C46" s="594">
        <f>+B48</f>
        <v>0</v>
      </c>
      <c r="D46" s="594">
        <v>3352</v>
      </c>
      <c r="E46" s="594">
        <f t="shared" ref="E46:P46" si="4">+D48</f>
        <v>9296</v>
      </c>
      <c r="F46" s="594">
        <f t="shared" si="4"/>
        <v>2319</v>
      </c>
      <c r="G46" s="594">
        <f t="shared" si="4"/>
        <v>2350.0000000000073</v>
      </c>
      <c r="H46" s="594">
        <f t="shared" si="4"/>
        <v>2703.1469600000164</v>
      </c>
      <c r="I46" s="594">
        <f t="shared" si="4"/>
        <v>3141.3296350000128</v>
      </c>
      <c r="J46" s="594">
        <f t="shared" si="4"/>
        <v>3234.9611400000208</v>
      </c>
      <c r="K46" s="594">
        <f t="shared" si="4"/>
        <v>3184.8900107500231</v>
      </c>
      <c r="L46" s="594">
        <f t="shared" si="4"/>
        <v>3212.3114633980517</v>
      </c>
      <c r="M46" s="594">
        <f t="shared" si="4"/>
        <v>3278.5886785093585</v>
      </c>
      <c r="N46" s="594">
        <f t="shared" si="4"/>
        <v>3650.9794357569326</v>
      </c>
      <c r="O46" s="594">
        <f t="shared" si="4"/>
        <v>4127.7472317377578</v>
      </c>
      <c r="P46" s="594">
        <f t="shared" si="4"/>
        <v>4626.530683912998</v>
      </c>
    </row>
    <row r="47" spans="1:18" ht="4.5" customHeight="1" x14ac:dyDescent="0.2">
      <c r="B47" s="594"/>
      <c r="C47" s="594"/>
      <c r="D47" s="594"/>
      <c r="E47" s="594"/>
      <c r="F47" s="594"/>
      <c r="G47" s="594"/>
      <c r="H47" s="594"/>
      <c r="I47" s="594"/>
      <c r="J47" s="594"/>
      <c r="K47" s="594"/>
      <c r="L47" s="594"/>
      <c r="M47" s="594"/>
      <c r="N47" s="594"/>
      <c r="O47" s="594"/>
      <c r="P47" s="594"/>
    </row>
    <row r="48" spans="1:18" s="592" customFormat="1" ht="12.75" thickBot="1" x14ac:dyDescent="0.25">
      <c r="A48" s="592" t="s">
        <v>97</v>
      </c>
      <c r="B48" s="645">
        <f>+B44+B46</f>
        <v>0</v>
      </c>
      <c r="C48" s="645">
        <f t="shared" ref="C48:P48" si="5">+C44+C46</f>
        <v>0</v>
      </c>
      <c r="D48" s="645">
        <f t="shared" si="5"/>
        <v>9296</v>
      </c>
      <c r="E48" s="645">
        <f t="shared" si="5"/>
        <v>2319</v>
      </c>
      <c r="F48" s="645">
        <f t="shared" si="5"/>
        <v>2350.0000000000073</v>
      </c>
      <c r="G48" s="645">
        <f t="shared" si="5"/>
        <v>2703.1469600000164</v>
      </c>
      <c r="H48" s="645">
        <f t="shared" si="5"/>
        <v>3141.3296350000128</v>
      </c>
      <c r="I48" s="645">
        <f t="shared" si="5"/>
        <v>3234.9611400000208</v>
      </c>
      <c r="J48" s="645">
        <f t="shared" si="5"/>
        <v>3184.8900107500231</v>
      </c>
      <c r="K48" s="645">
        <f t="shared" si="5"/>
        <v>3212.3114633980517</v>
      </c>
      <c r="L48" s="645">
        <f t="shared" si="5"/>
        <v>3278.5886785093585</v>
      </c>
      <c r="M48" s="645">
        <f t="shared" si="5"/>
        <v>3650.9794357569326</v>
      </c>
      <c r="N48" s="645">
        <f t="shared" si="5"/>
        <v>4127.7472317377578</v>
      </c>
      <c r="O48" s="645">
        <f t="shared" si="5"/>
        <v>4626.530683912998</v>
      </c>
      <c r="P48" s="645">
        <f t="shared" si="5"/>
        <v>5306.5079229771145</v>
      </c>
    </row>
    <row r="49" spans="1:16" ht="4.5" customHeight="1" x14ac:dyDescent="0.2"/>
    <row r="50" spans="1:16" x14ac:dyDescent="0.2">
      <c r="A50" s="639" t="s">
        <v>98</v>
      </c>
      <c r="B50" s="590"/>
      <c r="C50" s="590">
        <f>B50-C30-C24</f>
        <v>0</v>
      </c>
      <c r="D50" s="590">
        <v>46112</v>
      </c>
      <c r="E50" s="590">
        <f t="shared" ref="E50:P50" si="6">D50-E30-E24</f>
        <v>48273</v>
      </c>
      <c r="F50" s="590">
        <f t="shared" si="6"/>
        <v>42234.275999999998</v>
      </c>
      <c r="G50" s="590">
        <f t="shared" si="6"/>
        <v>40126.298999999999</v>
      </c>
      <c r="H50" s="590">
        <f t="shared" si="6"/>
        <v>32192.597009999998</v>
      </c>
      <c r="I50" s="590">
        <f t="shared" si="6"/>
        <v>30551.806400299996</v>
      </c>
      <c r="J50" s="590">
        <f t="shared" si="6"/>
        <v>29960.122842308992</v>
      </c>
      <c r="K50" s="590">
        <f t="shared" si="6"/>
        <v>30771.589393158174</v>
      </c>
      <c r="L50" s="590">
        <f t="shared" si="6"/>
        <v>31599.285275024336</v>
      </c>
      <c r="M50" s="590">
        <f t="shared" si="6"/>
        <v>32443.535074527823</v>
      </c>
      <c r="N50" s="590">
        <f t="shared" si="6"/>
        <v>33304.669870021382</v>
      </c>
      <c r="O50" s="590">
        <f t="shared" si="6"/>
        <v>34183.027361424814</v>
      </c>
      <c r="P50" s="590">
        <f t="shared" si="6"/>
        <v>35078.952002656311</v>
      </c>
    </row>
    <row r="51" spans="1:16" ht="3.75" customHeight="1" x14ac:dyDescent="0.2">
      <c r="B51" s="590"/>
      <c r="C51" s="590"/>
      <c r="D51" s="590"/>
      <c r="E51" s="590"/>
      <c r="F51" s="590"/>
      <c r="G51" s="590"/>
      <c r="H51" s="590"/>
      <c r="I51" s="590"/>
      <c r="J51" s="590"/>
      <c r="K51" s="590"/>
      <c r="L51" s="590"/>
      <c r="M51" s="590"/>
      <c r="N51" s="590"/>
      <c r="O51" s="590"/>
      <c r="P51" s="590"/>
    </row>
    <row r="52" spans="1:16" s="644" customFormat="1" ht="12.75" thickBot="1" x14ac:dyDescent="0.25">
      <c r="A52" s="592" t="s">
        <v>99</v>
      </c>
      <c r="B52" s="646">
        <f>+B48+B50</f>
        <v>0</v>
      </c>
      <c r="C52" s="646">
        <f t="shared" ref="C52:P52" si="7">+C48+C50</f>
        <v>0</v>
      </c>
      <c r="D52" s="646">
        <f t="shared" si="7"/>
        <v>55408</v>
      </c>
      <c r="E52" s="646">
        <f t="shared" si="7"/>
        <v>50592</v>
      </c>
      <c r="F52" s="646">
        <f t="shared" si="7"/>
        <v>44584.276000000005</v>
      </c>
      <c r="G52" s="646">
        <f t="shared" si="7"/>
        <v>42829.445960000012</v>
      </c>
      <c r="H52" s="646">
        <f t="shared" si="7"/>
        <v>35333.926645000014</v>
      </c>
      <c r="I52" s="646">
        <f t="shared" si="7"/>
        <v>33786.767540300018</v>
      </c>
      <c r="J52" s="646">
        <f t="shared" si="7"/>
        <v>33145.012853059015</v>
      </c>
      <c r="K52" s="646">
        <f t="shared" si="7"/>
        <v>33983.900856556225</v>
      </c>
      <c r="L52" s="646">
        <f t="shared" si="7"/>
        <v>34877.873953533694</v>
      </c>
      <c r="M52" s="646">
        <f t="shared" si="7"/>
        <v>36094.514510284753</v>
      </c>
      <c r="N52" s="646">
        <f t="shared" si="7"/>
        <v>37432.417101759143</v>
      </c>
      <c r="O52" s="646">
        <f t="shared" si="7"/>
        <v>38809.558045337813</v>
      </c>
      <c r="P52" s="646">
        <f t="shared" si="7"/>
        <v>40385.459925633426</v>
      </c>
    </row>
    <row r="53" spans="1:16" ht="12.75" thickTop="1" x14ac:dyDescent="0.2">
      <c r="B53" s="590"/>
      <c r="C53" s="590"/>
      <c r="D53" s="590"/>
      <c r="E53" s="590"/>
      <c r="F53" s="590"/>
      <c r="G53" s="590"/>
      <c r="H53" s="590"/>
      <c r="I53" s="590"/>
      <c r="J53" s="590"/>
      <c r="K53" s="590"/>
      <c r="L53" s="590"/>
      <c r="M53" s="590"/>
      <c r="N53" s="590"/>
      <c r="O53" s="590"/>
      <c r="P53" s="590"/>
    </row>
    <row r="54" spans="1:16" ht="12.75" x14ac:dyDescent="0.2">
      <c r="A54" s="1091" t="s">
        <v>1361</v>
      </c>
      <c r="B54" s="590"/>
      <c r="C54" s="590"/>
      <c r="D54" s="590"/>
      <c r="E54" s="590"/>
      <c r="F54" s="590"/>
      <c r="G54" s="590"/>
      <c r="H54" s="590"/>
      <c r="I54" s="590"/>
      <c r="J54" s="590"/>
      <c r="K54" s="590"/>
      <c r="L54" s="590"/>
      <c r="M54" s="590"/>
      <c r="N54" s="590"/>
      <c r="O54" s="590"/>
      <c r="P54" s="590"/>
    </row>
    <row r="55" spans="1:16" x14ac:dyDescent="0.2">
      <c r="A55" s="596" t="s">
        <v>1068</v>
      </c>
      <c r="B55" s="586" t="s">
        <v>69</v>
      </c>
      <c r="C55" s="586" t="s">
        <v>69</v>
      </c>
      <c r="D55" s="586" t="str">
        <f t="shared" ref="D55:P55" si="8">D2</f>
        <v>Actual</v>
      </c>
      <c r="E55" s="586" t="str">
        <f t="shared" si="8"/>
        <v>Actual</v>
      </c>
      <c r="F55" s="586" t="str">
        <f t="shared" si="8"/>
        <v>Budget</v>
      </c>
      <c r="G55" s="586" t="str">
        <f t="shared" si="8"/>
        <v>Budget</v>
      </c>
      <c r="H55" s="586" t="str">
        <f t="shared" si="8"/>
        <v>Projected</v>
      </c>
      <c r="I55" s="586" t="str">
        <f t="shared" si="8"/>
        <v>Projected</v>
      </c>
      <c r="J55" s="586" t="str">
        <f t="shared" si="8"/>
        <v>Projected</v>
      </c>
      <c r="K55" s="586" t="str">
        <f t="shared" si="8"/>
        <v>Projected</v>
      </c>
      <c r="L55" s="586" t="str">
        <f t="shared" si="8"/>
        <v>Projected</v>
      </c>
      <c r="M55" s="586" t="str">
        <f t="shared" si="8"/>
        <v>Projected</v>
      </c>
      <c r="N55" s="586" t="str">
        <f t="shared" si="8"/>
        <v>Projected</v>
      </c>
      <c r="O55" s="586" t="str">
        <f t="shared" si="8"/>
        <v>Projected</v>
      </c>
      <c r="P55" s="586" t="str">
        <f t="shared" si="8"/>
        <v>Projected</v>
      </c>
    </row>
    <row r="56" spans="1:16" x14ac:dyDescent="0.2">
      <c r="A56" s="585" t="s">
        <v>73</v>
      </c>
      <c r="B56" s="638" t="s">
        <v>68</v>
      </c>
      <c r="C56" s="586" t="s">
        <v>0</v>
      </c>
      <c r="D56" s="586" t="s">
        <v>1</v>
      </c>
      <c r="E56" s="586" t="s">
        <v>2</v>
      </c>
      <c r="F56" s="586" t="s">
        <v>3</v>
      </c>
      <c r="G56" s="586" t="s">
        <v>4</v>
      </c>
      <c r="H56" s="586" t="s">
        <v>5</v>
      </c>
      <c r="I56" s="586" t="s">
        <v>6</v>
      </c>
      <c r="J56" s="586" t="s">
        <v>7</v>
      </c>
      <c r="K56" s="586" t="s">
        <v>8</v>
      </c>
      <c r="L56" s="586" t="s">
        <v>9</v>
      </c>
      <c r="M56" s="586" t="s">
        <v>514</v>
      </c>
      <c r="N56" s="586" t="s">
        <v>515</v>
      </c>
      <c r="O56" s="586" t="s">
        <v>904</v>
      </c>
      <c r="P56" s="586" t="s">
        <v>1046</v>
      </c>
    </row>
    <row r="58" spans="1:16" x14ac:dyDescent="0.2">
      <c r="A58" s="592" t="s">
        <v>82</v>
      </c>
    </row>
    <row r="59" spans="1:16" x14ac:dyDescent="0.2">
      <c r="A59" s="640" t="s">
        <v>83</v>
      </c>
      <c r="B59" s="590"/>
      <c r="C59" s="590"/>
      <c r="D59" s="590"/>
      <c r="E59" s="590"/>
      <c r="F59" s="590"/>
      <c r="G59" s="590"/>
      <c r="H59" s="590"/>
      <c r="I59" s="590"/>
      <c r="J59" s="590"/>
      <c r="K59" s="590"/>
      <c r="L59" s="590"/>
      <c r="M59" s="590"/>
      <c r="N59" s="590"/>
      <c r="O59" s="590"/>
      <c r="P59" s="590"/>
    </row>
    <row r="60" spans="1:16" x14ac:dyDescent="0.2">
      <c r="A60" s="639" t="s">
        <v>11</v>
      </c>
      <c r="B60" s="594"/>
      <c r="C60" s="594">
        <f t="shared" ref="C60:D65" si="9">C7</f>
        <v>0</v>
      </c>
      <c r="D60" s="594">
        <f t="shared" si="9"/>
        <v>18724</v>
      </c>
      <c r="E60" s="594">
        <f>'Water  Fund  Cash Flow'!E60+'GF &amp; FF   Cash Flow'!E60+'Sewer  Fund  Cash Flow'!E60</f>
        <v>18207</v>
      </c>
      <c r="F60" s="594">
        <f>'Water  Fund  Cash Flow'!F60+'GF &amp; FF   Cash Flow'!F60+'Sewer  Fund  Cash Flow'!F60</f>
        <v>20031.815000000002</v>
      </c>
      <c r="G60" s="594">
        <f>'Water  Fund  Cash Flow'!G60+'GF &amp; FF   Cash Flow'!G60+'Sewer  Fund  Cash Flow'!G60</f>
        <v>20914.976999999999</v>
      </c>
      <c r="H60" s="594">
        <f>'Water  Fund  Cash Flow'!H60+'GF &amp; FF   Cash Flow'!H60+'Sewer  Fund  Cash Flow'!H60</f>
        <v>21983.957000000002</v>
      </c>
      <c r="I60" s="594">
        <f>'Water  Fund  Cash Flow'!I60+'GF &amp; FF   Cash Flow'!I60+'Sewer  Fund  Cash Flow'!I60</f>
        <v>23213.714999999997</v>
      </c>
      <c r="J60" s="594">
        <f>'Water  Fund  Cash Flow'!J60+'GF &amp; FF   Cash Flow'!J60+'Sewer  Fund  Cash Flow'!J60</f>
        <v>24181.231999999996</v>
      </c>
      <c r="K60" s="594">
        <f>'Water  Fund  Cash Flow'!K60+'GF &amp; FF   Cash Flow'!K60+'Sewer  Fund  Cash Flow'!K60</f>
        <v>24785.762799999997</v>
      </c>
      <c r="L60" s="594">
        <f>'Water  Fund  Cash Flow'!L60+'GF &amp; FF   Cash Flow'!L60+'Sewer  Fund  Cash Flow'!L60</f>
        <v>25405.406869999992</v>
      </c>
      <c r="M60" s="594">
        <f>'Water  Fund  Cash Flow'!M60+'GF &amp; FF   Cash Flow'!M60+'Sewer  Fund  Cash Flow'!M60</f>
        <v>26040.542041749992</v>
      </c>
      <c r="N60" s="594">
        <f>'Water  Fund  Cash Flow'!N60+'GF &amp; FF   Cash Flow'!N60+'Sewer  Fund  Cash Flow'!N60</f>
        <v>26691.555592793742</v>
      </c>
      <c r="O60" s="594">
        <f>'Water  Fund  Cash Flow'!O60+'GF &amp; FF   Cash Flow'!O60+'Sewer  Fund  Cash Flow'!O60</f>
        <v>27358.844482613582</v>
      </c>
      <c r="P60" s="594">
        <f>'Water  Fund  Cash Flow'!P60+'GF &amp; FF   Cash Flow'!P60+'Sewer  Fund  Cash Flow'!P60</f>
        <v>28042.815594678919</v>
      </c>
    </row>
    <row r="61" spans="1:16" x14ac:dyDescent="0.2">
      <c r="A61" s="639" t="s">
        <v>12</v>
      </c>
      <c r="B61" s="594"/>
      <c r="C61" s="594">
        <f t="shared" si="9"/>
        <v>0</v>
      </c>
      <c r="D61" s="594">
        <f t="shared" si="9"/>
        <v>11585</v>
      </c>
      <c r="E61" s="594">
        <f>'Water  Fund  Cash Flow'!E61+'GF &amp; FF   Cash Flow'!E61+'Sewer  Fund  Cash Flow'!E61</f>
        <v>10646</v>
      </c>
      <c r="F61" s="594">
        <f>'Water  Fund  Cash Flow'!F61+'GF &amp; FF   Cash Flow'!F61+'Sewer  Fund  Cash Flow'!F61</f>
        <v>13528.819000000001</v>
      </c>
      <c r="G61" s="594">
        <f>'Water  Fund  Cash Flow'!G61+'GF &amp; FF   Cash Flow'!G61+'Sewer  Fund  Cash Flow'!G61</f>
        <v>14184.400000000001</v>
      </c>
      <c r="H61" s="594">
        <f>'Water  Fund  Cash Flow'!H61+'GF &amp; FF   Cash Flow'!H61+'Sewer  Fund  Cash Flow'!H61</f>
        <v>14288.015000000001</v>
      </c>
      <c r="I61" s="594">
        <f>'Water  Fund  Cash Flow'!I61+'GF &amp; FF   Cash Flow'!I61+'Sewer  Fund  Cash Flow'!I61</f>
        <v>14861.232999999998</v>
      </c>
      <c r="J61" s="594">
        <f>'Water  Fund  Cash Flow'!J61+'GF &amp; FF   Cash Flow'!J61+'Sewer  Fund  Cash Flow'!J61</f>
        <v>15527.495999999999</v>
      </c>
      <c r="K61" s="594">
        <f>'Water  Fund  Cash Flow'!K61+'GF &amp; FF   Cash Flow'!K61+'Sewer  Fund  Cash Flow'!K61</f>
        <v>15838.04592</v>
      </c>
      <c r="L61" s="594">
        <f>'Water  Fund  Cash Flow'!L61+'GF &amp; FF   Cash Flow'!L61+'Sewer  Fund  Cash Flow'!L61</f>
        <v>16154.8068384</v>
      </c>
      <c r="M61" s="594">
        <f>'Water  Fund  Cash Flow'!M61+'GF &amp; FF   Cash Flow'!M61+'Sewer  Fund  Cash Flow'!M61</f>
        <v>16477.902975167999</v>
      </c>
      <c r="N61" s="594">
        <f>'Water  Fund  Cash Flow'!N61+'GF &amp; FF   Cash Flow'!N61+'Sewer  Fund  Cash Flow'!N61</f>
        <v>16807.46103467136</v>
      </c>
      <c r="O61" s="594">
        <f>'Water  Fund  Cash Flow'!O61+'GF &amp; FF   Cash Flow'!O61+'Sewer  Fund  Cash Flow'!O61</f>
        <v>17143.610255364791</v>
      </c>
      <c r="P61" s="594">
        <f>'Water  Fund  Cash Flow'!P61+'GF &amp; FF   Cash Flow'!P61+'Sewer  Fund  Cash Flow'!P61</f>
        <v>17486.482460472089</v>
      </c>
    </row>
    <row r="62" spans="1:16" x14ac:dyDescent="0.2">
      <c r="A62" s="639" t="s">
        <v>84</v>
      </c>
      <c r="B62" s="594"/>
      <c r="C62" s="594">
        <f t="shared" si="9"/>
        <v>0</v>
      </c>
      <c r="D62" s="594">
        <f t="shared" si="9"/>
        <v>2499</v>
      </c>
      <c r="E62" s="594">
        <f>'Water  Fund  Cash Flow'!E62+'GF &amp; FF   Cash Flow'!E62+'Sewer  Fund  Cash Flow'!E62</f>
        <v>2571</v>
      </c>
      <c r="F62" s="594">
        <f>'Water  Fund  Cash Flow'!F62+'GF &amp; FF   Cash Flow'!F62+'Sewer  Fund  Cash Flow'!F62</f>
        <v>2254.5</v>
      </c>
      <c r="G62" s="594">
        <f>'Water  Fund  Cash Flow'!G62+'GF &amp; FF   Cash Flow'!G62+'Sewer  Fund  Cash Flow'!G62</f>
        <v>2162.2089999999998</v>
      </c>
      <c r="H62" s="594">
        <f>'Water  Fund  Cash Flow'!H62+'GF &amp; FF   Cash Flow'!H62+'Sewer  Fund  Cash Flow'!H62</f>
        <v>1977.5630000000001</v>
      </c>
      <c r="I62" s="594">
        <f>'Water  Fund  Cash Flow'!I62+'GF &amp; FF   Cash Flow'!I62+'Sewer  Fund  Cash Flow'!I62</f>
        <v>1913.963</v>
      </c>
      <c r="J62" s="594">
        <f>'Water  Fund  Cash Flow'!J62+'GF &amp; FF   Cash Flow'!J62+'Sewer  Fund  Cash Flow'!J62</f>
        <v>1883.6479999999999</v>
      </c>
      <c r="K62" s="594">
        <f>'Water  Fund  Cash Flow'!K62+'GF &amp; FF   Cash Flow'!K62+'Sewer  Fund  Cash Flow'!K62</f>
        <v>1609.3753407223599</v>
      </c>
      <c r="L62" s="594">
        <f>'Water  Fund  Cash Flow'!L62+'GF &amp; FF   Cash Flow'!L62+'Sewer  Fund  Cash Flow'!L62</f>
        <v>1643.6236416428462</v>
      </c>
      <c r="M62" s="594">
        <f>'Water  Fund  Cash Flow'!M62+'GF &amp; FF   Cash Flow'!M62+'Sewer  Fund  Cash Flow'!M62</f>
        <v>1646.4108318517845</v>
      </c>
      <c r="N62" s="594">
        <f>'Water  Fund  Cash Flow'!N62+'GF &amp; FF   Cash Flow'!N62+'Sewer  Fund  Cash Flow'!N62</f>
        <v>1616.8381767748906</v>
      </c>
      <c r="O62" s="594">
        <f>'Water  Fund  Cash Flow'!O62+'GF &amp; FF   Cash Flow'!O62+'Sewer  Fund  Cash Flow'!O62</f>
        <v>1621.6797768251254</v>
      </c>
      <c r="P62" s="594">
        <f>'Water  Fund  Cash Flow'!P62+'GF &amp; FF   Cash Flow'!P62+'Sewer  Fund  Cash Flow'!P62</f>
        <v>1630.1729379654207</v>
      </c>
    </row>
    <row r="63" spans="1:16" x14ac:dyDescent="0.2">
      <c r="A63" s="639" t="s">
        <v>85</v>
      </c>
      <c r="B63" s="594"/>
      <c r="C63" s="594">
        <f t="shared" si="9"/>
        <v>0</v>
      </c>
      <c r="D63" s="594">
        <f t="shared" si="9"/>
        <v>26703</v>
      </c>
      <c r="E63" s="594">
        <f>'Water  Fund  Cash Flow'!E63+'GF &amp; FF   Cash Flow'!E63+'Sewer  Fund  Cash Flow'!E63</f>
        <v>24423</v>
      </c>
      <c r="F63" s="594">
        <f>'Water  Fund  Cash Flow'!F63+'GF &amp; FF   Cash Flow'!F63+'Sewer  Fund  Cash Flow'!F63</f>
        <v>10208.751</v>
      </c>
      <c r="G63" s="594">
        <f>'Water  Fund  Cash Flow'!G63+'GF &amp; FF   Cash Flow'!G63+'Sewer  Fund  Cash Flow'!G63</f>
        <v>18048.356</v>
      </c>
      <c r="H63" s="594">
        <f>'Water  Fund  Cash Flow'!H63+'GF &amp; FF   Cash Flow'!H63+'Sewer  Fund  Cash Flow'!H63</f>
        <v>9562.6120100000007</v>
      </c>
      <c r="I63" s="594">
        <f>'Water  Fund  Cash Flow'!I63+'GF &amp; FF   Cash Flow'!I63+'Sewer  Fund  Cash Flow'!I63</f>
        <v>13218.3550153</v>
      </c>
      <c r="J63" s="594">
        <f>'Water  Fund  Cash Flow'!J63+'GF &amp; FF   Cash Flow'!J63+'Sewer  Fund  Cash Flow'!J63</f>
        <v>9877.800092634001</v>
      </c>
      <c r="K63" s="594">
        <f>'Water  Fund  Cash Flow'!K63+'GF &amp; FF   Cash Flow'!K63+'Sewer  Fund  Cash Flow'!K63</f>
        <v>10113.138688286681</v>
      </c>
      <c r="L63" s="594">
        <f>'Water  Fund  Cash Flow'!L63+'GF &amp; FF   Cash Flow'!L63+'Sewer  Fund  Cash Flow'!L63</f>
        <v>10354.128620697415</v>
      </c>
      <c r="M63" s="594">
        <f>'Water  Fund  Cash Flow'!M63+'GF &amp; FF   Cash Flow'!M63+'Sewer  Fund  Cash Flow'!M63</f>
        <v>10599.866130722487</v>
      </c>
      <c r="N63" s="594">
        <f>'Water  Fund  Cash Flow'!N63+'GF &amp; FF   Cash Flow'!N63+'Sewer  Fund  Cash Flow'!N63</f>
        <v>10851.510774388338</v>
      </c>
      <c r="O63" s="594">
        <f>'Water  Fund  Cash Flow'!O63+'GF &amp; FF   Cash Flow'!O63+'Sewer  Fund  Cash Flow'!O63</f>
        <v>11109.205503953792</v>
      </c>
      <c r="P63" s="594">
        <f>'Water  Fund  Cash Flow'!P63+'GF &amp; FF   Cash Flow'!P63+'Sewer  Fund  Cash Flow'!P63</f>
        <v>11373.096750962497</v>
      </c>
    </row>
    <row r="64" spans="1:16" hidden="1" outlineLevel="1" x14ac:dyDescent="0.2">
      <c r="A64" s="639" t="s">
        <v>86</v>
      </c>
      <c r="B64" s="594"/>
      <c r="C64" s="594">
        <f t="shared" si="9"/>
        <v>0</v>
      </c>
      <c r="D64" s="594">
        <f t="shared" si="9"/>
        <v>97</v>
      </c>
      <c r="E64" s="594">
        <f>'Water  Fund  Cash Flow'!E64+'GF &amp; FF   Cash Flow'!E64+'Sewer  Fund  Cash Flow'!E64</f>
        <v>296</v>
      </c>
      <c r="F64" s="594">
        <f>'Water  Fund  Cash Flow'!F64+'GF &amp; FF   Cash Flow'!F64+'Sewer  Fund  Cash Flow'!F64</f>
        <v>0</v>
      </c>
      <c r="G64" s="594">
        <f>'Water  Fund  Cash Flow'!G64+'GF &amp; FF   Cash Flow'!G64+'Sewer  Fund  Cash Flow'!G64</f>
        <v>0</v>
      </c>
      <c r="H64" s="594">
        <f>'Water  Fund  Cash Flow'!H64+'GF &amp; FF   Cash Flow'!H64+'Sewer  Fund  Cash Flow'!H64</f>
        <v>0</v>
      </c>
      <c r="I64" s="594">
        <f>'Water  Fund  Cash Flow'!I64+'GF &amp; FF   Cash Flow'!I64+'Sewer  Fund  Cash Flow'!I64</f>
        <v>0</v>
      </c>
      <c r="J64" s="594">
        <f>'Water  Fund  Cash Flow'!J64+'GF &amp; FF   Cash Flow'!J64+'Sewer  Fund  Cash Flow'!J64</f>
        <v>0</v>
      </c>
      <c r="K64" s="594">
        <f>'Water  Fund  Cash Flow'!K64+'GF &amp; FF   Cash Flow'!K64+'Sewer  Fund  Cash Flow'!K64</f>
        <v>0</v>
      </c>
      <c r="L64" s="594">
        <f>'Water  Fund  Cash Flow'!L64+'GF &amp; FF   Cash Flow'!L64+'Sewer  Fund  Cash Flow'!L64</f>
        <v>0</v>
      </c>
      <c r="M64" s="594">
        <f>'Water  Fund  Cash Flow'!M64+'GF &amp; FF   Cash Flow'!M64+'Sewer  Fund  Cash Flow'!M64</f>
        <v>0</v>
      </c>
      <c r="N64" s="594">
        <f>'Water  Fund  Cash Flow'!N64+'GF &amp; FF   Cash Flow'!N64+'Sewer  Fund  Cash Flow'!N64</f>
        <v>0</v>
      </c>
      <c r="O64" s="594">
        <f>'Water  Fund  Cash Flow'!O64+'GF &amp; FF   Cash Flow'!O64+'Sewer  Fund  Cash Flow'!O64</f>
        <v>0</v>
      </c>
      <c r="P64" s="594">
        <f>'Water  Fund  Cash Flow'!P64+'GF &amp; FF   Cash Flow'!P64+'Sewer  Fund  Cash Flow'!P64</f>
        <v>0</v>
      </c>
    </row>
    <row r="65" spans="1:16" collapsed="1" x14ac:dyDescent="0.2">
      <c r="A65" s="639" t="s">
        <v>41</v>
      </c>
      <c r="B65" s="594"/>
      <c r="C65" s="594">
        <f t="shared" si="9"/>
        <v>0</v>
      </c>
      <c r="D65" s="594">
        <f t="shared" si="9"/>
        <v>5309</v>
      </c>
      <c r="E65" s="594">
        <f>'Water  Fund  Cash Flow'!E65+'GF &amp; FF   Cash Flow'!E65+'Sewer  Fund  Cash Flow'!E65</f>
        <v>4000</v>
      </c>
      <c r="F65" s="594">
        <f>'Water  Fund  Cash Flow'!F65+'GF &amp; FF   Cash Flow'!F65+'Sewer  Fund  Cash Flow'!F65</f>
        <v>7207.8899999999994</v>
      </c>
      <c r="G65" s="594">
        <f>'Water  Fund  Cash Flow'!G65+'GF &amp; FF   Cash Flow'!G65+'Sewer  Fund  Cash Flow'!G65</f>
        <v>7469.6399999999994</v>
      </c>
      <c r="H65" s="594">
        <f>'Water  Fund  Cash Flow'!H65+'GF &amp; FF   Cash Flow'!H65+'Sewer  Fund  Cash Flow'!H65</f>
        <v>7703.4269999999997</v>
      </c>
      <c r="I65" s="594">
        <f>'Water  Fund  Cash Flow'!I65+'GF &amp; FF   Cash Flow'!I65+'Sewer  Fund  Cash Flow'!I65</f>
        <v>7939.5569999999998</v>
      </c>
      <c r="J65" s="594">
        <f>'Water  Fund  Cash Flow'!J65+'GF &amp; FF   Cash Flow'!J65+'Sewer  Fund  Cash Flow'!J65</f>
        <v>8034.5349999999999</v>
      </c>
      <c r="K65" s="594">
        <f>'Water  Fund  Cash Flow'!K65+'GF &amp; FF   Cash Flow'!K65+'Sewer  Fund  Cash Flow'!K65</f>
        <v>8195.2257000000009</v>
      </c>
      <c r="L65" s="594">
        <f>'Water  Fund  Cash Flow'!L65+'GF &amp; FF   Cash Flow'!L65+'Sewer  Fund  Cash Flow'!L65</f>
        <v>8359.1302140000007</v>
      </c>
      <c r="M65" s="594">
        <f>'Water  Fund  Cash Flow'!M65+'GF &amp; FF   Cash Flow'!M65+'Sewer  Fund  Cash Flow'!M65</f>
        <v>8526.3128182800028</v>
      </c>
      <c r="N65" s="594">
        <f>'Water  Fund  Cash Flow'!N65+'GF &amp; FF   Cash Flow'!N65+'Sewer  Fund  Cash Flow'!N65</f>
        <v>8696.8390746456025</v>
      </c>
      <c r="O65" s="594">
        <f>'Water  Fund  Cash Flow'!O65+'GF &amp; FF   Cash Flow'!O65+'Sewer  Fund  Cash Flow'!O65</f>
        <v>8870.7758561385144</v>
      </c>
      <c r="P65" s="594">
        <f>'Water  Fund  Cash Flow'!P65+'GF &amp; FF   Cash Flow'!P65+'Sewer  Fund  Cash Flow'!P65</f>
        <v>9048.1913732612848</v>
      </c>
    </row>
    <row r="66" spans="1:16" x14ac:dyDescent="0.2">
      <c r="B66" s="594"/>
      <c r="C66" s="594"/>
      <c r="D66" s="594"/>
      <c r="E66" s="594"/>
      <c r="F66" s="594"/>
      <c r="G66" s="594"/>
      <c r="H66" s="594"/>
      <c r="I66" s="594"/>
      <c r="J66" s="594"/>
      <c r="K66" s="594"/>
      <c r="L66" s="594"/>
      <c r="M66" s="594"/>
      <c r="N66" s="594"/>
      <c r="O66" s="594"/>
      <c r="P66" s="594"/>
    </row>
    <row r="67" spans="1:16" x14ac:dyDescent="0.2">
      <c r="A67" s="640" t="s">
        <v>87</v>
      </c>
      <c r="B67" s="594"/>
      <c r="C67" s="594"/>
      <c r="D67" s="594"/>
      <c r="E67" s="594"/>
      <c r="F67" s="594"/>
      <c r="G67" s="594"/>
      <c r="H67" s="594"/>
      <c r="I67" s="594"/>
      <c r="J67" s="594"/>
      <c r="K67" s="594"/>
      <c r="L67" s="594"/>
      <c r="M67" s="594"/>
      <c r="N67" s="594"/>
      <c r="O67" s="594"/>
      <c r="P67" s="594"/>
    </row>
    <row r="68" spans="1:16" x14ac:dyDescent="0.2">
      <c r="A68" s="639" t="s">
        <v>25</v>
      </c>
      <c r="B68" s="594"/>
      <c r="C68" s="594">
        <f>C15</f>
        <v>0</v>
      </c>
      <c r="D68" s="594">
        <f>D15</f>
        <v>-12900</v>
      </c>
      <c r="E68" s="594">
        <f>'Water  Fund  Cash Flow'!E68+'GF &amp; FF   Cash Flow'!E68+'Sewer  Fund  Cash Flow'!E68</f>
        <v>-12519</v>
      </c>
      <c r="F68" s="594">
        <f>'Water  Fund  Cash Flow'!F68+'GF &amp; FF   Cash Flow'!F68+'Sewer  Fund  Cash Flow'!F68</f>
        <v>-13094.137000000001</v>
      </c>
      <c r="G68" s="594">
        <f>'Water  Fund  Cash Flow'!G68+'GF &amp; FF   Cash Flow'!G68+'Sewer  Fund  Cash Flow'!G68</f>
        <v>-13571.739</v>
      </c>
      <c r="H68" s="594">
        <f>'Water  Fund  Cash Flow'!H68+'GF &amp; FF   Cash Flow'!H68+'Sewer  Fund  Cash Flow'!H68</f>
        <v>-13889.526</v>
      </c>
      <c r="I68" s="594">
        <f>'Water  Fund  Cash Flow'!I68+'GF &amp; FF   Cash Flow'!I68+'Sewer  Fund  Cash Flow'!I68</f>
        <v>-14469.789999999999</v>
      </c>
      <c r="J68" s="594">
        <f>'Water  Fund  Cash Flow'!J68+'GF &amp; FF   Cash Flow'!J68+'Sewer  Fund  Cash Flow'!J68</f>
        <v>-15101.101000000001</v>
      </c>
      <c r="K68" s="594">
        <f>'Water  Fund  Cash Flow'!K68+'GF &amp; FF   Cash Flow'!K68+'Sewer  Fund  Cash Flow'!K68</f>
        <v>-15554.134029999999</v>
      </c>
      <c r="L68" s="594">
        <f>'Water  Fund  Cash Flow'!L68+'GF &amp; FF   Cash Flow'!L68+'Sewer  Fund  Cash Flow'!L68</f>
        <v>-16020.758050900002</v>
      </c>
      <c r="M68" s="594">
        <f>'Water  Fund  Cash Flow'!M68+'GF &amp; FF   Cash Flow'!M68+'Sewer  Fund  Cash Flow'!M68</f>
        <v>-16501.380792427004</v>
      </c>
      <c r="N68" s="594">
        <f>'Water  Fund  Cash Flow'!N68+'GF &amp; FF   Cash Flow'!N68+'Sewer  Fund  Cash Flow'!N68</f>
        <v>-16996.422216199811</v>
      </c>
      <c r="O68" s="594">
        <f>'Water  Fund  Cash Flow'!O68+'GF &amp; FF   Cash Flow'!O68+'Sewer  Fund  Cash Flow'!O68</f>
        <v>-17506.314882685809</v>
      </c>
      <c r="P68" s="594">
        <f>'Water  Fund  Cash Flow'!P68+'GF &amp; FF   Cash Flow'!P68+'Sewer  Fund  Cash Flow'!P68</f>
        <v>-18031.504329166382</v>
      </c>
    </row>
    <row r="69" spans="1:16" x14ac:dyDescent="0.2">
      <c r="A69" s="639" t="s">
        <v>27</v>
      </c>
      <c r="B69" s="594"/>
      <c r="C69" s="594">
        <f>C16</f>
        <v>0</v>
      </c>
      <c r="D69" s="594">
        <f>D16</f>
        <v>-9702</v>
      </c>
      <c r="E69" s="594">
        <f>'Water  Fund  Cash Flow'!E69+'GF &amp; FF   Cash Flow'!E69+'Sewer  Fund  Cash Flow'!E69</f>
        <v>-12687</v>
      </c>
      <c r="F69" s="594">
        <f>'Water  Fund  Cash Flow'!F69+'GF &amp; FF   Cash Flow'!F69+'Sewer  Fund  Cash Flow'!F69</f>
        <v>-18997.901000000002</v>
      </c>
      <c r="G69" s="594">
        <f>'Water  Fund  Cash Flow'!G69+'GF &amp; FF   Cash Flow'!G69+'Sewer  Fund  Cash Flow'!G69</f>
        <v>-19422.218999999997</v>
      </c>
      <c r="H69" s="594">
        <f>'Water  Fund  Cash Flow'!H69+'GF &amp; FF   Cash Flow'!H69+'Sewer  Fund  Cash Flow'!H69</f>
        <v>-19823.828000000005</v>
      </c>
      <c r="I69" s="594">
        <f>'Water  Fund  Cash Flow'!I69+'GF &amp; FF   Cash Flow'!I69+'Sewer  Fund  Cash Flow'!I69</f>
        <v>-20415.25</v>
      </c>
      <c r="J69" s="594">
        <f>'Water  Fund  Cash Flow'!J69+'GF &amp; FF   Cash Flow'!J69+'Sewer  Fund  Cash Flow'!J69</f>
        <v>-21345.46</v>
      </c>
      <c r="K69" s="594">
        <f>'Water  Fund  Cash Flow'!K69+'GF &amp; FF   Cash Flow'!K69+'Sewer  Fund  Cash Flow'!K69</f>
        <v>-21755.243999999999</v>
      </c>
      <c r="L69" s="594">
        <f>'Water  Fund  Cash Flow'!L69+'GF &amp; FF   Cash Flow'!L69+'Sewer  Fund  Cash Flow'!L69</f>
        <v>-22190.348879999998</v>
      </c>
      <c r="M69" s="594">
        <f>'Water  Fund  Cash Flow'!M69+'GF &amp; FF   Cash Flow'!M69+'Sewer  Fund  Cash Flow'!M69</f>
        <v>-22634.155857600002</v>
      </c>
      <c r="N69" s="594">
        <f>'Water  Fund  Cash Flow'!N69+'GF &amp; FF   Cash Flow'!N69+'Sewer  Fund  Cash Flow'!N69</f>
        <v>-23086.838974752001</v>
      </c>
      <c r="O69" s="594">
        <f>'Water  Fund  Cash Flow'!O69+'GF &amp; FF   Cash Flow'!O69+'Sewer  Fund  Cash Flow'!O69</f>
        <v>-23548.575754247038</v>
      </c>
      <c r="P69" s="594">
        <f>'Water  Fund  Cash Flow'!P69+'GF &amp; FF   Cash Flow'!P69+'Sewer  Fund  Cash Flow'!P69</f>
        <v>-24019.547269331983</v>
      </c>
    </row>
    <row r="70" spans="1:16" x14ac:dyDescent="0.2">
      <c r="A70" s="639" t="s">
        <v>926</v>
      </c>
      <c r="B70" s="594"/>
      <c r="C70" s="594"/>
      <c r="D70" s="594">
        <f>D17</f>
        <v>-639</v>
      </c>
      <c r="E70" s="594">
        <f>'Water  Fund  Cash Flow'!E70+'GF &amp; FF   Cash Flow'!E70+'Sewer  Fund  Cash Flow'!E70</f>
        <v>-634</v>
      </c>
      <c r="F70" s="594">
        <f>'Water  Fund  Cash Flow'!F70+'GF &amp; FF   Cash Flow'!F70+'Sewer  Fund  Cash Flow'!F70</f>
        <v>-1715.8580000000002</v>
      </c>
      <c r="G70" s="594">
        <f>'Water  Fund  Cash Flow'!G70+'GF &amp; FF   Cash Flow'!G70+'Sewer  Fund  Cash Flow'!G70</f>
        <v>-2126.712</v>
      </c>
      <c r="H70" s="594">
        <f>'Water  Fund  Cash Flow'!H70+'GF &amp; FF   Cash Flow'!H70+'Sewer  Fund  Cash Flow'!H70</f>
        <v>-2428.0219999999999</v>
      </c>
      <c r="I70" s="594">
        <f>'Water  Fund  Cash Flow'!I70+'GF &amp; FF   Cash Flow'!I70+'Sewer  Fund  Cash Flow'!I70</f>
        <v>-2823.9700000000003</v>
      </c>
      <c r="J70" s="594">
        <f>'Water  Fund  Cash Flow'!J70+'GF &amp; FF   Cash Flow'!J70+'Sewer  Fund  Cash Flow'!J70</f>
        <v>-3230.4170000000004</v>
      </c>
      <c r="K70" s="594">
        <f>'Water  Fund  Cash Flow'!K70+'GF &amp; FF   Cash Flow'!K70+'Sewer  Fund  Cash Flow'!K70</f>
        <v>-3173.5130360000003</v>
      </c>
      <c r="L70" s="594">
        <f>'Water  Fund  Cash Flow'!L70+'GF &amp; FF   Cash Flow'!L70+'Sewer  Fund  Cash Flow'!L70</f>
        <v>-3115.4709927200001</v>
      </c>
      <c r="M70" s="594">
        <f>'Water  Fund  Cash Flow'!M70+'GF &amp; FF   Cash Flow'!M70+'Sewer  Fund  Cash Flow'!M70</f>
        <v>-3057.3881085744001</v>
      </c>
      <c r="N70" s="594">
        <f>'Water  Fund  Cash Flow'!N70+'GF &amp; FF   Cash Flow'!N70+'Sewer  Fund  Cash Flow'!N70</f>
        <v>-3011.3494111886976</v>
      </c>
      <c r="O70" s="594">
        <f>'Water  Fund  Cash Flow'!O70+'GF &amp; FF   Cash Flow'!O70+'Sewer  Fund  Cash Flow'!O70</f>
        <v>-2964.3899398552812</v>
      </c>
      <c r="P70" s="594">
        <f>'Water  Fund  Cash Flow'!P70+'GF &amp; FF   Cash Flow'!P70+'Sewer  Fund  Cash Flow'!P70</f>
        <v>-2916.4912790951962</v>
      </c>
    </row>
    <row r="71" spans="1:16" hidden="1" outlineLevel="1" x14ac:dyDescent="0.2">
      <c r="A71" s="639" t="s">
        <v>88</v>
      </c>
      <c r="B71" s="594"/>
      <c r="C71" s="594">
        <f>C18</f>
        <v>0</v>
      </c>
      <c r="D71" s="594">
        <f>D18</f>
        <v>-79</v>
      </c>
      <c r="E71" s="594">
        <f>'Water  Fund  Cash Flow'!E71+'GF &amp; FF   Cash Flow'!E71+'Sewer  Fund  Cash Flow'!E71</f>
        <v>-305</v>
      </c>
      <c r="F71" s="594">
        <f>'Water  Fund  Cash Flow'!F71+'GF &amp; FF   Cash Flow'!F71+'Sewer  Fund  Cash Flow'!F71</f>
        <v>0</v>
      </c>
      <c r="G71" s="594">
        <f>'Water  Fund  Cash Flow'!G71+'GF &amp; FF   Cash Flow'!G71+'Sewer  Fund  Cash Flow'!G71</f>
        <v>0</v>
      </c>
      <c r="H71" s="594">
        <f>'Water  Fund  Cash Flow'!H71+'GF &amp; FF   Cash Flow'!H71+'Sewer  Fund  Cash Flow'!H71</f>
        <v>0</v>
      </c>
      <c r="I71" s="594">
        <f>'Water  Fund  Cash Flow'!I71+'GF &amp; FF   Cash Flow'!I71+'Sewer  Fund  Cash Flow'!I71</f>
        <v>0</v>
      </c>
      <c r="J71" s="594">
        <f>'Water  Fund  Cash Flow'!J71+'GF &amp; FF   Cash Flow'!J71+'Sewer  Fund  Cash Flow'!J71</f>
        <v>0</v>
      </c>
      <c r="K71" s="594">
        <f>'Water  Fund  Cash Flow'!K71+'GF &amp; FF   Cash Flow'!K71+'Sewer  Fund  Cash Flow'!K71</f>
        <v>0</v>
      </c>
      <c r="L71" s="594">
        <f>'Water  Fund  Cash Flow'!L71+'GF &amp; FF   Cash Flow'!L71+'Sewer  Fund  Cash Flow'!L71</f>
        <v>0</v>
      </c>
      <c r="M71" s="594">
        <f>'Water  Fund  Cash Flow'!M71+'GF &amp; FF   Cash Flow'!M71+'Sewer  Fund  Cash Flow'!M71</f>
        <v>0</v>
      </c>
      <c r="N71" s="594">
        <f>'Water  Fund  Cash Flow'!N71+'GF &amp; FF   Cash Flow'!N71+'Sewer  Fund  Cash Flow'!N71</f>
        <v>0</v>
      </c>
      <c r="O71" s="594">
        <f>'Water  Fund  Cash Flow'!O71+'GF &amp; FF   Cash Flow'!O71+'Sewer  Fund  Cash Flow'!O71</f>
        <v>0</v>
      </c>
      <c r="P71" s="594">
        <f>'Water  Fund  Cash Flow'!P71+'GF &amp; FF   Cash Flow'!P71+'Sewer  Fund  Cash Flow'!P71</f>
        <v>0</v>
      </c>
    </row>
    <row r="72" spans="1:16" collapsed="1" x14ac:dyDescent="0.2">
      <c r="A72" s="641" t="s">
        <v>41</v>
      </c>
      <c r="B72" s="591"/>
      <c r="C72" s="594">
        <f>C19</f>
        <v>0</v>
      </c>
      <c r="D72" s="594">
        <f>D19</f>
        <v>-7816</v>
      </c>
      <c r="E72" s="594">
        <f>'Water  Fund  Cash Flow'!E72+'GF &amp; FF   Cash Flow'!E72+'Sewer  Fund  Cash Flow'!E72</f>
        <v>-9383</v>
      </c>
      <c r="F72" s="594">
        <f>'Water  Fund  Cash Flow'!F72+'GF &amp; FF   Cash Flow'!F72+'Sewer  Fund  Cash Flow'!F72</f>
        <v>-3204.8429999999998</v>
      </c>
      <c r="G72" s="594">
        <f>'Water  Fund  Cash Flow'!G72+'GF &amp; FF   Cash Flow'!G72+'Sewer  Fund  Cash Flow'!G72</f>
        <v>-3307.2809999999999</v>
      </c>
      <c r="H72" s="594">
        <f>'Water  Fund  Cash Flow'!H72+'GF &amp; FF   Cash Flow'!H72+'Sewer  Fund  Cash Flow'!H72</f>
        <v>-3375.721</v>
      </c>
      <c r="I72" s="594">
        <f>'Water  Fund  Cash Flow'!I72+'GF &amp; FF   Cash Flow'!I72+'Sewer  Fund  Cash Flow'!I72</f>
        <v>-3469.5200000000004</v>
      </c>
      <c r="J72" s="594">
        <f>'Water  Fund  Cash Flow'!J72+'GF &amp; FF   Cash Flow'!J72+'Sewer  Fund  Cash Flow'!J72</f>
        <v>-3637.9970000000003</v>
      </c>
      <c r="K72" s="594">
        <f>'Water  Fund  Cash Flow'!K72+'GF &amp; FF   Cash Flow'!K72+'Sewer  Fund  Cash Flow'!K72</f>
        <v>-3710.7569399999998</v>
      </c>
      <c r="L72" s="594">
        <f>'Water  Fund  Cash Flow'!L72+'GF &amp; FF   Cash Flow'!L72+'Sewer  Fund  Cash Flow'!L72</f>
        <v>-3784.9720788</v>
      </c>
      <c r="M72" s="594">
        <f>'Water  Fund  Cash Flow'!M72+'GF &amp; FF   Cash Flow'!M72+'Sewer  Fund  Cash Flow'!M72</f>
        <v>-3860.671520376</v>
      </c>
      <c r="N72" s="594">
        <f>'Water  Fund  Cash Flow'!N72+'GF &amp; FF   Cash Flow'!N72+'Sewer  Fund  Cash Flow'!N72</f>
        <v>-3937.8849507835198</v>
      </c>
      <c r="O72" s="594">
        <f>'Water  Fund  Cash Flow'!O72+'GF &amp; FF   Cash Flow'!O72+'Sewer  Fund  Cash Flow'!O72</f>
        <v>-4016.6426497991906</v>
      </c>
      <c r="P72" s="594">
        <f>'Water  Fund  Cash Flow'!P72+'GF &amp; FF   Cash Flow'!P72+'Sewer  Fund  Cash Flow'!P72</f>
        <v>-4096.9755027951742</v>
      </c>
    </row>
    <row r="73" spans="1:16" x14ac:dyDescent="0.2">
      <c r="A73" s="642" t="s">
        <v>89</v>
      </c>
      <c r="B73" s="643">
        <f>SUM(B60:B72)</f>
        <v>0</v>
      </c>
      <c r="C73" s="643">
        <f t="shared" ref="C73:P73" si="10">SUM(C60:C72)</f>
        <v>0</v>
      </c>
      <c r="D73" s="643">
        <f t="shared" si="10"/>
        <v>33781</v>
      </c>
      <c r="E73" s="643">
        <f t="shared" si="10"/>
        <v>24615</v>
      </c>
      <c r="F73" s="643">
        <f t="shared" si="10"/>
        <v>16219.036000000004</v>
      </c>
      <c r="G73" s="643">
        <f t="shared" si="10"/>
        <v>24351.631000000005</v>
      </c>
      <c r="H73" s="643">
        <f t="shared" si="10"/>
        <v>15998.477009999993</v>
      </c>
      <c r="I73" s="643">
        <f t="shared" si="10"/>
        <v>19968.293015300002</v>
      </c>
      <c r="J73" s="643">
        <f t="shared" si="10"/>
        <v>16189.736092633993</v>
      </c>
      <c r="K73" s="647">
        <f t="shared" si="10"/>
        <v>16347.900443009046</v>
      </c>
      <c r="L73" s="647">
        <f t="shared" si="10"/>
        <v>16805.546182320246</v>
      </c>
      <c r="M73" s="647">
        <f t="shared" si="10"/>
        <v>17237.438518794846</v>
      </c>
      <c r="N73" s="647">
        <f t="shared" si="10"/>
        <v>17631.709100349904</v>
      </c>
      <c r="O73" s="647">
        <f t="shared" si="10"/>
        <v>18068.19264830849</v>
      </c>
      <c r="P73" s="647">
        <f t="shared" si="10"/>
        <v>18516.240736951484</v>
      </c>
    </row>
    <row r="74" spans="1:16" x14ac:dyDescent="0.2">
      <c r="B74" s="590"/>
      <c r="C74" s="590"/>
      <c r="D74" s="590"/>
      <c r="E74" s="590"/>
      <c r="F74" s="590"/>
      <c r="G74" s="590"/>
      <c r="H74" s="590"/>
      <c r="I74" s="590"/>
      <c r="J74" s="590"/>
      <c r="K74" s="590"/>
      <c r="L74" s="590"/>
      <c r="M74" s="590"/>
      <c r="N74" s="590"/>
      <c r="O74" s="590"/>
      <c r="P74" s="590"/>
    </row>
    <row r="75" spans="1:16" x14ac:dyDescent="0.2">
      <c r="A75" s="592" t="s">
        <v>90</v>
      </c>
      <c r="B75" s="590"/>
      <c r="C75" s="590"/>
      <c r="D75" s="590"/>
      <c r="E75" s="590"/>
      <c r="F75" s="590"/>
      <c r="G75" s="590"/>
      <c r="H75" s="590"/>
      <c r="I75" s="590"/>
      <c r="J75" s="590"/>
      <c r="K75" s="590"/>
      <c r="L75" s="590"/>
      <c r="M75" s="590"/>
      <c r="N75" s="590"/>
      <c r="O75" s="590"/>
      <c r="P75" s="590"/>
    </row>
    <row r="76" spans="1:16" x14ac:dyDescent="0.2">
      <c r="A76" s="640" t="s">
        <v>83</v>
      </c>
      <c r="B76" s="590"/>
      <c r="C76" s="590"/>
      <c r="D76" s="590"/>
      <c r="E76" s="590"/>
      <c r="F76" s="590"/>
      <c r="G76" s="590"/>
      <c r="H76" s="590"/>
      <c r="I76" s="590"/>
      <c r="J76" s="590"/>
      <c r="K76" s="590"/>
      <c r="L76" s="590"/>
      <c r="M76" s="590"/>
      <c r="N76" s="590"/>
      <c r="O76" s="590"/>
      <c r="P76" s="590"/>
    </row>
    <row r="77" spans="1:16" x14ac:dyDescent="0.2">
      <c r="A77" s="639" t="s">
        <v>431</v>
      </c>
      <c r="B77" s="590"/>
      <c r="C77" s="590">
        <f>C24</f>
        <v>0</v>
      </c>
      <c r="D77" s="590">
        <f>D24</f>
        <v>7491</v>
      </c>
      <c r="E77" s="594">
        <f>'Water  Fund  Cash Flow'!E77+'GF &amp; FF   Cash Flow'!E77+'Sewer  Fund  Cash Flow'!E77</f>
        <v>8839</v>
      </c>
      <c r="F77" s="594">
        <f>'Water  Fund  Cash Flow'!F77+'GF &amp; FF   Cash Flow'!F77+'Sewer  Fund  Cash Flow'!F77</f>
        <v>7989.6059999999998</v>
      </c>
      <c r="G77" s="594">
        <f>'Water  Fund  Cash Flow'!G77+'GF &amp; FF   Cash Flow'!G77+'Sewer  Fund  Cash Flow'!G77</f>
        <v>2702.2619999999997</v>
      </c>
      <c r="H77" s="594">
        <f>'Water  Fund  Cash Flow'!H77+'GF &amp; FF   Cash Flow'!H77+'Sewer  Fund  Cash Flow'!H77</f>
        <v>13251.865</v>
      </c>
      <c r="I77" s="594">
        <f>'Water  Fund  Cash Flow'!I77+'GF &amp; FF   Cash Flow'!I77+'Sewer  Fund  Cash Flow'!I77</f>
        <v>2276.4720000000002</v>
      </c>
      <c r="J77" s="594">
        <f>'Water  Fund  Cash Flow'!J77+'GF &amp; FF   Cash Flow'!J77+'Sewer  Fund  Cash Flow'!J77</f>
        <v>1387.239</v>
      </c>
      <c r="K77" s="594">
        <f>'Water  Fund  Cash Flow'!K77+'GF &amp; FF   Cash Flow'!K77+'Sewer  Fund  Cash Flow'!K77</f>
        <v>3614.98378</v>
      </c>
      <c r="L77" s="594">
        <f>'Water  Fund  Cash Flow'!L77+'GF &amp; FF   Cash Flow'!L77+'Sewer  Fund  Cash Flow'!L77</f>
        <v>3687.2834555999998</v>
      </c>
      <c r="M77" s="594">
        <f>'Water  Fund  Cash Flow'!M77+'GF &amp; FF   Cash Flow'!M77+'Sewer  Fund  Cash Flow'!M77</f>
        <v>3761.0291247120003</v>
      </c>
      <c r="N77" s="594">
        <f>'Water  Fund  Cash Flow'!N77+'GF &amp; FF   Cash Flow'!N77+'Sewer  Fund  Cash Flow'!N77</f>
        <v>3836.2497072062397</v>
      </c>
      <c r="O77" s="594">
        <f>'Water  Fund  Cash Flow'!O77+'GF &amp; FF   Cash Flow'!O77+'Sewer  Fund  Cash Flow'!O77</f>
        <v>3912.9747013503647</v>
      </c>
      <c r="P77" s="594">
        <f>'Water  Fund  Cash Flow'!P77+'GF &amp; FF   Cash Flow'!P77+'Sewer  Fund  Cash Flow'!P77</f>
        <v>3991.2341953773721</v>
      </c>
    </row>
    <row r="78" spans="1:16" x14ac:dyDescent="0.2">
      <c r="A78" s="590" t="str">
        <f>A25</f>
        <v>Sale of Investment Property</v>
      </c>
      <c r="B78" s="590"/>
      <c r="C78" s="590"/>
      <c r="D78" s="590">
        <f>D25</f>
        <v>0</v>
      </c>
      <c r="E78" s="594">
        <f>'Water  Fund  Cash Flow'!E78+'GF &amp; FF   Cash Flow'!E78+'Sewer  Fund  Cash Flow'!E78</f>
        <v>0</v>
      </c>
      <c r="F78" s="594">
        <f>'Water  Fund  Cash Flow'!F78+'GF &amp; FF   Cash Flow'!F78+'Sewer  Fund  Cash Flow'!F78</f>
        <v>0</v>
      </c>
      <c r="G78" s="594">
        <f>'Water  Fund  Cash Flow'!G78+'GF &amp; FF   Cash Flow'!G78+'Sewer  Fund  Cash Flow'!G78</f>
        <v>0</v>
      </c>
      <c r="H78" s="594">
        <f>'Water  Fund  Cash Flow'!H78+'GF &amp; FF   Cash Flow'!H78+'Sewer  Fund  Cash Flow'!H78</f>
        <v>0</v>
      </c>
      <c r="I78" s="594">
        <f>'Water  Fund  Cash Flow'!I78+'GF &amp; FF   Cash Flow'!I78+'Sewer  Fund  Cash Flow'!I78</f>
        <v>0</v>
      </c>
      <c r="J78" s="594">
        <f>'Water  Fund  Cash Flow'!J78+'GF &amp; FF   Cash Flow'!J78+'Sewer  Fund  Cash Flow'!J78</f>
        <v>0</v>
      </c>
      <c r="K78" s="594">
        <f>'Water  Fund  Cash Flow'!K78+'GF &amp; FF   Cash Flow'!K78+'Sewer  Fund  Cash Flow'!K78</f>
        <v>0</v>
      </c>
      <c r="L78" s="594">
        <f>'Water  Fund  Cash Flow'!L78+'GF &amp; FF   Cash Flow'!L78+'Sewer  Fund  Cash Flow'!L78</f>
        <v>0</v>
      </c>
      <c r="M78" s="594">
        <f>'Water  Fund  Cash Flow'!M78+'GF &amp; FF   Cash Flow'!M78+'Sewer  Fund  Cash Flow'!M78</f>
        <v>0</v>
      </c>
      <c r="N78" s="594">
        <f>'Water  Fund  Cash Flow'!N78+'GF &amp; FF   Cash Flow'!N78+'Sewer  Fund  Cash Flow'!N78</f>
        <v>0</v>
      </c>
      <c r="O78" s="594">
        <f>'Water  Fund  Cash Flow'!O78+'GF &amp; FF   Cash Flow'!O78+'Sewer  Fund  Cash Flow'!O78</f>
        <v>0</v>
      </c>
      <c r="P78" s="594">
        <f>'Water  Fund  Cash Flow'!P78+'GF &amp; FF   Cash Flow'!P78+'Sewer  Fund  Cash Flow'!P78</f>
        <v>0</v>
      </c>
    </row>
    <row r="79" spans="1:16" x14ac:dyDescent="0.2">
      <c r="A79" s="639" t="s">
        <v>91</v>
      </c>
      <c r="B79" s="594"/>
      <c r="C79" s="590">
        <f>C26</f>
        <v>0</v>
      </c>
      <c r="D79" s="590">
        <f>D26</f>
        <v>0</v>
      </c>
      <c r="E79" s="594">
        <f>'Water  Fund  Cash Flow'!E79+'GF &amp; FF   Cash Flow'!E79+'Sewer  Fund  Cash Flow'!E79</f>
        <v>0</v>
      </c>
      <c r="F79" s="594">
        <f>'Water  Fund  Cash Flow'!F79+'GF &amp; FF   Cash Flow'!F79+'Sewer  Fund  Cash Flow'!F79</f>
        <v>0</v>
      </c>
      <c r="G79" s="594">
        <f>'Water  Fund  Cash Flow'!G79+'GF &amp; FF   Cash Flow'!G79+'Sewer  Fund  Cash Flow'!G79</f>
        <v>0</v>
      </c>
      <c r="H79" s="594">
        <f>'Water  Fund  Cash Flow'!H79+'GF &amp; FF   Cash Flow'!H79+'Sewer  Fund  Cash Flow'!H79</f>
        <v>0</v>
      </c>
      <c r="I79" s="594">
        <f>'Water  Fund  Cash Flow'!I79+'GF &amp; FF   Cash Flow'!I79+'Sewer  Fund  Cash Flow'!I79</f>
        <v>0</v>
      </c>
      <c r="J79" s="594">
        <f>'Water  Fund  Cash Flow'!J79+'GF &amp; FF   Cash Flow'!J79+'Sewer  Fund  Cash Flow'!J79</f>
        <v>0</v>
      </c>
      <c r="K79" s="594">
        <f>'Water  Fund  Cash Flow'!K79+'GF &amp; FF   Cash Flow'!K79+'Sewer  Fund  Cash Flow'!K79</f>
        <v>0</v>
      </c>
      <c r="L79" s="594">
        <f>'Water  Fund  Cash Flow'!L79+'GF &amp; FF   Cash Flow'!L79+'Sewer  Fund  Cash Flow'!L79</f>
        <v>0</v>
      </c>
      <c r="M79" s="594">
        <f>'Water  Fund  Cash Flow'!M79+'GF &amp; FF   Cash Flow'!M79+'Sewer  Fund  Cash Flow'!M79</f>
        <v>0</v>
      </c>
      <c r="N79" s="594">
        <f>'Water  Fund  Cash Flow'!N79+'GF &amp; FF   Cash Flow'!N79+'Sewer  Fund  Cash Flow'!N79</f>
        <v>0</v>
      </c>
      <c r="O79" s="594">
        <f>'Water  Fund  Cash Flow'!O79+'GF &amp; FF   Cash Flow'!O79+'Sewer  Fund  Cash Flow'!O79</f>
        <v>0</v>
      </c>
      <c r="P79" s="594">
        <f>'Water  Fund  Cash Flow'!P79+'GF &amp; FF   Cash Flow'!P79+'Sewer  Fund  Cash Flow'!P79</f>
        <v>0</v>
      </c>
    </row>
    <row r="80" spans="1:16" x14ac:dyDescent="0.2">
      <c r="A80" s="639" t="s">
        <v>92</v>
      </c>
      <c r="B80" s="594"/>
      <c r="C80" s="590">
        <f>C27</f>
        <v>0</v>
      </c>
      <c r="D80" s="590">
        <f>D27</f>
        <v>167</v>
      </c>
      <c r="E80" s="594">
        <f>'Water  Fund  Cash Flow'!E80+'GF &amp; FF   Cash Flow'!E80+'Sewer  Fund  Cash Flow'!E80</f>
        <v>339</v>
      </c>
      <c r="F80" s="594">
        <f>'Water  Fund  Cash Flow'!F80+'GF &amp; FF   Cash Flow'!F80+'Sewer  Fund  Cash Flow'!F80</f>
        <v>70</v>
      </c>
      <c r="G80" s="594">
        <f>'Water  Fund  Cash Flow'!G80+'GF &amp; FF   Cash Flow'!G80+'Sewer  Fund  Cash Flow'!G80</f>
        <v>70</v>
      </c>
      <c r="H80" s="594">
        <f>'Water  Fund  Cash Flow'!H80+'GF &amp; FF   Cash Flow'!H80+'Sewer  Fund  Cash Flow'!H80</f>
        <v>1570</v>
      </c>
      <c r="I80" s="594">
        <f>'Water  Fund  Cash Flow'!I80+'GF &amp; FF   Cash Flow'!I80+'Sewer  Fund  Cash Flow'!I80</f>
        <v>70</v>
      </c>
      <c r="J80" s="594">
        <f>'Water  Fund  Cash Flow'!J80+'GF &amp; FF   Cash Flow'!J80+'Sewer  Fund  Cash Flow'!J80</f>
        <v>70</v>
      </c>
      <c r="K80" s="594">
        <f>'Water  Fund  Cash Flow'!K80+'GF &amp; FF   Cash Flow'!K80+'Sewer  Fund  Cash Flow'!K80</f>
        <v>71.400000000000006</v>
      </c>
      <c r="L80" s="594">
        <f>'Water  Fund  Cash Flow'!L80+'GF &amp; FF   Cash Flow'!L80+'Sewer  Fund  Cash Flow'!L80</f>
        <v>72.828000000000003</v>
      </c>
      <c r="M80" s="594">
        <f>'Water  Fund  Cash Flow'!M80+'GF &amp; FF   Cash Flow'!M80+'Sewer  Fund  Cash Flow'!M80</f>
        <v>74.284559999999999</v>
      </c>
      <c r="N80" s="594">
        <f>'Water  Fund  Cash Flow'!N80+'GF &amp; FF   Cash Flow'!N80+'Sewer  Fund  Cash Flow'!N80</f>
        <v>75.770251200000004</v>
      </c>
      <c r="O80" s="594">
        <f>'Water  Fund  Cash Flow'!O80+'GF &amp; FF   Cash Flow'!O80+'Sewer  Fund  Cash Flow'!O80</f>
        <v>77.285656224000007</v>
      </c>
      <c r="P80" s="594">
        <f>'Water  Fund  Cash Flow'!P80+'GF &amp; FF   Cash Flow'!P80+'Sewer  Fund  Cash Flow'!P80</f>
        <v>78.831369348479996</v>
      </c>
    </row>
    <row r="81" spans="1:18" x14ac:dyDescent="0.2">
      <c r="B81" s="594"/>
      <c r="C81" s="594"/>
      <c r="D81" s="594"/>
      <c r="E81" s="594"/>
      <c r="F81" s="594"/>
      <c r="G81" s="594"/>
      <c r="H81" s="594"/>
      <c r="I81" s="594"/>
      <c r="J81" s="594"/>
      <c r="K81" s="594"/>
      <c r="L81" s="594"/>
      <c r="M81" s="594"/>
      <c r="N81" s="594"/>
      <c r="O81" s="594"/>
      <c r="P81" s="594"/>
    </row>
    <row r="82" spans="1:18" x14ac:dyDescent="0.2">
      <c r="A82" s="640" t="s">
        <v>87</v>
      </c>
      <c r="B82" s="594"/>
      <c r="C82" s="594"/>
      <c r="D82" s="594"/>
      <c r="E82" s="594"/>
      <c r="F82" s="594"/>
      <c r="G82" s="594"/>
      <c r="H82" s="594"/>
      <c r="I82" s="594"/>
      <c r="J82" s="594"/>
      <c r="K82" s="594"/>
      <c r="L82" s="594"/>
      <c r="M82" s="594"/>
      <c r="N82" s="594"/>
      <c r="O82" s="594"/>
      <c r="P82" s="594"/>
    </row>
    <row r="83" spans="1:18" x14ac:dyDescent="0.2">
      <c r="A83" s="639" t="s">
        <v>93</v>
      </c>
      <c r="B83" s="594"/>
      <c r="C83" s="648">
        <f>C30</f>
        <v>0</v>
      </c>
      <c r="D83" s="648">
        <f>D30</f>
        <v>-10303</v>
      </c>
      <c r="E83" s="594">
        <f>'Water  Fund  Cash Flow'!E83+'GF &amp; FF   Cash Flow'!E83+'Sewer  Fund  Cash Flow'!E83</f>
        <v>-11000</v>
      </c>
      <c r="F83" s="594">
        <f>'Water  Fund  Cash Flow'!F83+'GF &amp; FF   Cash Flow'!F83+'Sewer  Fund  Cash Flow'!F83</f>
        <v>-1950.8820000000001</v>
      </c>
      <c r="G83" s="594">
        <f>'Water  Fund  Cash Flow'!G83+'GF &amp; FF   Cash Flow'!G83+'Sewer  Fund  Cash Flow'!G83</f>
        <v>-2244.2849999999999</v>
      </c>
      <c r="H83" s="594">
        <f>'Water  Fund  Cash Flow'!H83+'GF &amp; FF   Cash Flow'!H83+'Sewer  Fund  Cash Flow'!H83</f>
        <v>-3818.17301</v>
      </c>
      <c r="I83" s="594">
        <f>'Water  Fund  Cash Flow'!I83+'GF &amp; FF   Cash Flow'!I83+'Sewer  Fund  Cash Flow'!I83</f>
        <v>-2635.6813903000002</v>
      </c>
      <c r="J83" s="594">
        <f>'Water  Fund  Cash Flow'!J83+'GF &amp; FF   Cash Flow'!J83+'Sewer  Fund  Cash Flow'!J83</f>
        <v>-2795.4954420090003</v>
      </c>
      <c r="K83" s="594">
        <f>'Water  Fund  Cash Flow'!K83+'GF &amp; FF   Cash Flow'!K83+'Sewer  Fund  Cash Flow'!K83</f>
        <v>-2851.4053508491797</v>
      </c>
      <c r="L83" s="594">
        <f>'Water  Fund  Cash Flow'!L83+'GF &amp; FF   Cash Flow'!L83+'Sewer  Fund  Cash Flow'!L83</f>
        <v>-2908.4334578661633</v>
      </c>
      <c r="M83" s="594">
        <f>'Water  Fund  Cash Flow'!M83+'GF &amp; FF   Cash Flow'!M83+'Sewer  Fund  Cash Flow'!M83</f>
        <v>-2966.6021270234864</v>
      </c>
      <c r="N83" s="594">
        <f>'Water  Fund  Cash Flow'!N83+'GF &amp; FF   Cash Flow'!N83+'Sewer  Fund  Cash Flow'!N83</f>
        <v>-3025.9341695639564</v>
      </c>
      <c r="O83" s="594">
        <f>'Water  Fund  Cash Flow'!O83+'GF &amp; FF   Cash Flow'!O83+'Sewer  Fund  Cash Flow'!O83</f>
        <v>-3086.4528529552358</v>
      </c>
      <c r="P83" s="594">
        <f>'Water  Fund  Cash Flow'!P83+'GF &amp; FF   Cash Flow'!P83+'Sewer  Fund  Cash Flow'!P83</f>
        <v>-3148.1819100143407</v>
      </c>
    </row>
    <row r="84" spans="1:18" x14ac:dyDescent="0.2">
      <c r="A84" s="648" t="str">
        <f>A31</f>
        <v>Purchase of Investment Property</v>
      </c>
      <c r="B84" s="594"/>
      <c r="C84" s="648"/>
      <c r="D84" s="648">
        <f>D31</f>
        <v>-2531</v>
      </c>
      <c r="E84" s="594">
        <f>'Water  Fund  Cash Flow'!E84+'GF &amp; FF   Cash Flow'!E84+'Sewer  Fund  Cash Flow'!E84</f>
        <v>-15180</v>
      </c>
      <c r="F84" s="594">
        <f>'Water  Fund  Cash Flow'!F84+'GF &amp; FF   Cash Flow'!F84+'Sewer  Fund  Cash Flow'!F84</f>
        <v>0</v>
      </c>
      <c r="G84" s="594">
        <f>'Water  Fund  Cash Flow'!G84+'GF &amp; FF   Cash Flow'!G84+'Sewer  Fund  Cash Flow'!G84</f>
        <v>0</v>
      </c>
      <c r="H84" s="594">
        <f>'Water  Fund  Cash Flow'!H84+'GF &amp; FF   Cash Flow'!H84+'Sewer  Fund  Cash Flow'!H84</f>
        <v>0</v>
      </c>
      <c r="I84" s="594">
        <f>'Water  Fund  Cash Flow'!I84+'GF &amp; FF   Cash Flow'!I84+'Sewer  Fund  Cash Flow'!I84</f>
        <v>0</v>
      </c>
      <c r="J84" s="594">
        <f>'Water  Fund  Cash Flow'!J84+'GF &amp; FF   Cash Flow'!J84+'Sewer  Fund  Cash Flow'!J84</f>
        <v>0</v>
      </c>
      <c r="K84" s="594">
        <f>'Water  Fund  Cash Flow'!K84+'GF &amp; FF   Cash Flow'!K84+'Sewer  Fund  Cash Flow'!K84</f>
        <v>0</v>
      </c>
      <c r="L84" s="594">
        <f>'Water  Fund  Cash Flow'!L84+'GF &amp; FF   Cash Flow'!L84+'Sewer  Fund  Cash Flow'!L84</f>
        <v>0</v>
      </c>
      <c r="M84" s="594">
        <f>'Water  Fund  Cash Flow'!M84+'GF &amp; FF   Cash Flow'!M84+'Sewer  Fund  Cash Flow'!M84</f>
        <v>0</v>
      </c>
      <c r="N84" s="594">
        <f>'Water  Fund  Cash Flow'!N84+'GF &amp; FF   Cash Flow'!N84+'Sewer  Fund  Cash Flow'!N84</f>
        <v>0</v>
      </c>
      <c r="O84" s="594">
        <f>'Water  Fund  Cash Flow'!O84+'GF &amp; FF   Cash Flow'!O84+'Sewer  Fund  Cash Flow'!O84</f>
        <v>0</v>
      </c>
      <c r="P84" s="594">
        <f>'Water  Fund  Cash Flow'!P84+'GF &amp; FF   Cash Flow'!P84+'Sewer  Fund  Cash Flow'!P84</f>
        <v>0</v>
      </c>
    </row>
    <row r="85" spans="1:18" x14ac:dyDescent="0.2">
      <c r="A85" s="639" t="s">
        <v>94</v>
      </c>
      <c r="B85" s="594"/>
      <c r="C85" s="648">
        <f>C32</f>
        <v>0</v>
      </c>
      <c r="D85" s="648">
        <f>D32</f>
        <v>-26369</v>
      </c>
      <c r="E85" s="594">
        <f>'Water  Fund  Cash Flow'!E85+'GF &amp; FF   Cash Flow'!E85+'Sewer  Fund  Cash Flow'!E85</f>
        <v>-25288</v>
      </c>
      <c r="F85" s="594">
        <f>'Water  Fund  Cash Flow'!F85+'GF &amp; FF   Cash Flow'!F85+'Sewer  Fund  Cash Flow'!F85</f>
        <v>-40805.421999999999</v>
      </c>
      <c r="G85" s="594">
        <f>'Water  Fund  Cash Flow'!G85+'GF &amp; FF   Cash Flow'!G85+'Sewer  Fund  Cash Flow'!G85</f>
        <v>-41223.811999999998</v>
      </c>
      <c r="H85" s="594">
        <f>'Water  Fund  Cash Flow'!H85+'GF &amp; FF   Cash Flow'!H85+'Sewer  Fund  Cash Flow'!H85</f>
        <v>-36316.091800000002</v>
      </c>
      <c r="I85" s="594">
        <f>'Water  Fund  Cash Flow'!I85+'GF &amp; FF   Cash Flow'!I85+'Sewer  Fund  Cash Flow'!I85</f>
        <v>-29668.173394999998</v>
      </c>
      <c r="J85" s="594">
        <f>'Water  Fund  Cash Flow'!J85+'GF &amp; FF   Cash Flow'!J85+'Sewer  Fund  Cash Flow'!J85</f>
        <v>-14657.533404874999</v>
      </c>
      <c r="K85" s="594">
        <f>'Water  Fund  Cash Flow'!K85+'GF &amp; FF   Cash Flow'!K85+'Sewer  Fund  Cash Flow'!K85</f>
        <v>-14176.022139996876</v>
      </c>
      <c r="L85" s="594">
        <f>'Water  Fund  Cash Flow'!L85+'GF &amp; FF   Cash Flow'!L85+'Sewer  Fund  Cash Flow'!L85</f>
        <v>-15382.305593496794</v>
      </c>
      <c r="M85" s="594">
        <f>'Water  Fund  Cash Flow'!M85+'GF &amp; FF   Cash Flow'!M85+'Sewer  Fund  Cash Flow'!M85</f>
        <v>-16906.064283334217</v>
      </c>
      <c r="N85" s="594">
        <f>'Water  Fund  Cash Flow'!N85+'GF &amp; FF   Cash Flow'!N85+'Sewer  Fund  Cash Flow'!N85</f>
        <v>-16845.35245341757</v>
      </c>
      <c r="O85" s="594">
        <f>'Water  Fund  Cash Flow'!O85+'GF &amp; FF   Cash Flow'!O85+'Sewer  Fund  Cash Flow'!O85</f>
        <v>-17177.225551013009</v>
      </c>
      <c r="P85" s="594">
        <f>'Water  Fund  Cash Flow'!P85+'GF &amp; FF   Cash Flow'!P85+'Sewer  Fund  Cash Flow'!P85</f>
        <v>-17511.74025377354</v>
      </c>
    </row>
    <row r="86" spans="1:18" x14ac:dyDescent="0.25">
      <c r="A86" s="641" t="s">
        <v>95</v>
      </c>
      <c r="B86" s="591"/>
      <c r="C86" s="649">
        <f>C33</f>
        <v>0</v>
      </c>
      <c r="D86" s="648">
        <f>D33</f>
        <v>-26</v>
      </c>
      <c r="E86" s="594">
        <f>'Water  Fund  Cash Flow'!E86+'GF &amp; FF   Cash Flow'!E86+'Sewer  Fund  Cash Flow'!E86</f>
        <v>-26</v>
      </c>
      <c r="F86" s="594">
        <f>'Water  Fund  Cash Flow'!F86+'GF &amp; FF   Cash Flow'!F86+'Sewer  Fund  Cash Flow'!F86</f>
        <v>0</v>
      </c>
      <c r="G86" s="594">
        <f>'Water  Fund  Cash Flow'!G86+'GF &amp; FF   Cash Flow'!G86+'Sewer  Fund  Cash Flow'!G86</f>
        <v>0</v>
      </c>
      <c r="H86" s="594">
        <f>'Water  Fund  Cash Flow'!H86+'GF &amp; FF   Cash Flow'!H86+'Sewer  Fund  Cash Flow'!H86</f>
        <v>0</v>
      </c>
      <c r="I86" s="594">
        <f>'Water  Fund  Cash Flow'!I86+'GF &amp; FF   Cash Flow'!I86+'Sewer  Fund  Cash Flow'!I86</f>
        <v>0</v>
      </c>
      <c r="J86" s="594">
        <f>'Water  Fund  Cash Flow'!J86+'GF &amp; FF   Cash Flow'!J86+'Sewer  Fund  Cash Flow'!J86</f>
        <v>0</v>
      </c>
      <c r="K86" s="594">
        <f>'Water  Fund  Cash Flow'!K86+'GF &amp; FF   Cash Flow'!K86+'Sewer  Fund  Cash Flow'!K86</f>
        <v>0</v>
      </c>
      <c r="L86" s="594">
        <f>'Water  Fund  Cash Flow'!L86+'GF &amp; FF   Cash Flow'!L86+'Sewer  Fund  Cash Flow'!L86</f>
        <v>0</v>
      </c>
      <c r="M86" s="594">
        <f>'Water  Fund  Cash Flow'!M86+'GF &amp; FF   Cash Flow'!M86+'Sewer  Fund  Cash Flow'!M86</f>
        <v>0</v>
      </c>
      <c r="N86" s="594">
        <f>'Water  Fund  Cash Flow'!N86+'GF &amp; FF   Cash Flow'!N86+'Sewer  Fund  Cash Flow'!N86</f>
        <v>0</v>
      </c>
      <c r="O86" s="594">
        <f>'Water  Fund  Cash Flow'!O86+'GF &amp; FF   Cash Flow'!O86+'Sewer  Fund  Cash Flow'!O86</f>
        <v>0</v>
      </c>
      <c r="P86" s="594">
        <f>'Water  Fund  Cash Flow'!P86+'GF &amp; FF   Cash Flow'!P86+'Sewer  Fund  Cash Flow'!P86</f>
        <v>0</v>
      </c>
    </row>
    <row r="87" spans="1:18" x14ac:dyDescent="0.25">
      <c r="A87" s="642" t="s">
        <v>110</v>
      </c>
      <c r="B87" s="593">
        <f>SUM(B77:B86)</f>
        <v>0</v>
      </c>
      <c r="C87" s="593">
        <f t="shared" ref="C87:P87" si="11">SUM(C77:C86)</f>
        <v>0</v>
      </c>
      <c r="D87" s="772">
        <f t="shared" si="11"/>
        <v>-31571</v>
      </c>
      <c r="E87" s="772">
        <f t="shared" si="11"/>
        <v>-42316</v>
      </c>
      <c r="F87" s="772">
        <f t="shared" si="11"/>
        <v>-34696.697999999997</v>
      </c>
      <c r="G87" s="772">
        <f t="shared" si="11"/>
        <v>-40695.834999999999</v>
      </c>
      <c r="H87" s="772">
        <f t="shared" si="11"/>
        <v>-25312.399810000003</v>
      </c>
      <c r="I87" s="772">
        <f t="shared" si="11"/>
        <v>-29957.382785299997</v>
      </c>
      <c r="J87" s="772">
        <f t="shared" si="11"/>
        <v>-15995.789846883999</v>
      </c>
      <c r="K87" s="772">
        <f t="shared" si="11"/>
        <v>-13341.043710846056</v>
      </c>
      <c r="L87" s="772">
        <f t="shared" si="11"/>
        <v>-14530.627595762959</v>
      </c>
      <c r="M87" s="772">
        <f t="shared" si="11"/>
        <v>-16037.352725645704</v>
      </c>
      <c r="N87" s="772">
        <f t="shared" si="11"/>
        <v>-15959.266664575287</v>
      </c>
      <c r="O87" s="772">
        <f t="shared" si="11"/>
        <v>-16273.418046393879</v>
      </c>
      <c r="P87" s="772">
        <f t="shared" si="11"/>
        <v>-16589.856599062026</v>
      </c>
    </row>
    <row r="88" spans="1:18" x14ac:dyDescent="0.25">
      <c r="B88" s="594"/>
      <c r="C88" s="594"/>
      <c r="D88" s="594"/>
      <c r="E88" s="594"/>
      <c r="F88" s="594"/>
      <c r="G88" s="594"/>
      <c r="H88" s="594"/>
      <c r="I88" s="594"/>
      <c r="J88" s="594"/>
      <c r="K88" s="594"/>
      <c r="L88" s="594"/>
      <c r="M88" s="594"/>
      <c r="N88" s="594"/>
      <c r="O88" s="594"/>
      <c r="P88" s="594"/>
    </row>
    <row r="89" spans="1:18" x14ac:dyDescent="0.25">
      <c r="A89" s="592" t="s">
        <v>1054</v>
      </c>
      <c r="B89" s="590"/>
      <c r="C89" s="590"/>
      <c r="D89" s="590"/>
      <c r="E89" s="590"/>
      <c r="F89" s="590"/>
      <c r="G89" s="590"/>
      <c r="H89" s="590"/>
      <c r="I89" s="590"/>
      <c r="J89" s="590"/>
      <c r="K89" s="590"/>
      <c r="L89" s="590"/>
      <c r="M89" s="590"/>
      <c r="N89" s="590"/>
      <c r="O89" s="590"/>
      <c r="P89" s="590"/>
    </row>
    <row r="90" spans="1:18" x14ac:dyDescent="0.25">
      <c r="A90" s="640" t="s">
        <v>83</v>
      </c>
      <c r="B90" s="590"/>
      <c r="C90" s="590"/>
      <c r="D90" s="590"/>
      <c r="E90" s="590"/>
      <c r="F90" s="590"/>
      <c r="G90" s="590"/>
      <c r="H90" s="590"/>
      <c r="I90" s="590"/>
      <c r="J90" s="590"/>
      <c r="K90" s="590"/>
      <c r="L90" s="590"/>
      <c r="M90" s="590"/>
      <c r="N90" s="590"/>
      <c r="O90" s="590"/>
      <c r="P90" s="590"/>
    </row>
    <row r="91" spans="1:18" x14ac:dyDescent="0.25">
      <c r="A91" s="639" t="s">
        <v>1055</v>
      </c>
      <c r="B91" s="594"/>
      <c r="C91" s="594"/>
      <c r="D91" s="594">
        <f>D38</f>
        <v>5350</v>
      </c>
      <c r="E91" s="594">
        <f>'Water  Fund  Cash Flow'!E91+'GF &amp; FF   Cash Flow'!E91+'Sewer  Fund  Cash Flow'!E91</f>
        <v>13500</v>
      </c>
      <c r="F91" s="594">
        <f>'Water  Fund  Cash Flow'!F91+'GF &amp; FF   Cash Flow'!F91+'Sewer  Fund  Cash Flow'!F91</f>
        <v>19756</v>
      </c>
      <c r="G91" s="594">
        <f>'Water  Fund  Cash Flow'!G91+'GF &amp; FF   Cash Flow'!G91+'Sewer  Fund  Cash Flow'!G91</f>
        <v>17356.182000000001</v>
      </c>
      <c r="H91" s="594">
        <f>'Water  Fund  Cash Flow'!H91+'GF &amp; FF   Cash Flow'!H91+'Sewer  Fund  Cash Flow'!H91</f>
        <v>10500</v>
      </c>
      <c r="I91" s="594">
        <f>'Water  Fund  Cash Flow'!I91+'GF &amp; FF   Cash Flow'!I91+'Sewer  Fund  Cash Flow'!I91</f>
        <v>11000</v>
      </c>
      <c r="J91" s="594">
        <f>'Water  Fund  Cash Flow'!J91+'GF &amp; FF   Cash Flow'!J91+'Sewer  Fund  Cash Flow'!J91</f>
        <v>0</v>
      </c>
      <c r="K91" s="594">
        <f>'Water  Fund  Cash Flow'!K91+'GF &amp; FF   Cash Flow'!K91+'Sewer  Fund  Cash Flow'!K91</f>
        <v>0</v>
      </c>
      <c r="L91" s="594">
        <f>'Water  Fund  Cash Flow'!L91+'GF &amp; FF   Cash Flow'!L91+'Sewer  Fund  Cash Flow'!L91</f>
        <v>0</v>
      </c>
      <c r="M91" s="594">
        <f>'Water  Fund  Cash Flow'!M91+'GF &amp; FF   Cash Flow'!M91+'Sewer  Fund  Cash Flow'!M91</f>
        <v>0</v>
      </c>
      <c r="N91" s="594">
        <f>'Water  Fund  Cash Flow'!N91+'GF &amp; FF   Cash Flow'!N91+'Sewer  Fund  Cash Flow'!N91</f>
        <v>0</v>
      </c>
      <c r="O91" s="594">
        <f>'Water  Fund  Cash Flow'!O91+'GF &amp; FF   Cash Flow'!O91+'Sewer  Fund  Cash Flow'!O91</f>
        <v>0</v>
      </c>
      <c r="P91" s="594">
        <f>'Water  Fund  Cash Flow'!P91+'GF &amp; FF   Cash Flow'!P91+'Sewer  Fund  Cash Flow'!P91</f>
        <v>0</v>
      </c>
      <c r="R91" s="639" t="s">
        <v>1036</v>
      </c>
    </row>
    <row r="92" spans="1:18" ht="5.25" customHeight="1" x14ac:dyDescent="0.25">
      <c r="B92" s="594"/>
      <c r="C92" s="594"/>
      <c r="D92" s="594"/>
      <c r="E92" s="594"/>
      <c r="F92" s="594"/>
      <c r="G92" s="594"/>
      <c r="H92" s="594"/>
      <c r="I92" s="594"/>
      <c r="J92" s="594"/>
      <c r="K92" s="594"/>
      <c r="L92" s="594"/>
      <c r="M92" s="594"/>
      <c r="N92" s="594"/>
      <c r="O92" s="594"/>
      <c r="P92" s="594"/>
    </row>
    <row r="93" spans="1:18" x14ac:dyDescent="0.25">
      <c r="A93" s="640" t="s">
        <v>87</v>
      </c>
      <c r="B93" s="594"/>
      <c r="C93" s="594"/>
      <c r="D93" s="594"/>
      <c r="E93" s="594"/>
      <c r="F93" s="594"/>
      <c r="G93" s="594"/>
      <c r="H93" s="594"/>
      <c r="I93" s="594"/>
      <c r="J93" s="594"/>
      <c r="K93" s="594"/>
      <c r="L93" s="594"/>
      <c r="M93" s="594"/>
      <c r="N93" s="594"/>
      <c r="O93" s="594"/>
      <c r="P93" s="594"/>
    </row>
    <row r="94" spans="1:18" x14ac:dyDescent="0.25">
      <c r="A94" s="639" t="s">
        <v>1056</v>
      </c>
      <c r="B94" s="594"/>
      <c r="C94" s="594"/>
      <c r="D94" s="594">
        <f>D41</f>
        <v>-1616</v>
      </c>
      <c r="E94" s="594">
        <f>'Water  Fund  Cash Flow'!E94+'GF &amp; FF   Cash Flow'!E94+'Sewer  Fund  Cash Flow'!E94</f>
        <v>-2776</v>
      </c>
      <c r="F94" s="594">
        <f>'Water  Fund  Cash Flow'!F94+'GF &amp; FF   Cash Flow'!F94+'Sewer  Fund  Cash Flow'!F94</f>
        <v>-1248.338</v>
      </c>
      <c r="G94" s="594">
        <f>'Water  Fund  Cash Flow'!G94+'GF &amp; FF   Cash Flow'!G94+'Sewer  Fund  Cash Flow'!G94</f>
        <v>-978.11200000000008</v>
      </c>
      <c r="H94" s="594">
        <f>'Water  Fund  Cash Flow'!H94+'GF &amp; FF   Cash Flow'!H94+'Sewer  Fund  Cash Flow'!H94</f>
        <v>-932.58900000000006</v>
      </c>
      <c r="I94" s="594">
        <f>'Water  Fund  Cash Flow'!I94+'GF &amp; FF   Cash Flow'!I94+'Sewer  Fund  Cash Flow'!I94</f>
        <v>-1070.8130000000001</v>
      </c>
      <c r="J94" s="594">
        <f>'Water  Fund  Cash Flow'!J94+'GF &amp; FF   Cash Flow'!J94+'Sewer  Fund  Cash Flow'!J94</f>
        <v>-1394.7049999999999</v>
      </c>
      <c r="K94" s="594">
        <f>'Water  Fund  Cash Flow'!K94+'GF &amp; FF   Cash Flow'!K94+'Sewer  Fund  Cash Flow'!K94</f>
        <v>-1437.4461199999998</v>
      </c>
      <c r="L94" s="594">
        <f>'Water  Fund  Cash Flow'!L94+'GF &amp; FF   Cash Flow'!L94+'Sewer  Fund  Cash Flow'!L94</f>
        <v>-1493.0550424</v>
      </c>
      <c r="M94" s="594">
        <f>'Water  Fund  Cash Flow'!M94+'GF &amp; FF   Cash Flow'!M94+'Sewer  Fund  Cash Flow'!M94</f>
        <v>-1228.8361432480001</v>
      </c>
      <c r="N94" s="594">
        <f>'Water  Fund  Cash Flow'!N94+'GF &amp; FF   Cash Flow'!N94+'Sewer  Fund  Cash Flow'!N94</f>
        <v>-843.08675504272003</v>
      </c>
      <c r="O94" s="594">
        <f>'Water  Fund  Cash Flow'!O94+'GF &amp; FF   Cash Flow'!O94+'Sewer  Fund  Cash Flow'!O94</f>
        <v>-877.04849014357444</v>
      </c>
      <c r="P94" s="594">
        <f>'Water  Fund  Cash Flow'!P94+'GF &amp; FF   Cash Flow'!P94+'Sewer  Fund  Cash Flow'!P94</f>
        <v>-913.04945994644595</v>
      </c>
      <c r="R94" s="639" t="s">
        <v>1036</v>
      </c>
    </row>
    <row r="95" spans="1:18" s="644" customFormat="1" x14ac:dyDescent="0.25">
      <c r="A95" s="770" t="s">
        <v>110</v>
      </c>
      <c r="B95" s="772">
        <f t="shared" ref="B95:P95" si="12">SUM(B91:B94)</f>
        <v>0</v>
      </c>
      <c r="C95" s="772">
        <f t="shared" si="12"/>
        <v>0</v>
      </c>
      <c r="D95" s="772">
        <f t="shared" si="12"/>
        <v>3734</v>
      </c>
      <c r="E95" s="772">
        <f t="shared" si="12"/>
        <v>10724</v>
      </c>
      <c r="F95" s="772">
        <f t="shared" si="12"/>
        <v>18507.662</v>
      </c>
      <c r="G95" s="772">
        <f t="shared" si="12"/>
        <v>16378.07</v>
      </c>
      <c r="H95" s="772">
        <f t="shared" si="12"/>
        <v>9567.4110000000001</v>
      </c>
      <c r="I95" s="772">
        <f t="shared" si="12"/>
        <v>9929.1869999999999</v>
      </c>
      <c r="J95" s="772">
        <f t="shared" si="12"/>
        <v>-1394.7049999999999</v>
      </c>
      <c r="K95" s="772">
        <f t="shared" si="12"/>
        <v>-1437.4461199999998</v>
      </c>
      <c r="L95" s="772">
        <f t="shared" si="12"/>
        <v>-1493.0550424</v>
      </c>
      <c r="M95" s="772">
        <f t="shared" si="12"/>
        <v>-1228.8361432480001</v>
      </c>
      <c r="N95" s="772">
        <f t="shared" si="12"/>
        <v>-843.08675504272003</v>
      </c>
      <c r="O95" s="772">
        <f t="shared" si="12"/>
        <v>-877.04849014357444</v>
      </c>
      <c r="P95" s="772">
        <f t="shared" si="12"/>
        <v>-913.04945994644595</v>
      </c>
    </row>
    <row r="96" spans="1:18" ht="3.75" customHeight="1" x14ac:dyDescent="0.25">
      <c r="B96" s="594"/>
      <c r="C96" s="594"/>
      <c r="D96" s="594"/>
      <c r="E96" s="594"/>
      <c r="F96" s="594"/>
      <c r="G96" s="594"/>
      <c r="H96" s="594"/>
      <c r="I96" s="594"/>
      <c r="J96" s="594"/>
      <c r="K96" s="594"/>
      <c r="L96" s="594"/>
      <c r="M96" s="594"/>
      <c r="N96" s="594"/>
      <c r="O96" s="594"/>
      <c r="P96" s="594"/>
    </row>
    <row r="97" spans="1:16" x14ac:dyDescent="0.25">
      <c r="A97" s="592" t="s">
        <v>321</v>
      </c>
      <c r="B97" s="594">
        <f>+B73+B87</f>
        <v>0</v>
      </c>
      <c r="C97" s="594">
        <f>+C73+C87</f>
        <v>0</v>
      </c>
      <c r="D97" s="594">
        <f>+D73+D87+D95</f>
        <v>5944</v>
      </c>
      <c r="E97" s="594">
        <f t="shared" ref="E97:P97" si="13">+E73+E87+E95</f>
        <v>-6977</v>
      </c>
      <c r="F97" s="594">
        <f t="shared" si="13"/>
        <v>30.000000000007276</v>
      </c>
      <c r="G97" s="594">
        <f t="shared" si="13"/>
        <v>33.866000000005442</v>
      </c>
      <c r="H97" s="594">
        <f t="shared" si="13"/>
        <v>253.48819999999068</v>
      </c>
      <c r="I97" s="594">
        <f t="shared" si="13"/>
        <v>-59.902769999995144</v>
      </c>
      <c r="J97" s="594">
        <f t="shared" si="13"/>
        <v>-1200.7587542500059</v>
      </c>
      <c r="K97" s="594">
        <f t="shared" si="13"/>
        <v>1569.4106121629909</v>
      </c>
      <c r="L97" s="594">
        <f t="shared" si="13"/>
        <v>781.86354415728715</v>
      </c>
      <c r="M97" s="594">
        <f t="shared" si="13"/>
        <v>-28.750350098857325</v>
      </c>
      <c r="N97" s="594">
        <f t="shared" si="13"/>
        <v>829.35568073189745</v>
      </c>
      <c r="O97" s="594">
        <f t="shared" si="13"/>
        <v>917.72611177103624</v>
      </c>
      <c r="P97" s="594">
        <f t="shared" si="13"/>
        <v>1013.3346779430117</v>
      </c>
    </row>
    <row r="98" spans="1:16" ht="6" customHeight="1" x14ac:dyDescent="0.25">
      <c r="A98" s="644"/>
      <c r="B98" s="594"/>
      <c r="C98" s="594"/>
      <c r="D98" s="594"/>
      <c r="E98" s="594"/>
      <c r="F98" s="594"/>
      <c r="G98" s="594"/>
      <c r="H98" s="594"/>
      <c r="I98" s="594"/>
      <c r="J98" s="594"/>
      <c r="K98" s="594"/>
      <c r="L98" s="594"/>
      <c r="M98" s="594"/>
      <c r="N98" s="594"/>
      <c r="O98" s="594"/>
      <c r="P98" s="594"/>
    </row>
    <row r="99" spans="1:16" x14ac:dyDescent="0.25">
      <c r="A99" s="592" t="s">
        <v>96</v>
      </c>
      <c r="B99" s="594"/>
      <c r="C99" s="594">
        <f>+B101</f>
        <v>0</v>
      </c>
      <c r="D99" s="594">
        <f>D46</f>
        <v>3352</v>
      </c>
      <c r="E99" s="594">
        <f t="shared" ref="E99:P99" si="14">+D101</f>
        <v>9296</v>
      </c>
      <c r="F99" s="594">
        <f t="shared" si="14"/>
        <v>2319</v>
      </c>
      <c r="G99" s="594">
        <f t="shared" si="14"/>
        <v>2349.0000000000073</v>
      </c>
      <c r="H99" s="594">
        <f t="shared" si="14"/>
        <v>2382.8660000000127</v>
      </c>
      <c r="I99" s="594">
        <f t="shared" si="14"/>
        <v>2636.3542000000034</v>
      </c>
      <c r="J99" s="594">
        <f t="shared" si="14"/>
        <v>2576.4514300000083</v>
      </c>
      <c r="K99" s="594">
        <f t="shared" si="14"/>
        <v>1375.6926757500023</v>
      </c>
      <c r="L99" s="594">
        <f t="shared" si="14"/>
        <v>2945.1032879129934</v>
      </c>
      <c r="M99" s="594">
        <f t="shared" si="14"/>
        <v>3726.9668320702804</v>
      </c>
      <c r="N99" s="594">
        <f t="shared" si="14"/>
        <v>3698.216481971423</v>
      </c>
      <c r="O99" s="594">
        <f t="shared" si="14"/>
        <v>4527.5721627033208</v>
      </c>
      <c r="P99" s="594">
        <f t="shared" si="14"/>
        <v>5445.2982744743567</v>
      </c>
    </row>
    <row r="100" spans="1:16" ht="6.75" customHeight="1" x14ac:dyDescent="0.25">
      <c r="B100" s="594"/>
      <c r="C100" s="594"/>
      <c r="D100" s="594"/>
      <c r="E100" s="594"/>
      <c r="F100" s="594"/>
      <c r="G100" s="594"/>
      <c r="H100" s="594"/>
      <c r="I100" s="594"/>
      <c r="J100" s="594"/>
      <c r="K100" s="594"/>
      <c r="L100" s="594"/>
      <c r="M100" s="594"/>
      <c r="N100" s="594"/>
      <c r="O100" s="594"/>
      <c r="P100" s="594"/>
    </row>
    <row r="101" spans="1:16" ht="12.6" thickBot="1" x14ac:dyDescent="0.3">
      <c r="A101" s="592" t="s">
        <v>97</v>
      </c>
      <c r="B101" s="645">
        <f>+B97+B99</f>
        <v>0</v>
      </c>
      <c r="C101" s="645">
        <f t="shared" ref="C101:P101" si="15">+C97+C99</f>
        <v>0</v>
      </c>
      <c r="D101" s="645">
        <f t="shared" si="15"/>
        <v>9296</v>
      </c>
      <c r="E101" s="650">
        <f t="shared" si="15"/>
        <v>2319</v>
      </c>
      <c r="F101" s="650">
        <f t="shared" si="15"/>
        <v>2349.0000000000073</v>
      </c>
      <c r="G101" s="650">
        <f t="shared" si="15"/>
        <v>2382.8660000000127</v>
      </c>
      <c r="H101" s="650">
        <f t="shared" si="15"/>
        <v>2636.3542000000034</v>
      </c>
      <c r="I101" s="650">
        <f t="shared" si="15"/>
        <v>2576.4514300000083</v>
      </c>
      <c r="J101" s="650">
        <f t="shared" si="15"/>
        <v>1375.6926757500023</v>
      </c>
      <c r="K101" s="650">
        <f t="shared" si="15"/>
        <v>2945.1032879129934</v>
      </c>
      <c r="L101" s="650">
        <f t="shared" si="15"/>
        <v>3726.9668320702804</v>
      </c>
      <c r="M101" s="650">
        <f t="shared" si="15"/>
        <v>3698.216481971423</v>
      </c>
      <c r="N101" s="650">
        <f t="shared" si="15"/>
        <v>4527.5721627033208</v>
      </c>
      <c r="O101" s="650">
        <f t="shared" si="15"/>
        <v>5445.2982744743567</v>
      </c>
      <c r="P101" s="650">
        <f t="shared" si="15"/>
        <v>6458.6329524173689</v>
      </c>
    </row>
    <row r="102" spans="1:16" ht="9" customHeight="1" x14ac:dyDescent="0.25"/>
    <row r="103" spans="1:16" x14ac:dyDescent="0.25">
      <c r="A103" s="639" t="s">
        <v>98</v>
      </c>
      <c r="B103" s="590"/>
      <c r="C103" s="590">
        <f>B103-C83-C77</f>
        <v>0</v>
      </c>
      <c r="D103" s="590">
        <f>D50</f>
        <v>46112</v>
      </c>
      <c r="E103" s="590">
        <f t="shared" ref="E103:P103" si="16">D103-E83-E77</f>
        <v>48273</v>
      </c>
      <c r="F103" s="590">
        <f t="shared" si="16"/>
        <v>42234.275999999998</v>
      </c>
      <c r="G103" s="590">
        <f t="shared" si="16"/>
        <v>41776.298999999999</v>
      </c>
      <c r="H103" s="590">
        <f t="shared" si="16"/>
        <v>32342.60701</v>
      </c>
      <c r="I103" s="590">
        <f t="shared" si="16"/>
        <v>32701.816400299998</v>
      </c>
      <c r="J103" s="590">
        <f t="shared" si="16"/>
        <v>34110.072842308997</v>
      </c>
      <c r="K103" s="590">
        <f t="shared" si="16"/>
        <v>33346.494413158172</v>
      </c>
      <c r="L103" s="590">
        <f t="shared" si="16"/>
        <v>32567.644415424336</v>
      </c>
      <c r="M103" s="590">
        <f t="shared" si="16"/>
        <v>31773.217417735821</v>
      </c>
      <c r="N103" s="590">
        <f t="shared" si="16"/>
        <v>30962.901880093537</v>
      </c>
      <c r="O103" s="590">
        <f t="shared" si="16"/>
        <v>30136.380031698405</v>
      </c>
      <c r="P103" s="590">
        <f t="shared" si="16"/>
        <v>29293.327746335373</v>
      </c>
    </row>
    <row r="104" spans="1:16" ht="5.25" customHeight="1" x14ac:dyDescent="0.25">
      <c r="B104" s="590"/>
      <c r="C104" s="590"/>
      <c r="D104" s="590"/>
      <c r="E104" s="590"/>
      <c r="F104" s="590"/>
      <c r="G104" s="590"/>
      <c r="H104" s="590"/>
      <c r="I104" s="590"/>
      <c r="J104" s="590"/>
      <c r="K104" s="590"/>
      <c r="L104" s="590"/>
      <c r="M104" s="590"/>
      <c r="N104" s="590"/>
      <c r="O104" s="590"/>
      <c r="P104" s="590"/>
    </row>
    <row r="105" spans="1:16" ht="12.6" thickBot="1" x14ac:dyDescent="0.3">
      <c r="A105" s="592" t="s">
        <v>99</v>
      </c>
      <c r="B105" s="646">
        <f>+B101+B103</f>
        <v>0</v>
      </c>
      <c r="C105" s="646">
        <f t="shared" ref="C105:P105" si="17">+C101+C103</f>
        <v>0</v>
      </c>
      <c r="D105" s="646">
        <f t="shared" si="17"/>
        <v>55408</v>
      </c>
      <c r="E105" s="646">
        <f t="shared" si="17"/>
        <v>50592</v>
      </c>
      <c r="F105" s="646">
        <f t="shared" si="17"/>
        <v>44583.276000000005</v>
      </c>
      <c r="G105" s="646">
        <f t="shared" si="17"/>
        <v>44159.165000000008</v>
      </c>
      <c r="H105" s="646">
        <f t="shared" si="17"/>
        <v>34978.961210000001</v>
      </c>
      <c r="I105" s="646">
        <f t="shared" si="17"/>
        <v>35278.267830300007</v>
      </c>
      <c r="J105" s="595">
        <f t="shared" si="17"/>
        <v>35485.765518059001</v>
      </c>
      <c r="K105" s="595">
        <f t="shared" si="17"/>
        <v>36291.597701071165</v>
      </c>
      <c r="L105" s="595">
        <f t="shared" si="17"/>
        <v>36294.611247494613</v>
      </c>
      <c r="M105" s="595">
        <f t="shared" si="17"/>
        <v>35471.433899707241</v>
      </c>
      <c r="N105" s="595">
        <f t="shared" si="17"/>
        <v>35490.474042796857</v>
      </c>
      <c r="O105" s="595">
        <f t="shared" si="17"/>
        <v>35581.678306172762</v>
      </c>
      <c r="P105" s="595">
        <f t="shared" si="17"/>
        <v>35751.960698752744</v>
      </c>
    </row>
    <row r="106" spans="1:16" ht="4.5" customHeight="1" thickTop="1" x14ac:dyDescent="0.25"/>
    <row r="107" spans="1:16" ht="13.8" x14ac:dyDescent="0.3">
      <c r="A107" s="1091" t="s">
        <v>1361</v>
      </c>
    </row>
    <row r="108" spans="1:16" x14ac:dyDescent="0.25">
      <c r="A108" s="597" t="s">
        <v>1067</v>
      </c>
      <c r="B108" s="586" t="s">
        <v>69</v>
      </c>
      <c r="C108" s="586" t="s">
        <v>69</v>
      </c>
      <c r="D108" s="586" t="str">
        <f t="shared" ref="D108:P108" si="18">D55</f>
        <v>Actual</v>
      </c>
      <c r="E108" s="586" t="str">
        <f t="shared" si="18"/>
        <v>Actual</v>
      </c>
      <c r="F108" s="586" t="str">
        <f t="shared" si="18"/>
        <v>Budget</v>
      </c>
      <c r="G108" s="586" t="str">
        <f t="shared" si="18"/>
        <v>Budget</v>
      </c>
      <c r="H108" s="586" t="str">
        <f t="shared" si="18"/>
        <v>Projected</v>
      </c>
      <c r="I108" s="586" t="str">
        <f t="shared" si="18"/>
        <v>Projected</v>
      </c>
      <c r="J108" s="586" t="str">
        <f t="shared" si="18"/>
        <v>Projected</v>
      </c>
      <c r="K108" s="586" t="str">
        <f t="shared" si="18"/>
        <v>Projected</v>
      </c>
      <c r="L108" s="586" t="str">
        <f t="shared" si="18"/>
        <v>Projected</v>
      </c>
      <c r="M108" s="586" t="str">
        <f t="shared" si="18"/>
        <v>Projected</v>
      </c>
      <c r="N108" s="586" t="str">
        <f t="shared" si="18"/>
        <v>Projected</v>
      </c>
      <c r="O108" s="586" t="str">
        <f t="shared" si="18"/>
        <v>Projected</v>
      </c>
      <c r="P108" s="586" t="str">
        <f t="shared" si="18"/>
        <v>Projected</v>
      </c>
    </row>
    <row r="109" spans="1:16" x14ac:dyDescent="0.25">
      <c r="A109" s="585" t="s">
        <v>73</v>
      </c>
      <c r="B109" s="638" t="s">
        <v>68</v>
      </c>
      <c r="C109" s="586" t="s">
        <v>0</v>
      </c>
      <c r="D109" s="586" t="s">
        <v>1</v>
      </c>
      <c r="E109" s="586" t="s">
        <v>2</v>
      </c>
      <c r="F109" s="586" t="s">
        <v>3</v>
      </c>
      <c r="G109" s="586" t="s">
        <v>4</v>
      </c>
      <c r="H109" s="586" t="s">
        <v>5</v>
      </c>
      <c r="I109" s="586" t="s">
        <v>6</v>
      </c>
      <c r="J109" s="586" t="s">
        <v>7</v>
      </c>
      <c r="K109" s="586" t="s">
        <v>8</v>
      </c>
      <c r="L109" s="586" t="s">
        <v>9</v>
      </c>
      <c r="M109" s="586" t="s">
        <v>514</v>
      </c>
      <c r="N109" s="586" t="s">
        <v>515</v>
      </c>
      <c r="O109" s="586" t="s">
        <v>904</v>
      </c>
      <c r="P109" s="586" t="s">
        <v>1046</v>
      </c>
    </row>
    <row r="111" spans="1:16" x14ac:dyDescent="0.25">
      <c r="A111" s="592" t="s">
        <v>82</v>
      </c>
    </row>
    <row r="112" spans="1:16" x14ac:dyDescent="0.25">
      <c r="A112" s="640" t="s">
        <v>83</v>
      </c>
      <c r="B112" s="590"/>
      <c r="C112" s="590"/>
      <c r="D112" s="590"/>
      <c r="E112" s="590"/>
      <c r="F112" s="590"/>
      <c r="G112" s="590"/>
      <c r="H112" s="590"/>
      <c r="I112" s="590"/>
      <c r="J112" s="590"/>
      <c r="K112" s="590"/>
      <c r="L112" s="590"/>
      <c r="M112" s="590"/>
      <c r="N112" s="590"/>
      <c r="O112" s="590"/>
      <c r="P112" s="590"/>
    </row>
    <row r="113" spans="1:16" x14ac:dyDescent="0.25">
      <c r="A113" s="639" t="s">
        <v>11</v>
      </c>
      <c r="B113" s="594"/>
      <c r="C113" s="594">
        <f t="shared" ref="C113:D118" si="19">C60</f>
        <v>0</v>
      </c>
      <c r="D113" s="594">
        <f t="shared" si="19"/>
        <v>18724</v>
      </c>
      <c r="E113" s="594">
        <f>'Water  Fund  Cash Flow'!E113+'GF &amp; FF   Cash Flow'!E113+'Sewer  Fund  Cash Flow'!E113</f>
        <v>18207</v>
      </c>
      <c r="F113" s="594">
        <f>'Water  Fund  Cash Flow'!F113+'GF &amp; FF   Cash Flow'!F113+'Sewer  Fund  Cash Flow'!F113</f>
        <v>20031.815000000002</v>
      </c>
      <c r="G113" s="594">
        <f>'Water  Fund  Cash Flow'!G113+'GF &amp; FF   Cash Flow'!G113+'Sewer  Fund  Cash Flow'!G113</f>
        <v>21473.328500000003</v>
      </c>
      <c r="H113" s="594">
        <f>'Water  Fund  Cash Flow'!H113+'GF &amp; FF   Cash Flow'!H113+'Sewer  Fund  Cash Flow'!H113</f>
        <v>22077.295283500003</v>
      </c>
      <c r="I113" s="594">
        <f>'Water  Fund  Cash Flow'!I113+'GF &amp; FF   Cash Flow'!I113+'Sewer  Fund  Cash Flow'!I113</f>
        <v>23575.982834337497</v>
      </c>
      <c r="J113" s="594">
        <f>'Water  Fund  Cash Flow'!J113+'GF &amp; FF   Cash Flow'!J113+'Sewer  Fund  Cash Flow'!J113</f>
        <v>24552.556530195932</v>
      </c>
      <c r="K113" s="594">
        <f>'Water  Fund  Cash Flow'!K113+'GF &amp; FF   Cash Flow'!K113+'Sewer  Fund  Cash Flow'!K113</f>
        <v>24606.185401458646</v>
      </c>
      <c r="L113" s="594">
        <f>'Water  Fund  Cash Flow'!L113+'GF &amp; FF   Cash Flow'!L113+'Sewer  Fund  Cash Flow'!L113</f>
        <v>25221.340036495109</v>
      </c>
      <c r="M113" s="594">
        <f>'Water  Fund  Cash Flow'!M113+'GF &amp; FF   Cash Flow'!M113+'Sewer  Fund  Cash Flow'!M113</f>
        <v>25452.214216349734</v>
      </c>
      <c r="N113" s="594">
        <f>'Water  Fund  Cash Flow'!N113+'GF &amp; FF   Cash Flow'!N113+'Sewer  Fund  Cash Flow'!N113</f>
        <v>26088.519571758479</v>
      </c>
      <c r="O113" s="594">
        <f>'Water  Fund  Cash Flow'!O113+'GF &amp; FF   Cash Flow'!O113+'Sewer  Fund  Cash Flow'!O113</f>
        <v>25442.219673031243</v>
      </c>
      <c r="P113" s="594">
        <f>'Water  Fund  Cash Flow'!P113+'GF &amp; FF   Cash Flow'!P113+'Sewer  Fund  Cash Flow'!P113</f>
        <v>24070.456475322368</v>
      </c>
    </row>
    <row r="114" spans="1:16" x14ac:dyDescent="0.25">
      <c r="A114" s="639" t="s">
        <v>12</v>
      </c>
      <c r="B114" s="594"/>
      <c r="C114" s="594">
        <f t="shared" si="19"/>
        <v>0</v>
      </c>
      <c r="D114" s="594">
        <f t="shared" si="19"/>
        <v>11585</v>
      </c>
      <c r="E114" s="594">
        <f>'Water  Fund  Cash Flow'!E114+'GF &amp; FF   Cash Flow'!E114+'Sewer  Fund  Cash Flow'!E114</f>
        <v>10646</v>
      </c>
      <c r="F114" s="594">
        <f>'Water  Fund  Cash Flow'!F114+'GF &amp; FF   Cash Flow'!F114+'Sewer  Fund  Cash Flow'!F114</f>
        <v>13528.819000000001</v>
      </c>
      <c r="G114" s="594">
        <f>'Water  Fund  Cash Flow'!G114+'GF &amp; FF   Cash Flow'!G114+'Sewer  Fund  Cash Flow'!G114</f>
        <v>14184.400000000001</v>
      </c>
      <c r="H114" s="594">
        <f>'Water  Fund  Cash Flow'!H114+'GF &amp; FF   Cash Flow'!H114+'Sewer  Fund  Cash Flow'!H114</f>
        <v>14288.015000000001</v>
      </c>
      <c r="I114" s="594">
        <f>'Water  Fund  Cash Flow'!I114+'GF &amp; FF   Cash Flow'!I114+'Sewer  Fund  Cash Flow'!I114</f>
        <v>14861.232999999998</v>
      </c>
      <c r="J114" s="594">
        <f>'Water  Fund  Cash Flow'!J114+'GF &amp; FF   Cash Flow'!J114+'Sewer  Fund  Cash Flow'!J114</f>
        <v>15527.495999999999</v>
      </c>
      <c r="K114" s="594">
        <f>'Water  Fund  Cash Flow'!K114+'GF &amp; FF   Cash Flow'!K114+'Sewer  Fund  Cash Flow'!K114</f>
        <v>15838.04592</v>
      </c>
      <c r="L114" s="594">
        <f>'Water  Fund  Cash Flow'!L114+'GF &amp; FF   Cash Flow'!L114+'Sewer  Fund  Cash Flow'!L114</f>
        <v>16154.8068384</v>
      </c>
      <c r="M114" s="594">
        <f>'Water  Fund  Cash Flow'!M114+'GF &amp; FF   Cash Flow'!M114+'Sewer  Fund  Cash Flow'!M114</f>
        <v>16477.902975167999</v>
      </c>
      <c r="N114" s="594">
        <f>'Water  Fund  Cash Flow'!N114+'GF &amp; FF   Cash Flow'!N114+'Sewer  Fund  Cash Flow'!N114</f>
        <v>16807.46103467136</v>
      </c>
      <c r="O114" s="594">
        <f>'Water  Fund  Cash Flow'!O114+'GF &amp; FF   Cash Flow'!O114+'Sewer  Fund  Cash Flow'!O114</f>
        <v>17143.610255364791</v>
      </c>
      <c r="P114" s="594">
        <f>'Water  Fund  Cash Flow'!P114+'GF &amp; FF   Cash Flow'!P114+'Sewer  Fund  Cash Flow'!P114</f>
        <v>17486.482460472089</v>
      </c>
    </row>
    <row r="115" spans="1:16" x14ac:dyDescent="0.25">
      <c r="A115" s="639" t="s">
        <v>84</v>
      </c>
      <c r="B115" s="594"/>
      <c r="C115" s="594">
        <f t="shared" si="19"/>
        <v>0</v>
      </c>
      <c r="D115" s="594">
        <f t="shared" si="19"/>
        <v>2499</v>
      </c>
      <c r="E115" s="594">
        <f>'Water  Fund  Cash Flow'!E115+'GF &amp; FF   Cash Flow'!E115+'Sewer  Fund  Cash Flow'!E115</f>
        <v>2571</v>
      </c>
      <c r="F115" s="594">
        <f>'Water  Fund  Cash Flow'!F115+'GF &amp; FF   Cash Flow'!F115+'Sewer  Fund  Cash Flow'!F115</f>
        <v>2254.5</v>
      </c>
      <c r="G115" s="594">
        <f>'Water  Fund  Cash Flow'!G115+'GF &amp; FF   Cash Flow'!G115+'Sewer  Fund  Cash Flow'!G115</f>
        <v>2162.2089999999998</v>
      </c>
      <c r="H115" s="594">
        <f>'Water  Fund  Cash Flow'!H115+'GF &amp; FF   Cash Flow'!H115+'Sewer  Fund  Cash Flow'!H115</f>
        <v>1977.5630000000001</v>
      </c>
      <c r="I115" s="594">
        <f>'Water  Fund  Cash Flow'!I115+'GF &amp; FF   Cash Flow'!I115+'Sewer  Fund  Cash Flow'!I115</f>
        <v>1913.963</v>
      </c>
      <c r="J115" s="594">
        <f>'Water  Fund  Cash Flow'!J115+'GF &amp; FF   Cash Flow'!J115+'Sewer  Fund  Cash Flow'!J115</f>
        <v>1883.6479999999999</v>
      </c>
      <c r="K115" s="594">
        <f>'Water  Fund  Cash Flow'!K115+'GF &amp; FF   Cash Flow'!K115+'Sewer  Fund  Cash Flow'!K115</f>
        <v>1664.7866266436981</v>
      </c>
      <c r="L115" s="594">
        <f>'Water  Fund  Cash Flow'!L115+'GF &amp; FF   Cash Flow'!L115+'Sewer  Fund  Cash Flow'!L115</f>
        <v>1663.3274865403587</v>
      </c>
      <c r="M115" s="594">
        <f>'Water  Fund  Cash Flow'!M115+'GF &amp; FF   Cash Flow'!M115+'Sewer  Fund  Cash Flow'!M115</f>
        <v>1665.8125601835957</v>
      </c>
      <c r="N115" s="594">
        <f>'Water  Fund  Cash Flow'!N115+'GF &amp; FF   Cash Flow'!N115+'Sewer  Fund  Cash Flow'!N115</f>
        <v>1657.5161877558287</v>
      </c>
      <c r="O115" s="594">
        <f>'Water  Fund  Cash Flow'!O115+'GF &amp; FF   Cash Flow'!O115+'Sewer  Fund  Cash Flow'!O115</f>
        <v>1665.2419625274351</v>
      </c>
      <c r="P115" s="594">
        <f>'Water  Fund  Cash Flow'!P115+'GF &amp; FF   Cash Flow'!P115+'Sewer  Fund  Cash Flow'!P115</f>
        <v>1624.7969780311123</v>
      </c>
    </row>
    <row r="116" spans="1:16" x14ac:dyDescent="0.25">
      <c r="A116" s="639" t="s">
        <v>85</v>
      </c>
      <c r="B116" s="594"/>
      <c r="C116" s="594">
        <f t="shared" si="19"/>
        <v>0</v>
      </c>
      <c r="D116" s="594">
        <f t="shared" si="19"/>
        <v>26703</v>
      </c>
      <c r="E116" s="594">
        <f>'Water  Fund  Cash Flow'!E116+'GF &amp; FF   Cash Flow'!E116+'Sewer  Fund  Cash Flow'!E116</f>
        <v>24423</v>
      </c>
      <c r="F116" s="594">
        <f>'Water  Fund  Cash Flow'!F116+'GF &amp; FF   Cash Flow'!F116+'Sewer  Fund  Cash Flow'!F116</f>
        <v>10208.751</v>
      </c>
      <c r="G116" s="594">
        <f>'Water  Fund  Cash Flow'!G116+'GF &amp; FF   Cash Flow'!G116+'Sewer  Fund  Cash Flow'!G116</f>
        <v>18048.356</v>
      </c>
      <c r="H116" s="594">
        <f>'Water  Fund  Cash Flow'!H116+'GF &amp; FF   Cash Flow'!H116+'Sewer  Fund  Cash Flow'!H116</f>
        <v>9562.6120100000007</v>
      </c>
      <c r="I116" s="594">
        <f>'Water  Fund  Cash Flow'!I116+'GF &amp; FF   Cash Flow'!I116+'Sewer  Fund  Cash Flow'!I116</f>
        <v>13218.3550153</v>
      </c>
      <c r="J116" s="594">
        <f>'Water  Fund  Cash Flow'!J116+'GF &amp; FF   Cash Flow'!J116+'Sewer  Fund  Cash Flow'!J116</f>
        <v>9877.800092634001</v>
      </c>
      <c r="K116" s="594">
        <f>'Water  Fund  Cash Flow'!K116+'GF &amp; FF   Cash Flow'!K116+'Sewer  Fund  Cash Flow'!K116</f>
        <v>10104.433688286681</v>
      </c>
      <c r="L116" s="594">
        <f>'Water  Fund  Cash Flow'!L116+'GF &amp; FF   Cash Flow'!L116+'Sewer  Fund  Cash Flow'!L116</f>
        <v>10336.326895697413</v>
      </c>
      <c r="M116" s="594">
        <f>'Water  Fund  Cash Flow'!M116+'GF &amp; FF   Cash Flow'!M116+'Sewer  Fund  Cash Flow'!M116</f>
        <v>10572.562680597486</v>
      </c>
      <c r="N116" s="594">
        <f>'Water  Fund  Cash Flow'!N116+'GF &amp; FF   Cash Flow'!N116+'Sewer  Fund  Cash Flow'!N116</f>
        <v>10814.286922370215</v>
      </c>
      <c r="O116" s="594">
        <f>'Water  Fund  Cash Flow'!O116+'GF &amp; FF   Cash Flow'!O116+'Sewer  Fund  Cash Flow'!O116</f>
        <v>11061.628483682414</v>
      </c>
      <c r="P116" s="594">
        <f>'Water  Fund  Cash Flow'!P116+'GF &amp; FF   Cash Flow'!P116+'Sewer  Fund  Cash Flow'!P116</f>
        <v>11314.719281792481</v>
      </c>
    </row>
    <row r="117" spans="1:16" hidden="1" outlineLevel="1" x14ac:dyDescent="0.2">
      <c r="A117" s="639" t="s">
        <v>86</v>
      </c>
      <c r="B117" s="594"/>
      <c r="C117" s="594">
        <f t="shared" si="19"/>
        <v>0</v>
      </c>
      <c r="D117" s="594">
        <f t="shared" si="19"/>
        <v>97</v>
      </c>
      <c r="E117" s="594">
        <f>'Water  Fund  Cash Flow'!E117+'GF &amp; FF   Cash Flow'!E117+'Sewer  Fund  Cash Flow'!E117</f>
        <v>296</v>
      </c>
      <c r="F117" s="594">
        <f>'Water  Fund  Cash Flow'!F117+'GF &amp; FF   Cash Flow'!F117+'Sewer  Fund  Cash Flow'!F117</f>
        <v>0</v>
      </c>
      <c r="G117" s="594">
        <f>'Water  Fund  Cash Flow'!G117+'GF &amp; FF   Cash Flow'!G117+'Sewer  Fund  Cash Flow'!G117</f>
        <v>0</v>
      </c>
      <c r="H117" s="594">
        <f>'Water  Fund  Cash Flow'!H117+'GF &amp; FF   Cash Flow'!H117+'Sewer  Fund  Cash Flow'!H117</f>
        <v>0</v>
      </c>
      <c r="I117" s="594">
        <f>'Water  Fund  Cash Flow'!I117+'GF &amp; FF   Cash Flow'!I117+'Sewer  Fund  Cash Flow'!I117</f>
        <v>0</v>
      </c>
      <c r="J117" s="594">
        <f>'Water  Fund  Cash Flow'!J117+'GF &amp; FF   Cash Flow'!J117+'Sewer  Fund  Cash Flow'!J117</f>
        <v>0</v>
      </c>
      <c r="K117" s="594">
        <f>'Water  Fund  Cash Flow'!K117+'GF &amp; FF   Cash Flow'!K117+'Sewer  Fund  Cash Flow'!K117</f>
        <v>0</v>
      </c>
      <c r="L117" s="594">
        <f>'Water  Fund  Cash Flow'!L117+'GF &amp; FF   Cash Flow'!L117+'Sewer  Fund  Cash Flow'!L117</f>
        <v>0</v>
      </c>
      <c r="M117" s="594">
        <f>'Water  Fund  Cash Flow'!M117+'GF &amp; FF   Cash Flow'!M117+'Sewer  Fund  Cash Flow'!M117</f>
        <v>0</v>
      </c>
      <c r="N117" s="594">
        <f>'Water  Fund  Cash Flow'!N117+'GF &amp; FF   Cash Flow'!N117+'Sewer  Fund  Cash Flow'!N117</f>
        <v>0</v>
      </c>
      <c r="O117" s="594">
        <f>'Water  Fund  Cash Flow'!O117+'GF &amp; FF   Cash Flow'!O117+'Sewer  Fund  Cash Flow'!O117</f>
        <v>0</v>
      </c>
      <c r="P117" s="594">
        <f>'Water  Fund  Cash Flow'!P117+'GF &amp; FF   Cash Flow'!P117+'Sewer  Fund  Cash Flow'!P117</f>
        <v>0</v>
      </c>
    </row>
    <row r="118" spans="1:16" collapsed="1" x14ac:dyDescent="0.25">
      <c r="A118" s="639" t="s">
        <v>41</v>
      </c>
      <c r="B118" s="594"/>
      <c r="C118" s="594">
        <f t="shared" si="19"/>
        <v>0</v>
      </c>
      <c r="D118" s="594">
        <f t="shared" si="19"/>
        <v>5309</v>
      </c>
      <c r="E118" s="594">
        <f>'Water  Fund  Cash Flow'!E118+'GF &amp; FF   Cash Flow'!E118+'Sewer  Fund  Cash Flow'!E118</f>
        <v>4000</v>
      </c>
      <c r="F118" s="594">
        <f>'Water  Fund  Cash Flow'!F118+'GF &amp; FF   Cash Flow'!F118+'Sewer  Fund  Cash Flow'!F118</f>
        <v>7207.8899999999994</v>
      </c>
      <c r="G118" s="594">
        <f>'Water  Fund  Cash Flow'!G118+'GF &amp; FF   Cash Flow'!G118+'Sewer  Fund  Cash Flow'!G118</f>
        <v>7469.6399999999994</v>
      </c>
      <c r="H118" s="594">
        <f>'Water  Fund  Cash Flow'!H118+'GF &amp; FF   Cash Flow'!H118+'Sewer  Fund  Cash Flow'!H118</f>
        <v>7703.4269999999997</v>
      </c>
      <c r="I118" s="594">
        <f>'Water  Fund  Cash Flow'!I118+'GF &amp; FF   Cash Flow'!I118+'Sewer  Fund  Cash Flow'!I118</f>
        <v>7939.5569999999998</v>
      </c>
      <c r="J118" s="594">
        <f>'Water  Fund  Cash Flow'!J118+'GF &amp; FF   Cash Flow'!J118+'Sewer  Fund  Cash Flow'!J118</f>
        <v>8034.5349999999999</v>
      </c>
      <c r="K118" s="594">
        <f>'Water  Fund  Cash Flow'!K118+'GF &amp; FF   Cash Flow'!K118+'Sewer  Fund  Cash Flow'!K118</f>
        <v>8195.2257000000009</v>
      </c>
      <c r="L118" s="594">
        <f>'Water  Fund  Cash Flow'!L118+'GF &amp; FF   Cash Flow'!L118+'Sewer  Fund  Cash Flow'!L118</f>
        <v>8359.1302140000007</v>
      </c>
      <c r="M118" s="594">
        <f>'Water  Fund  Cash Flow'!M118+'GF &amp; FF   Cash Flow'!M118+'Sewer  Fund  Cash Flow'!M118</f>
        <v>8526.3128182800028</v>
      </c>
      <c r="N118" s="594">
        <f>'Water  Fund  Cash Flow'!N118+'GF &amp; FF   Cash Flow'!N118+'Sewer  Fund  Cash Flow'!N118</f>
        <v>8696.8390746456025</v>
      </c>
      <c r="O118" s="594">
        <f>'Water  Fund  Cash Flow'!O118+'GF &amp; FF   Cash Flow'!O118+'Sewer  Fund  Cash Flow'!O118</f>
        <v>8870.7758561385144</v>
      </c>
      <c r="P118" s="594">
        <f>'Water  Fund  Cash Flow'!P118+'GF &amp; FF   Cash Flow'!P118+'Sewer  Fund  Cash Flow'!P118</f>
        <v>9048.1913732612848</v>
      </c>
    </row>
    <row r="119" spans="1:16" x14ac:dyDescent="0.25"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</row>
    <row r="120" spans="1:16" x14ac:dyDescent="0.25">
      <c r="A120" s="640" t="s">
        <v>87</v>
      </c>
      <c r="B120" s="594"/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</row>
    <row r="121" spans="1:16" x14ac:dyDescent="0.25">
      <c r="A121" s="639" t="s">
        <v>25</v>
      </c>
      <c r="B121" s="594"/>
      <c r="C121" s="594">
        <f>C68</f>
        <v>0</v>
      </c>
      <c r="D121" s="594">
        <f>D68</f>
        <v>-12900</v>
      </c>
      <c r="E121" s="594">
        <f>'Water  Fund  Cash Flow'!E121+'GF &amp; FF   Cash Flow'!E121+'Sewer  Fund  Cash Flow'!E121</f>
        <v>-12519</v>
      </c>
      <c r="F121" s="594">
        <f>'Water  Fund  Cash Flow'!F121+'GF &amp; FF   Cash Flow'!F121+'Sewer  Fund  Cash Flow'!F121</f>
        <v>-13094.137000000001</v>
      </c>
      <c r="G121" s="594">
        <f>'Water  Fund  Cash Flow'!G121+'GF &amp; FF   Cash Flow'!G121+'Sewer  Fund  Cash Flow'!G121</f>
        <v>-13571.739</v>
      </c>
      <c r="H121" s="594">
        <f>'Water  Fund  Cash Flow'!H121+'GF &amp; FF   Cash Flow'!H121+'Sewer  Fund  Cash Flow'!H121</f>
        <v>-13889.526</v>
      </c>
      <c r="I121" s="594">
        <f>'Water  Fund  Cash Flow'!I121+'GF &amp; FF   Cash Flow'!I121+'Sewer  Fund  Cash Flow'!I121</f>
        <v>-14469.789999999999</v>
      </c>
      <c r="J121" s="594">
        <f>'Water  Fund  Cash Flow'!J121+'GF &amp; FF   Cash Flow'!J121+'Sewer  Fund  Cash Flow'!J121</f>
        <v>-15101.101000000001</v>
      </c>
      <c r="K121" s="594">
        <f>'Water  Fund  Cash Flow'!K121+'GF &amp; FF   Cash Flow'!K121+'Sewer  Fund  Cash Flow'!K121</f>
        <v>-15554.134029999999</v>
      </c>
      <c r="L121" s="594">
        <f>'Water  Fund  Cash Flow'!L121+'GF &amp; FF   Cash Flow'!L121+'Sewer  Fund  Cash Flow'!L121</f>
        <v>-16020.758050900002</v>
      </c>
      <c r="M121" s="594">
        <f>'Water  Fund  Cash Flow'!M121+'GF &amp; FF   Cash Flow'!M121+'Sewer  Fund  Cash Flow'!M121</f>
        <v>-16501.380792427004</v>
      </c>
      <c r="N121" s="594">
        <f>'Water  Fund  Cash Flow'!N121+'GF &amp; FF   Cash Flow'!N121+'Sewer  Fund  Cash Flow'!N121</f>
        <v>-16996.422216199811</v>
      </c>
      <c r="O121" s="594">
        <f>'Water  Fund  Cash Flow'!O121+'GF &amp; FF   Cash Flow'!O121+'Sewer  Fund  Cash Flow'!O121</f>
        <v>-17506.314882685809</v>
      </c>
      <c r="P121" s="594">
        <f>'Water  Fund  Cash Flow'!P121+'GF &amp; FF   Cash Flow'!P121+'Sewer  Fund  Cash Flow'!P121</f>
        <v>-18031.504329166382</v>
      </c>
    </row>
    <row r="122" spans="1:16" x14ac:dyDescent="0.25">
      <c r="A122" s="639" t="s">
        <v>27</v>
      </c>
      <c r="B122" s="594"/>
      <c r="C122" s="594">
        <f>C69</f>
        <v>0</v>
      </c>
      <c r="D122" s="594">
        <f>D69</f>
        <v>-9702</v>
      </c>
      <c r="E122" s="594">
        <f>'Water  Fund  Cash Flow'!E122+'GF &amp; FF   Cash Flow'!E122+'Sewer  Fund  Cash Flow'!E122</f>
        <v>-12687</v>
      </c>
      <c r="F122" s="594">
        <f>'Water  Fund  Cash Flow'!F122+'GF &amp; FF   Cash Flow'!F122+'Sewer  Fund  Cash Flow'!F122</f>
        <v>-18997.901000000002</v>
      </c>
      <c r="G122" s="594">
        <f>'Water  Fund  Cash Flow'!G122+'GF &amp; FF   Cash Flow'!G122+'Sewer  Fund  Cash Flow'!G122</f>
        <v>-19422.218999999997</v>
      </c>
      <c r="H122" s="594">
        <f>'Water  Fund  Cash Flow'!H122+'GF &amp; FF   Cash Flow'!H122+'Sewer  Fund  Cash Flow'!H122</f>
        <v>-19823.828000000005</v>
      </c>
      <c r="I122" s="594">
        <f>'Water  Fund  Cash Flow'!I122+'GF &amp; FF   Cash Flow'!I122+'Sewer  Fund  Cash Flow'!I122</f>
        <v>-20415.25</v>
      </c>
      <c r="J122" s="594">
        <f>'Water  Fund  Cash Flow'!J122+'GF &amp; FF   Cash Flow'!J122+'Sewer  Fund  Cash Flow'!J122</f>
        <v>-21345.46</v>
      </c>
      <c r="K122" s="594">
        <f>'Water  Fund  Cash Flow'!K122+'GF &amp; FF   Cash Flow'!K122+'Sewer  Fund  Cash Flow'!K122</f>
        <v>-21755.243999999999</v>
      </c>
      <c r="L122" s="594">
        <f>'Water  Fund  Cash Flow'!L122+'GF &amp; FF   Cash Flow'!L122+'Sewer  Fund  Cash Flow'!L122</f>
        <v>-22190.348879999998</v>
      </c>
      <c r="M122" s="594">
        <f>'Water  Fund  Cash Flow'!M122+'GF &amp; FF   Cash Flow'!M122+'Sewer  Fund  Cash Flow'!M122</f>
        <v>-22634.155857600002</v>
      </c>
      <c r="N122" s="594">
        <f>'Water  Fund  Cash Flow'!N122+'GF &amp; FF   Cash Flow'!N122+'Sewer  Fund  Cash Flow'!N122</f>
        <v>-23086.838974752001</v>
      </c>
      <c r="O122" s="594">
        <f>'Water  Fund  Cash Flow'!O122+'GF &amp; FF   Cash Flow'!O122+'Sewer  Fund  Cash Flow'!O122</f>
        <v>-23548.575754247038</v>
      </c>
      <c r="P122" s="594">
        <f>'Water  Fund  Cash Flow'!P122+'GF &amp; FF   Cash Flow'!P122+'Sewer  Fund  Cash Flow'!P122</f>
        <v>-24019.547269331983</v>
      </c>
    </row>
    <row r="123" spans="1:16" x14ac:dyDescent="0.25">
      <c r="A123" s="639" t="s">
        <v>926</v>
      </c>
      <c r="B123" s="594"/>
      <c r="C123" s="594"/>
      <c r="D123" s="594">
        <f>D70</f>
        <v>-639</v>
      </c>
      <c r="E123" s="594">
        <f>'Water  Fund  Cash Flow'!E123+'GF &amp; FF   Cash Flow'!E123+'Sewer  Fund  Cash Flow'!E123</f>
        <v>-634</v>
      </c>
      <c r="F123" s="594">
        <f>'Water  Fund  Cash Flow'!F123+'GF &amp; FF   Cash Flow'!F123+'Sewer  Fund  Cash Flow'!F123</f>
        <v>-1715.8580000000002</v>
      </c>
      <c r="G123" s="594">
        <f>'Water  Fund  Cash Flow'!G123+'GF &amp; FF   Cash Flow'!G123+'Sewer  Fund  Cash Flow'!G123</f>
        <v>-2126.712</v>
      </c>
      <c r="H123" s="594">
        <f>'Water  Fund  Cash Flow'!H123+'GF &amp; FF   Cash Flow'!H123+'Sewer  Fund  Cash Flow'!H123</f>
        <v>-2428.0219999999999</v>
      </c>
      <c r="I123" s="594">
        <f>'Water  Fund  Cash Flow'!I123+'GF &amp; FF   Cash Flow'!I123+'Sewer  Fund  Cash Flow'!I123</f>
        <v>-2823.9700000000003</v>
      </c>
      <c r="J123" s="594">
        <f>'Water  Fund  Cash Flow'!J123+'GF &amp; FF   Cash Flow'!J123+'Sewer  Fund  Cash Flow'!J123</f>
        <v>-3230.4170000000004</v>
      </c>
      <c r="K123" s="594">
        <f>'Water  Fund  Cash Flow'!K123+'GF &amp; FF   Cash Flow'!K123+'Sewer  Fund  Cash Flow'!K123</f>
        <v>-3173.5130360000003</v>
      </c>
      <c r="L123" s="594">
        <f>'Water  Fund  Cash Flow'!L123+'GF &amp; FF   Cash Flow'!L123+'Sewer  Fund  Cash Flow'!L123</f>
        <v>-3115.4709927200001</v>
      </c>
      <c r="M123" s="594">
        <f>'Water  Fund  Cash Flow'!M123+'GF &amp; FF   Cash Flow'!M123+'Sewer  Fund  Cash Flow'!M123</f>
        <v>-3057.3881085744001</v>
      </c>
      <c r="N123" s="594">
        <f>'Water  Fund  Cash Flow'!N123+'GF &amp; FF   Cash Flow'!N123+'Sewer  Fund  Cash Flow'!N123</f>
        <v>-3011.3494111886976</v>
      </c>
      <c r="O123" s="594">
        <f>'Water  Fund  Cash Flow'!O123+'GF &amp; FF   Cash Flow'!O123+'Sewer  Fund  Cash Flow'!O123</f>
        <v>-2964.3899398552812</v>
      </c>
      <c r="P123" s="594">
        <f>'Water  Fund  Cash Flow'!P123+'GF &amp; FF   Cash Flow'!P123+'Sewer  Fund  Cash Flow'!P123</f>
        <v>-2916.4912790951962</v>
      </c>
    </row>
    <row r="124" spans="1:16" hidden="1" outlineLevel="1" x14ac:dyDescent="0.2">
      <c r="A124" s="639" t="s">
        <v>88</v>
      </c>
      <c r="B124" s="594"/>
      <c r="C124" s="594">
        <f>C71</f>
        <v>0</v>
      </c>
      <c r="D124" s="594">
        <f>D71</f>
        <v>-79</v>
      </c>
      <c r="E124" s="594">
        <f>'Water  Fund  Cash Flow'!E124+'GF &amp; FF   Cash Flow'!E124+'Sewer  Fund  Cash Flow'!E124</f>
        <v>-305</v>
      </c>
      <c r="F124" s="594">
        <f>'Water  Fund  Cash Flow'!F124+'GF &amp; FF   Cash Flow'!F124+'Sewer  Fund  Cash Flow'!F124</f>
        <v>0</v>
      </c>
      <c r="G124" s="594">
        <f>'Water  Fund  Cash Flow'!G124+'GF &amp; FF   Cash Flow'!G124+'Sewer  Fund  Cash Flow'!G124</f>
        <v>0</v>
      </c>
      <c r="H124" s="594">
        <f>'Water  Fund  Cash Flow'!H124+'GF &amp; FF   Cash Flow'!H124+'Sewer  Fund  Cash Flow'!H124</f>
        <v>0</v>
      </c>
      <c r="I124" s="594">
        <f>'Water  Fund  Cash Flow'!I124+'GF &amp; FF   Cash Flow'!I124+'Sewer  Fund  Cash Flow'!I124</f>
        <v>0</v>
      </c>
      <c r="J124" s="594">
        <f>'Water  Fund  Cash Flow'!J124+'GF &amp; FF   Cash Flow'!J124+'Sewer  Fund  Cash Flow'!J124</f>
        <v>0</v>
      </c>
      <c r="K124" s="594">
        <f>'Water  Fund  Cash Flow'!K124+'GF &amp; FF   Cash Flow'!K124+'Sewer  Fund  Cash Flow'!K124</f>
        <v>0</v>
      </c>
      <c r="L124" s="594">
        <f>'Water  Fund  Cash Flow'!L124+'GF &amp; FF   Cash Flow'!L124+'Sewer  Fund  Cash Flow'!L124</f>
        <v>0</v>
      </c>
      <c r="M124" s="594">
        <f>'Water  Fund  Cash Flow'!M124+'GF &amp; FF   Cash Flow'!M124+'Sewer  Fund  Cash Flow'!M124</f>
        <v>0</v>
      </c>
      <c r="N124" s="594">
        <f>'Water  Fund  Cash Flow'!N124+'GF &amp; FF   Cash Flow'!N124+'Sewer  Fund  Cash Flow'!N124</f>
        <v>0</v>
      </c>
      <c r="O124" s="594">
        <f>'Water  Fund  Cash Flow'!O124+'GF &amp; FF   Cash Flow'!O124+'Sewer  Fund  Cash Flow'!O124</f>
        <v>0</v>
      </c>
      <c r="P124" s="594">
        <f>'Water  Fund  Cash Flow'!P124+'GF &amp; FF   Cash Flow'!P124+'Sewer  Fund  Cash Flow'!P124</f>
        <v>0</v>
      </c>
    </row>
    <row r="125" spans="1:16" collapsed="1" x14ac:dyDescent="0.25">
      <c r="A125" s="641" t="s">
        <v>41</v>
      </c>
      <c r="B125" s="591"/>
      <c r="C125" s="594">
        <f>C72</f>
        <v>0</v>
      </c>
      <c r="D125" s="594">
        <f>D72</f>
        <v>-7816</v>
      </c>
      <c r="E125" s="594">
        <f>'Water  Fund  Cash Flow'!E125+'GF &amp; FF   Cash Flow'!E125+'Sewer  Fund  Cash Flow'!E125</f>
        <v>-9383</v>
      </c>
      <c r="F125" s="594">
        <f>'Water  Fund  Cash Flow'!F125+'GF &amp; FF   Cash Flow'!F125+'Sewer  Fund  Cash Flow'!F125</f>
        <v>-3204.8429999999998</v>
      </c>
      <c r="G125" s="594">
        <f>'Water  Fund  Cash Flow'!G125+'GF &amp; FF   Cash Flow'!G125+'Sewer  Fund  Cash Flow'!G125</f>
        <v>-3307.2809999999999</v>
      </c>
      <c r="H125" s="594">
        <f>'Water  Fund  Cash Flow'!H125+'GF &amp; FF   Cash Flow'!H125+'Sewer  Fund  Cash Flow'!H125</f>
        <v>-3375.721</v>
      </c>
      <c r="I125" s="594">
        <f>'Water  Fund  Cash Flow'!I125+'GF &amp; FF   Cash Flow'!I125+'Sewer  Fund  Cash Flow'!I125</f>
        <v>-3469.5200000000004</v>
      </c>
      <c r="J125" s="594">
        <f>'Water  Fund  Cash Flow'!J125+'GF &amp; FF   Cash Flow'!J125+'Sewer  Fund  Cash Flow'!J125</f>
        <v>-3637.9970000000003</v>
      </c>
      <c r="K125" s="594">
        <f>'Water  Fund  Cash Flow'!K125+'GF &amp; FF   Cash Flow'!K125+'Sewer  Fund  Cash Flow'!K125</f>
        <v>-3710.7569399999998</v>
      </c>
      <c r="L125" s="594">
        <f>'Water  Fund  Cash Flow'!L125+'GF &amp; FF   Cash Flow'!L125+'Sewer  Fund  Cash Flow'!L125</f>
        <v>-3784.9720788</v>
      </c>
      <c r="M125" s="594">
        <f>'Water  Fund  Cash Flow'!M125+'GF &amp; FF   Cash Flow'!M125+'Sewer  Fund  Cash Flow'!M125</f>
        <v>-3860.671520376</v>
      </c>
      <c r="N125" s="594">
        <f>'Water  Fund  Cash Flow'!N125+'GF &amp; FF   Cash Flow'!N125+'Sewer  Fund  Cash Flow'!N125</f>
        <v>-3937.8849507835198</v>
      </c>
      <c r="O125" s="594">
        <f>'Water  Fund  Cash Flow'!O125+'GF &amp; FF   Cash Flow'!O125+'Sewer  Fund  Cash Flow'!O125</f>
        <v>-4016.6426497991906</v>
      </c>
      <c r="P125" s="594">
        <f>'Water  Fund  Cash Flow'!P125+'GF &amp; FF   Cash Flow'!P125+'Sewer  Fund  Cash Flow'!P125</f>
        <v>-4096.9755027951742</v>
      </c>
    </row>
    <row r="126" spans="1:16" x14ac:dyDescent="0.25">
      <c r="A126" s="642" t="s">
        <v>89</v>
      </c>
      <c r="B126" s="643">
        <f>SUM(B113:B125)</f>
        <v>0</v>
      </c>
      <c r="C126" s="643">
        <f t="shared" ref="C126:P126" si="20">SUM(C113:C125)</f>
        <v>0</v>
      </c>
      <c r="D126" s="643">
        <f t="shared" si="20"/>
        <v>33781</v>
      </c>
      <c r="E126" s="643">
        <f t="shared" si="20"/>
        <v>24615</v>
      </c>
      <c r="F126" s="643">
        <f t="shared" si="20"/>
        <v>16219.036000000004</v>
      </c>
      <c r="G126" s="643">
        <f t="shared" si="20"/>
        <v>24909.982500000009</v>
      </c>
      <c r="H126" s="643">
        <f t="shared" si="20"/>
        <v>16091.815293500002</v>
      </c>
      <c r="I126" s="643">
        <f t="shared" si="20"/>
        <v>20330.560849637503</v>
      </c>
      <c r="J126" s="643">
        <f t="shared" si="20"/>
        <v>16561.060622829933</v>
      </c>
      <c r="K126" s="643">
        <f t="shared" si="20"/>
        <v>16215.029330389032</v>
      </c>
      <c r="L126" s="643">
        <f t="shared" si="20"/>
        <v>16623.381468712872</v>
      </c>
      <c r="M126" s="643">
        <f t="shared" si="20"/>
        <v>16641.208971601398</v>
      </c>
      <c r="N126" s="643">
        <f t="shared" si="20"/>
        <v>17032.127238277459</v>
      </c>
      <c r="O126" s="643">
        <f t="shared" si="20"/>
        <v>16147.553004157076</v>
      </c>
      <c r="P126" s="643">
        <f t="shared" si="20"/>
        <v>14480.128188490604</v>
      </c>
    </row>
    <row r="127" spans="1:16" x14ac:dyDescent="0.25">
      <c r="B127" s="590"/>
      <c r="C127" s="590"/>
      <c r="D127" s="590"/>
      <c r="E127" s="590"/>
      <c r="F127" s="590"/>
      <c r="G127" s="590"/>
      <c r="H127" s="590"/>
      <c r="I127" s="590"/>
      <c r="J127" s="590"/>
      <c r="K127" s="590"/>
      <c r="L127" s="590"/>
      <c r="M127" s="590"/>
      <c r="N127" s="590"/>
      <c r="O127" s="590"/>
      <c r="P127" s="590"/>
    </row>
    <row r="128" spans="1:16" x14ac:dyDescent="0.25">
      <c r="A128" s="592" t="s">
        <v>90</v>
      </c>
      <c r="B128" s="590"/>
      <c r="C128" s="590"/>
      <c r="D128" s="590"/>
      <c r="E128" s="590"/>
      <c r="F128" s="590"/>
      <c r="G128" s="590"/>
      <c r="H128" s="590"/>
      <c r="I128" s="590"/>
      <c r="J128" s="590"/>
      <c r="K128" s="590"/>
      <c r="L128" s="590"/>
      <c r="M128" s="590"/>
      <c r="N128" s="590"/>
      <c r="O128" s="590"/>
      <c r="P128" s="590"/>
    </row>
    <row r="129" spans="1:18" x14ac:dyDescent="0.25">
      <c r="A129" s="640" t="s">
        <v>83</v>
      </c>
      <c r="B129" s="590"/>
      <c r="C129" s="590"/>
      <c r="D129" s="590"/>
      <c r="E129" s="590"/>
      <c r="F129" s="590"/>
      <c r="G129" s="590"/>
      <c r="H129" s="590"/>
      <c r="I129" s="590"/>
      <c r="J129" s="590"/>
      <c r="K129" s="590"/>
      <c r="L129" s="590"/>
      <c r="M129" s="590"/>
      <c r="N129" s="590"/>
      <c r="O129" s="590"/>
      <c r="P129" s="590"/>
    </row>
    <row r="130" spans="1:18" x14ac:dyDescent="0.25">
      <c r="A130" s="639" t="s">
        <v>431</v>
      </c>
      <c r="B130" s="590"/>
      <c r="C130" s="590">
        <f>C77</f>
        <v>0</v>
      </c>
      <c r="D130" s="594">
        <f>D77</f>
        <v>7491</v>
      </c>
      <c r="E130" s="594">
        <f>'Water  Fund  Cash Flow'!E130+'GF &amp; FF   Cash Flow'!E130+'Sewer  Fund  Cash Flow'!E130</f>
        <v>8839</v>
      </c>
      <c r="F130" s="594">
        <f>'Water  Fund  Cash Flow'!F130+'GF &amp; FF   Cash Flow'!F130+'Sewer  Fund  Cash Flow'!F130</f>
        <v>7989.6059999999998</v>
      </c>
      <c r="G130" s="594">
        <f>'Water  Fund  Cash Flow'!G130+'GF &amp; FF   Cash Flow'!G130+'Sewer  Fund  Cash Flow'!G130</f>
        <v>2702.2619999999997</v>
      </c>
      <c r="H130" s="594">
        <f>'Water  Fund  Cash Flow'!H130+'GF &amp; FF   Cash Flow'!H130+'Sewer  Fund  Cash Flow'!H130</f>
        <v>13251.865</v>
      </c>
      <c r="I130" s="594">
        <f>'Water  Fund  Cash Flow'!I130+'GF &amp; FF   Cash Flow'!I130+'Sewer  Fund  Cash Flow'!I130</f>
        <v>2276.4720000000002</v>
      </c>
      <c r="J130" s="594">
        <f>'Water  Fund  Cash Flow'!J130+'GF &amp; FF   Cash Flow'!J130+'Sewer  Fund  Cash Flow'!J130</f>
        <v>1387.239</v>
      </c>
      <c r="K130" s="594">
        <f>'Water  Fund  Cash Flow'!K130+'GF &amp; FF   Cash Flow'!K130+'Sewer  Fund  Cash Flow'!K130</f>
        <v>3614.98378</v>
      </c>
      <c r="L130" s="594">
        <f>'Water  Fund  Cash Flow'!L130+'GF &amp; FF   Cash Flow'!L130+'Sewer  Fund  Cash Flow'!L130</f>
        <v>3687.2834555999998</v>
      </c>
      <c r="M130" s="594">
        <f>'Water  Fund  Cash Flow'!M130+'GF &amp; FF   Cash Flow'!M130+'Sewer  Fund  Cash Flow'!M130</f>
        <v>3761.0291247120003</v>
      </c>
      <c r="N130" s="594">
        <f>'Water  Fund  Cash Flow'!N130+'GF &amp; FF   Cash Flow'!N130+'Sewer  Fund  Cash Flow'!N130</f>
        <v>3836.2497072062397</v>
      </c>
      <c r="O130" s="594">
        <f>'Water  Fund  Cash Flow'!O130+'GF &amp; FF   Cash Flow'!O130+'Sewer  Fund  Cash Flow'!O130</f>
        <v>3912.9747013503647</v>
      </c>
      <c r="P130" s="594">
        <f>'Water  Fund  Cash Flow'!P130+'GF &amp; FF   Cash Flow'!P130+'Sewer  Fund  Cash Flow'!P130</f>
        <v>3991.2341953773721</v>
      </c>
    </row>
    <row r="131" spans="1:18" x14ac:dyDescent="0.25">
      <c r="A131" s="594" t="str">
        <f>A78</f>
        <v>Sale of Investment Property</v>
      </c>
      <c r="B131" s="590"/>
      <c r="C131" s="590"/>
      <c r="D131" s="594">
        <f>D78</f>
        <v>0</v>
      </c>
      <c r="E131" s="594">
        <f>'Water  Fund  Cash Flow'!E131+'GF &amp; FF   Cash Flow'!E131+'Sewer  Fund  Cash Flow'!E131</f>
        <v>0</v>
      </c>
      <c r="F131" s="594">
        <f>'Water  Fund  Cash Flow'!F131+'GF &amp; FF   Cash Flow'!F131+'Sewer  Fund  Cash Flow'!F131</f>
        <v>0</v>
      </c>
      <c r="G131" s="594">
        <f>'Water  Fund  Cash Flow'!G131+'GF &amp; FF   Cash Flow'!G131+'Sewer  Fund  Cash Flow'!G131</f>
        <v>0</v>
      </c>
      <c r="H131" s="594">
        <f>'Water  Fund  Cash Flow'!H131+'GF &amp; FF   Cash Flow'!H131+'Sewer  Fund  Cash Flow'!H131</f>
        <v>0</v>
      </c>
      <c r="I131" s="594">
        <f>'Water  Fund  Cash Flow'!I131+'GF &amp; FF   Cash Flow'!I131+'Sewer  Fund  Cash Flow'!I131</f>
        <v>0</v>
      </c>
      <c r="J131" s="594">
        <f>'Water  Fund  Cash Flow'!J131+'GF &amp; FF   Cash Flow'!J131+'Sewer  Fund  Cash Flow'!J131</f>
        <v>0</v>
      </c>
      <c r="K131" s="594">
        <f>'Water  Fund  Cash Flow'!K131+'GF &amp; FF   Cash Flow'!K131+'Sewer  Fund  Cash Flow'!K131</f>
        <v>0</v>
      </c>
      <c r="L131" s="594">
        <f>'Water  Fund  Cash Flow'!L131+'GF &amp; FF   Cash Flow'!L131+'Sewer  Fund  Cash Flow'!L131</f>
        <v>0</v>
      </c>
      <c r="M131" s="594">
        <f>'Water  Fund  Cash Flow'!M131+'GF &amp; FF   Cash Flow'!M131+'Sewer  Fund  Cash Flow'!M131</f>
        <v>0</v>
      </c>
      <c r="N131" s="594">
        <f>'Water  Fund  Cash Flow'!N131+'GF &amp; FF   Cash Flow'!N131+'Sewer  Fund  Cash Flow'!N131</f>
        <v>0</v>
      </c>
      <c r="O131" s="594">
        <f>'Water  Fund  Cash Flow'!O131+'GF &amp; FF   Cash Flow'!O131+'Sewer  Fund  Cash Flow'!O131</f>
        <v>0</v>
      </c>
      <c r="P131" s="594">
        <f>'Water  Fund  Cash Flow'!P131+'GF &amp; FF   Cash Flow'!P131+'Sewer  Fund  Cash Flow'!P131</f>
        <v>0</v>
      </c>
    </row>
    <row r="132" spans="1:18" x14ac:dyDescent="0.25">
      <c r="A132" s="639" t="s">
        <v>91</v>
      </c>
      <c r="B132" s="594"/>
      <c r="C132" s="590">
        <f>C79</f>
        <v>0</v>
      </c>
      <c r="D132" s="594">
        <f>D79</f>
        <v>0</v>
      </c>
      <c r="E132" s="594">
        <f>'Water  Fund  Cash Flow'!E132+'GF &amp; FF   Cash Flow'!E132+'Sewer  Fund  Cash Flow'!E132</f>
        <v>0</v>
      </c>
      <c r="F132" s="594">
        <f>'Water  Fund  Cash Flow'!F132+'GF &amp; FF   Cash Flow'!F132+'Sewer  Fund  Cash Flow'!F132</f>
        <v>0</v>
      </c>
      <c r="G132" s="594">
        <f>'Water  Fund  Cash Flow'!G132+'GF &amp; FF   Cash Flow'!G132+'Sewer  Fund  Cash Flow'!G132</f>
        <v>0</v>
      </c>
      <c r="H132" s="594">
        <f>'Water  Fund  Cash Flow'!H132+'GF &amp; FF   Cash Flow'!H132+'Sewer  Fund  Cash Flow'!H132</f>
        <v>0</v>
      </c>
      <c r="I132" s="594">
        <f>'Water  Fund  Cash Flow'!I132+'GF &amp; FF   Cash Flow'!I132+'Sewer  Fund  Cash Flow'!I132</f>
        <v>0</v>
      </c>
      <c r="J132" s="594">
        <f>'Water  Fund  Cash Flow'!J132+'GF &amp; FF   Cash Flow'!J132+'Sewer  Fund  Cash Flow'!J132</f>
        <v>0</v>
      </c>
      <c r="K132" s="594">
        <f>'Water  Fund  Cash Flow'!K132+'GF &amp; FF   Cash Flow'!K132+'Sewer  Fund  Cash Flow'!K132</f>
        <v>0</v>
      </c>
      <c r="L132" s="594">
        <f>'Water  Fund  Cash Flow'!L132+'GF &amp; FF   Cash Flow'!L132+'Sewer  Fund  Cash Flow'!L132</f>
        <v>0</v>
      </c>
      <c r="M132" s="594">
        <f>'Water  Fund  Cash Flow'!M132+'GF &amp; FF   Cash Flow'!M132+'Sewer  Fund  Cash Flow'!M132</f>
        <v>0</v>
      </c>
      <c r="N132" s="594">
        <f>'Water  Fund  Cash Flow'!N132+'GF &amp; FF   Cash Flow'!N132+'Sewer  Fund  Cash Flow'!N132</f>
        <v>0</v>
      </c>
      <c r="O132" s="594">
        <f>'Water  Fund  Cash Flow'!O132+'GF &amp; FF   Cash Flow'!O132+'Sewer  Fund  Cash Flow'!O132</f>
        <v>0</v>
      </c>
      <c r="P132" s="594">
        <f>'Water  Fund  Cash Flow'!P132+'GF &amp; FF   Cash Flow'!P132+'Sewer  Fund  Cash Flow'!P132</f>
        <v>0</v>
      </c>
    </row>
    <row r="133" spans="1:18" x14ac:dyDescent="0.25">
      <c r="A133" s="639" t="s">
        <v>92</v>
      </c>
      <c r="B133" s="594"/>
      <c r="C133" s="590">
        <f>C80</f>
        <v>0</v>
      </c>
      <c r="D133" s="594">
        <f>D80</f>
        <v>167</v>
      </c>
      <c r="E133" s="594">
        <f>'Water  Fund  Cash Flow'!E133+'GF &amp; FF   Cash Flow'!E133+'Sewer  Fund  Cash Flow'!E133</f>
        <v>339</v>
      </c>
      <c r="F133" s="594">
        <f>'Water  Fund  Cash Flow'!F133+'GF &amp; FF   Cash Flow'!F133+'Sewer  Fund  Cash Flow'!F133</f>
        <v>70</v>
      </c>
      <c r="G133" s="594">
        <f>'Water  Fund  Cash Flow'!G133+'GF &amp; FF   Cash Flow'!G133+'Sewer  Fund  Cash Flow'!G133</f>
        <v>70</v>
      </c>
      <c r="H133" s="594">
        <f>'Water  Fund  Cash Flow'!H133+'GF &amp; FF   Cash Flow'!H133+'Sewer  Fund  Cash Flow'!H133</f>
        <v>1570</v>
      </c>
      <c r="I133" s="594">
        <f>'Water  Fund  Cash Flow'!I133+'GF &amp; FF   Cash Flow'!I133+'Sewer  Fund  Cash Flow'!I133</f>
        <v>70</v>
      </c>
      <c r="J133" s="594">
        <f>'Water  Fund  Cash Flow'!J133+'GF &amp; FF   Cash Flow'!J133+'Sewer  Fund  Cash Flow'!J133</f>
        <v>70</v>
      </c>
      <c r="K133" s="594">
        <f>'Water  Fund  Cash Flow'!K133+'GF &amp; FF   Cash Flow'!K133+'Sewer  Fund  Cash Flow'!K133</f>
        <v>71.400000000000006</v>
      </c>
      <c r="L133" s="594">
        <f>'Water  Fund  Cash Flow'!L133+'GF &amp; FF   Cash Flow'!L133+'Sewer  Fund  Cash Flow'!L133</f>
        <v>72.828000000000003</v>
      </c>
      <c r="M133" s="594">
        <f>'Water  Fund  Cash Flow'!M133+'GF &amp; FF   Cash Flow'!M133+'Sewer  Fund  Cash Flow'!M133</f>
        <v>74.284559999999999</v>
      </c>
      <c r="N133" s="594">
        <f>'Water  Fund  Cash Flow'!N133+'GF &amp; FF   Cash Flow'!N133+'Sewer  Fund  Cash Flow'!N133</f>
        <v>75.770251200000004</v>
      </c>
      <c r="O133" s="594">
        <f>'Water  Fund  Cash Flow'!O133+'GF &amp; FF   Cash Flow'!O133+'Sewer  Fund  Cash Flow'!O133</f>
        <v>77.285656224000007</v>
      </c>
      <c r="P133" s="594">
        <f>'Water  Fund  Cash Flow'!P133+'GF &amp; FF   Cash Flow'!P133+'Sewer  Fund  Cash Flow'!P133</f>
        <v>78.83136934848001</v>
      </c>
    </row>
    <row r="134" spans="1:18" x14ac:dyDescent="0.25">
      <c r="B134" s="594"/>
      <c r="C134" s="594"/>
      <c r="D134" s="594"/>
      <c r="E134" s="594"/>
      <c r="F134" s="594"/>
      <c r="G134" s="594"/>
      <c r="H134" s="594"/>
      <c r="I134" s="594"/>
      <c r="J134" s="594"/>
      <c r="K134" s="594"/>
      <c r="L134" s="594"/>
      <c r="M134" s="594"/>
      <c r="N134" s="594"/>
      <c r="O134" s="594"/>
      <c r="P134" s="594"/>
    </row>
    <row r="135" spans="1:18" x14ac:dyDescent="0.25">
      <c r="A135" s="640" t="s">
        <v>87</v>
      </c>
      <c r="B135" s="594"/>
      <c r="C135" s="594"/>
      <c r="D135" s="594"/>
      <c r="E135" s="594"/>
      <c r="F135" s="594"/>
      <c r="G135" s="594"/>
      <c r="H135" s="594"/>
      <c r="I135" s="594"/>
      <c r="J135" s="594"/>
      <c r="K135" s="594"/>
      <c r="L135" s="594"/>
      <c r="M135" s="594"/>
      <c r="N135" s="594"/>
      <c r="O135" s="594"/>
      <c r="P135" s="594"/>
    </row>
    <row r="136" spans="1:18" x14ac:dyDescent="0.25">
      <c r="A136" s="639" t="s">
        <v>93</v>
      </c>
      <c r="B136" s="594"/>
      <c r="C136" s="594">
        <f>C83</f>
        <v>0</v>
      </c>
      <c r="D136" s="594">
        <f>D83</f>
        <v>-10303</v>
      </c>
      <c r="E136" s="594">
        <f>'Water  Fund  Cash Flow'!E136+'GF &amp; FF   Cash Flow'!E136+'Sewer  Fund  Cash Flow'!E136</f>
        <v>-11000</v>
      </c>
      <c r="F136" s="594">
        <f>'Water  Fund  Cash Flow'!F136+'GF &amp; FF   Cash Flow'!F136+'Sewer  Fund  Cash Flow'!F136</f>
        <v>-1950.8820000000001</v>
      </c>
      <c r="G136" s="594">
        <f>'Water  Fund  Cash Flow'!G136+'GF &amp; FF   Cash Flow'!G136+'Sewer  Fund  Cash Flow'!G136</f>
        <v>-2244.2849999999999</v>
      </c>
      <c r="H136" s="594">
        <f>'Water  Fund  Cash Flow'!H136+'GF &amp; FF   Cash Flow'!H136+'Sewer  Fund  Cash Flow'!H136</f>
        <v>-3818.17301</v>
      </c>
      <c r="I136" s="594">
        <f>'Water  Fund  Cash Flow'!I136+'GF &amp; FF   Cash Flow'!I136+'Sewer  Fund  Cash Flow'!I136</f>
        <v>-2635.6813903000002</v>
      </c>
      <c r="J136" s="594">
        <f>'Water  Fund  Cash Flow'!J136+'GF &amp; FF   Cash Flow'!J136+'Sewer  Fund  Cash Flow'!J136</f>
        <v>-2795.4954420090003</v>
      </c>
      <c r="K136" s="594">
        <f>'Water  Fund  Cash Flow'!K136+'GF &amp; FF   Cash Flow'!K136+'Sewer  Fund  Cash Flow'!K136</f>
        <v>-2851.4053508491802</v>
      </c>
      <c r="L136" s="594">
        <f>'Water  Fund  Cash Flow'!L136+'GF &amp; FF   Cash Flow'!L136+'Sewer  Fund  Cash Flow'!L136</f>
        <v>-2908.4334578661637</v>
      </c>
      <c r="M136" s="594">
        <f>'Water  Fund  Cash Flow'!M136+'GF &amp; FF   Cash Flow'!M136+'Sewer  Fund  Cash Flow'!M136</f>
        <v>-2966.6021270234869</v>
      </c>
      <c r="N136" s="594">
        <f>'Water  Fund  Cash Flow'!N136+'GF &amp; FF   Cash Flow'!N136+'Sewer  Fund  Cash Flow'!N136</f>
        <v>-3025.9341695639569</v>
      </c>
      <c r="O136" s="594">
        <f>'Water  Fund  Cash Flow'!O136+'GF &amp; FF   Cash Flow'!O136+'Sewer  Fund  Cash Flow'!O136</f>
        <v>-3086.4528529552358</v>
      </c>
      <c r="P136" s="594">
        <f>'Water  Fund  Cash Flow'!P136+'GF &amp; FF   Cash Flow'!P136+'Sewer  Fund  Cash Flow'!P136</f>
        <v>-3148.1819100143407</v>
      </c>
    </row>
    <row r="137" spans="1:18" x14ac:dyDescent="0.25">
      <c r="A137" s="594" t="str">
        <f>A84</f>
        <v>Purchase of Investment Property</v>
      </c>
      <c r="B137" s="594"/>
      <c r="C137" s="594"/>
      <c r="D137" s="594">
        <f>D84</f>
        <v>-2531</v>
      </c>
      <c r="E137" s="594">
        <f>'Water  Fund  Cash Flow'!E137+'GF &amp; FF   Cash Flow'!E137+'Sewer  Fund  Cash Flow'!E137</f>
        <v>-15180</v>
      </c>
      <c r="F137" s="594">
        <f>'Water  Fund  Cash Flow'!F137+'GF &amp; FF   Cash Flow'!F137+'Sewer  Fund  Cash Flow'!F137</f>
        <v>0</v>
      </c>
      <c r="G137" s="594">
        <f>'Water  Fund  Cash Flow'!G137+'GF &amp; FF   Cash Flow'!G137+'Sewer  Fund  Cash Flow'!G137</f>
        <v>0</v>
      </c>
      <c r="H137" s="594">
        <f>'Water  Fund  Cash Flow'!H137+'GF &amp; FF   Cash Flow'!H137+'Sewer  Fund  Cash Flow'!H137</f>
        <v>0</v>
      </c>
      <c r="I137" s="594">
        <f>'Water  Fund  Cash Flow'!I137+'GF &amp; FF   Cash Flow'!I137+'Sewer  Fund  Cash Flow'!I137</f>
        <v>0</v>
      </c>
      <c r="J137" s="594">
        <f>'Water  Fund  Cash Flow'!J137+'GF &amp; FF   Cash Flow'!J137+'Sewer  Fund  Cash Flow'!J137</f>
        <v>0</v>
      </c>
      <c r="K137" s="594">
        <f>'Water  Fund  Cash Flow'!K137+'GF &amp; FF   Cash Flow'!K137+'Sewer  Fund  Cash Flow'!K137</f>
        <v>0</v>
      </c>
      <c r="L137" s="594">
        <f>'Water  Fund  Cash Flow'!L137+'GF &amp; FF   Cash Flow'!L137+'Sewer  Fund  Cash Flow'!L137</f>
        <v>0</v>
      </c>
      <c r="M137" s="594">
        <f>'Water  Fund  Cash Flow'!M137+'GF &amp; FF   Cash Flow'!M137+'Sewer  Fund  Cash Flow'!M137</f>
        <v>0</v>
      </c>
      <c r="N137" s="594">
        <f>'Water  Fund  Cash Flow'!N137+'GF &amp; FF   Cash Flow'!N137+'Sewer  Fund  Cash Flow'!N137</f>
        <v>0</v>
      </c>
      <c r="O137" s="594">
        <f>'Water  Fund  Cash Flow'!O137+'GF &amp; FF   Cash Flow'!O137+'Sewer  Fund  Cash Flow'!O137</f>
        <v>0</v>
      </c>
      <c r="P137" s="594">
        <f>'Water  Fund  Cash Flow'!P137+'GF &amp; FF   Cash Flow'!P137+'Sewer  Fund  Cash Flow'!P137</f>
        <v>0</v>
      </c>
    </row>
    <row r="138" spans="1:18" x14ac:dyDescent="0.25">
      <c r="A138" s="639" t="s">
        <v>94</v>
      </c>
      <c r="B138" s="594"/>
      <c r="C138" s="594">
        <f>C85</f>
        <v>0</v>
      </c>
      <c r="D138" s="594">
        <f>D85</f>
        <v>-26369</v>
      </c>
      <c r="E138" s="594">
        <f>'Water  Fund  Cash Flow'!E138+'GF &amp; FF   Cash Flow'!E138+'Sewer  Fund  Cash Flow'!E138</f>
        <v>-25288</v>
      </c>
      <c r="F138" s="594">
        <f>'Water  Fund  Cash Flow'!F138+'GF &amp; FF   Cash Flow'!F138+'Sewer  Fund  Cash Flow'!F138</f>
        <v>-40805.421999999999</v>
      </c>
      <c r="G138" s="594">
        <f>'Water  Fund  Cash Flow'!G138+'GF &amp; FF   Cash Flow'!G138+'Sewer  Fund  Cash Flow'!G138</f>
        <v>-41223.811999999998</v>
      </c>
      <c r="H138" s="594">
        <f>'Water  Fund  Cash Flow'!H138+'GF &amp; FF   Cash Flow'!H138+'Sewer  Fund  Cash Flow'!H138</f>
        <v>-36316.091800000002</v>
      </c>
      <c r="I138" s="594">
        <f>'Water  Fund  Cash Flow'!I138+'GF &amp; FF   Cash Flow'!I138+'Sewer  Fund  Cash Flow'!I138</f>
        <v>-29668.173394999998</v>
      </c>
      <c r="J138" s="594">
        <f>'Water  Fund  Cash Flow'!J138+'GF &amp; FF   Cash Flow'!J138+'Sewer  Fund  Cash Flow'!J138</f>
        <v>-14657.533404874999</v>
      </c>
      <c r="K138" s="594">
        <f>'Water  Fund  Cash Flow'!K138+'GF &amp; FF   Cash Flow'!K138+'Sewer  Fund  Cash Flow'!K138</f>
        <v>-14950.684072972501</v>
      </c>
      <c r="L138" s="594">
        <f>'Water  Fund  Cash Flow'!L138+'GF &amp; FF   Cash Flow'!L138+'Sewer  Fund  Cash Flow'!L138</f>
        <v>-15249.697754431951</v>
      </c>
      <c r="M138" s="594">
        <f>'Water  Fund  Cash Flow'!M138+'GF &amp; FF   Cash Flow'!M138+'Sewer  Fund  Cash Flow'!M138</f>
        <v>-15554.69170952059</v>
      </c>
      <c r="N138" s="594">
        <f>'Water  Fund  Cash Flow'!N138+'GF &amp; FF   Cash Flow'!N138+'Sewer  Fund  Cash Flow'!N138</f>
        <v>-15865.785543711003</v>
      </c>
      <c r="O138" s="594">
        <f>'Water  Fund  Cash Flow'!O138+'GF &amp; FF   Cash Flow'!O138+'Sewer  Fund  Cash Flow'!O138</f>
        <v>-16183.101254585225</v>
      </c>
      <c r="P138" s="594">
        <f>'Water  Fund  Cash Flow'!P138+'GF &amp; FF   Cash Flow'!P138+'Sewer  Fund  Cash Flow'!P138</f>
        <v>-16506.763279676929</v>
      </c>
    </row>
    <row r="139" spans="1:18" x14ac:dyDescent="0.25">
      <c r="A139" s="641" t="s">
        <v>95</v>
      </c>
      <c r="B139" s="591"/>
      <c r="C139" s="591">
        <f>C86</f>
        <v>0</v>
      </c>
      <c r="D139" s="591">
        <f>D86</f>
        <v>-26</v>
      </c>
      <c r="E139" s="594">
        <f>'Water  Fund  Cash Flow'!E139+'GF &amp; FF   Cash Flow'!E139+'Sewer  Fund  Cash Flow'!E139</f>
        <v>-26</v>
      </c>
      <c r="F139" s="594">
        <f>'Water  Fund  Cash Flow'!F139+'GF &amp; FF   Cash Flow'!F139+'Sewer  Fund  Cash Flow'!F139</f>
        <v>0</v>
      </c>
      <c r="G139" s="594">
        <f>'Water  Fund  Cash Flow'!G139+'GF &amp; FF   Cash Flow'!G139+'Sewer  Fund  Cash Flow'!G139</f>
        <v>0</v>
      </c>
      <c r="H139" s="594">
        <f>'Water  Fund  Cash Flow'!H139+'GF &amp; FF   Cash Flow'!H139+'Sewer  Fund  Cash Flow'!H139</f>
        <v>0</v>
      </c>
      <c r="I139" s="594">
        <f>'Water  Fund  Cash Flow'!I139+'GF &amp; FF   Cash Flow'!I139+'Sewer  Fund  Cash Flow'!I139</f>
        <v>0</v>
      </c>
      <c r="J139" s="594">
        <f>'Water  Fund  Cash Flow'!J139+'GF &amp; FF   Cash Flow'!J139+'Sewer  Fund  Cash Flow'!J139</f>
        <v>0</v>
      </c>
      <c r="K139" s="594">
        <f>'Water  Fund  Cash Flow'!K139+'GF &amp; FF   Cash Flow'!K139+'Sewer  Fund  Cash Flow'!K139</f>
        <v>0</v>
      </c>
      <c r="L139" s="594">
        <f>'Water  Fund  Cash Flow'!L139+'GF &amp; FF   Cash Flow'!L139+'Sewer  Fund  Cash Flow'!L139</f>
        <v>0</v>
      </c>
      <c r="M139" s="594">
        <f>'Water  Fund  Cash Flow'!M139+'GF &amp; FF   Cash Flow'!M139+'Sewer  Fund  Cash Flow'!M139</f>
        <v>0</v>
      </c>
      <c r="N139" s="594">
        <f>'Water  Fund  Cash Flow'!N139+'GF &amp; FF   Cash Flow'!N139+'Sewer  Fund  Cash Flow'!N139</f>
        <v>0</v>
      </c>
      <c r="O139" s="594">
        <f>'Water  Fund  Cash Flow'!O139+'GF &amp; FF   Cash Flow'!O139+'Sewer  Fund  Cash Flow'!O139</f>
        <v>0</v>
      </c>
      <c r="P139" s="594">
        <f>'Water  Fund  Cash Flow'!P139+'GF &amp; FF   Cash Flow'!P139+'Sewer  Fund  Cash Flow'!P139</f>
        <v>0</v>
      </c>
    </row>
    <row r="140" spans="1:18" x14ac:dyDescent="0.25">
      <c r="A140" s="642" t="s">
        <v>110</v>
      </c>
      <c r="B140" s="593">
        <f>SUM(B130:B139)</f>
        <v>0</v>
      </c>
      <c r="C140" s="593">
        <f t="shared" ref="C140:E140" si="21">SUM(C130:C139)</f>
        <v>0</v>
      </c>
      <c r="D140" s="593">
        <f t="shared" si="21"/>
        <v>-31571</v>
      </c>
      <c r="E140" s="772">
        <f t="shared" si="21"/>
        <v>-42316</v>
      </c>
      <c r="F140" s="772">
        <f t="shared" ref="F140:P140" si="22">SUM(F130:F139)</f>
        <v>-34696.697999999997</v>
      </c>
      <c r="G140" s="772">
        <f t="shared" si="22"/>
        <v>-40695.834999999999</v>
      </c>
      <c r="H140" s="772">
        <f t="shared" si="22"/>
        <v>-25312.399810000003</v>
      </c>
      <c r="I140" s="772">
        <f t="shared" si="22"/>
        <v>-29957.382785299997</v>
      </c>
      <c r="J140" s="772">
        <f t="shared" si="22"/>
        <v>-15995.789846883999</v>
      </c>
      <c r="K140" s="772">
        <f t="shared" si="22"/>
        <v>-14115.70564382168</v>
      </c>
      <c r="L140" s="772">
        <f t="shared" si="22"/>
        <v>-14398.019756698115</v>
      </c>
      <c r="M140" s="772">
        <f t="shared" si="22"/>
        <v>-14685.980151832076</v>
      </c>
      <c r="N140" s="772">
        <f t="shared" si="22"/>
        <v>-14979.69975486872</v>
      </c>
      <c r="O140" s="772">
        <f t="shared" si="22"/>
        <v>-15279.293749966095</v>
      </c>
      <c r="P140" s="772">
        <f t="shared" si="22"/>
        <v>-15584.879624965417</v>
      </c>
    </row>
    <row r="141" spans="1:18" x14ac:dyDescent="0.25">
      <c r="B141" s="594"/>
      <c r="C141" s="594"/>
      <c r="D141" s="594"/>
      <c r="E141" s="594"/>
      <c r="F141" s="594"/>
      <c r="G141" s="594"/>
      <c r="H141" s="594"/>
      <c r="I141" s="594"/>
      <c r="J141" s="594"/>
      <c r="K141" s="594"/>
      <c r="L141" s="594"/>
      <c r="M141" s="594"/>
      <c r="N141" s="594"/>
      <c r="O141" s="594"/>
      <c r="P141" s="594"/>
    </row>
    <row r="142" spans="1:18" x14ac:dyDescent="0.25">
      <c r="A142" s="592" t="s">
        <v>1054</v>
      </c>
      <c r="B142" s="590"/>
      <c r="C142" s="590"/>
      <c r="D142" s="590"/>
      <c r="E142" s="590"/>
      <c r="F142" s="590"/>
      <c r="G142" s="590"/>
      <c r="H142" s="590"/>
      <c r="I142" s="590"/>
      <c r="J142" s="590"/>
      <c r="K142" s="590"/>
      <c r="L142" s="590"/>
      <c r="M142" s="590"/>
      <c r="N142" s="590"/>
      <c r="O142" s="590"/>
      <c r="P142" s="590"/>
    </row>
    <row r="143" spans="1:18" x14ac:dyDescent="0.25">
      <c r="A143" s="640" t="s">
        <v>83</v>
      </c>
      <c r="B143" s="590"/>
      <c r="C143" s="590"/>
      <c r="D143" s="590"/>
      <c r="E143" s="590"/>
      <c r="F143" s="590"/>
      <c r="G143" s="590"/>
      <c r="H143" s="590"/>
      <c r="I143" s="590"/>
      <c r="J143" s="590"/>
      <c r="K143" s="590"/>
      <c r="L143" s="590"/>
      <c r="M143" s="590"/>
      <c r="N143" s="590"/>
      <c r="O143" s="590"/>
      <c r="P143" s="590"/>
    </row>
    <row r="144" spans="1:18" x14ac:dyDescent="0.25">
      <c r="A144" s="639" t="s">
        <v>1055</v>
      </c>
      <c r="B144" s="594"/>
      <c r="C144" s="594"/>
      <c r="D144" s="594">
        <f>D38</f>
        <v>5350</v>
      </c>
      <c r="E144" s="594">
        <f>'Water  Fund  Cash Flow'!E144+'GF &amp; FF   Cash Flow'!E144+'Sewer  Fund  Cash Flow'!E144</f>
        <v>13500</v>
      </c>
      <c r="F144" s="594">
        <f>'Water  Fund  Cash Flow'!F144+'GF &amp; FF   Cash Flow'!F144+'Sewer  Fund  Cash Flow'!F144</f>
        <v>19756</v>
      </c>
      <c r="G144" s="594">
        <f>'Water  Fund  Cash Flow'!G144+'GF &amp; FF   Cash Flow'!G144+'Sewer  Fund  Cash Flow'!G144</f>
        <v>17356.182000000001</v>
      </c>
      <c r="H144" s="594">
        <f>'Water  Fund  Cash Flow'!H144+'GF &amp; FF   Cash Flow'!H144+'Sewer  Fund  Cash Flow'!H144</f>
        <v>10500</v>
      </c>
      <c r="I144" s="594">
        <f>'Water  Fund  Cash Flow'!I144+'GF &amp; FF   Cash Flow'!I144+'Sewer  Fund  Cash Flow'!I144</f>
        <v>11000</v>
      </c>
      <c r="J144" s="594">
        <f>'Water  Fund  Cash Flow'!J144+'GF &amp; FF   Cash Flow'!J144+'Sewer  Fund  Cash Flow'!J144</f>
        <v>0</v>
      </c>
      <c r="K144" s="594">
        <f>'Water  Fund  Cash Flow'!K144+'GF &amp; FF   Cash Flow'!K144+'Sewer  Fund  Cash Flow'!K144</f>
        <v>0</v>
      </c>
      <c r="L144" s="594">
        <f>'Water  Fund  Cash Flow'!L144+'GF &amp; FF   Cash Flow'!L144+'Sewer  Fund  Cash Flow'!L144</f>
        <v>0</v>
      </c>
      <c r="M144" s="594">
        <f>'Water  Fund  Cash Flow'!M144+'GF &amp; FF   Cash Flow'!M144+'Sewer  Fund  Cash Flow'!M144</f>
        <v>0</v>
      </c>
      <c r="N144" s="594">
        <f>'Water  Fund  Cash Flow'!N144+'GF &amp; FF   Cash Flow'!N144+'Sewer  Fund  Cash Flow'!N144</f>
        <v>0</v>
      </c>
      <c r="O144" s="594">
        <f>'Water  Fund  Cash Flow'!O144+'GF &amp; FF   Cash Flow'!O144+'Sewer  Fund  Cash Flow'!O144</f>
        <v>0</v>
      </c>
      <c r="P144" s="594">
        <f>'Water  Fund  Cash Flow'!P144+'GF &amp; FF   Cash Flow'!P144+'Sewer  Fund  Cash Flow'!P144</f>
        <v>0</v>
      </c>
      <c r="R144" s="639" t="s">
        <v>1036</v>
      </c>
    </row>
    <row r="145" spans="1:18" ht="5.25" customHeight="1" x14ac:dyDescent="0.25">
      <c r="B145" s="594"/>
      <c r="C145" s="594"/>
      <c r="D145" s="594"/>
      <c r="E145" s="594"/>
      <c r="F145" s="594"/>
      <c r="G145" s="594"/>
      <c r="H145" s="594"/>
      <c r="I145" s="594"/>
      <c r="J145" s="594"/>
      <c r="K145" s="594"/>
      <c r="L145" s="594"/>
      <c r="M145" s="594"/>
      <c r="N145" s="594"/>
      <c r="O145" s="594"/>
      <c r="P145" s="594"/>
    </row>
    <row r="146" spans="1:18" x14ac:dyDescent="0.25">
      <c r="A146" s="640" t="s">
        <v>87</v>
      </c>
      <c r="B146" s="594"/>
      <c r="C146" s="594"/>
      <c r="D146" s="594"/>
      <c r="E146" s="594"/>
      <c r="F146" s="594"/>
      <c r="G146" s="594"/>
      <c r="H146" s="594"/>
      <c r="I146" s="594"/>
      <c r="J146" s="594"/>
      <c r="K146" s="594"/>
      <c r="L146" s="594"/>
      <c r="M146" s="594"/>
      <c r="N146" s="594"/>
      <c r="O146" s="594"/>
      <c r="P146" s="594"/>
    </row>
    <row r="147" spans="1:18" x14ac:dyDescent="0.25">
      <c r="A147" s="639" t="s">
        <v>1056</v>
      </c>
      <c r="B147" s="594"/>
      <c r="C147" s="594"/>
      <c r="D147" s="594">
        <f>D41</f>
        <v>-1616</v>
      </c>
      <c r="E147" s="594">
        <f>'Water  Fund  Cash Flow'!E147+'GF &amp; FF   Cash Flow'!E147+'Sewer  Fund  Cash Flow'!E147</f>
        <v>-2776</v>
      </c>
      <c r="F147" s="594">
        <f>'Water  Fund  Cash Flow'!F147+'GF &amp; FF   Cash Flow'!F147+'Sewer  Fund  Cash Flow'!F147</f>
        <v>-1248.338</v>
      </c>
      <c r="G147" s="594">
        <f>'Water  Fund  Cash Flow'!G147+'GF &amp; FF   Cash Flow'!G147+'Sewer  Fund  Cash Flow'!G147</f>
        <v>-978.11200000000008</v>
      </c>
      <c r="H147" s="594">
        <f>'Water  Fund  Cash Flow'!H147+'GF &amp; FF   Cash Flow'!H147+'Sewer  Fund  Cash Flow'!H147</f>
        <v>-932.58900000000006</v>
      </c>
      <c r="I147" s="594">
        <f>'Water  Fund  Cash Flow'!I147+'GF &amp; FF   Cash Flow'!I147+'Sewer  Fund  Cash Flow'!I147</f>
        <v>-1070.8130000000001</v>
      </c>
      <c r="J147" s="594">
        <f>'Water  Fund  Cash Flow'!J147+'GF &amp; FF   Cash Flow'!J147+'Sewer  Fund  Cash Flow'!J147</f>
        <v>-1394.7049999999999</v>
      </c>
      <c r="K147" s="594">
        <f>'Water  Fund  Cash Flow'!K147+'GF &amp; FF   Cash Flow'!K147+'Sewer  Fund  Cash Flow'!K147</f>
        <v>-1422.5990999999999</v>
      </c>
      <c r="L147" s="594">
        <f>'Water  Fund  Cash Flow'!L147+'GF &amp; FF   Cash Flow'!L147+'Sewer  Fund  Cash Flow'!L147</f>
        <v>-1451.051082</v>
      </c>
      <c r="M147" s="594">
        <f>'Water  Fund  Cash Flow'!M147+'GF &amp; FF   Cash Flow'!M147+'Sewer  Fund  Cash Flow'!M147</f>
        <v>-1452.07210364</v>
      </c>
      <c r="N147" s="594">
        <f>'Water  Fund  Cash Flow'!N147+'GF &amp; FF   Cash Flow'!N147+'Sewer  Fund  Cash Flow'!N147</f>
        <v>-1150.96743464256</v>
      </c>
      <c r="O147" s="594">
        <f>'Water  Fund  Cash Flow'!O147+'GF &amp; FF   Cash Flow'!O147+'Sewer  Fund  Cash Flow'!O147</f>
        <v>-1173.9867833354112</v>
      </c>
      <c r="P147" s="594">
        <f>'Water  Fund  Cash Flow'!P147+'GF &amp; FF   Cash Flow'!P147+'Sewer  Fund  Cash Flow'!P147</f>
        <v>-1197.4665190021196</v>
      </c>
      <c r="R147" s="639" t="s">
        <v>1036</v>
      </c>
    </row>
    <row r="148" spans="1:18" s="644" customFormat="1" x14ac:dyDescent="0.25">
      <c r="A148" s="770" t="s">
        <v>110</v>
      </c>
      <c r="B148" s="772">
        <f t="shared" ref="B148:P148" si="23">SUM(B144:B147)</f>
        <v>0</v>
      </c>
      <c r="C148" s="772">
        <f t="shared" si="23"/>
        <v>0</v>
      </c>
      <c r="D148" s="772">
        <f t="shared" si="23"/>
        <v>3734</v>
      </c>
      <c r="E148" s="772">
        <f t="shared" si="23"/>
        <v>10724</v>
      </c>
      <c r="F148" s="772">
        <f t="shared" si="23"/>
        <v>18507.662</v>
      </c>
      <c r="G148" s="772">
        <f t="shared" si="23"/>
        <v>16378.07</v>
      </c>
      <c r="H148" s="772">
        <f t="shared" si="23"/>
        <v>9567.4110000000001</v>
      </c>
      <c r="I148" s="772">
        <f t="shared" si="23"/>
        <v>9929.1869999999999</v>
      </c>
      <c r="J148" s="772">
        <f t="shared" si="23"/>
        <v>-1394.7049999999999</v>
      </c>
      <c r="K148" s="772">
        <f t="shared" si="23"/>
        <v>-1422.5990999999999</v>
      </c>
      <c r="L148" s="772">
        <f t="shared" si="23"/>
        <v>-1451.051082</v>
      </c>
      <c r="M148" s="772">
        <f t="shared" si="23"/>
        <v>-1452.07210364</v>
      </c>
      <c r="N148" s="772">
        <f t="shared" si="23"/>
        <v>-1150.96743464256</v>
      </c>
      <c r="O148" s="772">
        <f t="shared" si="23"/>
        <v>-1173.9867833354112</v>
      </c>
      <c r="P148" s="772">
        <f t="shared" si="23"/>
        <v>-1197.4665190021196</v>
      </c>
    </row>
    <row r="149" spans="1:18" s="644" customFormat="1" ht="6" customHeight="1" x14ac:dyDescent="0.25">
      <c r="A149" s="642"/>
      <c r="B149" s="593"/>
      <c r="C149" s="593"/>
      <c r="D149" s="593"/>
      <c r="E149" s="593"/>
      <c r="F149" s="593"/>
      <c r="G149" s="593"/>
      <c r="H149" s="593"/>
      <c r="I149" s="593"/>
      <c r="J149" s="593"/>
      <c r="K149" s="593"/>
      <c r="L149" s="593"/>
      <c r="M149" s="593"/>
      <c r="N149" s="593"/>
      <c r="O149" s="593"/>
      <c r="P149" s="593"/>
    </row>
    <row r="150" spans="1:18" x14ac:dyDescent="0.25">
      <c r="A150" s="592" t="s">
        <v>321</v>
      </c>
      <c r="B150" s="594">
        <f>+B126+B140</f>
        <v>0</v>
      </c>
      <c r="C150" s="594">
        <f>+C126+C140</f>
        <v>0</v>
      </c>
      <c r="D150" s="594">
        <f>+D126+D140+D148</f>
        <v>5944</v>
      </c>
      <c r="E150" s="594">
        <f t="shared" ref="E150:P150" si="24">+E126+E140+E148</f>
        <v>-6977</v>
      </c>
      <c r="F150" s="594">
        <f t="shared" si="24"/>
        <v>30.000000000007276</v>
      </c>
      <c r="G150" s="594">
        <f t="shared" si="24"/>
        <v>592.21750000000975</v>
      </c>
      <c r="H150" s="594">
        <f t="shared" si="24"/>
        <v>346.82648349999909</v>
      </c>
      <c r="I150" s="594">
        <f t="shared" si="24"/>
        <v>302.36506433750583</v>
      </c>
      <c r="J150" s="594">
        <f t="shared" si="24"/>
        <v>-829.43422405406636</v>
      </c>
      <c r="K150" s="594">
        <f t="shared" si="24"/>
        <v>676.72458656735171</v>
      </c>
      <c r="L150" s="594">
        <f t="shared" si="24"/>
        <v>774.31063001475741</v>
      </c>
      <c r="M150" s="594">
        <f t="shared" si="24"/>
        <v>503.15671612932147</v>
      </c>
      <c r="N150" s="594">
        <f t="shared" si="24"/>
        <v>901.46004876617917</v>
      </c>
      <c r="O150" s="594">
        <f t="shared" si="24"/>
        <v>-305.72752914442958</v>
      </c>
      <c r="P150" s="594">
        <f t="shared" si="24"/>
        <v>-2302.2179554769327</v>
      </c>
    </row>
    <row r="151" spans="1:18" ht="4.5" customHeight="1" x14ac:dyDescent="0.25">
      <c r="A151" s="644"/>
      <c r="B151" s="594"/>
      <c r="C151" s="594"/>
      <c r="D151" s="594"/>
      <c r="E151" s="594"/>
      <c r="F151" s="594"/>
      <c r="G151" s="594"/>
      <c r="H151" s="594"/>
      <c r="I151" s="594"/>
      <c r="J151" s="594"/>
      <c r="K151" s="594"/>
      <c r="L151" s="594"/>
      <c r="M151" s="594"/>
      <c r="N151" s="594"/>
      <c r="O151" s="594"/>
      <c r="P151" s="594"/>
    </row>
    <row r="152" spans="1:18" x14ac:dyDescent="0.25">
      <c r="A152" s="592" t="s">
        <v>96</v>
      </c>
      <c r="B152" s="594"/>
      <c r="C152" s="594">
        <f>+B154</f>
        <v>0</v>
      </c>
      <c r="D152" s="594">
        <f t="shared" ref="D152" si="25">D99</f>
        <v>3352</v>
      </c>
      <c r="E152" s="594">
        <f t="shared" ref="E152:P152" si="26">+D154</f>
        <v>9296</v>
      </c>
      <c r="F152" s="594">
        <f t="shared" si="26"/>
        <v>2319</v>
      </c>
      <c r="G152" s="594">
        <f t="shared" si="26"/>
        <v>2349.0000000000073</v>
      </c>
      <c r="H152" s="594">
        <f t="shared" si="26"/>
        <v>2941.217500000017</v>
      </c>
      <c r="I152" s="594">
        <f t="shared" si="26"/>
        <v>3288.0439835000161</v>
      </c>
      <c r="J152" s="594">
        <f t="shared" si="26"/>
        <v>3590.4090478375219</v>
      </c>
      <c r="K152" s="594">
        <f t="shared" si="26"/>
        <v>2760.9748237834556</v>
      </c>
      <c r="L152" s="594">
        <f t="shared" si="26"/>
        <v>3437.6994103508073</v>
      </c>
      <c r="M152" s="594">
        <f t="shared" si="26"/>
        <v>4212.0100403655651</v>
      </c>
      <c r="N152" s="594">
        <f t="shared" si="26"/>
        <v>4715.1667564948866</v>
      </c>
      <c r="O152" s="594">
        <f t="shared" si="26"/>
        <v>5616.6268052610658</v>
      </c>
      <c r="P152" s="594">
        <f t="shared" si="26"/>
        <v>5310.8992761166364</v>
      </c>
    </row>
    <row r="153" spans="1:18" x14ac:dyDescent="0.25">
      <c r="B153" s="594"/>
      <c r="C153" s="594"/>
      <c r="D153" s="594"/>
      <c r="E153" s="594"/>
      <c r="F153" s="594"/>
      <c r="G153" s="594"/>
      <c r="H153" s="594"/>
      <c r="I153" s="594"/>
      <c r="J153" s="594"/>
      <c r="K153" s="594"/>
      <c r="L153" s="594"/>
      <c r="M153" s="594"/>
      <c r="N153" s="594"/>
      <c r="O153" s="594"/>
      <c r="P153" s="594"/>
    </row>
    <row r="154" spans="1:18" ht="12.6" thickBot="1" x14ac:dyDescent="0.3">
      <c r="A154" s="592" t="s">
        <v>97</v>
      </c>
      <c r="B154" s="645">
        <f>+B150+B152</f>
        <v>0</v>
      </c>
      <c r="C154" s="645">
        <f t="shared" ref="C154:P154" si="27">+C150+C152</f>
        <v>0</v>
      </c>
      <c r="D154" s="645">
        <f t="shared" si="27"/>
        <v>9296</v>
      </c>
      <c r="E154" s="645">
        <f t="shared" si="27"/>
        <v>2319</v>
      </c>
      <c r="F154" s="645">
        <f t="shared" si="27"/>
        <v>2349.0000000000073</v>
      </c>
      <c r="G154" s="645">
        <f t="shared" si="27"/>
        <v>2941.217500000017</v>
      </c>
      <c r="H154" s="645">
        <f t="shared" si="27"/>
        <v>3288.0439835000161</v>
      </c>
      <c r="I154" s="645">
        <f t="shared" si="27"/>
        <v>3590.4090478375219</v>
      </c>
      <c r="J154" s="645">
        <f t="shared" si="27"/>
        <v>2760.9748237834556</v>
      </c>
      <c r="K154" s="651">
        <f t="shared" si="27"/>
        <v>3437.6994103508073</v>
      </c>
      <c r="L154" s="645">
        <f t="shared" si="27"/>
        <v>4212.0100403655651</v>
      </c>
      <c r="M154" s="645">
        <f t="shared" si="27"/>
        <v>4715.1667564948866</v>
      </c>
      <c r="N154" s="645">
        <f t="shared" si="27"/>
        <v>5616.6268052610658</v>
      </c>
      <c r="O154" s="645">
        <f t="shared" si="27"/>
        <v>5310.8992761166364</v>
      </c>
      <c r="P154" s="645">
        <f t="shared" si="27"/>
        <v>3008.6813206397037</v>
      </c>
    </row>
    <row r="155" spans="1:18" ht="3" customHeight="1" x14ac:dyDescent="0.25"/>
    <row r="156" spans="1:18" x14ac:dyDescent="0.25">
      <c r="A156" s="639" t="s">
        <v>98</v>
      </c>
      <c r="B156" s="590"/>
      <c r="C156" s="590">
        <f>B156-C136-C130</f>
        <v>0</v>
      </c>
      <c r="D156" s="590">
        <f>D103</f>
        <v>46112</v>
      </c>
      <c r="E156" s="590">
        <f>'Water  Fund  Cash Flow'!E156+'GF &amp; FF   Cash Flow'!E50</f>
        <v>36080</v>
      </c>
      <c r="F156" s="590">
        <f t="shared" ref="F156:P156" si="28">E156-F136-F130</f>
        <v>30041.275999999998</v>
      </c>
      <c r="G156" s="590">
        <f t="shared" si="28"/>
        <v>29583.298999999999</v>
      </c>
      <c r="H156" s="590">
        <f t="shared" si="28"/>
        <v>20149.60701</v>
      </c>
      <c r="I156" s="590">
        <f t="shared" si="28"/>
        <v>20508.816400299998</v>
      </c>
      <c r="J156" s="590">
        <f t="shared" si="28"/>
        <v>21917.072842308997</v>
      </c>
      <c r="K156" s="590">
        <f t="shared" si="28"/>
        <v>21153.49441315818</v>
      </c>
      <c r="L156" s="590">
        <f t="shared" si="28"/>
        <v>20374.644415424344</v>
      </c>
      <c r="M156" s="590">
        <f t="shared" si="28"/>
        <v>19580.217417735828</v>
      </c>
      <c r="N156" s="590">
        <f t="shared" si="28"/>
        <v>18769.901880093545</v>
      </c>
      <c r="O156" s="590">
        <f t="shared" si="28"/>
        <v>17943.380031698416</v>
      </c>
      <c r="P156" s="590">
        <f t="shared" si="28"/>
        <v>17100.327746335384</v>
      </c>
    </row>
    <row r="157" spans="1:18" ht="6" customHeight="1" x14ac:dyDescent="0.25">
      <c r="B157" s="590"/>
      <c r="C157" s="590"/>
      <c r="D157" s="590"/>
      <c r="E157" s="590"/>
      <c r="F157" s="590"/>
      <c r="G157" s="590"/>
      <c r="H157" s="590"/>
      <c r="I157" s="590"/>
      <c r="J157" s="590"/>
      <c r="K157" s="590"/>
      <c r="L157" s="590"/>
      <c r="M157" s="590"/>
      <c r="N157" s="590"/>
      <c r="O157" s="590"/>
      <c r="P157" s="590"/>
    </row>
    <row r="158" spans="1:18" ht="12.6" thickBot="1" x14ac:dyDescent="0.3">
      <c r="A158" s="592" t="s">
        <v>99</v>
      </c>
      <c r="B158" s="646">
        <f>+B154+B156</f>
        <v>0</v>
      </c>
      <c r="C158" s="646">
        <f t="shared" ref="C158:P158" si="29">+C154+C156</f>
        <v>0</v>
      </c>
      <c r="D158" s="646">
        <f t="shared" si="29"/>
        <v>55408</v>
      </c>
      <c r="E158" s="646">
        <f t="shared" si="29"/>
        <v>38399</v>
      </c>
      <c r="F158" s="646">
        <f t="shared" si="29"/>
        <v>32390.276000000005</v>
      </c>
      <c r="G158" s="646">
        <f t="shared" si="29"/>
        <v>32524.516500000016</v>
      </c>
      <c r="H158" s="646">
        <f t="shared" si="29"/>
        <v>23437.650993500014</v>
      </c>
      <c r="I158" s="646">
        <f t="shared" si="29"/>
        <v>24099.22544813752</v>
      </c>
      <c r="J158" s="646">
        <f t="shared" si="29"/>
        <v>24678.047666092454</v>
      </c>
      <c r="K158" s="646">
        <f t="shared" si="29"/>
        <v>24591.193823508987</v>
      </c>
      <c r="L158" s="646">
        <f t="shared" si="29"/>
        <v>24586.654455789911</v>
      </c>
      <c r="M158" s="646">
        <f t="shared" si="29"/>
        <v>24295.384174230716</v>
      </c>
      <c r="N158" s="646">
        <f t="shared" si="29"/>
        <v>24386.528685354609</v>
      </c>
      <c r="O158" s="646">
        <f t="shared" si="29"/>
        <v>23254.279307815053</v>
      </c>
      <c r="P158" s="646">
        <f t="shared" si="29"/>
        <v>20109.009066975086</v>
      </c>
    </row>
    <row r="159" spans="1:18" ht="12.6" thickTop="1" x14ac:dyDescent="0.25"/>
  </sheetData>
  <pageMargins left="0.70866141732283472" right="0.70866141732283472" top="0.74803149606299213" bottom="0.74803149606299213" header="0.31496062992125984" footer="0.31496062992125984"/>
  <pageSetup paperSize="9" scale="88" fitToHeight="0" orientation="landscape" r:id="rId1"/>
  <rowBreaks count="2" manualBreakCount="2">
    <brk id="53" max="16383" man="1"/>
    <brk id="106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  <pageSetUpPr fitToPage="1"/>
  </sheetPr>
  <dimension ref="A1:S137"/>
  <sheetViews>
    <sheetView workbookViewId="0">
      <pane xSplit="3" ySplit="3" topLeftCell="F124" activePane="bottomRight" state="frozen"/>
      <selection pane="topRight" activeCell="D1" sqref="D1"/>
      <selection pane="bottomLeft" activeCell="A3" sqref="A3"/>
      <selection pane="bottomRight" activeCell="A44" sqref="A44:XFD45"/>
    </sheetView>
  </sheetViews>
  <sheetFormatPr defaultColWidth="9.109375" defaultRowHeight="10.199999999999999" outlineLevelRow="1" outlineLevelCol="1" x14ac:dyDescent="0.2"/>
  <cols>
    <col min="1" max="1" width="31" style="653" customWidth="1"/>
    <col min="2" max="3" width="13.109375" style="653" hidden="1" customWidth="1" outlineLevel="1"/>
    <col min="4" max="4" width="13.109375" style="653" hidden="1" customWidth="1" outlineLevel="1" collapsed="1"/>
    <col min="5" max="5" width="9.88671875" style="653" hidden="1" customWidth="1" outlineLevel="1" collapsed="1"/>
    <col min="6" max="6" width="9.88671875" style="653" bestFit="1" customWidth="1" collapsed="1"/>
    <col min="7" max="16" width="9.88671875" style="653" bestFit="1" customWidth="1"/>
    <col min="17" max="16384" width="9.109375" style="653"/>
  </cols>
  <sheetData>
    <row r="1" spans="1:16" ht="12.75" x14ac:dyDescent="0.2">
      <c r="A1" s="1091" t="s">
        <v>1361</v>
      </c>
    </row>
    <row r="2" spans="1:16" s="660" customFormat="1" ht="12" x14ac:dyDescent="0.2">
      <c r="A2" s="652" t="s">
        <v>1071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16" ht="11.25" x14ac:dyDescent="0.2">
      <c r="A3" s="652" t="s">
        <v>72</v>
      </c>
      <c r="B3" s="741" t="s">
        <v>68</v>
      </c>
      <c r="C3" s="694" t="s">
        <v>0</v>
      </c>
      <c r="D3" s="694" t="s">
        <v>1</v>
      </c>
      <c r="E3" s="694" t="s">
        <v>2</v>
      </c>
      <c r="F3" s="694" t="s">
        <v>3</v>
      </c>
      <c r="G3" s="694" t="s">
        <v>4</v>
      </c>
      <c r="H3" s="694" t="s">
        <v>5</v>
      </c>
      <c r="I3" s="694" t="s">
        <v>6</v>
      </c>
      <c r="J3" s="694" t="s">
        <v>7</v>
      </c>
      <c r="K3" s="694" t="s">
        <v>8</v>
      </c>
      <c r="L3" s="694" t="s">
        <v>9</v>
      </c>
      <c r="M3" s="694" t="s">
        <v>514</v>
      </c>
      <c r="N3" s="694" t="s">
        <v>515</v>
      </c>
      <c r="O3" s="694" t="s">
        <v>904</v>
      </c>
      <c r="P3" s="694" t="s">
        <v>1046</v>
      </c>
    </row>
    <row r="4" spans="1:16" s="664" customFormat="1" ht="11.25" x14ac:dyDescent="0.2">
      <c r="A4" s="661"/>
      <c r="B4" s="662"/>
      <c r="C4" s="662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</row>
    <row r="5" spans="1:16" ht="11.25" x14ac:dyDescent="0.2">
      <c r="A5" s="654" t="s">
        <v>35</v>
      </c>
      <c r="B5" s="608"/>
      <c r="C5" s="608"/>
      <c r="D5" s="608"/>
      <c r="E5" s="608"/>
      <c r="F5" s="608"/>
      <c r="G5" s="608"/>
      <c r="H5" s="608"/>
      <c r="I5" s="608"/>
      <c r="J5" s="608"/>
      <c r="K5" s="608"/>
      <c r="L5" s="608"/>
      <c r="M5" s="608"/>
      <c r="N5" s="608"/>
      <c r="O5" s="608"/>
      <c r="P5" s="608"/>
    </row>
    <row r="6" spans="1:16" ht="11.25" x14ac:dyDescent="0.2">
      <c r="A6" s="654" t="s">
        <v>36</v>
      </c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</row>
    <row r="7" spans="1:16" ht="11.25" x14ac:dyDescent="0.2">
      <c r="A7" s="653" t="s">
        <v>37</v>
      </c>
      <c r="B7" s="608"/>
      <c r="C7" s="608"/>
      <c r="D7" s="608">
        <v>9296</v>
      </c>
      <c r="E7" s="608">
        <f>'Water Fund  Bal Sheet'!E7+'GF &amp; FF  Bal Sheet'!E7+'Sewer Fund  Bal Sheet'!E7</f>
        <v>2319</v>
      </c>
      <c r="F7" s="608">
        <f>'Water Fund  Bal Sheet'!F7+'GF &amp; FF  Bal Sheet'!F7+'Sewer Fund  Bal Sheet'!F7</f>
        <v>2350.0000000000032</v>
      </c>
      <c r="G7" s="608">
        <f>'Water Fund  Bal Sheet'!G7+'GF &amp; FF  Bal Sheet'!G7+'Sewer Fund  Bal Sheet'!G7</f>
        <v>2703.1469600000032</v>
      </c>
      <c r="H7" s="608">
        <f>'Water Fund  Bal Sheet'!H7+'GF &amp; FF  Bal Sheet'!H7+'Sewer Fund  Bal Sheet'!H7</f>
        <v>3141.3296349999914</v>
      </c>
      <c r="I7" s="608">
        <f>'Water Fund  Bal Sheet'!I7+'GF &amp; FF  Bal Sheet'!I7+'Sewer Fund  Bal Sheet'!I7</f>
        <v>3234.9611399999908</v>
      </c>
      <c r="J7" s="608">
        <f>'Water Fund  Bal Sheet'!J7+'GF &amp; FF  Bal Sheet'!J7+'Sewer Fund  Bal Sheet'!J7</f>
        <v>3184.8900107499971</v>
      </c>
      <c r="K7" s="608">
        <f>'Water Fund  Bal Sheet'!K7+'GF &amp; FF  Bal Sheet'!K7+'Sewer Fund  Bal Sheet'!K7</f>
        <v>3212.3114633980304</v>
      </c>
      <c r="L7" s="608">
        <f>'Water Fund  Bal Sheet'!L7+'GF &amp; FF  Bal Sheet'!L7+'Sewer Fund  Bal Sheet'!L7</f>
        <v>3278.5886785093376</v>
      </c>
      <c r="M7" s="608">
        <f>'Water Fund  Bal Sheet'!M7+'GF &amp; FF  Bal Sheet'!M7+'Sewer Fund  Bal Sheet'!M7</f>
        <v>3650.9794357569217</v>
      </c>
      <c r="N7" s="608">
        <f>'Water Fund  Bal Sheet'!N7+'GF &amp; FF  Bal Sheet'!N7+'Sewer Fund  Bal Sheet'!N7</f>
        <v>4127.7472317377469</v>
      </c>
      <c r="O7" s="608">
        <f>'Water Fund  Bal Sheet'!O7+'GF &amp; FF  Bal Sheet'!O7+'Sewer Fund  Bal Sheet'!O7</f>
        <v>4626.5306839129935</v>
      </c>
      <c r="P7" s="608">
        <f>'Water Fund  Bal Sheet'!P7+'GF &amp; FF  Bal Sheet'!P7+'Sewer Fund  Bal Sheet'!P7</f>
        <v>5306.5079229771109</v>
      </c>
    </row>
    <row r="8" spans="1:16" ht="11.25" x14ac:dyDescent="0.2">
      <c r="A8" s="653" t="s">
        <v>38</v>
      </c>
      <c r="B8" s="608"/>
      <c r="C8" s="608"/>
      <c r="D8" s="608">
        <v>7148</v>
      </c>
      <c r="E8" s="608">
        <f>'Water Fund  Bal Sheet'!E8+'GF &amp; FF  Bal Sheet'!E8+'Sewer Fund  Bal Sheet'!E8</f>
        <v>9416</v>
      </c>
      <c r="F8" s="608">
        <f>'Water Fund  Bal Sheet'!F8+'GF &amp; FF  Bal Sheet'!F8+'Sewer Fund  Bal Sheet'!F8</f>
        <v>9003.9440000000031</v>
      </c>
      <c r="G8" s="608">
        <f>'Water Fund  Bal Sheet'!G8+'GF &amp; FF  Bal Sheet'!G8+'Sewer Fund  Bal Sheet'!G8</f>
        <v>8948.229000000003</v>
      </c>
      <c r="H8" s="608">
        <f>'Water Fund  Bal Sheet'!H8+'GF &amp; FF  Bal Sheet'!H8+'Sewer Fund  Bal Sheet'!H8</f>
        <v>6166.3920100000032</v>
      </c>
      <c r="I8" s="608">
        <f>'Water Fund  Bal Sheet'!I8+'GF &amp; FF  Bal Sheet'!I8+'Sewer Fund  Bal Sheet'!I8</f>
        <v>6461.2134003000028</v>
      </c>
      <c r="J8" s="608">
        <f>'Water Fund  Bal Sheet'!J8+'GF &amp; FF  Bal Sheet'!J8+'Sewer Fund  Bal Sheet'!J8</f>
        <v>6835.6188423090025</v>
      </c>
      <c r="K8" s="608">
        <f>'Water Fund  Bal Sheet'!K8+'GF &amp; FF  Bal Sheet'!K8+'Sewer Fund  Bal Sheet'!K8</f>
        <v>7217.512393158182</v>
      </c>
      <c r="L8" s="608">
        <f>'Water Fund  Bal Sheet'!L8+'GF &amp; FF  Bal Sheet'!L8+'Sewer Fund  Bal Sheet'!L8</f>
        <v>7607.0438150243463</v>
      </c>
      <c r="M8" s="608">
        <f>'Water Fund  Bal Sheet'!M8+'GF &amp; FF  Bal Sheet'!M8+'Sewer Fund  Bal Sheet'!M8</f>
        <v>8004.3658653278326</v>
      </c>
      <c r="N8" s="608">
        <f>'Water Fund  Bal Sheet'!N8+'GF &amp; FF  Bal Sheet'!N8+'Sewer Fund  Bal Sheet'!N8</f>
        <v>8409.6343566373907</v>
      </c>
      <c r="O8" s="608">
        <f>'Water Fund  Bal Sheet'!O8+'GF &amp; FF  Bal Sheet'!O8+'Sewer Fund  Bal Sheet'!O8</f>
        <v>8823.0082177731383</v>
      </c>
      <c r="P8" s="608">
        <f>'Water Fund  Bal Sheet'!P8+'GF &amp; FF  Bal Sheet'!P8+'Sewer Fund  Bal Sheet'!P8</f>
        <v>9244.6495561316005</v>
      </c>
    </row>
    <row r="9" spans="1:16" ht="11.25" x14ac:dyDescent="0.2">
      <c r="A9" s="653" t="s">
        <v>39</v>
      </c>
      <c r="B9" s="608"/>
      <c r="C9" s="608"/>
      <c r="D9" s="608">
        <v>5459</v>
      </c>
      <c r="E9" s="608">
        <f>'Water Fund  Bal Sheet'!E9+'GF &amp; FF  Bal Sheet'!E9+'Sewer Fund  Bal Sheet'!E9</f>
        <v>7888</v>
      </c>
      <c r="F9" s="608">
        <f>'Water Fund  Bal Sheet'!F9+'GF &amp; FF  Bal Sheet'!F9+'Sewer Fund  Bal Sheet'!F9</f>
        <v>7888</v>
      </c>
      <c r="G9" s="608">
        <f>'Water Fund  Bal Sheet'!G9+'GF &amp; FF  Bal Sheet'!G9+'Sewer Fund  Bal Sheet'!G9</f>
        <v>7888</v>
      </c>
      <c r="H9" s="608">
        <f>'Water Fund  Bal Sheet'!H9+'GF &amp; FF  Bal Sheet'!H9+'Sewer Fund  Bal Sheet'!H9</f>
        <v>7888</v>
      </c>
      <c r="I9" s="608">
        <f>'Water Fund  Bal Sheet'!I9+'GF &amp; FF  Bal Sheet'!I9+'Sewer Fund  Bal Sheet'!I9</f>
        <v>7888</v>
      </c>
      <c r="J9" s="608">
        <f>'Water Fund  Bal Sheet'!J9+'GF &amp; FF  Bal Sheet'!J9+'Sewer Fund  Bal Sheet'!J9</f>
        <v>7888</v>
      </c>
      <c r="K9" s="608">
        <f>'Water Fund  Bal Sheet'!K9+'GF &amp; FF  Bal Sheet'!K9+'Sewer Fund  Bal Sheet'!K9</f>
        <v>7888</v>
      </c>
      <c r="L9" s="608">
        <f>'Water Fund  Bal Sheet'!L9+'GF &amp; FF  Bal Sheet'!L9+'Sewer Fund  Bal Sheet'!L9</f>
        <v>7888</v>
      </c>
      <c r="M9" s="608">
        <f>'Water Fund  Bal Sheet'!M9+'GF &amp; FF  Bal Sheet'!M9+'Sewer Fund  Bal Sheet'!M9</f>
        <v>7888</v>
      </c>
      <c r="N9" s="608">
        <f>'Water Fund  Bal Sheet'!N9+'GF &amp; FF  Bal Sheet'!N9+'Sewer Fund  Bal Sheet'!N9</f>
        <v>7888</v>
      </c>
      <c r="O9" s="608">
        <f>'Water Fund  Bal Sheet'!O9+'GF &amp; FF  Bal Sheet'!O9+'Sewer Fund  Bal Sheet'!O9</f>
        <v>7888</v>
      </c>
      <c r="P9" s="608">
        <f>'Water Fund  Bal Sheet'!P9+'GF &amp; FF  Bal Sheet'!P9+'Sewer Fund  Bal Sheet'!P9</f>
        <v>7888</v>
      </c>
    </row>
    <row r="10" spans="1:16" ht="11.25" x14ac:dyDescent="0.2">
      <c r="A10" s="653" t="s">
        <v>40</v>
      </c>
      <c r="B10" s="608"/>
      <c r="C10" s="608"/>
      <c r="D10" s="608">
        <v>2131</v>
      </c>
      <c r="E10" s="608">
        <f>'Water Fund  Bal Sheet'!E10+'GF &amp; FF  Bal Sheet'!E10+'Sewer Fund  Bal Sheet'!E10</f>
        <v>2116</v>
      </c>
      <c r="F10" s="608">
        <f>'Water Fund  Bal Sheet'!F10+'GF &amp; FF  Bal Sheet'!F10+'Sewer Fund  Bal Sheet'!F10</f>
        <v>2116</v>
      </c>
      <c r="G10" s="608">
        <f>'Water Fund  Bal Sheet'!G10+'GF &amp; FF  Bal Sheet'!G10+'Sewer Fund  Bal Sheet'!G10</f>
        <v>2116</v>
      </c>
      <c r="H10" s="608">
        <f>'Water Fund  Bal Sheet'!H10+'GF &amp; FF  Bal Sheet'!H10+'Sewer Fund  Bal Sheet'!H10</f>
        <v>2116</v>
      </c>
      <c r="I10" s="608">
        <f>'Water Fund  Bal Sheet'!I10+'GF &amp; FF  Bal Sheet'!I10+'Sewer Fund  Bal Sheet'!I10</f>
        <v>2116</v>
      </c>
      <c r="J10" s="608">
        <f>'Water Fund  Bal Sheet'!J10+'GF &amp; FF  Bal Sheet'!J10+'Sewer Fund  Bal Sheet'!J10</f>
        <v>2116</v>
      </c>
      <c r="K10" s="608">
        <f>'Water Fund  Bal Sheet'!K10+'GF &amp; FF  Bal Sheet'!K10+'Sewer Fund  Bal Sheet'!K10</f>
        <v>2116</v>
      </c>
      <c r="L10" s="608">
        <f>'Water Fund  Bal Sheet'!L10+'GF &amp; FF  Bal Sheet'!L10+'Sewer Fund  Bal Sheet'!L10</f>
        <v>2116</v>
      </c>
      <c r="M10" s="608">
        <f>'Water Fund  Bal Sheet'!M10+'GF &amp; FF  Bal Sheet'!M10+'Sewer Fund  Bal Sheet'!M10</f>
        <v>2116</v>
      </c>
      <c r="N10" s="608">
        <f>'Water Fund  Bal Sheet'!N10+'GF &amp; FF  Bal Sheet'!N10+'Sewer Fund  Bal Sheet'!N10</f>
        <v>2116</v>
      </c>
      <c r="O10" s="608">
        <f>'Water Fund  Bal Sheet'!O10+'GF &amp; FF  Bal Sheet'!O10+'Sewer Fund  Bal Sheet'!O10</f>
        <v>2116</v>
      </c>
      <c r="P10" s="608">
        <f>'Water Fund  Bal Sheet'!P10+'GF &amp; FF  Bal Sheet'!P10+'Sewer Fund  Bal Sheet'!P10</f>
        <v>2116</v>
      </c>
    </row>
    <row r="11" spans="1:16" ht="11.25" x14ac:dyDescent="0.2">
      <c r="A11" s="655" t="s">
        <v>41</v>
      </c>
      <c r="B11" s="615"/>
      <c r="C11" s="608"/>
      <c r="D11" s="608">
        <v>28</v>
      </c>
      <c r="E11" s="608">
        <f>'Water Fund  Bal Sheet'!E11+'GF &amp; FF  Bal Sheet'!E11+'Sewer Fund  Bal Sheet'!E11</f>
        <v>102</v>
      </c>
      <c r="F11" s="608">
        <f>'Water Fund  Bal Sheet'!F11+'GF &amp; FF  Bal Sheet'!F11+'Sewer Fund  Bal Sheet'!F11</f>
        <v>102</v>
      </c>
      <c r="G11" s="608">
        <f>'Water Fund  Bal Sheet'!G11+'GF &amp; FF  Bal Sheet'!G11+'Sewer Fund  Bal Sheet'!G11</f>
        <v>102</v>
      </c>
      <c r="H11" s="608">
        <f>'Water Fund  Bal Sheet'!H11+'GF &amp; FF  Bal Sheet'!H11+'Sewer Fund  Bal Sheet'!H11</f>
        <v>102</v>
      </c>
      <c r="I11" s="608">
        <f>'Water Fund  Bal Sheet'!I11+'GF &amp; FF  Bal Sheet'!I11+'Sewer Fund  Bal Sheet'!I11</f>
        <v>102</v>
      </c>
      <c r="J11" s="608">
        <f>'Water Fund  Bal Sheet'!J11+'GF &amp; FF  Bal Sheet'!J11+'Sewer Fund  Bal Sheet'!J11</f>
        <v>102</v>
      </c>
      <c r="K11" s="608">
        <f>'Water Fund  Bal Sheet'!K11+'GF &amp; FF  Bal Sheet'!K11+'Sewer Fund  Bal Sheet'!K11</f>
        <v>102</v>
      </c>
      <c r="L11" s="608">
        <f>'Water Fund  Bal Sheet'!L11+'GF &amp; FF  Bal Sheet'!L11+'Sewer Fund  Bal Sheet'!L11</f>
        <v>102</v>
      </c>
      <c r="M11" s="608">
        <f>'Water Fund  Bal Sheet'!M11+'GF &amp; FF  Bal Sheet'!M11+'Sewer Fund  Bal Sheet'!M11</f>
        <v>102</v>
      </c>
      <c r="N11" s="608">
        <f>'Water Fund  Bal Sheet'!N11+'GF &amp; FF  Bal Sheet'!N11+'Sewer Fund  Bal Sheet'!N11</f>
        <v>102</v>
      </c>
      <c r="O11" s="608">
        <f>'Water Fund  Bal Sheet'!O11+'GF &amp; FF  Bal Sheet'!O11+'Sewer Fund  Bal Sheet'!O11</f>
        <v>102</v>
      </c>
      <c r="P11" s="608">
        <f>'Water Fund  Bal Sheet'!P11+'GF &amp; FF  Bal Sheet'!P11+'Sewer Fund  Bal Sheet'!P11</f>
        <v>102</v>
      </c>
    </row>
    <row r="12" spans="1:16" s="657" customFormat="1" ht="11.25" x14ac:dyDescent="0.2">
      <c r="A12" s="654" t="s">
        <v>42</v>
      </c>
      <c r="B12" s="656">
        <f>SUM(B7:B11)</f>
        <v>0</v>
      </c>
      <c r="C12" s="656">
        <f t="shared" ref="C12:E12" si="0">SUM(C7:C11)</f>
        <v>0</v>
      </c>
      <c r="D12" s="656">
        <f t="shared" si="0"/>
        <v>24062</v>
      </c>
      <c r="E12" s="656">
        <f t="shared" si="0"/>
        <v>21841</v>
      </c>
      <c r="F12" s="656">
        <f t="shared" ref="F12:P12" si="1">SUM(F7:F11)</f>
        <v>21459.944000000007</v>
      </c>
      <c r="G12" s="656">
        <f t="shared" si="1"/>
        <v>21757.375960000005</v>
      </c>
      <c r="H12" s="656">
        <f t="shared" si="1"/>
        <v>19413.721644999994</v>
      </c>
      <c r="I12" s="656">
        <f t="shared" si="1"/>
        <v>19802.174540299995</v>
      </c>
      <c r="J12" s="656">
        <f t="shared" si="1"/>
        <v>20126.508853059</v>
      </c>
      <c r="K12" s="656">
        <f t="shared" si="1"/>
        <v>20535.823856556213</v>
      </c>
      <c r="L12" s="656">
        <f t="shared" si="1"/>
        <v>20991.632493533682</v>
      </c>
      <c r="M12" s="656">
        <f t="shared" si="1"/>
        <v>21761.345301084755</v>
      </c>
      <c r="N12" s="656">
        <f t="shared" si="1"/>
        <v>22643.381588375138</v>
      </c>
      <c r="O12" s="656">
        <f t="shared" si="1"/>
        <v>23555.53890168613</v>
      </c>
      <c r="P12" s="656">
        <f t="shared" si="1"/>
        <v>24657.157479108711</v>
      </c>
    </row>
    <row r="13" spans="1:16" ht="11.25" x14ac:dyDescent="0.2">
      <c r="B13" s="608"/>
      <c r="C13" s="608"/>
      <c r="D13" s="608"/>
      <c r="E13" s="608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</row>
    <row r="14" spans="1:16" ht="11.25" x14ac:dyDescent="0.2">
      <c r="A14" s="654" t="s">
        <v>43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</row>
    <row r="15" spans="1:16" ht="11.25" x14ac:dyDescent="0.2">
      <c r="A15" s="763" t="s">
        <v>38</v>
      </c>
      <c r="B15" s="608"/>
      <c r="C15" s="608"/>
      <c r="D15" s="608">
        <v>38964</v>
      </c>
      <c r="E15" s="608">
        <f>'Water Fund  Bal Sheet'!E15+'GF &amp; FF  Bal Sheet'!E15+'Sewer Fund  Bal Sheet'!E15</f>
        <v>38919</v>
      </c>
      <c r="F15" s="608">
        <f>'Water Fund  Bal Sheet'!F15+'GF &amp; FF  Bal Sheet'!F15+'Sewer Fund  Bal Sheet'!F15</f>
        <v>33292.331999999995</v>
      </c>
      <c r="G15" s="608">
        <f>'Water Fund  Bal Sheet'!G15+'GF &amp; FF  Bal Sheet'!G15+'Sewer Fund  Bal Sheet'!G15</f>
        <v>31240.069999999996</v>
      </c>
      <c r="H15" s="608">
        <f>'Water Fund  Bal Sheet'!H15+'GF &amp; FF  Bal Sheet'!H15+'Sewer Fund  Bal Sheet'!H15</f>
        <v>26088.204999999994</v>
      </c>
      <c r="I15" s="608">
        <f>'Water Fund  Bal Sheet'!I15+'GF &amp; FF  Bal Sheet'!I15+'Sewer Fund  Bal Sheet'!I15</f>
        <v>24152.592999999997</v>
      </c>
      <c r="J15" s="608">
        <f>'Water Fund  Bal Sheet'!J15+'GF &amp; FF  Bal Sheet'!J15+'Sewer Fund  Bal Sheet'!J15</f>
        <v>23186.503999999997</v>
      </c>
      <c r="K15" s="608">
        <f>'Water Fund  Bal Sheet'!K15+'GF &amp; FF  Bal Sheet'!K15+'Sewer Fund  Bal Sheet'!K15</f>
        <v>23616.076999999997</v>
      </c>
      <c r="L15" s="608">
        <f>'Water Fund  Bal Sheet'!L15+'GF &amp; FF  Bal Sheet'!L15+'Sewer Fund  Bal Sheet'!L15</f>
        <v>24054.241459999997</v>
      </c>
      <c r="M15" s="608">
        <f>'Water Fund  Bal Sheet'!M15+'GF &amp; FF  Bal Sheet'!M15+'Sewer Fund  Bal Sheet'!M15</f>
        <v>24501.169209200001</v>
      </c>
      <c r="N15" s="608">
        <f>'Water Fund  Bal Sheet'!N15+'GF &amp; FF  Bal Sheet'!N15+'Sewer Fund  Bal Sheet'!N15</f>
        <v>24957.035513383998</v>
      </c>
      <c r="O15" s="608">
        <f>'Water Fund  Bal Sheet'!O15+'GF &amp; FF  Bal Sheet'!O15+'Sewer Fund  Bal Sheet'!O15</f>
        <v>25422.019143651676</v>
      </c>
      <c r="P15" s="608">
        <f>'Water Fund  Bal Sheet'!P15+'GF &amp; FF  Bal Sheet'!P15+'Sewer Fund  Bal Sheet'!P15</f>
        <v>25896.302446524714</v>
      </c>
    </row>
    <row r="16" spans="1:16" ht="11.25" x14ac:dyDescent="0.2">
      <c r="A16" s="760" t="s">
        <v>44</v>
      </c>
      <c r="B16" s="608"/>
      <c r="C16" s="608"/>
      <c r="D16" s="608">
        <v>550049</v>
      </c>
      <c r="E16" s="608">
        <f>'Water Fund  Bal Sheet'!E16+'GF &amp; FF  Bal Sheet'!E16+'Sewer Fund  Bal Sheet'!E16</f>
        <v>569080</v>
      </c>
      <c r="F16" s="608">
        <f>'Water Fund  Bal Sheet'!F16+'GF &amp; FF  Bal Sheet'!F16+'Sewer Fund  Bal Sheet'!F16</f>
        <v>588528.43700000003</v>
      </c>
      <c r="G16" s="608">
        <f>'Water Fund  Bal Sheet'!G16+'GF &amp; FF  Bal Sheet'!G16+'Sewer Fund  Bal Sheet'!G16</f>
        <v>620300.86600000004</v>
      </c>
      <c r="H16" s="608">
        <f>'Water Fund  Bal Sheet'!H16+'GF &amp; FF  Bal Sheet'!H16+'Sewer Fund  Bal Sheet'!H16</f>
        <v>631495.27980000002</v>
      </c>
      <c r="I16" s="608">
        <f>'Water Fund  Bal Sheet'!I16+'GF &amp; FF  Bal Sheet'!I16+'Sewer Fund  Bal Sheet'!I16</f>
        <v>637119.99919499992</v>
      </c>
      <c r="J16" s="608">
        <f>'Water Fund  Bal Sheet'!J16+'GF &amp; FF  Bal Sheet'!J16+'Sewer Fund  Bal Sheet'!J16</f>
        <v>641732.17859987495</v>
      </c>
      <c r="K16" s="608">
        <f>'Water Fund  Bal Sheet'!K16+'GF &amp; FF  Bal Sheet'!K16+'Sewer Fund  Bal Sheet'!K16</f>
        <v>644512.93044987484</v>
      </c>
      <c r="L16" s="608">
        <f>'Water Fund  Bal Sheet'!L16+'GF &amp; FF  Bal Sheet'!L16+'Sewer Fund  Bal Sheet'!L16</f>
        <v>647274.0168461249</v>
      </c>
      <c r="M16" s="608">
        <f>'Water Fund  Bal Sheet'!M16+'GF &amp; FF  Bal Sheet'!M16+'Sewer Fund  Bal Sheet'!M16</f>
        <v>650062.78239728115</v>
      </c>
      <c r="N16" s="608">
        <f>'Water Fund  Bal Sheet'!N16+'GF &amp; FF  Bal Sheet'!N16+'Sewer Fund  Bal Sheet'!N16</f>
        <v>653198.94043961633</v>
      </c>
      <c r="O16" s="608">
        <f>'Water Fund  Bal Sheet'!O16+'GF &amp; FF  Bal Sheet'!O16+'Sewer Fund  Bal Sheet'!O16</f>
        <v>656352.0440699578</v>
      </c>
      <c r="P16" s="608">
        <f>'Water Fund  Bal Sheet'!P16+'GF &amp; FF  Bal Sheet'!P16+'Sewer Fund  Bal Sheet'!P16</f>
        <v>659360.48207824491</v>
      </c>
    </row>
    <row r="17" spans="1:16" ht="11.25" x14ac:dyDescent="0.2">
      <c r="A17" s="760" t="s">
        <v>1050</v>
      </c>
      <c r="B17" s="608"/>
      <c r="C17" s="608"/>
      <c r="D17" s="608">
        <v>89</v>
      </c>
      <c r="E17" s="608">
        <f>'Water Fund  Bal Sheet'!E17+'GF &amp; FF  Bal Sheet'!E17+'Sewer Fund  Bal Sheet'!E17</f>
        <v>91</v>
      </c>
      <c r="F17" s="608">
        <f>'Water Fund  Bal Sheet'!F17+'GF &amp; FF  Bal Sheet'!F17+'Sewer Fund  Bal Sheet'!F17</f>
        <v>91</v>
      </c>
      <c r="G17" s="608">
        <f>'Water Fund  Bal Sheet'!G17+'GF &amp; FF  Bal Sheet'!G17+'Sewer Fund  Bal Sheet'!G17</f>
        <v>91</v>
      </c>
      <c r="H17" s="608">
        <f>'Water Fund  Bal Sheet'!H17+'GF &amp; FF  Bal Sheet'!H17+'Sewer Fund  Bal Sheet'!H17</f>
        <v>91</v>
      </c>
      <c r="I17" s="608">
        <f>'Water Fund  Bal Sheet'!I17+'GF &amp; FF  Bal Sheet'!I17+'Sewer Fund  Bal Sheet'!I17</f>
        <v>91</v>
      </c>
      <c r="J17" s="608">
        <f>'Water Fund  Bal Sheet'!J17+'GF &amp; FF  Bal Sheet'!J17+'Sewer Fund  Bal Sheet'!J17</f>
        <v>91</v>
      </c>
      <c r="K17" s="608">
        <f>'Water Fund  Bal Sheet'!K17+'GF &amp; FF  Bal Sheet'!K17+'Sewer Fund  Bal Sheet'!K17</f>
        <v>91</v>
      </c>
      <c r="L17" s="608">
        <f>'Water Fund  Bal Sheet'!L17+'GF &amp; FF  Bal Sheet'!L17+'Sewer Fund  Bal Sheet'!L17</f>
        <v>91</v>
      </c>
      <c r="M17" s="608">
        <f>'Water Fund  Bal Sheet'!M17+'GF &amp; FF  Bal Sheet'!M17+'Sewer Fund  Bal Sheet'!M17</f>
        <v>91</v>
      </c>
      <c r="N17" s="608">
        <f>'Water Fund  Bal Sheet'!N17+'GF &amp; FF  Bal Sheet'!N17+'Sewer Fund  Bal Sheet'!N17</f>
        <v>91</v>
      </c>
      <c r="O17" s="608">
        <f>'Water Fund  Bal Sheet'!O17+'GF &amp; FF  Bal Sheet'!O17+'Sewer Fund  Bal Sheet'!O17</f>
        <v>91</v>
      </c>
      <c r="P17" s="608">
        <f>'Water Fund  Bal Sheet'!P17+'GF &amp; FF  Bal Sheet'!P17+'Sewer Fund  Bal Sheet'!P17</f>
        <v>91</v>
      </c>
    </row>
    <row r="18" spans="1:16" s="760" customFormat="1" ht="11.25" x14ac:dyDescent="0.2">
      <c r="A18" s="760" t="s">
        <v>939</v>
      </c>
      <c r="B18" s="608"/>
      <c r="C18" s="608"/>
      <c r="D18" s="608">
        <v>8861</v>
      </c>
      <c r="E18" s="608">
        <f>'Water Fund  Bal Sheet'!E18+'GF &amp; FF  Bal Sheet'!E18+'Sewer Fund  Bal Sheet'!E18</f>
        <v>20675</v>
      </c>
      <c r="F18" s="608">
        <f>'Water Fund  Bal Sheet'!F18+'GF &amp; FF  Bal Sheet'!F18+'Sewer Fund  Bal Sheet'!F18</f>
        <v>30675</v>
      </c>
      <c r="G18" s="608">
        <f>'Water Fund  Bal Sheet'!G18+'GF &amp; FF  Bal Sheet'!G18+'Sewer Fund  Bal Sheet'!G18</f>
        <v>30675</v>
      </c>
      <c r="H18" s="608">
        <f>'Water Fund  Bal Sheet'!H18+'GF &amp; FF  Bal Sheet'!H18+'Sewer Fund  Bal Sheet'!H18</f>
        <v>30675</v>
      </c>
      <c r="I18" s="608">
        <f>'Water Fund  Bal Sheet'!I18+'GF &amp; FF  Bal Sheet'!I18+'Sewer Fund  Bal Sheet'!I18</f>
        <v>30675</v>
      </c>
      <c r="J18" s="608">
        <f>'Water Fund  Bal Sheet'!J18+'GF &amp; FF  Bal Sheet'!J18+'Sewer Fund  Bal Sheet'!J18</f>
        <v>30675</v>
      </c>
      <c r="K18" s="608">
        <f>'Water Fund  Bal Sheet'!K18+'GF &amp; FF  Bal Sheet'!K18+'Sewer Fund  Bal Sheet'!K18</f>
        <v>30675</v>
      </c>
      <c r="L18" s="608">
        <f>'Water Fund  Bal Sheet'!L18+'GF &amp; FF  Bal Sheet'!L18+'Sewer Fund  Bal Sheet'!L18</f>
        <v>30675</v>
      </c>
      <c r="M18" s="608">
        <f>'Water Fund  Bal Sheet'!M18+'GF &amp; FF  Bal Sheet'!M18+'Sewer Fund  Bal Sheet'!M18</f>
        <v>30675</v>
      </c>
      <c r="N18" s="608">
        <f>'Water Fund  Bal Sheet'!N18+'GF &amp; FF  Bal Sheet'!N18+'Sewer Fund  Bal Sheet'!N18</f>
        <v>30675</v>
      </c>
      <c r="O18" s="608">
        <f>'Water Fund  Bal Sheet'!O18+'GF &amp; FF  Bal Sheet'!O18+'Sewer Fund  Bal Sheet'!O18</f>
        <v>30675</v>
      </c>
      <c r="P18" s="608">
        <f>'Water Fund  Bal Sheet'!P18+'GF &amp; FF  Bal Sheet'!P18+'Sewer Fund  Bal Sheet'!P18</f>
        <v>30675</v>
      </c>
    </row>
    <row r="19" spans="1:16" s="657" customFormat="1" ht="11.25" x14ac:dyDescent="0.2">
      <c r="A19" s="761" t="s">
        <v>45</v>
      </c>
      <c r="B19" s="762">
        <f>SUM(B16)</f>
        <v>0</v>
      </c>
      <c r="C19" s="762">
        <f t="shared" ref="C19" si="2">SUM(C16)</f>
        <v>0</v>
      </c>
      <c r="D19" s="762">
        <f>SUM(D14:D18)</f>
        <v>597963</v>
      </c>
      <c r="E19" s="762">
        <f t="shared" ref="E19:P19" si="3">SUM(E14:E18)</f>
        <v>628765</v>
      </c>
      <c r="F19" s="762">
        <f t="shared" si="3"/>
        <v>652586.76900000009</v>
      </c>
      <c r="G19" s="762">
        <f t="shared" si="3"/>
        <v>682306.93599999999</v>
      </c>
      <c r="H19" s="762">
        <f t="shared" si="3"/>
        <v>688349.48479999998</v>
      </c>
      <c r="I19" s="762">
        <f t="shared" si="3"/>
        <v>692038.59219499992</v>
      </c>
      <c r="J19" s="762">
        <f t="shared" si="3"/>
        <v>695684.68259987491</v>
      </c>
      <c r="K19" s="762">
        <f t="shared" si="3"/>
        <v>698895.00744987489</v>
      </c>
      <c r="L19" s="762">
        <f t="shared" si="3"/>
        <v>702094.25830612495</v>
      </c>
      <c r="M19" s="762">
        <f t="shared" si="3"/>
        <v>705329.9516064811</v>
      </c>
      <c r="N19" s="762">
        <f t="shared" si="3"/>
        <v>708921.97595300036</v>
      </c>
      <c r="O19" s="762">
        <f t="shared" si="3"/>
        <v>712540.06321360951</v>
      </c>
      <c r="P19" s="762">
        <f t="shared" si="3"/>
        <v>716022.78452476964</v>
      </c>
    </row>
    <row r="20" spans="1:16" ht="9" customHeight="1" x14ac:dyDescent="0.2">
      <c r="B20" s="608"/>
      <c r="C20" s="608"/>
      <c r="D20" s="608"/>
      <c r="E20" s="608"/>
      <c r="F20" s="608"/>
      <c r="G20" s="608"/>
      <c r="H20" s="608"/>
      <c r="I20" s="608"/>
      <c r="J20" s="608"/>
      <c r="K20" s="608"/>
      <c r="L20" s="608"/>
      <c r="M20" s="608"/>
      <c r="N20" s="608"/>
      <c r="O20" s="608"/>
      <c r="P20" s="608"/>
    </row>
    <row r="21" spans="1:16" s="657" customFormat="1" ht="12" thickBot="1" x14ac:dyDescent="0.25">
      <c r="A21" s="654" t="s">
        <v>46</v>
      </c>
      <c r="B21" s="665">
        <f>+B12+B19</f>
        <v>0</v>
      </c>
      <c r="C21" s="665">
        <f t="shared" ref="C21:P21" si="4">+C12+C19</f>
        <v>0</v>
      </c>
      <c r="D21" s="665">
        <f t="shared" si="4"/>
        <v>622025</v>
      </c>
      <c r="E21" s="665">
        <f t="shared" si="4"/>
        <v>650606</v>
      </c>
      <c r="F21" s="665">
        <f t="shared" si="4"/>
        <v>674046.71300000011</v>
      </c>
      <c r="G21" s="665">
        <f t="shared" si="4"/>
        <v>704064.31195999996</v>
      </c>
      <c r="H21" s="665">
        <f t="shared" si="4"/>
        <v>707763.20644500002</v>
      </c>
      <c r="I21" s="665">
        <f t="shared" si="4"/>
        <v>711840.76673529996</v>
      </c>
      <c r="J21" s="665">
        <f t="shared" si="4"/>
        <v>715811.19145293394</v>
      </c>
      <c r="K21" s="665">
        <f t="shared" si="4"/>
        <v>719430.83130643109</v>
      </c>
      <c r="L21" s="665">
        <f t="shared" si="4"/>
        <v>723085.89079965861</v>
      </c>
      <c r="M21" s="665">
        <f t="shared" si="4"/>
        <v>727091.29690756591</v>
      </c>
      <c r="N21" s="665">
        <f t="shared" si="4"/>
        <v>731565.35754137556</v>
      </c>
      <c r="O21" s="665">
        <f t="shared" si="4"/>
        <v>736095.60211529559</v>
      </c>
      <c r="P21" s="665">
        <f t="shared" si="4"/>
        <v>740679.9420038783</v>
      </c>
    </row>
    <row r="22" spans="1:16" ht="11.25" x14ac:dyDescent="0.2">
      <c r="B22" s="608"/>
      <c r="C22" s="608"/>
      <c r="D22" s="608"/>
      <c r="E22" s="608"/>
      <c r="F22" s="608"/>
      <c r="G22" s="608"/>
      <c r="H22" s="608"/>
      <c r="I22" s="608"/>
      <c r="J22" s="608"/>
      <c r="K22" s="608"/>
      <c r="L22" s="608"/>
      <c r="M22" s="608"/>
      <c r="N22" s="608"/>
      <c r="O22" s="608"/>
      <c r="P22" s="608"/>
    </row>
    <row r="23" spans="1:16" ht="11.25" x14ac:dyDescent="0.2">
      <c r="A23" s="654" t="s">
        <v>47</v>
      </c>
      <c r="B23" s="608"/>
      <c r="C23" s="608"/>
      <c r="D23" s="608"/>
      <c r="E23" s="608"/>
      <c r="F23" s="608"/>
      <c r="G23" s="608"/>
      <c r="H23" s="608"/>
      <c r="I23" s="608"/>
      <c r="J23" s="608"/>
      <c r="K23" s="608"/>
      <c r="L23" s="608"/>
      <c r="M23" s="608"/>
      <c r="N23" s="608"/>
      <c r="O23" s="608"/>
      <c r="P23" s="608"/>
    </row>
    <row r="24" spans="1:16" ht="11.25" x14ac:dyDescent="0.2">
      <c r="A24" s="654" t="s">
        <v>48</v>
      </c>
      <c r="B24" s="608"/>
      <c r="C24" s="608"/>
      <c r="D24" s="608"/>
      <c r="E24" s="608"/>
      <c r="F24" s="608"/>
      <c r="G24" s="608"/>
      <c r="H24" s="608"/>
      <c r="I24" s="608"/>
      <c r="J24" s="608"/>
      <c r="K24" s="608"/>
      <c r="L24" s="608"/>
      <c r="M24" s="608"/>
      <c r="N24" s="608"/>
      <c r="O24" s="608"/>
      <c r="P24" s="608"/>
    </row>
    <row r="25" spans="1:16" ht="11.25" x14ac:dyDescent="0.2">
      <c r="A25" s="666" t="s">
        <v>49</v>
      </c>
      <c r="B25" s="608"/>
      <c r="C25" s="608"/>
      <c r="D25" s="608">
        <v>5504</v>
      </c>
      <c r="E25" s="608">
        <f>'Water Fund  Bal Sheet'!E25+'GF &amp; FF  Bal Sheet'!E25+'Sewer Fund  Bal Sheet'!E25</f>
        <v>5529</v>
      </c>
      <c r="F25" s="608">
        <f>'Water Fund  Bal Sheet'!F25+'GF &amp; FF  Bal Sheet'!F25+'Sewer Fund  Bal Sheet'!F25</f>
        <v>5529</v>
      </c>
      <c r="G25" s="608">
        <f>'Water Fund  Bal Sheet'!G25+'GF &amp; FF  Bal Sheet'!G25+'Sewer Fund  Bal Sheet'!G25</f>
        <v>5529</v>
      </c>
      <c r="H25" s="608">
        <f>'Water Fund  Bal Sheet'!H25+'GF &amp; FF  Bal Sheet'!H25+'Sewer Fund  Bal Sheet'!H25</f>
        <v>5529</v>
      </c>
      <c r="I25" s="608">
        <f>'Water Fund  Bal Sheet'!I25+'GF &amp; FF  Bal Sheet'!I25+'Sewer Fund  Bal Sheet'!I25</f>
        <v>5529</v>
      </c>
      <c r="J25" s="608">
        <f>'Water Fund  Bal Sheet'!J25+'GF &amp; FF  Bal Sheet'!J25+'Sewer Fund  Bal Sheet'!J25</f>
        <v>5529</v>
      </c>
      <c r="K25" s="608">
        <f>'Water Fund  Bal Sheet'!K25+'GF &amp; FF  Bal Sheet'!K25+'Sewer Fund  Bal Sheet'!K25</f>
        <v>5529</v>
      </c>
      <c r="L25" s="608">
        <f>'Water Fund  Bal Sheet'!L25+'GF &amp; FF  Bal Sheet'!L25+'Sewer Fund  Bal Sheet'!L25</f>
        <v>5529</v>
      </c>
      <c r="M25" s="608">
        <f>'Water Fund  Bal Sheet'!M25+'GF &amp; FF  Bal Sheet'!M25+'Sewer Fund  Bal Sheet'!M25</f>
        <v>5529</v>
      </c>
      <c r="N25" s="608">
        <f>'Water Fund  Bal Sheet'!N25+'GF &amp; FF  Bal Sheet'!N25+'Sewer Fund  Bal Sheet'!N25</f>
        <v>5529</v>
      </c>
      <c r="O25" s="608">
        <f>'Water Fund  Bal Sheet'!O25+'GF &amp; FF  Bal Sheet'!O25+'Sewer Fund  Bal Sheet'!O25</f>
        <v>5529</v>
      </c>
      <c r="P25" s="608">
        <f>'Water Fund  Bal Sheet'!P25+'GF &amp; FF  Bal Sheet'!P25+'Sewer Fund  Bal Sheet'!P25</f>
        <v>5529</v>
      </c>
    </row>
    <row r="26" spans="1:16" ht="11.25" x14ac:dyDescent="0.2">
      <c r="A26" s="666" t="s">
        <v>1051</v>
      </c>
      <c r="B26" s="608"/>
      <c r="C26" s="608"/>
      <c r="D26" s="608">
        <v>2925</v>
      </c>
      <c r="E26" s="608">
        <f>'Water Fund  Bal Sheet'!E26+'GF &amp; FF  Bal Sheet'!E26+'Sewer Fund  Bal Sheet'!E26</f>
        <v>987</v>
      </c>
      <c r="F26" s="608">
        <f>'Water Fund  Bal Sheet'!F26+'GF &amp; FF  Bal Sheet'!F26+'Sewer Fund  Bal Sheet'!F26</f>
        <v>978.11200000000008</v>
      </c>
      <c r="G26" s="608">
        <f>'Water Fund  Bal Sheet'!G26+'GF &amp; FF  Bal Sheet'!G26+'Sewer Fund  Bal Sheet'!G26</f>
        <v>932.58900000000006</v>
      </c>
      <c r="H26" s="608">
        <f>'Water Fund  Bal Sheet'!H26+'GF &amp; FF  Bal Sheet'!H26+'Sewer Fund  Bal Sheet'!H26</f>
        <v>820.72099999999989</v>
      </c>
      <c r="I26" s="608">
        <f>'Water Fund  Bal Sheet'!I26+'GF &amp; FF  Bal Sheet'!I26+'Sewer Fund  Bal Sheet'!I26</f>
        <v>868.93100000000004</v>
      </c>
      <c r="J26" s="608">
        <f>'Water Fund  Bal Sheet'!J26+'GF &amp; FF  Bal Sheet'!J26+'Sewer Fund  Bal Sheet'!J26</f>
        <v>904.44612000000006</v>
      </c>
      <c r="K26" s="608">
        <f>'Water Fund  Bal Sheet'!K26+'GF &amp; FF  Bal Sheet'!K26+'Sewer Fund  Bal Sheet'!K26</f>
        <v>940.05504240000016</v>
      </c>
      <c r="L26" s="608">
        <f>'Water Fund  Bal Sheet'!L26+'GF &amp; FF  Bal Sheet'!L26+'Sewer Fund  Bal Sheet'!L26</f>
        <v>651.83614324799998</v>
      </c>
      <c r="M26" s="608">
        <f>'Water Fund  Bal Sheet'!M26+'GF &amp; FF  Bal Sheet'!M26+'Sewer Fund  Bal Sheet'!M26</f>
        <v>243.08675504272003</v>
      </c>
      <c r="N26" s="608">
        <f>'Water Fund  Bal Sheet'!N26+'GF &amp; FF  Bal Sheet'!N26+'Sewer Fund  Bal Sheet'!N26</f>
        <v>252.04849014357444</v>
      </c>
      <c r="O26" s="608">
        <f>'Water Fund  Bal Sheet'!O26+'GF &amp; FF  Bal Sheet'!O26+'Sewer Fund  Bal Sheet'!O26</f>
        <v>262.04945994644595</v>
      </c>
      <c r="P26" s="608">
        <f>'Water Fund  Bal Sheet'!P26+'GF &amp; FF  Bal Sheet'!P26+'Sewer Fund  Bal Sheet'!P26</f>
        <v>0</v>
      </c>
    </row>
    <row r="27" spans="1:16" ht="11.25" x14ac:dyDescent="0.2">
      <c r="A27" s="667" t="s">
        <v>50</v>
      </c>
      <c r="B27" s="615"/>
      <c r="C27" s="608"/>
      <c r="D27" s="608">
        <v>2773</v>
      </c>
      <c r="E27" s="608">
        <f>'Water Fund  Bal Sheet'!E27+'GF &amp; FF  Bal Sheet'!E27+'Sewer Fund  Bal Sheet'!E27</f>
        <v>3185</v>
      </c>
      <c r="F27" s="608">
        <f>'Water Fund  Bal Sheet'!F27+'GF &amp; FF  Bal Sheet'!F27+'Sewer Fund  Bal Sheet'!F27</f>
        <v>3185</v>
      </c>
      <c r="G27" s="608">
        <f>'Water Fund  Bal Sheet'!G27+'GF &amp; FF  Bal Sheet'!G27+'Sewer Fund  Bal Sheet'!G27</f>
        <v>3185</v>
      </c>
      <c r="H27" s="608">
        <f>'Water Fund  Bal Sheet'!H27+'GF &amp; FF  Bal Sheet'!H27+'Sewer Fund  Bal Sheet'!H27</f>
        <v>3185</v>
      </c>
      <c r="I27" s="608">
        <f>'Water Fund  Bal Sheet'!I27+'GF &amp; FF  Bal Sheet'!I27+'Sewer Fund  Bal Sheet'!I27</f>
        <v>3185</v>
      </c>
      <c r="J27" s="608">
        <f>'Water Fund  Bal Sheet'!J27+'GF &amp; FF  Bal Sheet'!J27+'Sewer Fund  Bal Sheet'!J27</f>
        <v>3185</v>
      </c>
      <c r="K27" s="608">
        <f>'Water Fund  Bal Sheet'!K27+'GF &amp; FF  Bal Sheet'!K27+'Sewer Fund  Bal Sheet'!K27</f>
        <v>3185</v>
      </c>
      <c r="L27" s="608">
        <f>'Water Fund  Bal Sheet'!L27+'GF &amp; FF  Bal Sheet'!L27+'Sewer Fund  Bal Sheet'!L27</f>
        <v>3185</v>
      </c>
      <c r="M27" s="608">
        <f>'Water Fund  Bal Sheet'!M27+'GF &amp; FF  Bal Sheet'!M27+'Sewer Fund  Bal Sheet'!M27</f>
        <v>3185</v>
      </c>
      <c r="N27" s="608">
        <f>'Water Fund  Bal Sheet'!N27+'GF &amp; FF  Bal Sheet'!N27+'Sewer Fund  Bal Sheet'!N27</f>
        <v>3185</v>
      </c>
      <c r="O27" s="608">
        <f>'Water Fund  Bal Sheet'!O27+'GF &amp; FF  Bal Sheet'!O27+'Sewer Fund  Bal Sheet'!O27</f>
        <v>3185</v>
      </c>
      <c r="P27" s="608">
        <f>'Water Fund  Bal Sheet'!P27+'GF &amp; FF  Bal Sheet'!P27+'Sewer Fund  Bal Sheet'!P27</f>
        <v>3185</v>
      </c>
    </row>
    <row r="28" spans="1:16" s="657" customFormat="1" ht="11.25" x14ac:dyDescent="0.2">
      <c r="A28" s="654" t="s">
        <v>51</v>
      </c>
      <c r="B28" s="656">
        <f>SUM(B25:B27)</f>
        <v>0</v>
      </c>
      <c r="C28" s="656">
        <f t="shared" ref="C28:E28" si="5">SUM(C25:C27)</f>
        <v>0</v>
      </c>
      <c r="D28" s="656">
        <f t="shared" si="5"/>
        <v>11202</v>
      </c>
      <c r="E28" s="656">
        <f t="shared" si="5"/>
        <v>9701</v>
      </c>
      <c r="F28" s="656">
        <f t="shared" ref="F28:P28" si="6">SUM(F25:F27)</f>
        <v>9692.112000000001</v>
      </c>
      <c r="G28" s="656">
        <f t="shared" si="6"/>
        <v>9646.5889999999999</v>
      </c>
      <c r="H28" s="656">
        <f t="shared" si="6"/>
        <v>9534.7209999999995</v>
      </c>
      <c r="I28" s="656">
        <f t="shared" si="6"/>
        <v>9582.9310000000005</v>
      </c>
      <c r="J28" s="656">
        <f t="shared" si="6"/>
        <v>9618.4461200000005</v>
      </c>
      <c r="K28" s="656">
        <f t="shared" si="6"/>
        <v>9654.0550423999994</v>
      </c>
      <c r="L28" s="656">
        <f t="shared" si="6"/>
        <v>9365.8361432479996</v>
      </c>
      <c r="M28" s="656">
        <f t="shared" si="6"/>
        <v>8957.0867550427211</v>
      </c>
      <c r="N28" s="656">
        <f t="shared" si="6"/>
        <v>8966.0484901435739</v>
      </c>
      <c r="O28" s="656">
        <f t="shared" si="6"/>
        <v>8976.0494599464455</v>
      </c>
      <c r="P28" s="656">
        <f t="shared" si="6"/>
        <v>8714</v>
      </c>
    </row>
    <row r="29" spans="1:16" ht="11.25" x14ac:dyDescent="0.2">
      <c r="B29" s="608"/>
      <c r="C29" s="608"/>
      <c r="D29" s="608"/>
      <c r="E29" s="608"/>
      <c r="F29" s="608"/>
      <c r="G29" s="608"/>
      <c r="H29" s="608"/>
      <c r="I29" s="608"/>
      <c r="J29" s="608"/>
      <c r="K29" s="608"/>
      <c r="L29" s="608"/>
      <c r="M29" s="608"/>
      <c r="N29" s="608"/>
      <c r="O29" s="608"/>
      <c r="P29" s="608"/>
    </row>
    <row r="30" spans="1:16" ht="11.25" x14ac:dyDescent="0.2">
      <c r="A30" s="654" t="s">
        <v>52</v>
      </c>
      <c r="B30" s="608"/>
      <c r="C30" s="608"/>
      <c r="D30" s="608"/>
      <c r="E30" s="608"/>
      <c r="F30" s="608"/>
      <c r="G30" s="608"/>
      <c r="H30" s="608"/>
      <c r="I30" s="608"/>
      <c r="J30" s="608"/>
      <c r="K30" s="608"/>
      <c r="L30" s="608"/>
      <c r="M30" s="608"/>
      <c r="N30" s="608"/>
      <c r="O30" s="608"/>
      <c r="P30" s="608"/>
    </row>
    <row r="31" spans="1:16" ht="11.25" x14ac:dyDescent="0.2">
      <c r="A31" s="653" t="s">
        <v>49</v>
      </c>
      <c r="B31" s="608"/>
      <c r="C31" s="608"/>
      <c r="D31" s="608">
        <v>0</v>
      </c>
      <c r="E31" s="608">
        <f>'Water Fund  Bal Sheet'!E31+'GF &amp; FF  Bal Sheet'!E31+'Sewer Fund  Bal Sheet'!E31</f>
        <v>0</v>
      </c>
      <c r="F31" s="608">
        <f>'Water Fund  Bal Sheet'!F31+'GF &amp; FF  Bal Sheet'!F31+'Sewer Fund  Bal Sheet'!F31</f>
        <v>0</v>
      </c>
      <c r="G31" s="608">
        <f>'Water Fund  Bal Sheet'!G31+'GF &amp; FF  Bal Sheet'!G31+'Sewer Fund  Bal Sheet'!G31</f>
        <v>0</v>
      </c>
      <c r="H31" s="608">
        <f>'Water Fund  Bal Sheet'!H31+'GF &amp; FF  Bal Sheet'!H31+'Sewer Fund  Bal Sheet'!H31</f>
        <v>0</v>
      </c>
      <c r="I31" s="608">
        <f>'Water Fund  Bal Sheet'!I31+'GF &amp; FF  Bal Sheet'!I31+'Sewer Fund  Bal Sheet'!I31</f>
        <v>0</v>
      </c>
      <c r="J31" s="608">
        <f>'Water Fund  Bal Sheet'!J31+'GF &amp; FF  Bal Sheet'!J31+'Sewer Fund  Bal Sheet'!J31</f>
        <v>0</v>
      </c>
      <c r="K31" s="608">
        <f>'Water Fund  Bal Sheet'!K31+'GF &amp; FF  Bal Sheet'!K31+'Sewer Fund  Bal Sheet'!K31</f>
        <v>0</v>
      </c>
      <c r="L31" s="608">
        <f>'Water Fund  Bal Sheet'!L31+'GF &amp; FF  Bal Sheet'!L31+'Sewer Fund  Bal Sheet'!L31</f>
        <v>0</v>
      </c>
      <c r="M31" s="608">
        <f>'Water Fund  Bal Sheet'!M31+'GF &amp; FF  Bal Sheet'!M31+'Sewer Fund  Bal Sheet'!M31</f>
        <v>0</v>
      </c>
      <c r="N31" s="608">
        <f>'Water Fund  Bal Sheet'!N31+'GF &amp; FF  Bal Sheet'!N31+'Sewer Fund  Bal Sheet'!N31</f>
        <v>0</v>
      </c>
      <c r="O31" s="608">
        <f>'Water Fund  Bal Sheet'!O31+'GF &amp; FF  Bal Sheet'!O31+'Sewer Fund  Bal Sheet'!O31</f>
        <v>0</v>
      </c>
      <c r="P31" s="608">
        <f>'Water Fund  Bal Sheet'!P31+'GF &amp; FF  Bal Sheet'!P31+'Sewer Fund  Bal Sheet'!P31</f>
        <v>0</v>
      </c>
    </row>
    <row r="32" spans="1:16" ht="11.25" x14ac:dyDescent="0.2">
      <c r="A32" s="653" t="s">
        <v>1051</v>
      </c>
      <c r="B32" s="608"/>
      <c r="C32" s="608"/>
      <c r="D32" s="608">
        <v>13675</v>
      </c>
      <c r="E32" s="608">
        <f>'Water Fund  Bal Sheet'!E32+'GF &amp; FF  Bal Sheet'!E32+'Sewer Fund  Bal Sheet'!E32</f>
        <v>26393</v>
      </c>
      <c r="F32" s="608">
        <f>'Water Fund  Bal Sheet'!F32+'GF &amp; FF  Bal Sheet'!F32+'Sewer Fund  Bal Sheet'!F32</f>
        <v>44909.55</v>
      </c>
      <c r="G32" s="608">
        <f>'Water Fund  Bal Sheet'!G32+'GF &amp; FF  Bal Sheet'!G32+'Sewer Fund  Bal Sheet'!G32</f>
        <v>61333.142999999996</v>
      </c>
      <c r="H32" s="608">
        <f>'Water Fund  Bal Sheet'!H32+'GF &amp; FF  Bal Sheet'!H32+'Sewer Fund  Bal Sheet'!H32</f>
        <v>60512.422000000006</v>
      </c>
      <c r="I32" s="608">
        <f>'Water Fund  Bal Sheet'!I32+'GF &amp; FF  Bal Sheet'!I32+'Sewer Fund  Bal Sheet'!I32</f>
        <v>59643.491000000009</v>
      </c>
      <c r="J32" s="608">
        <f>'Water Fund  Bal Sheet'!J32+'GF &amp; FF  Bal Sheet'!J32+'Sewer Fund  Bal Sheet'!J32</f>
        <v>58739.044880000009</v>
      </c>
      <c r="K32" s="608">
        <f>'Water Fund  Bal Sheet'!K32+'GF &amp; FF  Bal Sheet'!K32+'Sewer Fund  Bal Sheet'!K32</f>
        <v>57798.989837600006</v>
      </c>
      <c r="L32" s="608">
        <f>'Water Fund  Bal Sheet'!L32+'GF &amp; FF  Bal Sheet'!L32+'Sewer Fund  Bal Sheet'!L32</f>
        <v>57147.153694352004</v>
      </c>
      <c r="M32" s="608">
        <f>'Water Fund  Bal Sheet'!M32+'GF &amp; FF  Bal Sheet'!M32+'Sewer Fund  Bal Sheet'!M32</f>
        <v>56904.066939309283</v>
      </c>
      <c r="N32" s="608">
        <f>'Water Fund  Bal Sheet'!N32+'GF &amp; FF  Bal Sheet'!N32+'Sewer Fund  Bal Sheet'!N32</f>
        <v>56652.018449165713</v>
      </c>
      <c r="O32" s="608">
        <f>'Water Fund  Bal Sheet'!O32+'GF &amp; FF  Bal Sheet'!O32+'Sewer Fund  Bal Sheet'!O32</f>
        <v>56389.968989219262</v>
      </c>
      <c r="P32" s="608">
        <f>'Water Fund  Bal Sheet'!P32+'GF &amp; FF  Bal Sheet'!P32+'Sewer Fund  Bal Sheet'!P32</f>
        <v>56389.968989219262</v>
      </c>
    </row>
    <row r="33" spans="1:16" ht="11.25" x14ac:dyDescent="0.2">
      <c r="A33" s="655" t="s">
        <v>50</v>
      </c>
      <c r="B33" s="615"/>
      <c r="C33" s="608"/>
      <c r="D33" s="608">
        <v>5056</v>
      </c>
      <c r="E33" s="608">
        <f>'Water Fund  Bal Sheet'!E33+'GF &amp; FF  Bal Sheet'!E33+'Sewer Fund  Bal Sheet'!E33</f>
        <v>5284</v>
      </c>
      <c r="F33" s="608">
        <f>'Water Fund  Bal Sheet'!F33+'GF &amp; FF  Bal Sheet'!F33+'Sewer Fund  Bal Sheet'!F33</f>
        <v>5284</v>
      </c>
      <c r="G33" s="608">
        <f>'Water Fund  Bal Sheet'!G33+'GF &amp; FF  Bal Sheet'!G33+'Sewer Fund  Bal Sheet'!G33</f>
        <v>5284</v>
      </c>
      <c r="H33" s="608">
        <f>'Water Fund  Bal Sheet'!H33+'GF &amp; FF  Bal Sheet'!H33+'Sewer Fund  Bal Sheet'!H33</f>
        <v>5284</v>
      </c>
      <c r="I33" s="608">
        <f>'Water Fund  Bal Sheet'!I33+'GF &amp; FF  Bal Sheet'!I33+'Sewer Fund  Bal Sheet'!I33</f>
        <v>5284</v>
      </c>
      <c r="J33" s="608">
        <f>'Water Fund  Bal Sheet'!J33+'GF &amp; FF  Bal Sheet'!J33+'Sewer Fund  Bal Sheet'!J33</f>
        <v>5284</v>
      </c>
      <c r="K33" s="608">
        <f>'Water Fund  Bal Sheet'!K33+'GF &amp; FF  Bal Sheet'!K33+'Sewer Fund  Bal Sheet'!K33</f>
        <v>5284</v>
      </c>
      <c r="L33" s="608">
        <f>'Water Fund  Bal Sheet'!L33+'GF &amp; FF  Bal Sheet'!L33+'Sewer Fund  Bal Sheet'!L33</f>
        <v>5284</v>
      </c>
      <c r="M33" s="608">
        <f>'Water Fund  Bal Sheet'!M33+'GF &amp; FF  Bal Sheet'!M33+'Sewer Fund  Bal Sheet'!M33</f>
        <v>5284</v>
      </c>
      <c r="N33" s="608">
        <f>'Water Fund  Bal Sheet'!N33+'GF &amp; FF  Bal Sheet'!N33+'Sewer Fund  Bal Sheet'!N33</f>
        <v>5284</v>
      </c>
      <c r="O33" s="608">
        <f>'Water Fund  Bal Sheet'!O33+'GF &amp; FF  Bal Sheet'!O33+'Sewer Fund  Bal Sheet'!O33</f>
        <v>5284</v>
      </c>
      <c r="P33" s="608">
        <f>'Water Fund  Bal Sheet'!P33+'GF &amp; FF  Bal Sheet'!P33+'Sewer Fund  Bal Sheet'!P33</f>
        <v>5284</v>
      </c>
    </row>
    <row r="34" spans="1:16" s="657" customFormat="1" ht="11.25" x14ac:dyDescent="0.2">
      <c r="A34" s="654" t="s">
        <v>53</v>
      </c>
      <c r="B34" s="656">
        <f>SUM(B31:B33)</f>
        <v>0</v>
      </c>
      <c r="C34" s="656">
        <f t="shared" ref="C34:E34" si="7">SUM(C31:C33)</f>
        <v>0</v>
      </c>
      <c r="D34" s="656">
        <f t="shared" si="7"/>
        <v>18731</v>
      </c>
      <c r="E34" s="656">
        <f t="shared" si="7"/>
        <v>31677</v>
      </c>
      <c r="F34" s="656">
        <f t="shared" ref="F34:P34" si="8">SUM(F31:F33)</f>
        <v>50193.55</v>
      </c>
      <c r="G34" s="656">
        <f t="shared" si="8"/>
        <v>66617.142999999996</v>
      </c>
      <c r="H34" s="656">
        <f t="shared" si="8"/>
        <v>65796.422000000006</v>
      </c>
      <c r="I34" s="656">
        <f t="shared" si="8"/>
        <v>64927.491000000009</v>
      </c>
      <c r="J34" s="656">
        <f t="shared" si="8"/>
        <v>64023.044880000009</v>
      </c>
      <c r="K34" s="656">
        <f t="shared" si="8"/>
        <v>63082.989837600006</v>
      </c>
      <c r="L34" s="656">
        <f t="shared" si="8"/>
        <v>62431.153694352004</v>
      </c>
      <c r="M34" s="656">
        <f t="shared" si="8"/>
        <v>62188.066939309283</v>
      </c>
      <c r="N34" s="656">
        <f t="shared" si="8"/>
        <v>61936.018449165713</v>
      </c>
      <c r="O34" s="656">
        <f t="shared" si="8"/>
        <v>61673.968989219262</v>
      </c>
      <c r="P34" s="656">
        <f t="shared" si="8"/>
        <v>61673.968989219262</v>
      </c>
    </row>
    <row r="35" spans="1:16" ht="9" customHeight="1" x14ac:dyDescent="0.2">
      <c r="B35" s="608"/>
      <c r="C35" s="608"/>
      <c r="D35" s="608"/>
      <c r="E35" s="608"/>
      <c r="F35" s="608"/>
      <c r="G35" s="608"/>
      <c r="H35" s="608"/>
      <c r="I35" s="608"/>
      <c r="J35" s="608"/>
      <c r="K35" s="608"/>
      <c r="L35" s="608"/>
      <c r="M35" s="608"/>
      <c r="N35" s="608"/>
      <c r="O35" s="608"/>
      <c r="P35" s="608"/>
    </row>
    <row r="36" spans="1:16" s="657" customFormat="1" ht="12" thickBot="1" x14ac:dyDescent="0.25">
      <c r="A36" s="654" t="s">
        <v>54</v>
      </c>
      <c r="B36" s="665">
        <f>+B28+B34</f>
        <v>0</v>
      </c>
      <c r="C36" s="665">
        <f t="shared" ref="C36:E36" si="9">+C28+C34</f>
        <v>0</v>
      </c>
      <c r="D36" s="665">
        <f t="shared" si="9"/>
        <v>29933</v>
      </c>
      <c r="E36" s="665">
        <f t="shared" si="9"/>
        <v>41378</v>
      </c>
      <c r="F36" s="665">
        <f t="shared" ref="F36:P36" si="10">+F28+F34</f>
        <v>59885.662000000004</v>
      </c>
      <c r="G36" s="665">
        <f t="shared" si="10"/>
        <v>76263.731999999989</v>
      </c>
      <c r="H36" s="665">
        <f t="shared" si="10"/>
        <v>75331.143000000011</v>
      </c>
      <c r="I36" s="665">
        <f t="shared" si="10"/>
        <v>74510.422000000006</v>
      </c>
      <c r="J36" s="665">
        <f t="shared" si="10"/>
        <v>73641.491000000009</v>
      </c>
      <c r="K36" s="665">
        <f t="shared" si="10"/>
        <v>72737.044880000001</v>
      </c>
      <c r="L36" s="665">
        <f t="shared" si="10"/>
        <v>71796.989837600006</v>
      </c>
      <c r="M36" s="665">
        <f t="shared" si="10"/>
        <v>71145.153694352004</v>
      </c>
      <c r="N36" s="665">
        <f t="shared" si="10"/>
        <v>70902.066939309283</v>
      </c>
      <c r="O36" s="665">
        <f t="shared" si="10"/>
        <v>70650.018449165713</v>
      </c>
      <c r="P36" s="665">
        <f t="shared" si="10"/>
        <v>70387.968989219255</v>
      </c>
    </row>
    <row r="37" spans="1:16" s="657" customFormat="1" ht="12" thickBot="1" x14ac:dyDescent="0.25">
      <c r="A37" s="654" t="s">
        <v>55</v>
      </c>
      <c r="B37" s="668">
        <f>+B21-B36</f>
        <v>0</v>
      </c>
      <c r="C37" s="668">
        <f t="shared" ref="C37:E37" si="11">+C21-C36</f>
        <v>0</v>
      </c>
      <c r="D37" s="668">
        <f t="shared" si="11"/>
        <v>592092</v>
      </c>
      <c r="E37" s="668">
        <f t="shared" si="11"/>
        <v>609228</v>
      </c>
      <c r="F37" s="668">
        <f t="shared" ref="F37:P37" si="12">+F21-F36</f>
        <v>614161.05100000009</v>
      </c>
      <c r="G37" s="668">
        <f t="shared" si="12"/>
        <v>627800.57996</v>
      </c>
      <c r="H37" s="668">
        <f t="shared" si="12"/>
        <v>632432.06344499998</v>
      </c>
      <c r="I37" s="668">
        <f t="shared" si="12"/>
        <v>637330.34473529994</v>
      </c>
      <c r="J37" s="668">
        <f t="shared" si="12"/>
        <v>642169.7004529339</v>
      </c>
      <c r="K37" s="668">
        <f t="shared" si="12"/>
        <v>646693.78642643103</v>
      </c>
      <c r="L37" s="668">
        <f t="shared" si="12"/>
        <v>651288.90096205857</v>
      </c>
      <c r="M37" s="668">
        <f t="shared" si="12"/>
        <v>655946.14321321389</v>
      </c>
      <c r="N37" s="668">
        <f t="shared" si="12"/>
        <v>660663.29060206632</v>
      </c>
      <c r="O37" s="668">
        <f t="shared" si="12"/>
        <v>665445.58366612985</v>
      </c>
      <c r="P37" s="668">
        <f t="shared" si="12"/>
        <v>670291.97301465902</v>
      </c>
    </row>
    <row r="38" spans="1:16" ht="12" thickTop="1" x14ac:dyDescent="0.2">
      <c r="B38" s="608"/>
      <c r="C38" s="608"/>
      <c r="D38" s="608"/>
      <c r="E38" s="608"/>
      <c r="F38" s="608"/>
      <c r="G38" s="608"/>
      <c r="H38" s="608"/>
      <c r="I38" s="608"/>
      <c r="J38" s="608"/>
      <c r="K38" s="608"/>
      <c r="L38" s="608"/>
      <c r="M38" s="608"/>
      <c r="N38" s="608"/>
      <c r="O38" s="608"/>
      <c r="P38" s="608"/>
    </row>
    <row r="39" spans="1:16" ht="11.25" x14ac:dyDescent="0.2">
      <c r="A39" s="654" t="s">
        <v>56</v>
      </c>
      <c r="B39" s="608"/>
      <c r="C39" s="608"/>
      <c r="D39" s="608"/>
      <c r="E39" s="608"/>
      <c r="F39" s="608"/>
      <c r="G39" s="608"/>
      <c r="H39" s="608"/>
      <c r="I39" s="608"/>
      <c r="J39" s="608"/>
      <c r="K39" s="608"/>
      <c r="L39" s="608"/>
      <c r="M39" s="608"/>
      <c r="N39" s="608"/>
      <c r="O39" s="608"/>
      <c r="P39" s="608"/>
    </row>
    <row r="40" spans="1:16" ht="11.25" x14ac:dyDescent="0.2">
      <c r="A40" s="653" t="s">
        <v>57</v>
      </c>
      <c r="B40" s="608"/>
      <c r="C40" s="608"/>
      <c r="D40" s="608">
        <v>291432</v>
      </c>
      <c r="E40" s="608">
        <f>'Water Fund  Bal Sheet'!E40+'GF &amp; FF  Bal Sheet'!E40+'Sewer Fund  Bal Sheet'!E40</f>
        <v>306238</v>
      </c>
      <c r="F40" s="608">
        <f>'Water Fund  Bal Sheet'!F40+'GF &amp; FF  Bal Sheet'!F40+'Sewer Fund  Bal Sheet'!F40</f>
        <v>311171.05100000004</v>
      </c>
      <c r="G40" s="608">
        <f>'Water Fund  Bal Sheet'!G40+'GF &amp; FF  Bal Sheet'!G40+'Sewer Fund  Bal Sheet'!G40</f>
        <v>324810.57996</v>
      </c>
      <c r="H40" s="608">
        <f>'Water Fund  Bal Sheet'!H40+'GF &amp; FF  Bal Sheet'!H40+'Sewer Fund  Bal Sheet'!H40</f>
        <v>329442.06344500004</v>
      </c>
      <c r="I40" s="608">
        <f>'Water Fund  Bal Sheet'!I40+'GF &amp; FF  Bal Sheet'!I40+'Sewer Fund  Bal Sheet'!I40</f>
        <v>334340.34473529999</v>
      </c>
      <c r="J40" s="608">
        <f>'Water Fund  Bal Sheet'!J40+'GF &amp; FF  Bal Sheet'!J40+'Sewer Fund  Bal Sheet'!J40</f>
        <v>339179.70045293396</v>
      </c>
      <c r="K40" s="608">
        <f>'Water Fund  Bal Sheet'!K40+'GF &amp; FF  Bal Sheet'!K40+'Sewer Fund  Bal Sheet'!K40</f>
        <v>343703.78642643121</v>
      </c>
      <c r="L40" s="608">
        <f>'Water Fund  Bal Sheet'!L40+'GF &amp; FF  Bal Sheet'!L40+'Sewer Fund  Bal Sheet'!L40</f>
        <v>348298.90096205869</v>
      </c>
      <c r="M40" s="608">
        <f>'Water Fund  Bal Sheet'!M40+'GF &amp; FF  Bal Sheet'!M40+'Sewer Fund  Bal Sheet'!M40</f>
        <v>352956.143213214</v>
      </c>
      <c r="N40" s="608">
        <f>'Water Fund  Bal Sheet'!N40+'GF &amp; FF  Bal Sheet'!N40+'Sewer Fund  Bal Sheet'!N40</f>
        <v>357673.29060206626</v>
      </c>
      <c r="O40" s="608">
        <f>'Water Fund  Bal Sheet'!O40+'GF &amp; FF  Bal Sheet'!O40+'Sewer Fund  Bal Sheet'!O40</f>
        <v>362455.58366613009</v>
      </c>
      <c r="P40" s="608">
        <f>'Water Fund  Bal Sheet'!P40+'GF &amp; FF  Bal Sheet'!P40+'Sewer Fund  Bal Sheet'!P40</f>
        <v>367301.97301465913</v>
      </c>
    </row>
    <row r="41" spans="1:16" ht="12" thickBot="1" x14ac:dyDescent="0.25">
      <c r="A41" s="653" t="s">
        <v>58</v>
      </c>
      <c r="B41" s="669"/>
      <c r="C41" s="669"/>
      <c r="D41" s="669">
        <v>300660</v>
      </c>
      <c r="E41" s="608">
        <f>'Water Fund  Bal Sheet'!E41+'GF &amp; FF  Bal Sheet'!E41+'Sewer Fund  Bal Sheet'!E41</f>
        <v>302990</v>
      </c>
      <c r="F41" s="608">
        <f>'Water Fund  Bal Sheet'!F41+'GF &amp; FF  Bal Sheet'!F41+'Sewer Fund  Bal Sheet'!F41</f>
        <v>302990</v>
      </c>
      <c r="G41" s="608">
        <f>'Water Fund  Bal Sheet'!G41+'GF &amp; FF  Bal Sheet'!G41+'Sewer Fund  Bal Sheet'!G41</f>
        <v>302990</v>
      </c>
      <c r="H41" s="608">
        <f>'Water Fund  Bal Sheet'!H41+'GF &amp; FF  Bal Sheet'!H41+'Sewer Fund  Bal Sheet'!H41</f>
        <v>302990</v>
      </c>
      <c r="I41" s="608">
        <f>'Water Fund  Bal Sheet'!I41+'GF &amp; FF  Bal Sheet'!I41+'Sewer Fund  Bal Sheet'!I41</f>
        <v>302990</v>
      </c>
      <c r="J41" s="608">
        <f>'Water Fund  Bal Sheet'!J41+'GF &amp; FF  Bal Sheet'!J41+'Sewer Fund  Bal Sheet'!J41</f>
        <v>302990</v>
      </c>
      <c r="K41" s="608">
        <f>'Water Fund  Bal Sheet'!K41+'GF &amp; FF  Bal Sheet'!K41+'Sewer Fund  Bal Sheet'!K41</f>
        <v>302990</v>
      </c>
      <c r="L41" s="608">
        <f>'Water Fund  Bal Sheet'!L41+'GF &amp; FF  Bal Sheet'!L41+'Sewer Fund  Bal Sheet'!L41</f>
        <v>302990</v>
      </c>
      <c r="M41" s="608">
        <f>'Water Fund  Bal Sheet'!M41+'GF &amp; FF  Bal Sheet'!M41+'Sewer Fund  Bal Sheet'!M41</f>
        <v>302990</v>
      </c>
      <c r="N41" s="608">
        <f>'Water Fund  Bal Sheet'!N41+'GF &amp; FF  Bal Sheet'!N41+'Sewer Fund  Bal Sheet'!N41</f>
        <v>302990</v>
      </c>
      <c r="O41" s="608">
        <f>'Water Fund  Bal Sheet'!O41+'GF &amp; FF  Bal Sheet'!O41+'Sewer Fund  Bal Sheet'!O41</f>
        <v>302990</v>
      </c>
      <c r="P41" s="608">
        <f>'Water Fund  Bal Sheet'!P41+'GF &amp; FF  Bal Sheet'!P41+'Sewer Fund  Bal Sheet'!P41</f>
        <v>302990</v>
      </c>
    </row>
    <row r="42" spans="1:16" s="657" customFormat="1" ht="12" thickBot="1" x14ac:dyDescent="0.25">
      <c r="A42" s="654" t="s">
        <v>59</v>
      </c>
      <c r="B42" s="668">
        <f>SUM(B40:B41)</f>
        <v>0</v>
      </c>
      <c r="C42" s="668">
        <f t="shared" ref="C42:E42" si="13">SUM(C40:C41)</f>
        <v>0</v>
      </c>
      <c r="D42" s="668">
        <f t="shared" si="13"/>
        <v>592092</v>
      </c>
      <c r="E42" s="668">
        <f t="shared" si="13"/>
        <v>609228</v>
      </c>
      <c r="F42" s="668">
        <f t="shared" ref="F42:P42" si="14">SUM(F40:F41)</f>
        <v>614161.05099999998</v>
      </c>
      <c r="G42" s="668">
        <f t="shared" si="14"/>
        <v>627800.57996</v>
      </c>
      <c r="H42" s="668">
        <f t="shared" si="14"/>
        <v>632432.06344499998</v>
      </c>
      <c r="I42" s="668">
        <f t="shared" si="14"/>
        <v>637330.34473529994</v>
      </c>
      <c r="J42" s="668">
        <f t="shared" si="14"/>
        <v>642169.70045293402</v>
      </c>
      <c r="K42" s="668">
        <f t="shared" si="14"/>
        <v>646693.78642643127</v>
      </c>
      <c r="L42" s="668">
        <f t="shared" si="14"/>
        <v>651288.90096205869</v>
      </c>
      <c r="M42" s="668">
        <f t="shared" si="14"/>
        <v>655946.143213214</v>
      </c>
      <c r="N42" s="668">
        <f t="shared" si="14"/>
        <v>660663.29060206632</v>
      </c>
      <c r="O42" s="668">
        <f t="shared" si="14"/>
        <v>665445.58366613009</v>
      </c>
      <c r="P42" s="668">
        <f t="shared" si="14"/>
        <v>670291.97301465913</v>
      </c>
    </row>
    <row r="43" spans="1:16" ht="12" thickTop="1" x14ac:dyDescent="0.2">
      <c r="B43" s="608"/>
      <c r="C43" s="608"/>
      <c r="D43" s="608"/>
      <c r="E43" s="608"/>
      <c r="F43" s="608"/>
      <c r="G43" s="608"/>
      <c r="H43" s="608"/>
      <c r="I43" s="608"/>
      <c r="J43" s="608"/>
      <c r="K43" s="608"/>
      <c r="L43" s="608"/>
      <c r="M43" s="608"/>
      <c r="N43" s="608"/>
      <c r="O43" s="608"/>
      <c r="P43" s="608"/>
    </row>
    <row r="44" spans="1:16" ht="11.25" hidden="1" outlineLevel="1" x14ac:dyDescent="0.2">
      <c r="A44" s="653" t="s">
        <v>111</v>
      </c>
      <c r="B44" s="621">
        <f>+B37-B42</f>
        <v>0</v>
      </c>
      <c r="C44" s="621">
        <f t="shared" ref="C44:P44" si="15">+C37-C42</f>
        <v>0</v>
      </c>
      <c r="D44" s="621">
        <f t="shared" si="15"/>
        <v>0</v>
      </c>
      <c r="E44" s="621">
        <f t="shared" si="15"/>
        <v>0</v>
      </c>
      <c r="F44" s="621">
        <f t="shared" si="15"/>
        <v>0</v>
      </c>
      <c r="G44" s="621">
        <f t="shared" si="15"/>
        <v>0</v>
      </c>
      <c r="H44" s="621">
        <f t="shared" si="15"/>
        <v>0</v>
      </c>
      <c r="I44" s="621">
        <f t="shared" si="15"/>
        <v>0</v>
      </c>
      <c r="J44" s="621">
        <f t="shared" si="15"/>
        <v>0</v>
      </c>
      <c r="K44" s="621">
        <f t="shared" si="15"/>
        <v>0</v>
      </c>
      <c r="L44" s="621">
        <f t="shared" si="15"/>
        <v>0</v>
      </c>
      <c r="M44" s="621">
        <f t="shared" si="15"/>
        <v>0</v>
      </c>
      <c r="N44" s="621">
        <f t="shared" si="15"/>
        <v>0</v>
      </c>
      <c r="O44" s="621">
        <f t="shared" si="15"/>
        <v>0</v>
      </c>
      <c r="P44" s="621">
        <f t="shared" si="15"/>
        <v>0</v>
      </c>
    </row>
    <row r="45" spans="1:16" ht="11.25" hidden="1" outlineLevel="1" x14ac:dyDescent="0.2">
      <c r="A45" s="653" t="s">
        <v>112</v>
      </c>
      <c r="B45" s="621">
        <f>+B42-'GF &amp; FF  Equity Statement'!B33</f>
        <v>0</v>
      </c>
      <c r="C45" s="621">
        <f>+C42-'GF &amp; FF  Equity Statement'!C33</f>
        <v>0</v>
      </c>
      <c r="D45" s="621">
        <f>+D42-'Consol  Equity Statement'!D33</f>
        <v>0</v>
      </c>
      <c r="E45" s="621">
        <f>+E42-'Consol  Equity Statement'!E33</f>
        <v>0</v>
      </c>
      <c r="F45" s="621">
        <f>+F42-'Consol  Equity Statement'!F33</f>
        <v>0</v>
      </c>
      <c r="G45" s="621">
        <f>+G42-'Consol  Equity Statement'!G33</f>
        <v>0</v>
      </c>
      <c r="H45" s="621">
        <f>+H42-'Consol  Equity Statement'!H33</f>
        <v>0</v>
      </c>
      <c r="I45" s="621">
        <f>+I42-'Consol  Equity Statement'!I33</f>
        <v>0</v>
      </c>
      <c r="J45" s="621">
        <f>+J42-'Consol  Equity Statement'!J33</f>
        <v>0</v>
      </c>
      <c r="K45" s="621">
        <f>+K42-'Consol  Equity Statement'!K33</f>
        <v>0</v>
      </c>
      <c r="L45" s="621">
        <f>+L42-'Consol  Equity Statement'!L33</f>
        <v>0</v>
      </c>
      <c r="M45" s="621">
        <f>+M42-'Consol  Equity Statement'!M33</f>
        <v>0</v>
      </c>
      <c r="N45" s="621">
        <f>+N42-'Consol  Equity Statement'!N33</f>
        <v>0</v>
      </c>
      <c r="O45" s="621">
        <f>+O42-'Consol  Equity Statement'!O33</f>
        <v>0</v>
      </c>
      <c r="P45" s="621">
        <f>+P42-'Consol  Equity Statement'!P33</f>
        <v>0</v>
      </c>
    </row>
    <row r="46" spans="1:16" ht="11.25" collapsed="1" x14ac:dyDescent="0.2">
      <c r="D46" s="670"/>
      <c r="E46" s="670"/>
      <c r="F46" s="670"/>
      <c r="G46" s="670"/>
      <c r="H46" s="670"/>
      <c r="I46" s="670"/>
      <c r="J46" s="670"/>
      <c r="K46" s="670"/>
      <c r="L46" s="670"/>
      <c r="M46" s="670"/>
      <c r="N46" s="670"/>
      <c r="O46" s="670"/>
      <c r="P46" s="670"/>
    </row>
    <row r="47" spans="1:16" ht="12.75" x14ac:dyDescent="0.2">
      <c r="A47" s="1091" t="s">
        <v>1361</v>
      </c>
    </row>
    <row r="48" spans="1:16" s="660" customFormat="1" ht="12" x14ac:dyDescent="0.2">
      <c r="A48" s="671" t="s">
        <v>1070</v>
      </c>
      <c r="B48" s="586" t="s">
        <v>69</v>
      </c>
      <c r="C48" s="586" t="s">
        <v>69</v>
      </c>
      <c r="D48" s="586" t="s">
        <v>69</v>
      </c>
      <c r="E48" s="586" t="s">
        <v>69</v>
      </c>
      <c r="F48" s="586" t="s">
        <v>70</v>
      </c>
      <c r="G48" s="586" t="s">
        <v>70</v>
      </c>
      <c r="H48" s="586" t="s">
        <v>71</v>
      </c>
      <c r="I48" s="586" t="s">
        <v>71</v>
      </c>
      <c r="J48" s="586" t="s">
        <v>71</v>
      </c>
      <c r="K48" s="586" t="s">
        <v>71</v>
      </c>
      <c r="L48" s="586" t="s">
        <v>71</v>
      </c>
      <c r="M48" s="586" t="s">
        <v>71</v>
      </c>
      <c r="N48" s="586" t="s">
        <v>71</v>
      </c>
      <c r="O48" s="586" t="s">
        <v>71</v>
      </c>
      <c r="P48" s="586" t="s">
        <v>71</v>
      </c>
    </row>
    <row r="49" spans="1:16" ht="11.25" x14ac:dyDescent="0.2">
      <c r="A49" s="652" t="s">
        <v>72</v>
      </c>
      <c r="B49" s="741" t="s">
        <v>68</v>
      </c>
      <c r="C49" s="694" t="s">
        <v>0</v>
      </c>
      <c r="D49" s="694" t="s">
        <v>1</v>
      </c>
      <c r="E49" s="694" t="s">
        <v>2</v>
      </c>
      <c r="F49" s="694" t="s">
        <v>3</v>
      </c>
      <c r="G49" s="694" t="s">
        <v>4</v>
      </c>
      <c r="H49" s="694" t="s">
        <v>5</v>
      </c>
      <c r="I49" s="694" t="s">
        <v>6</v>
      </c>
      <c r="J49" s="694" t="s">
        <v>7</v>
      </c>
      <c r="K49" s="694" t="s">
        <v>8</v>
      </c>
      <c r="L49" s="694" t="s">
        <v>9</v>
      </c>
      <c r="M49" s="694" t="s">
        <v>514</v>
      </c>
      <c r="N49" s="694" t="s">
        <v>515</v>
      </c>
      <c r="O49" s="694" t="s">
        <v>904</v>
      </c>
      <c r="P49" s="694" t="s">
        <v>1046</v>
      </c>
    </row>
    <row r="50" spans="1:16" s="664" customFormat="1" ht="11.25" x14ac:dyDescent="0.2">
      <c r="A50" s="661"/>
      <c r="B50" s="662"/>
      <c r="C50" s="662"/>
      <c r="D50" s="663"/>
      <c r="E50" s="663"/>
      <c r="F50" s="663"/>
      <c r="G50" s="663"/>
      <c r="H50" s="663"/>
      <c r="I50" s="663"/>
      <c r="J50" s="663"/>
      <c r="K50" s="663"/>
      <c r="L50" s="663"/>
      <c r="M50" s="663"/>
      <c r="N50" s="663"/>
      <c r="O50" s="663"/>
      <c r="P50" s="663"/>
    </row>
    <row r="51" spans="1:16" ht="11.25" x14ac:dyDescent="0.2">
      <c r="A51" s="654" t="s">
        <v>35</v>
      </c>
      <c r="B51" s="608"/>
      <c r="C51" s="608"/>
      <c r="D51" s="608"/>
      <c r="E51" s="608"/>
      <c r="F51" s="608"/>
      <c r="G51" s="608"/>
      <c r="H51" s="608"/>
      <c r="I51" s="608"/>
      <c r="J51" s="608"/>
      <c r="K51" s="608"/>
      <c r="L51" s="608"/>
      <c r="M51" s="608"/>
      <c r="N51" s="608"/>
      <c r="O51" s="608"/>
      <c r="P51" s="608"/>
    </row>
    <row r="52" spans="1:16" ht="11.25" x14ac:dyDescent="0.2">
      <c r="A52" s="654" t="s">
        <v>36</v>
      </c>
      <c r="B52" s="608"/>
      <c r="C52" s="608"/>
      <c r="D52" s="608"/>
      <c r="E52" s="608"/>
      <c r="F52" s="608"/>
      <c r="G52" s="608"/>
      <c r="H52" s="608"/>
      <c r="I52" s="608"/>
      <c r="J52" s="608"/>
      <c r="K52" s="608"/>
      <c r="L52" s="608"/>
      <c r="M52" s="608"/>
      <c r="N52" s="608"/>
      <c r="O52" s="608"/>
      <c r="P52" s="608"/>
    </row>
    <row r="53" spans="1:16" ht="11.25" x14ac:dyDescent="0.2">
      <c r="A53" s="653" t="s">
        <v>37</v>
      </c>
      <c r="B53" s="608"/>
      <c r="C53" s="608"/>
      <c r="D53" s="608">
        <f>D7</f>
        <v>9296</v>
      </c>
      <c r="E53" s="608">
        <f>'Water Fund  Bal Sheet'!E53+'GF &amp; FF  Bal Sheet'!E53+'Sewer Fund  Bal Sheet'!E53</f>
        <v>2319</v>
      </c>
      <c r="F53" s="608">
        <f>'Water Fund  Bal Sheet'!F53+'GF &amp; FF  Bal Sheet'!F53+'Sewer Fund  Bal Sheet'!F53</f>
        <v>2349.0000000000032</v>
      </c>
      <c r="G53" s="608">
        <f>'Water Fund  Bal Sheet'!G53+'GF &amp; FF  Bal Sheet'!G53+'Sewer Fund  Bal Sheet'!G53</f>
        <v>2382.8659999999995</v>
      </c>
      <c r="H53" s="608">
        <f>'Water Fund  Bal Sheet'!H53+'GF &amp; FF  Bal Sheet'!H53+'Sewer Fund  Bal Sheet'!H53</f>
        <v>2636.3541999999884</v>
      </c>
      <c r="I53" s="608">
        <f>'Water Fund  Bal Sheet'!I53+'GF &amp; FF  Bal Sheet'!I53+'Sewer Fund  Bal Sheet'!I53</f>
        <v>2576.4514299999905</v>
      </c>
      <c r="J53" s="608">
        <f>'Water Fund  Bal Sheet'!J53+'GF &amp; FF  Bal Sheet'!J53+'Sewer Fund  Bal Sheet'!J53</f>
        <v>1375.6926757499909</v>
      </c>
      <c r="K53" s="608">
        <f>'Water Fund  Bal Sheet'!K53+'GF &amp; FF  Bal Sheet'!K53+'Sewer Fund  Bal Sheet'!K53</f>
        <v>2945.1032879129812</v>
      </c>
      <c r="L53" s="608">
        <f>'Water Fund  Bal Sheet'!L53+'GF &amp; FF  Bal Sheet'!L53+'Sewer Fund  Bal Sheet'!L53</f>
        <v>3726.9668320702754</v>
      </c>
      <c r="M53" s="608">
        <f>'Water Fund  Bal Sheet'!M53+'GF &amp; FF  Bal Sheet'!M53+'Sewer Fund  Bal Sheet'!M53</f>
        <v>3698.2164819714376</v>
      </c>
      <c r="N53" s="608">
        <f>'Water Fund  Bal Sheet'!N53+'GF &amp; FF  Bal Sheet'!N53+'Sewer Fund  Bal Sheet'!N53</f>
        <v>4527.5721627033308</v>
      </c>
      <c r="O53" s="608">
        <f>'Water Fund  Bal Sheet'!O53+'GF &amp; FF  Bal Sheet'!O53+'Sewer Fund  Bal Sheet'!O53</f>
        <v>5445.2982744743576</v>
      </c>
      <c r="P53" s="608">
        <f>'Water Fund  Bal Sheet'!P53+'GF &amp; FF  Bal Sheet'!P53+'Sewer Fund  Bal Sheet'!P53</f>
        <v>6458.6329524173616</v>
      </c>
    </row>
    <row r="54" spans="1:16" ht="11.25" x14ac:dyDescent="0.2">
      <c r="A54" s="653" t="s">
        <v>38</v>
      </c>
      <c r="B54" s="608"/>
      <c r="C54" s="608"/>
      <c r="D54" s="608">
        <f>D8</f>
        <v>7148</v>
      </c>
      <c r="E54" s="608">
        <f>'Water Fund  Bal Sheet'!E54+'GF &amp; FF  Bal Sheet'!E54+'Sewer Fund  Bal Sheet'!E54</f>
        <v>9416</v>
      </c>
      <c r="F54" s="608">
        <f>'Water Fund  Bal Sheet'!F54+'GF &amp; FF  Bal Sheet'!F54+'Sewer Fund  Bal Sheet'!F54</f>
        <v>9003.9440000000031</v>
      </c>
      <c r="G54" s="608">
        <f>'Water Fund  Bal Sheet'!G54+'GF &amp; FF  Bal Sheet'!G54+'Sewer Fund  Bal Sheet'!G54</f>
        <v>10598.229000000003</v>
      </c>
      <c r="H54" s="608">
        <f>'Water Fund  Bal Sheet'!H54+'GF &amp; FF  Bal Sheet'!H54+'Sewer Fund  Bal Sheet'!H54</f>
        <v>6316.4020100000016</v>
      </c>
      <c r="I54" s="608">
        <f>'Water Fund  Bal Sheet'!I54+'GF &amp; FF  Bal Sheet'!I54+'Sewer Fund  Bal Sheet'!I54</f>
        <v>8611.2234003000012</v>
      </c>
      <c r="J54" s="608">
        <f>'Water Fund  Bal Sheet'!J54+'GF &amp; FF  Bal Sheet'!J54+'Sewer Fund  Bal Sheet'!J54</f>
        <v>10985.568842309001</v>
      </c>
      <c r="K54" s="608">
        <f>'Water Fund  Bal Sheet'!K54+'GF &amp; FF  Bal Sheet'!K54+'Sewer Fund  Bal Sheet'!K54</f>
        <v>11207.401193158181</v>
      </c>
      <c r="L54" s="608">
        <f>'Water Fund  Bal Sheet'!L54+'GF &amp; FF  Bal Sheet'!L54+'Sewer Fund  Bal Sheet'!L54</f>
        <v>11433.670191024343</v>
      </c>
      <c r="M54" s="608">
        <f>'Water Fund  Bal Sheet'!M54+'GF &amp; FF  Bal Sheet'!M54+'Sewer Fund  Bal Sheet'!M54</f>
        <v>11664.46456884783</v>
      </c>
      <c r="N54" s="608">
        <f>'Water Fund  Bal Sheet'!N54+'GF &amp; FF  Bal Sheet'!N54+'Sewer Fund  Bal Sheet'!N54</f>
        <v>11899.874834227787</v>
      </c>
      <c r="O54" s="608">
        <f>'Water Fund  Bal Sheet'!O54+'GF &amp; FF  Bal Sheet'!O54+'Sewer Fund  Bal Sheet'!O54</f>
        <v>12139.993304915341</v>
      </c>
      <c r="P54" s="608">
        <f>'Water Fund  Bal Sheet'!P54+'GF &amp; FF  Bal Sheet'!P54+'Sewer Fund  Bal Sheet'!P54</f>
        <v>12384.914145016646</v>
      </c>
    </row>
    <row r="55" spans="1:16" ht="11.25" x14ac:dyDescent="0.2">
      <c r="A55" s="653" t="s">
        <v>39</v>
      </c>
      <c r="B55" s="608"/>
      <c r="C55" s="608"/>
      <c r="D55" s="608">
        <f>D9</f>
        <v>5459</v>
      </c>
      <c r="E55" s="608">
        <f>'Water Fund  Bal Sheet'!E55+'GF &amp; FF  Bal Sheet'!E55+'Sewer Fund  Bal Sheet'!E55</f>
        <v>7888</v>
      </c>
      <c r="F55" s="608">
        <f>'Water Fund  Bal Sheet'!F55+'GF &amp; FF  Bal Sheet'!F55+'Sewer Fund  Bal Sheet'!F55</f>
        <v>7888</v>
      </c>
      <c r="G55" s="608">
        <f>'Water Fund  Bal Sheet'!G55+'GF &amp; FF  Bal Sheet'!G55+'Sewer Fund  Bal Sheet'!G55</f>
        <v>7888</v>
      </c>
      <c r="H55" s="608">
        <f>'Water Fund  Bal Sheet'!H55+'GF &amp; FF  Bal Sheet'!H55+'Sewer Fund  Bal Sheet'!H55</f>
        <v>7888</v>
      </c>
      <c r="I55" s="608">
        <f>'Water Fund  Bal Sheet'!I55+'GF &amp; FF  Bal Sheet'!I55+'Sewer Fund  Bal Sheet'!I55</f>
        <v>7888</v>
      </c>
      <c r="J55" s="608">
        <f>'Water Fund  Bal Sheet'!J55+'GF &amp; FF  Bal Sheet'!J55+'Sewer Fund  Bal Sheet'!J55</f>
        <v>7888</v>
      </c>
      <c r="K55" s="608">
        <f>'Water Fund  Bal Sheet'!K55+'GF &amp; FF  Bal Sheet'!K55+'Sewer Fund  Bal Sheet'!K55</f>
        <v>7888</v>
      </c>
      <c r="L55" s="608">
        <f>'Water Fund  Bal Sheet'!L55+'GF &amp; FF  Bal Sheet'!L55+'Sewer Fund  Bal Sheet'!L55</f>
        <v>7888</v>
      </c>
      <c r="M55" s="608">
        <f>'Water Fund  Bal Sheet'!M55+'GF &amp; FF  Bal Sheet'!M55+'Sewer Fund  Bal Sheet'!M55</f>
        <v>7888</v>
      </c>
      <c r="N55" s="608">
        <f>'Water Fund  Bal Sheet'!N55+'GF &amp; FF  Bal Sheet'!N55+'Sewer Fund  Bal Sheet'!N55</f>
        <v>7888</v>
      </c>
      <c r="O55" s="608">
        <f>'Water Fund  Bal Sheet'!O55+'GF &amp; FF  Bal Sheet'!O55+'Sewer Fund  Bal Sheet'!O55</f>
        <v>7888</v>
      </c>
      <c r="P55" s="608">
        <f>'Water Fund  Bal Sheet'!P55+'GF &amp; FF  Bal Sheet'!P55+'Sewer Fund  Bal Sheet'!P55</f>
        <v>7888</v>
      </c>
    </row>
    <row r="56" spans="1:16" ht="11.25" x14ac:dyDescent="0.2">
      <c r="A56" s="653" t="s">
        <v>40</v>
      </c>
      <c r="B56" s="608"/>
      <c r="C56" s="608"/>
      <c r="D56" s="608">
        <f>D10</f>
        <v>2131</v>
      </c>
      <c r="E56" s="608">
        <f>'Water Fund  Bal Sheet'!E56+'GF &amp; FF  Bal Sheet'!E56+'Sewer Fund  Bal Sheet'!E56</f>
        <v>2116</v>
      </c>
      <c r="F56" s="608">
        <f>'Water Fund  Bal Sheet'!F56+'GF &amp; FF  Bal Sheet'!F56+'Sewer Fund  Bal Sheet'!F56</f>
        <v>2116</v>
      </c>
      <c r="G56" s="608">
        <f>'Water Fund  Bal Sheet'!G56+'GF &amp; FF  Bal Sheet'!G56+'Sewer Fund  Bal Sheet'!G56</f>
        <v>2116</v>
      </c>
      <c r="H56" s="608">
        <f>'Water Fund  Bal Sheet'!H56+'GF &amp; FF  Bal Sheet'!H56+'Sewer Fund  Bal Sheet'!H56</f>
        <v>2116</v>
      </c>
      <c r="I56" s="608">
        <f>'Water Fund  Bal Sheet'!I56+'GF &amp; FF  Bal Sheet'!I56+'Sewer Fund  Bal Sheet'!I56</f>
        <v>2116</v>
      </c>
      <c r="J56" s="608">
        <f>'Water Fund  Bal Sheet'!J56+'GF &amp; FF  Bal Sheet'!J56+'Sewer Fund  Bal Sheet'!J56</f>
        <v>2116</v>
      </c>
      <c r="K56" s="608">
        <f>'Water Fund  Bal Sheet'!K56+'GF &amp; FF  Bal Sheet'!K56+'Sewer Fund  Bal Sheet'!K56</f>
        <v>2116</v>
      </c>
      <c r="L56" s="608">
        <f>'Water Fund  Bal Sheet'!L56+'GF &amp; FF  Bal Sheet'!L56+'Sewer Fund  Bal Sheet'!L56</f>
        <v>2116</v>
      </c>
      <c r="M56" s="608">
        <f>'Water Fund  Bal Sheet'!M56+'GF &amp; FF  Bal Sheet'!M56+'Sewer Fund  Bal Sheet'!M56</f>
        <v>2116</v>
      </c>
      <c r="N56" s="608">
        <f>'Water Fund  Bal Sheet'!N56+'GF &amp; FF  Bal Sheet'!N56+'Sewer Fund  Bal Sheet'!N56</f>
        <v>2116</v>
      </c>
      <c r="O56" s="608">
        <f>'Water Fund  Bal Sheet'!O56+'GF &amp; FF  Bal Sheet'!O56+'Sewer Fund  Bal Sheet'!O56</f>
        <v>2116</v>
      </c>
      <c r="P56" s="608">
        <f>'Water Fund  Bal Sheet'!P56+'GF &amp; FF  Bal Sheet'!P56+'Sewer Fund  Bal Sheet'!P56</f>
        <v>2116</v>
      </c>
    </row>
    <row r="57" spans="1:16" ht="11.25" x14ac:dyDescent="0.2">
      <c r="A57" s="655" t="s">
        <v>41</v>
      </c>
      <c r="B57" s="615"/>
      <c r="C57" s="608"/>
      <c r="D57" s="608">
        <f>D11</f>
        <v>28</v>
      </c>
      <c r="E57" s="608">
        <f>'Water Fund  Bal Sheet'!E57+'GF &amp; FF  Bal Sheet'!E57+'Sewer Fund  Bal Sheet'!E57</f>
        <v>102</v>
      </c>
      <c r="F57" s="608">
        <f>'Water Fund  Bal Sheet'!F57+'GF &amp; FF  Bal Sheet'!F57+'Sewer Fund  Bal Sheet'!F57</f>
        <v>102</v>
      </c>
      <c r="G57" s="608">
        <f>'Water Fund  Bal Sheet'!G57+'GF &amp; FF  Bal Sheet'!G57+'Sewer Fund  Bal Sheet'!G57</f>
        <v>102</v>
      </c>
      <c r="H57" s="608">
        <f>'Water Fund  Bal Sheet'!H57+'GF &amp; FF  Bal Sheet'!H57+'Sewer Fund  Bal Sheet'!H57</f>
        <v>102</v>
      </c>
      <c r="I57" s="608">
        <f>'Water Fund  Bal Sheet'!I57+'GF &amp; FF  Bal Sheet'!I57+'Sewer Fund  Bal Sheet'!I57</f>
        <v>102</v>
      </c>
      <c r="J57" s="608">
        <f>'Water Fund  Bal Sheet'!J57+'GF &amp; FF  Bal Sheet'!J57+'Sewer Fund  Bal Sheet'!J57</f>
        <v>102</v>
      </c>
      <c r="K57" s="608">
        <f>'Water Fund  Bal Sheet'!K57+'GF &amp; FF  Bal Sheet'!K57+'Sewer Fund  Bal Sheet'!K57</f>
        <v>102</v>
      </c>
      <c r="L57" s="608">
        <f>'Water Fund  Bal Sheet'!L57+'GF &amp; FF  Bal Sheet'!L57+'Sewer Fund  Bal Sheet'!L57</f>
        <v>102</v>
      </c>
      <c r="M57" s="608">
        <f>'Water Fund  Bal Sheet'!M57+'GF &amp; FF  Bal Sheet'!M57+'Sewer Fund  Bal Sheet'!M57</f>
        <v>102</v>
      </c>
      <c r="N57" s="608">
        <f>'Water Fund  Bal Sheet'!N57+'GF &amp; FF  Bal Sheet'!N57+'Sewer Fund  Bal Sheet'!N57</f>
        <v>102</v>
      </c>
      <c r="O57" s="608">
        <f>'Water Fund  Bal Sheet'!O57+'GF &amp; FF  Bal Sheet'!O57+'Sewer Fund  Bal Sheet'!O57</f>
        <v>102</v>
      </c>
      <c r="P57" s="608">
        <f>'Water Fund  Bal Sheet'!P57+'GF &amp; FF  Bal Sheet'!P57+'Sewer Fund  Bal Sheet'!P57</f>
        <v>102</v>
      </c>
    </row>
    <row r="58" spans="1:16" s="657" customFormat="1" ht="11.25" x14ac:dyDescent="0.2">
      <c r="A58" s="654" t="s">
        <v>42</v>
      </c>
      <c r="B58" s="656">
        <f>SUM(B53:B57)</f>
        <v>0</v>
      </c>
      <c r="C58" s="656">
        <f t="shared" ref="C58:E58" si="16">SUM(C53:C57)</f>
        <v>0</v>
      </c>
      <c r="D58" s="656">
        <f t="shared" si="16"/>
        <v>24062</v>
      </c>
      <c r="E58" s="656">
        <f t="shared" si="16"/>
        <v>21841</v>
      </c>
      <c r="F58" s="656">
        <f t="shared" ref="F58:P58" si="17">SUM(F53:F57)</f>
        <v>21458.944000000007</v>
      </c>
      <c r="G58" s="656">
        <f t="shared" si="17"/>
        <v>23087.095000000001</v>
      </c>
      <c r="H58" s="656">
        <f t="shared" si="17"/>
        <v>19058.756209999992</v>
      </c>
      <c r="I58" s="656">
        <f t="shared" si="17"/>
        <v>21293.674830299991</v>
      </c>
      <c r="J58" s="656">
        <f t="shared" si="17"/>
        <v>22467.261518058993</v>
      </c>
      <c r="K58" s="656">
        <f t="shared" si="17"/>
        <v>24258.504481071162</v>
      </c>
      <c r="L58" s="656">
        <f t="shared" si="17"/>
        <v>25266.63702309462</v>
      </c>
      <c r="M58" s="656">
        <f t="shared" si="17"/>
        <v>25468.681050819268</v>
      </c>
      <c r="N58" s="656">
        <f t="shared" si="17"/>
        <v>26533.446996931118</v>
      </c>
      <c r="O58" s="656">
        <f t="shared" si="17"/>
        <v>27691.291579389697</v>
      </c>
      <c r="P58" s="656">
        <f t="shared" si="17"/>
        <v>28949.547097434006</v>
      </c>
    </row>
    <row r="59" spans="1:16" ht="11.25" x14ac:dyDescent="0.2">
      <c r="B59" s="608"/>
      <c r="C59" s="608"/>
      <c r="D59" s="608"/>
      <c r="E59" s="608"/>
      <c r="F59" s="608"/>
      <c r="G59" s="608"/>
      <c r="H59" s="608"/>
      <c r="I59" s="608"/>
      <c r="J59" s="608"/>
      <c r="K59" s="608"/>
      <c r="L59" s="608"/>
      <c r="M59" s="608"/>
      <c r="N59" s="608"/>
      <c r="O59" s="608"/>
      <c r="P59" s="608"/>
    </row>
    <row r="60" spans="1:16" ht="11.25" x14ac:dyDescent="0.2">
      <c r="A60" s="654" t="s">
        <v>43</v>
      </c>
      <c r="B60" s="608"/>
      <c r="C60" s="608"/>
      <c r="D60" s="608"/>
      <c r="E60" s="608"/>
      <c r="F60" s="608"/>
      <c r="G60" s="608"/>
      <c r="H60" s="608"/>
      <c r="I60" s="608"/>
      <c r="J60" s="608"/>
      <c r="K60" s="608"/>
      <c r="L60" s="608"/>
      <c r="M60" s="608"/>
      <c r="N60" s="608"/>
      <c r="O60" s="608"/>
      <c r="P60" s="608"/>
    </row>
    <row r="61" spans="1:16" ht="11.25" x14ac:dyDescent="0.2">
      <c r="A61" s="608" t="str">
        <f>A15</f>
        <v>Investments</v>
      </c>
      <c r="B61" s="608"/>
      <c r="C61" s="608"/>
      <c r="D61" s="608">
        <f>D15</f>
        <v>38964</v>
      </c>
      <c r="E61" s="608">
        <f>'Water Fund  Bal Sheet'!E61+'GF &amp; FF  Bal Sheet'!E61+'Sewer Fund  Bal Sheet'!E61</f>
        <v>38919</v>
      </c>
      <c r="F61" s="608">
        <f>'Water Fund  Bal Sheet'!F61+'GF &amp; FF  Bal Sheet'!F61+'Sewer Fund  Bal Sheet'!F61</f>
        <v>33292.331999999995</v>
      </c>
      <c r="G61" s="608">
        <f>'Water Fund  Bal Sheet'!G61+'GF &amp; FF  Bal Sheet'!G61+'Sewer Fund  Bal Sheet'!G61</f>
        <v>31240.069999999996</v>
      </c>
      <c r="H61" s="608">
        <f>'Water Fund  Bal Sheet'!H61+'GF &amp; FF  Bal Sheet'!H61+'Sewer Fund  Bal Sheet'!H61</f>
        <v>26088.204999999994</v>
      </c>
      <c r="I61" s="608">
        <f>'Water Fund  Bal Sheet'!I61+'GF &amp; FF  Bal Sheet'!I61+'Sewer Fund  Bal Sheet'!I61</f>
        <v>24152.592999999997</v>
      </c>
      <c r="J61" s="608">
        <f>'Water Fund  Bal Sheet'!J61+'GF &amp; FF  Bal Sheet'!J61+'Sewer Fund  Bal Sheet'!J61</f>
        <v>23186.503999999997</v>
      </c>
      <c r="K61" s="608">
        <f>'Water Fund  Bal Sheet'!K61+'GF &amp; FF  Bal Sheet'!K61+'Sewer Fund  Bal Sheet'!K61</f>
        <v>22201.093219999999</v>
      </c>
      <c r="L61" s="608">
        <f>'Water Fund  Bal Sheet'!L61+'GF &amp; FF  Bal Sheet'!L61+'Sewer Fund  Bal Sheet'!L61</f>
        <v>21195.974224399997</v>
      </c>
      <c r="M61" s="608">
        <f>'Water Fund  Bal Sheet'!M61+'GF &amp; FF  Bal Sheet'!M61+'Sewer Fund  Bal Sheet'!M61</f>
        <v>20170.752848887998</v>
      </c>
      <c r="N61" s="608">
        <f>'Water Fund  Bal Sheet'!N61+'GF &amp; FF  Bal Sheet'!N61+'Sewer Fund  Bal Sheet'!N61</f>
        <v>19125.027045865761</v>
      </c>
      <c r="O61" s="608">
        <f>'Water Fund  Bal Sheet'!O61+'GF &amp; FF  Bal Sheet'!O61+'Sewer Fund  Bal Sheet'!O61</f>
        <v>18058.386726783072</v>
      </c>
      <c r="P61" s="608">
        <f>'Water Fund  Bal Sheet'!P61+'GF &amp; FF  Bal Sheet'!P61+'Sewer Fund  Bal Sheet'!P61</f>
        <v>16970.413601318738</v>
      </c>
    </row>
    <row r="62" spans="1:16" ht="11.25" x14ac:dyDescent="0.2">
      <c r="A62" s="760" t="s">
        <v>44</v>
      </c>
      <c r="B62" s="608"/>
      <c r="C62" s="608"/>
      <c r="D62" s="608">
        <f>D16</f>
        <v>550049</v>
      </c>
      <c r="E62" s="608">
        <f>'Water Fund  Bal Sheet'!E62+'GF &amp; FF  Bal Sheet'!E62+'Sewer Fund  Bal Sheet'!E62</f>
        <v>569080</v>
      </c>
      <c r="F62" s="608">
        <f>'Water Fund  Bal Sheet'!F62+'GF &amp; FF  Bal Sheet'!F62+'Sewer Fund  Bal Sheet'!F62</f>
        <v>598528.43699999992</v>
      </c>
      <c r="G62" s="608">
        <f>'Water Fund  Bal Sheet'!G62+'GF &amp; FF  Bal Sheet'!G62+'Sewer Fund  Bal Sheet'!G62</f>
        <v>629270.68399999989</v>
      </c>
      <c r="H62" s="608">
        <f>'Water Fund  Bal Sheet'!H62+'GF &amp; FF  Bal Sheet'!H62+'Sewer Fund  Bal Sheet'!H62</f>
        <v>653245.59179999994</v>
      </c>
      <c r="I62" s="608">
        <f>'Water Fund  Bal Sheet'!I62+'GF &amp; FF  Bal Sheet'!I62+'Sewer Fund  Bal Sheet'!I62</f>
        <v>671694.23319499986</v>
      </c>
      <c r="J62" s="608">
        <f>'Water Fund  Bal Sheet'!J62+'GF &amp; FF  Bal Sheet'!J62+'Sewer Fund  Bal Sheet'!J62</f>
        <v>674516.58559987496</v>
      </c>
      <c r="K62" s="608">
        <f>'Water Fund  Bal Sheet'!K62+'GF &amp; FF  Bal Sheet'!K62+'Sewer Fund  Bal Sheet'!K62</f>
        <v>676561.89721487183</v>
      </c>
      <c r="L62" s="608">
        <f>'Water Fund  Bal Sheet'!L62+'GF &amp; FF  Bal Sheet'!L62+'Sewer Fund  Bal Sheet'!L62</f>
        <v>679510.58152024366</v>
      </c>
      <c r="M62" s="608">
        <f>'Water Fund  Bal Sheet'!M62+'GF &amp; FF  Bal Sheet'!M62+'Sewer Fund  Bal Sheet'!M62</f>
        <v>683672.54812324978</v>
      </c>
      <c r="N62" s="608">
        <f>'Water Fund  Bal Sheet'!N62+'GF &amp; FF  Bal Sheet'!N62+'Sewer Fund  Bal Sheet'!N62</f>
        <v>687455.57187713101</v>
      </c>
      <c r="O62" s="608">
        <f>'Water Fund  Bal Sheet'!O62+'GF &amp; FF  Bal Sheet'!O62+'Sewer Fund  Bal Sheet'!O62</f>
        <v>691244.28936237528</v>
      </c>
      <c r="P62" s="608">
        <f>'Water Fund  Bal Sheet'!P62+'GF &amp; FF  Bal Sheet'!P62+'Sewer Fund  Bal Sheet'!P62</f>
        <v>695033.19527701708</v>
      </c>
    </row>
    <row r="63" spans="1:16" ht="22.5" x14ac:dyDescent="0.2">
      <c r="A63" s="608" t="str">
        <f t="shared" ref="A63:A64" si="18">A17</f>
        <v>Investments accounted for using the equity method</v>
      </c>
      <c r="B63" s="608"/>
      <c r="C63" s="608"/>
      <c r="D63" s="608">
        <f t="shared" ref="D63:D64" si="19">D17</f>
        <v>89</v>
      </c>
      <c r="E63" s="608">
        <f>'Water Fund  Bal Sheet'!E63+'GF &amp; FF  Bal Sheet'!E63+'Sewer Fund  Bal Sheet'!E63</f>
        <v>91</v>
      </c>
      <c r="F63" s="608">
        <f>'Water Fund  Bal Sheet'!F63+'GF &amp; FF  Bal Sheet'!F63+'Sewer Fund  Bal Sheet'!F63</f>
        <v>91</v>
      </c>
      <c r="G63" s="608">
        <f>'Water Fund  Bal Sheet'!G63+'GF &amp; FF  Bal Sheet'!G63+'Sewer Fund  Bal Sheet'!G63</f>
        <v>91</v>
      </c>
      <c r="H63" s="608">
        <f>'Water Fund  Bal Sheet'!H63+'GF &amp; FF  Bal Sheet'!H63+'Sewer Fund  Bal Sheet'!H63</f>
        <v>91</v>
      </c>
      <c r="I63" s="608">
        <f>'Water Fund  Bal Sheet'!I63+'GF &amp; FF  Bal Sheet'!I63+'Sewer Fund  Bal Sheet'!I63</f>
        <v>91</v>
      </c>
      <c r="J63" s="608">
        <f>'Water Fund  Bal Sheet'!J63+'GF &amp; FF  Bal Sheet'!J63+'Sewer Fund  Bal Sheet'!J63</f>
        <v>91</v>
      </c>
      <c r="K63" s="608">
        <f>'Water Fund  Bal Sheet'!K63+'GF &amp; FF  Bal Sheet'!K63+'Sewer Fund  Bal Sheet'!K63</f>
        <v>91</v>
      </c>
      <c r="L63" s="608">
        <f>'Water Fund  Bal Sheet'!L63+'GF &amp; FF  Bal Sheet'!L63+'Sewer Fund  Bal Sheet'!L63</f>
        <v>91</v>
      </c>
      <c r="M63" s="608">
        <f>'Water Fund  Bal Sheet'!M63+'GF &amp; FF  Bal Sheet'!M63+'Sewer Fund  Bal Sheet'!M63</f>
        <v>91</v>
      </c>
      <c r="N63" s="608">
        <f>'Water Fund  Bal Sheet'!N63+'GF &amp; FF  Bal Sheet'!N63+'Sewer Fund  Bal Sheet'!N63</f>
        <v>91</v>
      </c>
      <c r="O63" s="608">
        <f>'Water Fund  Bal Sheet'!O63+'GF &amp; FF  Bal Sheet'!O63+'Sewer Fund  Bal Sheet'!O63</f>
        <v>91</v>
      </c>
      <c r="P63" s="608">
        <f>'Water Fund  Bal Sheet'!P63+'GF &amp; FF  Bal Sheet'!P63+'Sewer Fund  Bal Sheet'!P63</f>
        <v>91</v>
      </c>
    </row>
    <row r="64" spans="1:16" ht="11.25" x14ac:dyDescent="0.2">
      <c r="A64" s="608" t="str">
        <f t="shared" si="18"/>
        <v>Investment Property</v>
      </c>
      <c r="B64" s="608"/>
      <c r="C64" s="608"/>
      <c r="D64" s="608">
        <f t="shared" si="19"/>
        <v>8861</v>
      </c>
      <c r="E64" s="608">
        <f>'Water Fund  Bal Sheet'!E64+'GF &amp; FF  Bal Sheet'!E64+'Sewer Fund  Bal Sheet'!E64</f>
        <v>20675</v>
      </c>
      <c r="F64" s="608">
        <f>'Water Fund  Bal Sheet'!F64+'GF &amp; FF  Bal Sheet'!F64+'Sewer Fund  Bal Sheet'!F64</f>
        <v>20675</v>
      </c>
      <c r="G64" s="608">
        <f>'Water Fund  Bal Sheet'!G64+'GF &amp; FF  Bal Sheet'!G64+'Sewer Fund  Bal Sheet'!G64</f>
        <v>20675</v>
      </c>
      <c r="H64" s="608">
        <f>'Water Fund  Bal Sheet'!H64+'GF &amp; FF  Bal Sheet'!H64+'Sewer Fund  Bal Sheet'!H64</f>
        <v>20675</v>
      </c>
      <c r="I64" s="608">
        <f>'Water Fund  Bal Sheet'!I64+'GF &amp; FF  Bal Sheet'!I64+'Sewer Fund  Bal Sheet'!I64</f>
        <v>20675</v>
      </c>
      <c r="J64" s="608">
        <f>'Water Fund  Bal Sheet'!J64+'GF &amp; FF  Bal Sheet'!J64+'Sewer Fund  Bal Sheet'!J64</f>
        <v>20675</v>
      </c>
      <c r="K64" s="608">
        <f>'Water Fund  Bal Sheet'!K64+'GF &amp; FF  Bal Sheet'!K64+'Sewer Fund  Bal Sheet'!K64</f>
        <v>20675</v>
      </c>
      <c r="L64" s="608">
        <f>'Water Fund  Bal Sheet'!L64+'GF &amp; FF  Bal Sheet'!L64+'Sewer Fund  Bal Sheet'!L64</f>
        <v>20675</v>
      </c>
      <c r="M64" s="608">
        <f>'Water Fund  Bal Sheet'!M64+'GF &amp; FF  Bal Sheet'!M64+'Sewer Fund  Bal Sheet'!M64</f>
        <v>20675</v>
      </c>
      <c r="N64" s="608">
        <f>'Water Fund  Bal Sheet'!N64+'GF &amp; FF  Bal Sheet'!N64+'Sewer Fund  Bal Sheet'!N64</f>
        <v>20675</v>
      </c>
      <c r="O64" s="608">
        <f>'Water Fund  Bal Sheet'!O64+'GF &amp; FF  Bal Sheet'!O64+'Sewer Fund  Bal Sheet'!O64</f>
        <v>20675</v>
      </c>
      <c r="P64" s="608">
        <f>'Water Fund  Bal Sheet'!P64+'GF &amp; FF  Bal Sheet'!P64+'Sewer Fund  Bal Sheet'!P64</f>
        <v>20675</v>
      </c>
    </row>
    <row r="65" spans="1:16" s="657" customFormat="1" ht="11.25" x14ac:dyDescent="0.2">
      <c r="A65" s="761" t="s">
        <v>45</v>
      </c>
      <c r="B65" s="762">
        <f>SUM(B62)</f>
        <v>0</v>
      </c>
      <c r="C65" s="762">
        <f t="shared" ref="C65" si="20">SUM(C62)</f>
        <v>0</v>
      </c>
      <c r="D65" s="762">
        <f>SUM(D61:D64)</f>
        <v>597963</v>
      </c>
      <c r="E65" s="762">
        <f t="shared" ref="E65" si="21">SUM(E61:E64)</f>
        <v>628765</v>
      </c>
      <c r="F65" s="762">
        <f t="shared" ref="F65:P65" si="22">SUM(F61:F64)</f>
        <v>652586.76899999985</v>
      </c>
      <c r="G65" s="762">
        <f t="shared" si="22"/>
        <v>681276.75399999984</v>
      </c>
      <c r="H65" s="762">
        <f t="shared" si="22"/>
        <v>700099.79679999989</v>
      </c>
      <c r="I65" s="762">
        <f t="shared" si="22"/>
        <v>716612.82619499986</v>
      </c>
      <c r="J65" s="762">
        <f t="shared" si="22"/>
        <v>718469.08959987492</v>
      </c>
      <c r="K65" s="762">
        <f t="shared" si="22"/>
        <v>719528.99043487187</v>
      </c>
      <c r="L65" s="762">
        <f t="shared" si="22"/>
        <v>721472.55574464367</v>
      </c>
      <c r="M65" s="762">
        <f t="shared" si="22"/>
        <v>724609.30097213783</v>
      </c>
      <c r="N65" s="762">
        <f t="shared" si="22"/>
        <v>727346.59892299678</v>
      </c>
      <c r="O65" s="762">
        <f t="shared" si="22"/>
        <v>730068.6760891584</v>
      </c>
      <c r="P65" s="762">
        <f t="shared" si="22"/>
        <v>732769.6088783358</v>
      </c>
    </row>
    <row r="66" spans="1:16" ht="9" customHeight="1" x14ac:dyDescent="0.2">
      <c r="B66" s="608"/>
      <c r="C66" s="608"/>
      <c r="D66" s="608"/>
      <c r="E66" s="608"/>
      <c r="F66" s="608"/>
      <c r="G66" s="608"/>
      <c r="H66" s="608"/>
      <c r="I66" s="608"/>
      <c r="J66" s="608"/>
      <c r="K66" s="608"/>
      <c r="L66" s="608"/>
      <c r="M66" s="608"/>
      <c r="N66" s="608"/>
      <c r="O66" s="608"/>
      <c r="P66" s="608"/>
    </row>
    <row r="67" spans="1:16" s="657" customFormat="1" ht="12" thickBot="1" x14ac:dyDescent="0.25">
      <c r="A67" s="654" t="s">
        <v>46</v>
      </c>
      <c r="B67" s="665">
        <f>+B58+B65</f>
        <v>0</v>
      </c>
      <c r="C67" s="665">
        <f t="shared" ref="C67:E67" si="23">+C58+C65</f>
        <v>0</v>
      </c>
      <c r="D67" s="665">
        <f t="shared" si="23"/>
        <v>622025</v>
      </c>
      <c r="E67" s="665">
        <f t="shared" si="23"/>
        <v>650606</v>
      </c>
      <c r="F67" s="665">
        <f t="shared" ref="F67:P67" si="24">+F58+F65</f>
        <v>674045.71299999987</v>
      </c>
      <c r="G67" s="665">
        <f t="shared" si="24"/>
        <v>704363.84899999981</v>
      </c>
      <c r="H67" s="665">
        <f t="shared" si="24"/>
        <v>719158.55300999992</v>
      </c>
      <c r="I67" s="665">
        <f t="shared" si="24"/>
        <v>737906.50102529989</v>
      </c>
      <c r="J67" s="665">
        <f t="shared" si="24"/>
        <v>740936.35111793387</v>
      </c>
      <c r="K67" s="665">
        <f t="shared" si="24"/>
        <v>743787.49491594301</v>
      </c>
      <c r="L67" s="665">
        <f t="shared" si="24"/>
        <v>746739.19276773825</v>
      </c>
      <c r="M67" s="665">
        <f t="shared" si="24"/>
        <v>750077.98202295706</v>
      </c>
      <c r="N67" s="665">
        <f t="shared" si="24"/>
        <v>753880.04591992788</v>
      </c>
      <c r="O67" s="665">
        <f t="shared" si="24"/>
        <v>757759.96766854811</v>
      </c>
      <c r="P67" s="665">
        <f t="shared" si="24"/>
        <v>761719.15597576986</v>
      </c>
    </row>
    <row r="68" spans="1:16" ht="11.25" x14ac:dyDescent="0.2">
      <c r="B68" s="608"/>
      <c r="C68" s="608"/>
      <c r="D68" s="608"/>
      <c r="E68" s="608"/>
      <c r="F68" s="608"/>
      <c r="G68" s="608"/>
      <c r="H68" s="608"/>
      <c r="I68" s="608"/>
      <c r="J68" s="608"/>
      <c r="K68" s="608"/>
      <c r="L68" s="608"/>
      <c r="M68" s="608"/>
      <c r="N68" s="608"/>
      <c r="O68" s="608"/>
      <c r="P68" s="608"/>
    </row>
    <row r="69" spans="1:16" ht="11.25" x14ac:dyDescent="0.2">
      <c r="A69" s="654" t="s">
        <v>47</v>
      </c>
      <c r="B69" s="608"/>
      <c r="C69" s="608"/>
      <c r="D69" s="608"/>
      <c r="E69" s="608"/>
      <c r="F69" s="608"/>
      <c r="G69" s="608"/>
      <c r="H69" s="608"/>
      <c r="I69" s="608"/>
      <c r="J69" s="608"/>
      <c r="K69" s="608"/>
      <c r="L69" s="608"/>
      <c r="M69" s="608"/>
      <c r="N69" s="608"/>
      <c r="O69" s="608"/>
      <c r="P69" s="608"/>
    </row>
    <row r="70" spans="1:16" ht="11.25" x14ac:dyDescent="0.2">
      <c r="A70" s="654" t="s">
        <v>48</v>
      </c>
      <c r="B70" s="608"/>
      <c r="C70" s="608"/>
      <c r="D70" s="608"/>
      <c r="E70" s="608"/>
      <c r="F70" s="608"/>
      <c r="G70" s="608"/>
      <c r="H70" s="608"/>
      <c r="I70" s="608"/>
      <c r="J70" s="608"/>
      <c r="K70" s="608"/>
      <c r="L70" s="608"/>
      <c r="M70" s="608"/>
      <c r="N70" s="608"/>
      <c r="O70" s="608"/>
      <c r="P70" s="608"/>
    </row>
    <row r="71" spans="1:16" ht="11.25" x14ac:dyDescent="0.2">
      <c r="A71" s="666" t="s">
        <v>49</v>
      </c>
      <c r="B71" s="608"/>
      <c r="C71" s="608"/>
      <c r="D71" s="608">
        <f>D25</f>
        <v>5504</v>
      </c>
      <c r="E71" s="608">
        <f>'Water Fund  Bal Sheet'!E71+'GF &amp; FF  Bal Sheet'!E71+'Sewer Fund  Bal Sheet'!E71</f>
        <v>5529</v>
      </c>
      <c r="F71" s="608">
        <f>'Water Fund  Bal Sheet'!F71+'GF &amp; FF  Bal Sheet'!F71+'Sewer Fund  Bal Sheet'!F71</f>
        <v>5529</v>
      </c>
      <c r="G71" s="608">
        <f>'Water Fund  Bal Sheet'!G71+'GF &amp; FF  Bal Sheet'!G71+'Sewer Fund  Bal Sheet'!G71</f>
        <v>5529</v>
      </c>
      <c r="H71" s="608">
        <f>'Water Fund  Bal Sheet'!H71+'GF &amp; FF  Bal Sheet'!H71+'Sewer Fund  Bal Sheet'!H71</f>
        <v>5529</v>
      </c>
      <c r="I71" s="608">
        <f>'Water Fund  Bal Sheet'!I71+'GF &amp; FF  Bal Sheet'!I71+'Sewer Fund  Bal Sheet'!I71</f>
        <v>5529</v>
      </c>
      <c r="J71" s="608">
        <f>'Water Fund  Bal Sheet'!J71+'GF &amp; FF  Bal Sheet'!J71+'Sewer Fund  Bal Sheet'!J71</f>
        <v>5529</v>
      </c>
      <c r="K71" s="608">
        <f>'Water Fund  Bal Sheet'!K71+'GF &amp; FF  Bal Sheet'!K71+'Sewer Fund  Bal Sheet'!K71</f>
        <v>5529</v>
      </c>
      <c r="L71" s="608">
        <f>'Water Fund  Bal Sheet'!L71+'GF &amp; FF  Bal Sheet'!L71+'Sewer Fund  Bal Sheet'!L71</f>
        <v>5529</v>
      </c>
      <c r="M71" s="608">
        <f>'Water Fund  Bal Sheet'!M71+'GF &amp; FF  Bal Sheet'!M71+'Sewer Fund  Bal Sheet'!M71</f>
        <v>5529</v>
      </c>
      <c r="N71" s="608">
        <f>'Water Fund  Bal Sheet'!N71+'GF &amp; FF  Bal Sheet'!N71+'Sewer Fund  Bal Sheet'!N71</f>
        <v>5529</v>
      </c>
      <c r="O71" s="608">
        <f>'Water Fund  Bal Sheet'!O71+'GF &amp; FF  Bal Sheet'!O71+'Sewer Fund  Bal Sheet'!O71</f>
        <v>5529</v>
      </c>
      <c r="P71" s="608">
        <f>'Water Fund  Bal Sheet'!P71+'GF &amp; FF  Bal Sheet'!P71+'Sewer Fund  Bal Sheet'!P71</f>
        <v>5529</v>
      </c>
    </row>
    <row r="72" spans="1:16" ht="11.25" x14ac:dyDescent="0.2">
      <c r="A72" s="666" t="s">
        <v>1051</v>
      </c>
      <c r="B72" s="608"/>
      <c r="C72" s="608"/>
      <c r="D72" s="608">
        <f>D26</f>
        <v>2925</v>
      </c>
      <c r="E72" s="608">
        <f>'Water Fund  Bal Sheet'!E72+'GF &amp; FF  Bal Sheet'!E72+'Sewer Fund  Bal Sheet'!E72</f>
        <v>987</v>
      </c>
      <c r="F72" s="608">
        <f>'Water Fund  Bal Sheet'!F72+'GF &amp; FF  Bal Sheet'!F72+'Sewer Fund  Bal Sheet'!F72</f>
        <v>978.11200000000008</v>
      </c>
      <c r="G72" s="608">
        <f>'Water Fund  Bal Sheet'!G72+'GF &amp; FF  Bal Sheet'!G72+'Sewer Fund  Bal Sheet'!G72</f>
        <v>932.58900000000006</v>
      </c>
      <c r="H72" s="608">
        <f>'Water Fund  Bal Sheet'!H72+'GF &amp; FF  Bal Sheet'!H72+'Sewer Fund  Bal Sheet'!H72</f>
        <v>1070.8130000000001</v>
      </c>
      <c r="I72" s="608">
        <f>'Water Fund  Bal Sheet'!I72+'GF &amp; FF  Bal Sheet'!I72+'Sewer Fund  Bal Sheet'!I72</f>
        <v>1394.7049999999999</v>
      </c>
      <c r="J72" s="608">
        <f>'Water Fund  Bal Sheet'!J72+'GF &amp; FF  Bal Sheet'!J72+'Sewer Fund  Bal Sheet'!J72</f>
        <v>1437.4461199999998</v>
      </c>
      <c r="K72" s="608">
        <f>'Water Fund  Bal Sheet'!K72+'GF &amp; FF  Bal Sheet'!K72+'Sewer Fund  Bal Sheet'!K72</f>
        <v>1493.0550424</v>
      </c>
      <c r="L72" s="608">
        <f>'Water Fund  Bal Sheet'!L72+'GF &amp; FF  Bal Sheet'!L72+'Sewer Fund  Bal Sheet'!L72</f>
        <v>1228.8361432480001</v>
      </c>
      <c r="M72" s="608">
        <f>'Water Fund  Bal Sheet'!M72+'GF &amp; FF  Bal Sheet'!M72+'Sewer Fund  Bal Sheet'!M72</f>
        <v>843.08675504272003</v>
      </c>
      <c r="N72" s="608">
        <f>'Water Fund  Bal Sheet'!N72+'GF &amp; FF  Bal Sheet'!N72+'Sewer Fund  Bal Sheet'!N72</f>
        <v>877.04849014357444</v>
      </c>
      <c r="O72" s="608">
        <f>'Water Fund  Bal Sheet'!O72+'GF &amp; FF  Bal Sheet'!O72+'Sewer Fund  Bal Sheet'!O72</f>
        <v>913.04945994644595</v>
      </c>
      <c r="P72" s="608">
        <f>'Water Fund  Bal Sheet'!P72+'GF &amp; FF  Bal Sheet'!P72+'Sewer Fund  Bal Sheet'!P72</f>
        <v>0</v>
      </c>
    </row>
    <row r="73" spans="1:16" ht="11.25" x14ac:dyDescent="0.2">
      <c r="A73" s="667" t="s">
        <v>50</v>
      </c>
      <c r="B73" s="615"/>
      <c r="C73" s="608"/>
      <c r="D73" s="608">
        <f t="shared" ref="D73" si="25">D27</f>
        <v>2773</v>
      </c>
      <c r="E73" s="608">
        <f>'Water Fund  Bal Sheet'!E73+'GF &amp; FF  Bal Sheet'!E73+'Sewer Fund  Bal Sheet'!E73</f>
        <v>3185</v>
      </c>
      <c r="F73" s="608">
        <f>'Water Fund  Bal Sheet'!F73+'GF &amp; FF  Bal Sheet'!F73+'Sewer Fund  Bal Sheet'!F73</f>
        <v>3185</v>
      </c>
      <c r="G73" s="608">
        <f>'Water Fund  Bal Sheet'!G73+'GF &amp; FF  Bal Sheet'!G73+'Sewer Fund  Bal Sheet'!G73</f>
        <v>3185</v>
      </c>
      <c r="H73" s="608">
        <f>'Water Fund  Bal Sheet'!H73+'GF &amp; FF  Bal Sheet'!H73+'Sewer Fund  Bal Sheet'!H73</f>
        <v>3185</v>
      </c>
      <c r="I73" s="608">
        <f>'Water Fund  Bal Sheet'!I73+'GF &amp; FF  Bal Sheet'!I73+'Sewer Fund  Bal Sheet'!I73</f>
        <v>3185</v>
      </c>
      <c r="J73" s="608">
        <f>'Water Fund  Bal Sheet'!J73+'GF &amp; FF  Bal Sheet'!J73+'Sewer Fund  Bal Sheet'!J73</f>
        <v>3185</v>
      </c>
      <c r="K73" s="608">
        <f>'Water Fund  Bal Sheet'!K73+'GF &amp; FF  Bal Sheet'!K73+'Sewer Fund  Bal Sheet'!K73</f>
        <v>3185</v>
      </c>
      <c r="L73" s="608">
        <f>'Water Fund  Bal Sheet'!L73+'GF &amp; FF  Bal Sheet'!L73+'Sewer Fund  Bal Sheet'!L73</f>
        <v>3185</v>
      </c>
      <c r="M73" s="608">
        <f>'Water Fund  Bal Sheet'!M73+'GF &amp; FF  Bal Sheet'!M73+'Sewer Fund  Bal Sheet'!M73</f>
        <v>3185</v>
      </c>
      <c r="N73" s="608">
        <f>'Water Fund  Bal Sheet'!N73+'GF &amp; FF  Bal Sheet'!N73+'Sewer Fund  Bal Sheet'!N73</f>
        <v>3185</v>
      </c>
      <c r="O73" s="608">
        <f>'Water Fund  Bal Sheet'!O73+'GF &amp; FF  Bal Sheet'!O73+'Sewer Fund  Bal Sheet'!O73</f>
        <v>3185</v>
      </c>
      <c r="P73" s="608">
        <f>'Water Fund  Bal Sheet'!P73+'GF &amp; FF  Bal Sheet'!P73+'Sewer Fund  Bal Sheet'!P73</f>
        <v>3185</v>
      </c>
    </row>
    <row r="74" spans="1:16" s="657" customFormat="1" ht="11.25" x14ac:dyDescent="0.2">
      <c r="A74" s="654" t="s">
        <v>51</v>
      </c>
      <c r="B74" s="656">
        <f>SUM(B71:B73)</f>
        <v>0</v>
      </c>
      <c r="C74" s="656">
        <f t="shared" ref="C74:E74" si="26">SUM(C71:C73)</f>
        <v>0</v>
      </c>
      <c r="D74" s="656">
        <f t="shared" si="26"/>
        <v>11202</v>
      </c>
      <c r="E74" s="656">
        <f t="shared" si="26"/>
        <v>9701</v>
      </c>
      <c r="F74" s="656">
        <f t="shared" ref="F74:P74" si="27">SUM(F71:F73)</f>
        <v>9692.112000000001</v>
      </c>
      <c r="G74" s="656">
        <f t="shared" si="27"/>
        <v>9646.5889999999999</v>
      </c>
      <c r="H74" s="656">
        <f t="shared" si="27"/>
        <v>9784.8130000000001</v>
      </c>
      <c r="I74" s="656">
        <f t="shared" si="27"/>
        <v>10108.705</v>
      </c>
      <c r="J74" s="656">
        <f t="shared" si="27"/>
        <v>10151.446120000001</v>
      </c>
      <c r="K74" s="656">
        <f t="shared" si="27"/>
        <v>10207.055042399999</v>
      </c>
      <c r="L74" s="656">
        <f t="shared" si="27"/>
        <v>9942.8361432479996</v>
      </c>
      <c r="M74" s="656">
        <f t="shared" si="27"/>
        <v>9557.0867550427211</v>
      </c>
      <c r="N74" s="656">
        <f t="shared" si="27"/>
        <v>9591.0484901435739</v>
      </c>
      <c r="O74" s="656">
        <f t="shared" si="27"/>
        <v>9627.0494599464455</v>
      </c>
      <c r="P74" s="656">
        <f t="shared" si="27"/>
        <v>8714</v>
      </c>
    </row>
    <row r="75" spans="1:16" ht="11.25" x14ac:dyDescent="0.2">
      <c r="B75" s="608"/>
      <c r="C75" s="608"/>
      <c r="D75" s="608"/>
      <c r="E75" s="608"/>
      <c r="F75" s="608"/>
      <c r="G75" s="608"/>
      <c r="H75" s="608"/>
      <c r="I75" s="608"/>
      <c r="J75" s="608"/>
      <c r="K75" s="608"/>
      <c r="L75" s="608"/>
      <c r="M75" s="608"/>
      <c r="N75" s="608"/>
      <c r="O75" s="608"/>
      <c r="P75" s="608"/>
    </row>
    <row r="76" spans="1:16" ht="11.25" x14ac:dyDescent="0.2">
      <c r="A76" s="654" t="s">
        <v>52</v>
      </c>
      <c r="B76" s="608"/>
      <c r="C76" s="608"/>
      <c r="D76" s="608"/>
      <c r="E76" s="608"/>
      <c r="F76" s="608"/>
      <c r="G76" s="608"/>
      <c r="H76" s="608"/>
      <c r="I76" s="608"/>
      <c r="J76" s="608"/>
      <c r="K76" s="608"/>
      <c r="L76" s="608"/>
      <c r="M76" s="608"/>
      <c r="N76" s="608"/>
      <c r="O76" s="608"/>
      <c r="P76" s="608"/>
    </row>
    <row r="77" spans="1:16" ht="11.25" x14ac:dyDescent="0.2">
      <c r="A77" s="653" t="s">
        <v>49</v>
      </c>
      <c r="B77" s="608">
        <v>0</v>
      </c>
      <c r="C77" s="608">
        <v>0</v>
      </c>
      <c r="D77" s="608">
        <f>D31</f>
        <v>0</v>
      </c>
      <c r="E77" s="608">
        <f>'Water Fund  Bal Sheet'!E77+'GF &amp; FF  Bal Sheet'!E77+'Sewer Fund  Bal Sheet'!E77</f>
        <v>0</v>
      </c>
      <c r="F77" s="608">
        <f>'Water Fund  Bal Sheet'!F77+'GF &amp; FF  Bal Sheet'!F77+'Sewer Fund  Bal Sheet'!F77</f>
        <v>0</v>
      </c>
      <c r="G77" s="608">
        <f>'Water Fund  Bal Sheet'!G77+'GF &amp; FF  Bal Sheet'!G77+'Sewer Fund  Bal Sheet'!G77</f>
        <v>0</v>
      </c>
      <c r="H77" s="608">
        <f>'Water Fund  Bal Sheet'!H77+'GF &amp; FF  Bal Sheet'!H77+'Sewer Fund  Bal Sheet'!H77</f>
        <v>0</v>
      </c>
      <c r="I77" s="608">
        <f>'Water Fund  Bal Sheet'!I77+'GF &amp; FF  Bal Sheet'!I77+'Sewer Fund  Bal Sheet'!I77</f>
        <v>0</v>
      </c>
      <c r="J77" s="608">
        <f>'Water Fund  Bal Sheet'!J77+'GF &amp; FF  Bal Sheet'!J77+'Sewer Fund  Bal Sheet'!J77</f>
        <v>0</v>
      </c>
      <c r="K77" s="608">
        <f>'Water Fund  Bal Sheet'!K77+'GF &amp; FF  Bal Sheet'!K77+'Sewer Fund  Bal Sheet'!K77</f>
        <v>0</v>
      </c>
      <c r="L77" s="608">
        <f>'Water Fund  Bal Sheet'!L77+'GF &amp; FF  Bal Sheet'!L77+'Sewer Fund  Bal Sheet'!L77</f>
        <v>0</v>
      </c>
      <c r="M77" s="608">
        <f>'Water Fund  Bal Sheet'!M77+'GF &amp; FF  Bal Sheet'!M77+'Sewer Fund  Bal Sheet'!M77</f>
        <v>0</v>
      </c>
      <c r="N77" s="608">
        <f>'Water Fund  Bal Sheet'!N77+'GF &amp; FF  Bal Sheet'!N77+'Sewer Fund  Bal Sheet'!N77</f>
        <v>0</v>
      </c>
      <c r="O77" s="608">
        <f>'Water Fund  Bal Sheet'!O77+'GF &amp; FF  Bal Sheet'!O77+'Sewer Fund  Bal Sheet'!O77</f>
        <v>0</v>
      </c>
      <c r="P77" s="608">
        <f>'Water Fund  Bal Sheet'!P77+'GF &amp; FF  Bal Sheet'!P77+'Sewer Fund  Bal Sheet'!P77</f>
        <v>0</v>
      </c>
    </row>
    <row r="78" spans="1:16" ht="11.25" x14ac:dyDescent="0.2">
      <c r="A78" s="653" t="s">
        <v>1051</v>
      </c>
      <c r="B78" s="608"/>
      <c r="C78" s="608"/>
      <c r="D78" s="608">
        <f>D32</f>
        <v>13675</v>
      </c>
      <c r="E78" s="608">
        <f>'Water Fund  Bal Sheet'!E78+'GF &amp; FF  Bal Sheet'!E78+'Sewer Fund  Bal Sheet'!E78</f>
        <v>26393</v>
      </c>
      <c r="F78" s="608">
        <f>'Water Fund  Bal Sheet'!F78+'GF &amp; FF  Bal Sheet'!F78+'Sewer Fund  Bal Sheet'!F78</f>
        <v>44909.55</v>
      </c>
      <c r="G78" s="608">
        <f>'Water Fund  Bal Sheet'!G78+'GF &amp; FF  Bal Sheet'!G78+'Sewer Fund  Bal Sheet'!G78</f>
        <v>61333.142999999996</v>
      </c>
      <c r="H78" s="608">
        <f>'Water Fund  Bal Sheet'!H78+'GF &amp; FF  Bal Sheet'!H78+'Sewer Fund  Bal Sheet'!H78</f>
        <v>70762.330000000016</v>
      </c>
      <c r="I78" s="608">
        <f>'Water Fund  Bal Sheet'!I78+'GF &amp; FF  Bal Sheet'!I78+'Sewer Fund  Bal Sheet'!I78</f>
        <v>80367.625000000015</v>
      </c>
      <c r="J78" s="608">
        <f>'Water Fund  Bal Sheet'!J78+'GF &amp; FF  Bal Sheet'!J78+'Sewer Fund  Bal Sheet'!J78</f>
        <v>78930.178880000021</v>
      </c>
      <c r="K78" s="608">
        <f>'Water Fund  Bal Sheet'!K78+'GF &amp; FF  Bal Sheet'!K78+'Sewer Fund  Bal Sheet'!K78</f>
        <v>77437.123837600011</v>
      </c>
      <c r="L78" s="608">
        <f>'Water Fund  Bal Sheet'!L78+'GF &amp; FF  Bal Sheet'!L78+'Sewer Fund  Bal Sheet'!L78</f>
        <v>76208.28769435201</v>
      </c>
      <c r="M78" s="608">
        <f>'Water Fund  Bal Sheet'!M78+'GF &amp; FF  Bal Sheet'!M78+'Sewer Fund  Bal Sheet'!M78</f>
        <v>75365.200939309289</v>
      </c>
      <c r="N78" s="608">
        <f>'Water Fund  Bal Sheet'!N78+'GF &amp; FF  Bal Sheet'!N78+'Sewer Fund  Bal Sheet'!N78</f>
        <v>74488.152449165718</v>
      </c>
      <c r="O78" s="608">
        <f>'Water Fund  Bal Sheet'!O78+'GF &amp; FF  Bal Sheet'!O78+'Sewer Fund  Bal Sheet'!O78</f>
        <v>73575.102989219275</v>
      </c>
      <c r="P78" s="608">
        <f>'Water Fund  Bal Sheet'!P78+'GF &amp; FF  Bal Sheet'!P78+'Sewer Fund  Bal Sheet'!P78</f>
        <v>73575.102989219275</v>
      </c>
    </row>
    <row r="79" spans="1:16" ht="11.25" x14ac:dyDescent="0.2">
      <c r="A79" s="655" t="s">
        <v>50</v>
      </c>
      <c r="B79" s="615"/>
      <c r="C79" s="608"/>
      <c r="D79" s="608">
        <f t="shared" ref="D79" si="28">D33</f>
        <v>5056</v>
      </c>
      <c r="E79" s="608">
        <f>'Water Fund  Bal Sheet'!E79+'GF &amp; FF  Bal Sheet'!E79+'Sewer Fund  Bal Sheet'!E79</f>
        <v>5284</v>
      </c>
      <c r="F79" s="608">
        <f>'Water Fund  Bal Sheet'!F79+'GF &amp; FF  Bal Sheet'!F79+'Sewer Fund  Bal Sheet'!F79</f>
        <v>5284</v>
      </c>
      <c r="G79" s="608">
        <f>'Water Fund  Bal Sheet'!G79+'GF &amp; FF  Bal Sheet'!G79+'Sewer Fund  Bal Sheet'!G79</f>
        <v>5284</v>
      </c>
      <c r="H79" s="608">
        <f>'Water Fund  Bal Sheet'!H79+'GF &amp; FF  Bal Sheet'!H79+'Sewer Fund  Bal Sheet'!H79</f>
        <v>5284</v>
      </c>
      <c r="I79" s="608">
        <f>'Water Fund  Bal Sheet'!I79+'GF &amp; FF  Bal Sheet'!I79+'Sewer Fund  Bal Sheet'!I79</f>
        <v>5284</v>
      </c>
      <c r="J79" s="608">
        <f>'Water Fund  Bal Sheet'!J79+'GF &amp; FF  Bal Sheet'!J79+'Sewer Fund  Bal Sheet'!J79</f>
        <v>5284</v>
      </c>
      <c r="K79" s="608">
        <f>'Water Fund  Bal Sheet'!K79+'GF &amp; FF  Bal Sheet'!K79+'Sewer Fund  Bal Sheet'!K79</f>
        <v>5284</v>
      </c>
      <c r="L79" s="608">
        <f>'Water Fund  Bal Sheet'!L79+'GF &amp; FF  Bal Sheet'!L79+'Sewer Fund  Bal Sheet'!L79</f>
        <v>5284</v>
      </c>
      <c r="M79" s="608">
        <f>'Water Fund  Bal Sheet'!M79+'GF &amp; FF  Bal Sheet'!M79+'Sewer Fund  Bal Sheet'!M79</f>
        <v>5284</v>
      </c>
      <c r="N79" s="608">
        <f>'Water Fund  Bal Sheet'!N79+'GF &amp; FF  Bal Sheet'!N79+'Sewer Fund  Bal Sheet'!N79</f>
        <v>5284</v>
      </c>
      <c r="O79" s="608">
        <f>'Water Fund  Bal Sheet'!O79+'GF &amp; FF  Bal Sheet'!O79+'Sewer Fund  Bal Sheet'!O79</f>
        <v>5284</v>
      </c>
      <c r="P79" s="608">
        <f>'Water Fund  Bal Sheet'!P79+'GF &amp; FF  Bal Sheet'!P79+'Sewer Fund  Bal Sheet'!P79</f>
        <v>5284</v>
      </c>
    </row>
    <row r="80" spans="1:16" s="657" customFormat="1" ht="11.25" x14ac:dyDescent="0.2">
      <c r="A80" s="654" t="s">
        <v>53</v>
      </c>
      <c r="B80" s="656">
        <f>SUM(B77:B79)</f>
        <v>0</v>
      </c>
      <c r="C80" s="656">
        <f t="shared" ref="C80:E80" si="29">SUM(C77:C79)</f>
        <v>0</v>
      </c>
      <c r="D80" s="656">
        <f t="shared" si="29"/>
        <v>18731</v>
      </c>
      <c r="E80" s="656">
        <f t="shared" si="29"/>
        <v>31677</v>
      </c>
      <c r="F80" s="656">
        <f t="shared" ref="F80:P80" si="30">SUM(F77:F79)</f>
        <v>50193.55</v>
      </c>
      <c r="G80" s="656">
        <f t="shared" si="30"/>
        <v>66617.142999999996</v>
      </c>
      <c r="H80" s="656">
        <f t="shared" si="30"/>
        <v>76046.330000000016</v>
      </c>
      <c r="I80" s="656">
        <f t="shared" si="30"/>
        <v>85651.625000000015</v>
      </c>
      <c r="J80" s="656">
        <f t="shared" si="30"/>
        <v>84214.178880000021</v>
      </c>
      <c r="K80" s="656">
        <f t="shared" si="30"/>
        <v>82721.123837600011</v>
      </c>
      <c r="L80" s="656">
        <f t="shared" si="30"/>
        <v>81492.28769435201</v>
      </c>
      <c r="M80" s="656">
        <f t="shared" si="30"/>
        <v>80649.200939309289</v>
      </c>
      <c r="N80" s="656">
        <f t="shared" si="30"/>
        <v>79772.152449165718</v>
      </c>
      <c r="O80" s="656">
        <f t="shared" si="30"/>
        <v>78859.102989219275</v>
      </c>
      <c r="P80" s="656">
        <f t="shared" si="30"/>
        <v>78859.102989219275</v>
      </c>
    </row>
    <row r="81" spans="1:16" ht="9" customHeight="1" x14ac:dyDescent="0.2">
      <c r="B81" s="608"/>
      <c r="C81" s="608"/>
      <c r="D81" s="608"/>
      <c r="E81" s="608"/>
      <c r="F81" s="608"/>
      <c r="G81" s="608"/>
      <c r="H81" s="608"/>
      <c r="I81" s="608"/>
      <c r="J81" s="608"/>
      <c r="K81" s="608"/>
      <c r="L81" s="608"/>
      <c r="M81" s="608"/>
      <c r="N81" s="608"/>
      <c r="O81" s="608"/>
      <c r="P81" s="608"/>
    </row>
    <row r="82" spans="1:16" s="657" customFormat="1" ht="12" thickBot="1" x14ac:dyDescent="0.25">
      <c r="A82" s="654" t="s">
        <v>54</v>
      </c>
      <c r="B82" s="665">
        <f>+B74+B80</f>
        <v>0</v>
      </c>
      <c r="C82" s="665">
        <f t="shared" ref="C82:E82" si="31">+C74+C80</f>
        <v>0</v>
      </c>
      <c r="D82" s="665">
        <f t="shared" si="31"/>
        <v>29933</v>
      </c>
      <c r="E82" s="665">
        <f t="shared" si="31"/>
        <v>41378</v>
      </c>
      <c r="F82" s="665">
        <f t="shared" ref="F82:P82" si="32">+F74+F80</f>
        <v>59885.662000000004</v>
      </c>
      <c r="G82" s="665">
        <f t="shared" si="32"/>
        <v>76263.731999999989</v>
      </c>
      <c r="H82" s="665">
        <f t="shared" si="32"/>
        <v>85831.143000000011</v>
      </c>
      <c r="I82" s="665">
        <f t="shared" si="32"/>
        <v>95760.330000000016</v>
      </c>
      <c r="J82" s="665">
        <f t="shared" si="32"/>
        <v>94365.625000000029</v>
      </c>
      <c r="K82" s="665">
        <f t="shared" si="32"/>
        <v>92928.178880000007</v>
      </c>
      <c r="L82" s="665">
        <f t="shared" si="32"/>
        <v>91435.123837600011</v>
      </c>
      <c r="M82" s="665">
        <f t="shared" si="32"/>
        <v>90206.28769435201</v>
      </c>
      <c r="N82" s="665">
        <f t="shared" si="32"/>
        <v>89363.200939309289</v>
      </c>
      <c r="O82" s="665">
        <f t="shared" si="32"/>
        <v>88486.152449165718</v>
      </c>
      <c r="P82" s="665">
        <f t="shared" si="32"/>
        <v>87573.102989219275</v>
      </c>
    </row>
    <row r="83" spans="1:16" s="657" customFormat="1" ht="12" thickBot="1" x14ac:dyDescent="0.25">
      <c r="A83" s="654" t="s">
        <v>55</v>
      </c>
      <c r="B83" s="668">
        <f>+B67-B82</f>
        <v>0</v>
      </c>
      <c r="C83" s="668">
        <f t="shared" ref="C83:E83" si="33">+C67-C82</f>
        <v>0</v>
      </c>
      <c r="D83" s="668">
        <f t="shared" si="33"/>
        <v>592092</v>
      </c>
      <c r="E83" s="668">
        <f t="shared" si="33"/>
        <v>609228</v>
      </c>
      <c r="F83" s="668">
        <f t="shared" ref="F83:P83" si="34">+F67-F82</f>
        <v>614160.05099999986</v>
      </c>
      <c r="G83" s="668">
        <f t="shared" si="34"/>
        <v>628100.11699999985</v>
      </c>
      <c r="H83" s="668">
        <f t="shared" si="34"/>
        <v>633327.41000999988</v>
      </c>
      <c r="I83" s="668">
        <f t="shared" si="34"/>
        <v>642146.17102529993</v>
      </c>
      <c r="J83" s="668">
        <f t="shared" si="34"/>
        <v>646570.72611793387</v>
      </c>
      <c r="K83" s="668">
        <f t="shared" si="34"/>
        <v>650859.31603594299</v>
      </c>
      <c r="L83" s="668">
        <f t="shared" si="34"/>
        <v>655304.06893013825</v>
      </c>
      <c r="M83" s="668">
        <f t="shared" si="34"/>
        <v>659871.69432860508</v>
      </c>
      <c r="N83" s="668">
        <f t="shared" si="34"/>
        <v>664516.84498061857</v>
      </c>
      <c r="O83" s="668">
        <f t="shared" si="34"/>
        <v>669273.81521938241</v>
      </c>
      <c r="P83" s="668">
        <f t="shared" si="34"/>
        <v>674146.05298655061</v>
      </c>
    </row>
    <row r="84" spans="1:16" ht="12" thickTop="1" x14ac:dyDescent="0.2">
      <c r="B84" s="608"/>
      <c r="C84" s="608"/>
      <c r="D84" s="608"/>
      <c r="E84" s="608"/>
      <c r="F84" s="608"/>
      <c r="G84" s="608"/>
      <c r="H84" s="608"/>
      <c r="I84" s="608"/>
      <c r="J84" s="608"/>
      <c r="K84" s="608"/>
      <c r="L84" s="608"/>
      <c r="M84" s="608"/>
      <c r="N84" s="608"/>
      <c r="O84" s="608"/>
      <c r="P84" s="608"/>
    </row>
    <row r="85" spans="1:16" ht="11.25" x14ac:dyDescent="0.2">
      <c r="A85" s="654" t="s">
        <v>56</v>
      </c>
      <c r="B85" s="608"/>
      <c r="C85" s="608"/>
      <c r="D85" s="608"/>
      <c r="E85" s="608"/>
      <c r="F85" s="608"/>
      <c r="G85" s="608"/>
      <c r="H85" s="608"/>
      <c r="I85" s="608"/>
      <c r="J85" s="608"/>
      <c r="K85" s="608"/>
      <c r="L85" s="608"/>
      <c r="M85" s="608"/>
      <c r="N85" s="608"/>
      <c r="O85" s="608"/>
      <c r="P85" s="608"/>
    </row>
    <row r="86" spans="1:16" ht="11.25" x14ac:dyDescent="0.2">
      <c r="A86" s="653" t="s">
        <v>57</v>
      </c>
      <c r="B86" s="608"/>
      <c r="C86" s="608"/>
      <c r="D86" s="608">
        <f>D40</f>
        <v>291432</v>
      </c>
      <c r="E86" s="608">
        <f>'Water Fund  Bal Sheet'!E86+'GF &amp; FF  Bal Sheet'!E86+'Sewer Fund  Bal Sheet'!E86</f>
        <v>306238</v>
      </c>
      <c r="F86" s="608">
        <f>'Water Fund  Bal Sheet'!F86+'GF &amp; FF  Bal Sheet'!F86+'Sewer Fund  Bal Sheet'!F86</f>
        <v>311170.05100000004</v>
      </c>
      <c r="G86" s="608">
        <f>'Water Fund  Bal Sheet'!G86+'GF &amp; FF  Bal Sheet'!G86+'Sewer Fund  Bal Sheet'!G86</f>
        <v>325110.11700000003</v>
      </c>
      <c r="H86" s="608">
        <f>'Water Fund  Bal Sheet'!H86+'GF &amp; FF  Bal Sheet'!H86+'Sewer Fund  Bal Sheet'!H86</f>
        <v>330337.41000999999</v>
      </c>
      <c r="I86" s="608">
        <f>'Water Fund  Bal Sheet'!I86+'GF &amp; FF  Bal Sheet'!I86+'Sewer Fund  Bal Sheet'!I86</f>
        <v>339156.17102530005</v>
      </c>
      <c r="J86" s="608">
        <f>'Water Fund  Bal Sheet'!J86+'GF &amp; FF  Bal Sheet'!J86+'Sewer Fund  Bal Sheet'!J86</f>
        <v>343580.72611793398</v>
      </c>
      <c r="K86" s="608">
        <f>'Water Fund  Bal Sheet'!K86+'GF &amp; FF  Bal Sheet'!K86+'Sewer Fund  Bal Sheet'!K86</f>
        <v>347869.31603594311</v>
      </c>
      <c r="L86" s="608">
        <f>'Water Fund  Bal Sheet'!L86+'GF &amp; FF  Bal Sheet'!L86+'Sewer Fund  Bal Sheet'!L86</f>
        <v>352314.06893013831</v>
      </c>
      <c r="M86" s="608">
        <f>'Water Fund  Bal Sheet'!M86+'GF &amp; FF  Bal Sheet'!M86+'Sewer Fund  Bal Sheet'!M86</f>
        <v>356881.69432860508</v>
      </c>
      <c r="N86" s="608">
        <f>'Water Fund  Bal Sheet'!N86+'GF &amp; FF  Bal Sheet'!N86+'Sewer Fund  Bal Sheet'!N86</f>
        <v>361526.84498061863</v>
      </c>
      <c r="O86" s="608">
        <f>'Water Fund  Bal Sheet'!O86+'GF &amp; FF  Bal Sheet'!O86+'Sewer Fund  Bal Sheet'!O86</f>
        <v>366283.81521938241</v>
      </c>
      <c r="P86" s="608">
        <f>'Water Fund  Bal Sheet'!P86+'GF &amp; FF  Bal Sheet'!P86+'Sewer Fund  Bal Sheet'!P86</f>
        <v>371156.05298655049</v>
      </c>
    </row>
    <row r="87" spans="1:16" ht="12" thickBot="1" x14ac:dyDescent="0.25">
      <c r="A87" s="653" t="s">
        <v>58</v>
      </c>
      <c r="B87" s="669"/>
      <c r="C87" s="669"/>
      <c r="D87" s="608">
        <f>D41</f>
        <v>300660</v>
      </c>
      <c r="E87" s="608">
        <f>'Water Fund  Bal Sheet'!E87+'GF &amp; FF  Bal Sheet'!E87+'Sewer Fund  Bal Sheet'!E87</f>
        <v>302990</v>
      </c>
      <c r="F87" s="608">
        <f>'Water Fund  Bal Sheet'!F87+'GF &amp; FF  Bal Sheet'!F87+'Sewer Fund  Bal Sheet'!F87</f>
        <v>302990</v>
      </c>
      <c r="G87" s="608">
        <f>'Water Fund  Bal Sheet'!G87+'GF &amp; FF  Bal Sheet'!G87+'Sewer Fund  Bal Sheet'!G87</f>
        <v>302990</v>
      </c>
      <c r="H87" s="608">
        <f>'Water Fund  Bal Sheet'!H87+'GF &amp; FF  Bal Sheet'!H87+'Sewer Fund  Bal Sheet'!H87</f>
        <v>302990</v>
      </c>
      <c r="I87" s="608">
        <f>'Water Fund  Bal Sheet'!I87+'GF &amp; FF  Bal Sheet'!I87+'Sewer Fund  Bal Sheet'!I87</f>
        <v>302990</v>
      </c>
      <c r="J87" s="608">
        <f>'Water Fund  Bal Sheet'!J87+'GF &amp; FF  Bal Sheet'!J87+'Sewer Fund  Bal Sheet'!J87</f>
        <v>302990</v>
      </c>
      <c r="K87" s="608">
        <f>'Water Fund  Bal Sheet'!K87+'GF &amp; FF  Bal Sheet'!K87+'Sewer Fund  Bal Sheet'!K87</f>
        <v>302990</v>
      </c>
      <c r="L87" s="608">
        <f>'Water Fund  Bal Sheet'!L87+'GF &amp; FF  Bal Sheet'!L87+'Sewer Fund  Bal Sheet'!L87</f>
        <v>302990</v>
      </c>
      <c r="M87" s="608">
        <f>'Water Fund  Bal Sheet'!M87+'GF &amp; FF  Bal Sheet'!M87+'Sewer Fund  Bal Sheet'!M87</f>
        <v>302990</v>
      </c>
      <c r="N87" s="608">
        <f>'Water Fund  Bal Sheet'!N87+'GF &amp; FF  Bal Sheet'!N87+'Sewer Fund  Bal Sheet'!N87</f>
        <v>302990</v>
      </c>
      <c r="O87" s="608">
        <f>'Water Fund  Bal Sheet'!O87+'GF &amp; FF  Bal Sheet'!O87+'Sewer Fund  Bal Sheet'!O87</f>
        <v>302990</v>
      </c>
      <c r="P87" s="608">
        <f>'Water Fund  Bal Sheet'!P87+'GF &amp; FF  Bal Sheet'!P87+'Sewer Fund  Bal Sheet'!P87</f>
        <v>302990</v>
      </c>
    </row>
    <row r="88" spans="1:16" s="657" customFormat="1" ht="12" thickBot="1" x14ac:dyDescent="0.25">
      <c r="A88" s="654" t="s">
        <v>59</v>
      </c>
      <c r="B88" s="668">
        <f>SUM(B86:B87)</f>
        <v>0</v>
      </c>
      <c r="C88" s="668">
        <f t="shared" ref="C88:E88" si="35">SUM(C86:C87)</f>
        <v>0</v>
      </c>
      <c r="D88" s="668">
        <f t="shared" si="35"/>
        <v>592092</v>
      </c>
      <c r="E88" s="668">
        <f t="shared" si="35"/>
        <v>609228</v>
      </c>
      <c r="F88" s="668">
        <f t="shared" ref="F88:P88" si="36">SUM(F86:F87)</f>
        <v>614160.05099999998</v>
      </c>
      <c r="G88" s="668">
        <f t="shared" si="36"/>
        <v>628100.11700000009</v>
      </c>
      <c r="H88" s="668">
        <f t="shared" si="36"/>
        <v>633327.41000999999</v>
      </c>
      <c r="I88" s="668">
        <f t="shared" si="36"/>
        <v>642146.17102530005</v>
      </c>
      <c r="J88" s="668">
        <f t="shared" si="36"/>
        <v>646570.72611793398</v>
      </c>
      <c r="K88" s="668">
        <f t="shared" si="36"/>
        <v>650859.31603594311</v>
      </c>
      <c r="L88" s="668">
        <f t="shared" si="36"/>
        <v>655304.06893013837</v>
      </c>
      <c r="M88" s="668">
        <f t="shared" si="36"/>
        <v>659871.69432860508</v>
      </c>
      <c r="N88" s="668">
        <f t="shared" si="36"/>
        <v>664516.84498061868</v>
      </c>
      <c r="O88" s="668">
        <f t="shared" si="36"/>
        <v>669273.81521938241</v>
      </c>
      <c r="P88" s="668">
        <f t="shared" si="36"/>
        <v>674146.05298655049</v>
      </c>
    </row>
    <row r="89" spans="1:16" ht="12" thickTop="1" x14ac:dyDescent="0.2">
      <c r="B89" s="608"/>
      <c r="C89" s="608"/>
      <c r="D89" s="608"/>
      <c r="E89" s="608"/>
      <c r="F89" s="608"/>
      <c r="G89" s="608"/>
      <c r="H89" s="608"/>
      <c r="I89" s="608"/>
      <c r="J89" s="608"/>
      <c r="K89" s="608"/>
      <c r="L89" s="608"/>
      <c r="M89" s="608"/>
      <c r="N89" s="608"/>
      <c r="O89" s="608"/>
      <c r="P89" s="608"/>
    </row>
    <row r="90" spans="1:16" ht="11.25" hidden="1" outlineLevel="1" x14ac:dyDescent="0.2">
      <c r="A90" s="653" t="s">
        <v>111</v>
      </c>
      <c r="B90" s="621">
        <f>+B83-B88</f>
        <v>0</v>
      </c>
      <c r="C90" s="621">
        <f t="shared" ref="C90:P90" si="37">+C83-C88</f>
        <v>0</v>
      </c>
      <c r="D90" s="621">
        <f t="shared" si="37"/>
        <v>0</v>
      </c>
      <c r="E90" s="621">
        <f t="shared" si="37"/>
        <v>0</v>
      </c>
      <c r="F90" s="621">
        <f t="shared" si="37"/>
        <v>0</v>
      </c>
      <c r="G90" s="621">
        <f t="shared" si="37"/>
        <v>0</v>
      </c>
      <c r="H90" s="621">
        <f t="shared" si="37"/>
        <v>0</v>
      </c>
      <c r="I90" s="621">
        <f t="shared" si="37"/>
        <v>0</v>
      </c>
      <c r="J90" s="621">
        <f t="shared" si="37"/>
        <v>0</v>
      </c>
      <c r="K90" s="621">
        <f t="shared" si="37"/>
        <v>0</v>
      </c>
      <c r="L90" s="621">
        <f t="shared" si="37"/>
        <v>0</v>
      </c>
      <c r="M90" s="621">
        <f t="shared" si="37"/>
        <v>0</v>
      </c>
      <c r="N90" s="621">
        <f t="shared" si="37"/>
        <v>0</v>
      </c>
      <c r="O90" s="621">
        <f t="shared" si="37"/>
        <v>0</v>
      </c>
      <c r="P90" s="621">
        <f t="shared" si="37"/>
        <v>0</v>
      </c>
    </row>
    <row r="91" spans="1:16" ht="11.25" hidden="1" outlineLevel="1" x14ac:dyDescent="0.2">
      <c r="A91" s="653" t="s">
        <v>112</v>
      </c>
      <c r="B91" s="621">
        <f>+B88-'GF &amp; FF  Equity Statement'!B67</f>
        <v>0</v>
      </c>
      <c r="C91" s="621">
        <f>+C88-'GF &amp; FF  Equity Statement'!C67</f>
        <v>0</v>
      </c>
      <c r="D91" s="621">
        <f>+D88-'Consol  Equity Statement'!D67</f>
        <v>0</v>
      </c>
      <c r="E91" s="621">
        <f>+E88-'Consol  Equity Statement'!E67</f>
        <v>0</v>
      </c>
      <c r="F91" s="621">
        <f>+F88-'Consol  Equity Statement'!F67</f>
        <v>0</v>
      </c>
      <c r="G91" s="621">
        <f>+G88-'Consol  Equity Statement'!G67</f>
        <v>0</v>
      </c>
      <c r="H91" s="621">
        <f>+H88-'Consol  Equity Statement'!H67</f>
        <v>0</v>
      </c>
      <c r="I91" s="621">
        <f>+I88-'Consol  Equity Statement'!I67</f>
        <v>0</v>
      </c>
      <c r="J91" s="621">
        <f>+J88-'Consol  Equity Statement'!J67</f>
        <v>0</v>
      </c>
      <c r="K91" s="621">
        <f>+K88-'Consol  Equity Statement'!K67</f>
        <v>0</v>
      </c>
      <c r="L91" s="621">
        <f>+L88-'Consol  Equity Statement'!L67</f>
        <v>0</v>
      </c>
      <c r="M91" s="621">
        <f>+M88-'Consol  Equity Statement'!M67</f>
        <v>0</v>
      </c>
      <c r="N91" s="621">
        <f>+N88-'Consol  Equity Statement'!N67</f>
        <v>0</v>
      </c>
      <c r="O91" s="621">
        <f>+O88-'Consol  Equity Statement'!O67</f>
        <v>0</v>
      </c>
      <c r="P91" s="621">
        <f>+P88-'Consol  Equity Statement'!P67</f>
        <v>0</v>
      </c>
    </row>
    <row r="92" spans="1:16" ht="11.25" collapsed="1" x14ac:dyDescent="0.2"/>
    <row r="93" spans="1:16" ht="12.75" x14ac:dyDescent="0.2">
      <c r="A93" s="1091" t="s">
        <v>1361</v>
      </c>
    </row>
    <row r="94" spans="1:16" ht="12" x14ac:dyDescent="0.2">
      <c r="A94" s="673" t="s">
        <v>1069</v>
      </c>
      <c r="B94" s="586" t="s">
        <v>69</v>
      </c>
      <c r="C94" s="586" t="s">
        <v>69</v>
      </c>
      <c r="D94" s="586" t="s">
        <v>69</v>
      </c>
      <c r="E94" s="586" t="s">
        <v>69</v>
      </c>
      <c r="F94" s="586" t="s">
        <v>70</v>
      </c>
      <c r="G94" s="586" t="s">
        <v>70</v>
      </c>
      <c r="H94" s="586" t="s">
        <v>71</v>
      </c>
      <c r="I94" s="586" t="s">
        <v>71</v>
      </c>
      <c r="J94" s="586" t="s">
        <v>71</v>
      </c>
      <c r="K94" s="586" t="s">
        <v>71</v>
      </c>
      <c r="L94" s="586" t="s">
        <v>71</v>
      </c>
      <c r="M94" s="586" t="s">
        <v>71</v>
      </c>
      <c r="N94" s="586" t="s">
        <v>71</v>
      </c>
      <c r="O94" s="586" t="s">
        <v>71</v>
      </c>
      <c r="P94" s="586" t="s">
        <v>71</v>
      </c>
    </row>
    <row r="95" spans="1:16" ht="11.25" x14ac:dyDescent="0.2">
      <c r="A95" s="652" t="s">
        <v>72</v>
      </c>
      <c r="B95" s="741" t="s">
        <v>68</v>
      </c>
      <c r="C95" s="694" t="s">
        <v>0</v>
      </c>
      <c r="D95" s="694" t="s">
        <v>1</v>
      </c>
      <c r="E95" s="694" t="s">
        <v>2</v>
      </c>
      <c r="F95" s="694" t="s">
        <v>3</v>
      </c>
      <c r="G95" s="694" t="s">
        <v>4</v>
      </c>
      <c r="H95" s="694" t="s">
        <v>5</v>
      </c>
      <c r="I95" s="694" t="s">
        <v>6</v>
      </c>
      <c r="J95" s="694" t="s">
        <v>7</v>
      </c>
      <c r="K95" s="694" t="s">
        <v>8</v>
      </c>
      <c r="L95" s="694" t="s">
        <v>9</v>
      </c>
      <c r="M95" s="694" t="s">
        <v>514</v>
      </c>
      <c r="N95" s="694" t="s">
        <v>515</v>
      </c>
      <c r="O95" s="694" t="s">
        <v>904</v>
      </c>
      <c r="P95" s="694" t="s">
        <v>1046</v>
      </c>
    </row>
    <row r="96" spans="1:16" ht="11.25" x14ac:dyDescent="0.2">
      <c r="A96" s="661"/>
      <c r="B96" s="662"/>
      <c r="C96" s="662"/>
      <c r="D96" s="663"/>
      <c r="E96" s="663"/>
      <c r="F96" s="663"/>
      <c r="G96" s="663"/>
      <c r="H96" s="663"/>
      <c r="I96" s="663"/>
      <c r="J96" s="663"/>
      <c r="K96" s="663"/>
      <c r="L96" s="663"/>
      <c r="M96" s="663"/>
      <c r="N96" s="663"/>
      <c r="O96" s="663"/>
      <c r="P96" s="663"/>
    </row>
    <row r="97" spans="1:16" ht="11.25" x14ac:dyDescent="0.2">
      <c r="A97" s="654" t="s">
        <v>35</v>
      </c>
      <c r="B97" s="608"/>
      <c r="C97" s="608"/>
      <c r="D97" s="608"/>
      <c r="E97" s="608"/>
      <c r="F97" s="608"/>
      <c r="G97" s="608"/>
      <c r="H97" s="608"/>
      <c r="I97" s="608"/>
      <c r="J97" s="608"/>
      <c r="K97" s="608"/>
      <c r="L97" s="608"/>
      <c r="M97" s="608"/>
      <c r="N97" s="608"/>
      <c r="O97" s="608"/>
      <c r="P97" s="608"/>
    </row>
    <row r="98" spans="1:16" ht="11.25" x14ac:dyDescent="0.2">
      <c r="A98" s="654" t="s">
        <v>36</v>
      </c>
      <c r="B98" s="608"/>
      <c r="C98" s="608"/>
      <c r="D98" s="608"/>
      <c r="E98" s="608"/>
      <c r="F98" s="608"/>
      <c r="G98" s="608"/>
      <c r="H98" s="608"/>
      <c r="I98" s="608"/>
      <c r="J98" s="608"/>
      <c r="K98" s="608"/>
      <c r="L98" s="608"/>
      <c r="M98" s="608"/>
      <c r="N98" s="608"/>
      <c r="O98" s="608"/>
      <c r="P98" s="608"/>
    </row>
    <row r="99" spans="1:16" ht="11.25" x14ac:dyDescent="0.2">
      <c r="A99" s="653" t="s">
        <v>37</v>
      </c>
      <c r="B99" s="608"/>
      <c r="C99" s="608"/>
      <c r="D99" s="608">
        <f>D53</f>
        <v>9296</v>
      </c>
      <c r="E99" s="608">
        <f>'Water Fund  Bal Sheet'!E99+'GF &amp; FF  Bal Sheet'!E99+'Sewer Fund  Bal Sheet'!E99</f>
        <v>2319</v>
      </c>
      <c r="F99" s="608">
        <f>'Water Fund  Bal Sheet'!F99+'GF &amp; FF  Bal Sheet'!F99+'Sewer Fund  Bal Sheet'!F99</f>
        <v>2349.0000000000032</v>
      </c>
      <c r="G99" s="608">
        <f>'Water Fund  Bal Sheet'!G99+'GF &amp; FF  Bal Sheet'!G99+'Sewer Fund  Bal Sheet'!G99</f>
        <v>2941.2175000000038</v>
      </c>
      <c r="H99" s="608">
        <f>'Water Fund  Bal Sheet'!H99+'GF &amp; FF  Bal Sheet'!H99+'Sewer Fund  Bal Sheet'!H99</f>
        <v>3288.0439835000011</v>
      </c>
      <c r="I99" s="608">
        <f>'Water Fund  Bal Sheet'!I99+'GF &amp; FF  Bal Sheet'!I99+'Sewer Fund  Bal Sheet'!I99</f>
        <v>3590.4090478375042</v>
      </c>
      <c r="J99" s="608">
        <f>'Water Fund  Bal Sheet'!J99+'GF &amp; FF  Bal Sheet'!J99+'Sewer Fund  Bal Sheet'!J99</f>
        <v>2760.9748237834442</v>
      </c>
      <c r="K99" s="608">
        <f>'Water Fund  Bal Sheet'!K99+'GF &amp; FF  Bal Sheet'!K99+'Sewer Fund  Bal Sheet'!K99</f>
        <v>3437.6994103507882</v>
      </c>
      <c r="L99" s="608">
        <f>'Water Fund  Bal Sheet'!L99+'GF &amp; FF  Bal Sheet'!L99+'Sewer Fund  Bal Sheet'!L99</f>
        <v>4212.0100403655515</v>
      </c>
      <c r="M99" s="608">
        <f>'Water Fund  Bal Sheet'!M99+'GF &amp; FF  Bal Sheet'!M99+'Sewer Fund  Bal Sheet'!M99</f>
        <v>4715.1667564948921</v>
      </c>
      <c r="N99" s="608">
        <f>'Water Fund  Bal Sheet'!N99+'GF &amp; FF  Bal Sheet'!N99+'Sewer Fund  Bal Sheet'!N99</f>
        <v>5616.6268052610676</v>
      </c>
      <c r="O99" s="608">
        <f>'Water Fund  Bal Sheet'!O99+'GF &amp; FF  Bal Sheet'!O99+'Sewer Fund  Bal Sheet'!O99</f>
        <v>5310.8992761166355</v>
      </c>
      <c r="P99" s="608">
        <f>'Water Fund  Bal Sheet'!P99+'GF &amp; FF  Bal Sheet'!P99+'Sewer Fund  Bal Sheet'!P99</f>
        <v>3008.6813206397014</v>
      </c>
    </row>
    <row r="100" spans="1:16" ht="11.25" x14ac:dyDescent="0.2">
      <c r="A100" s="653" t="s">
        <v>38</v>
      </c>
      <c r="B100" s="608"/>
      <c r="C100" s="608"/>
      <c r="D100" s="608">
        <f>D54</f>
        <v>7148</v>
      </c>
      <c r="E100" s="608">
        <f>'Water Fund  Bal Sheet'!E100+'GF &amp; FF  Bal Sheet'!E100+'Sewer Fund  Bal Sheet'!E100</f>
        <v>9416</v>
      </c>
      <c r="F100" s="608">
        <f>'Water Fund  Bal Sheet'!F100+'GF &amp; FF  Bal Sheet'!F100+'Sewer Fund  Bal Sheet'!F100</f>
        <v>9003.9440000000031</v>
      </c>
      <c r="G100" s="608">
        <f>'Water Fund  Bal Sheet'!G100+'GF &amp; FF  Bal Sheet'!G100+'Sewer Fund  Bal Sheet'!G100</f>
        <v>10598.229000000003</v>
      </c>
      <c r="H100" s="608">
        <f>'Water Fund  Bal Sheet'!H100+'GF &amp; FF  Bal Sheet'!H100+'Sewer Fund  Bal Sheet'!H100</f>
        <v>3316.4020100000016</v>
      </c>
      <c r="I100" s="608">
        <f>'Water Fund  Bal Sheet'!I100+'GF &amp; FF  Bal Sheet'!I100+'Sewer Fund  Bal Sheet'!I100</f>
        <v>5611.2234003000012</v>
      </c>
      <c r="J100" s="608">
        <f>'Water Fund  Bal Sheet'!J100+'GF &amp; FF  Bal Sheet'!J100+'Sewer Fund  Bal Sheet'!J100</f>
        <v>7985.5688423090014</v>
      </c>
      <c r="K100" s="608">
        <f>'Water Fund  Bal Sheet'!K100+'GF &amp; FF  Bal Sheet'!K100+'Sewer Fund  Bal Sheet'!K100</f>
        <v>8207.4011931581808</v>
      </c>
      <c r="L100" s="608">
        <f>'Water Fund  Bal Sheet'!L100+'GF &amp; FF  Bal Sheet'!L100+'Sewer Fund  Bal Sheet'!L100</f>
        <v>8433.6701910243428</v>
      </c>
      <c r="M100" s="608">
        <f>'Water Fund  Bal Sheet'!M100+'GF &amp; FF  Bal Sheet'!M100+'Sewer Fund  Bal Sheet'!M100</f>
        <v>8664.4645688478304</v>
      </c>
      <c r="N100" s="608">
        <f>'Water Fund  Bal Sheet'!N100+'GF &amp; FF  Bal Sheet'!N100+'Sewer Fund  Bal Sheet'!N100</f>
        <v>8899.8748342277904</v>
      </c>
      <c r="O100" s="608">
        <f>'Water Fund  Bal Sheet'!O100+'GF &amp; FF  Bal Sheet'!O100+'Sewer Fund  Bal Sheet'!O100</f>
        <v>9139.9933049153478</v>
      </c>
      <c r="P100" s="608">
        <f>'Water Fund  Bal Sheet'!P100+'GF &amp; FF  Bal Sheet'!P100+'Sewer Fund  Bal Sheet'!P100</f>
        <v>9384.9141450166535</v>
      </c>
    </row>
    <row r="101" spans="1:16" ht="11.25" x14ac:dyDescent="0.2">
      <c r="A101" s="653" t="s">
        <v>39</v>
      </c>
      <c r="B101" s="608"/>
      <c r="C101" s="608"/>
      <c r="D101" s="608">
        <f>D55</f>
        <v>5459</v>
      </c>
      <c r="E101" s="608">
        <f>'Water Fund  Bal Sheet'!E101+'GF &amp; FF  Bal Sheet'!E101+'Sewer Fund  Bal Sheet'!E101</f>
        <v>7888</v>
      </c>
      <c r="F101" s="608">
        <f>'Water Fund  Bal Sheet'!F101+'GF &amp; FF  Bal Sheet'!F101+'Sewer Fund  Bal Sheet'!F101</f>
        <v>7888</v>
      </c>
      <c r="G101" s="608">
        <f>'Water Fund  Bal Sheet'!G101+'GF &amp; FF  Bal Sheet'!G101+'Sewer Fund  Bal Sheet'!G101</f>
        <v>7888</v>
      </c>
      <c r="H101" s="608">
        <f>'Water Fund  Bal Sheet'!H101+'GF &amp; FF  Bal Sheet'!H101+'Sewer Fund  Bal Sheet'!H101</f>
        <v>7888</v>
      </c>
      <c r="I101" s="608">
        <f>'Water Fund  Bal Sheet'!I101+'GF &amp; FF  Bal Sheet'!I101+'Sewer Fund  Bal Sheet'!I101</f>
        <v>7888</v>
      </c>
      <c r="J101" s="608">
        <f>'Water Fund  Bal Sheet'!J101+'GF &amp; FF  Bal Sheet'!J101+'Sewer Fund  Bal Sheet'!J101</f>
        <v>7888</v>
      </c>
      <c r="K101" s="608">
        <f>'Water Fund  Bal Sheet'!K101+'GF &amp; FF  Bal Sheet'!K101+'Sewer Fund  Bal Sheet'!K101</f>
        <v>7888</v>
      </c>
      <c r="L101" s="608">
        <f>'Water Fund  Bal Sheet'!L101+'GF &amp; FF  Bal Sheet'!L101+'Sewer Fund  Bal Sheet'!L101</f>
        <v>7888</v>
      </c>
      <c r="M101" s="608">
        <f>'Water Fund  Bal Sheet'!M101+'GF &amp; FF  Bal Sheet'!M101+'Sewer Fund  Bal Sheet'!M101</f>
        <v>7888</v>
      </c>
      <c r="N101" s="608">
        <f>'Water Fund  Bal Sheet'!N101+'GF &amp; FF  Bal Sheet'!N101+'Sewer Fund  Bal Sheet'!N101</f>
        <v>7888</v>
      </c>
      <c r="O101" s="608">
        <f>'Water Fund  Bal Sheet'!O101+'GF &amp; FF  Bal Sheet'!O101+'Sewer Fund  Bal Sheet'!O101</f>
        <v>7888</v>
      </c>
      <c r="P101" s="608">
        <f>'Water Fund  Bal Sheet'!P101+'GF &amp; FF  Bal Sheet'!P101+'Sewer Fund  Bal Sheet'!P101</f>
        <v>7888</v>
      </c>
    </row>
    <row r="102" spans="1:16" ht="11.25" x14ac:dyDescent="0.2">
      <c r="A102" s="653" t="s">
        <v>40</v>
      </c>
      <c r="B102" s="608"/>
      <c r="C102" s="608"/>
      <c r="D102" s="608">
        <f>D56</f>
        <v>2131</v>
      </c>
      <c r="E102" s="608">
        <f>'Water Fund  Bal Sheet'!E102+'GF &amp; FF  Bal Sheet'!E102+'Sewer Fund  Bal Sheet'!E102</f>
        <v>2116</v>
      </c>
      <c r="F102" s="608">
        <f>'Water Fund  Bal Sheet'!F102+'GF &amp; FF  Bal Sheet'!F102+'Sewer Fund  Bal Sheet'!F102</f>
        <v>2116</v>
      </c>
      <c r="G102" s="608">
        <f>'Water Fund  Bal Sheet'!G102+'GF &amp; FF  Bal Sheet'!G102+'Sewer Fund  Bal Sheet'!G102</f>
        <v>2116</v>
      </c>
      <c r="H102" s="608">
        <f>'Water Fund  Bal Sheet'!H102+'GF &amp; FF  Bal Sheet'!H102+'Sewer Fund  Bal Sheet'!H102</f>
        <v>2116</v>
      </c>
      <c r="I102" s="608">
        <f>'Water Fund  Bal Sheet'!I102+'GF &amp; FF  Bal Sheet'!I102+'Sewer Fund  Bal Sheet'!I102</f>
        <v>2116</v>
      </c>
      <c r="J102" s="608">
        <f>'Water Fund  Bal Sheet'!J102+'GF &amp; FF  Bal Sheet'!J102+'Sewer Fund  Bal Sheet'!J102</f>
        <v>2116</v>
      </c>
      <c r="K102" s="608">
        <f>'Water Fund  Bal Sheet'!K102+'GF &amp; FF  Bal Sheet'!K102+'Sewer Fund  Bal Sheet'!K102</f>
        <v>2116</v>
      </c>
      <c r="L102" s="608">
        <f>'Water Fund  Bal Sheet'!L102+'GF &amp; FF  Bal Sheet'!L102+'Sewer Fund  Bal Sheet'!L102</f>
        <v>2116</v>
      </c>
      <c r="M102" s="608">
        <f>'Water Fund  Bal Sheet'!M102+'GF &amp; FF  Bal Sheet'!M102+'Sewer Fund  Bal Sheet'!M102</f>
        <v>2116</v>
      </c>
      <c r="N102" s="608">
        <f>'Water Fund  Bal Sheet'!N102+'GF &amp; FF  Bal Sheet'!N102+'Sewer Fund  Bal Sheet'!N102</f>
        <v>2116</v>
      </c>
      <c r="O102" s="608">
        <f>'Water Fund  Bal Sheet'!O102+'GF &amp; FF  Bal Sheet'!O102+'Sewer Fund  Bal Sheet'!O102</f>
        <v>2116</v>
      </c>
      <c r="P102" s="608">
        <f>'Water Fund  Bal Sheet'!P102+'GF &amp; FF  Bal Sheet'!P102+'Sewer Fund  Bal Sheet'!P102</f>
        <v>2116</v>
      </c>
    </row>
    <row r="103" spans="1:16" ht="11.25" x14ac:dyDescent="0.2">
      <c r="A103" s="655" t="s">
        <v>41</v>
      </c>
      <c r="B103" s="615"/>
      <c r="C103" s="608"/>
      <c r="D103" s="608">
        <f>D57</f>
        <v>28</v>
      </c>
      <c r="E103" s="608">
        <f>'Water Fund  Bal Sheet'!E103+'GF &amp; FF  Bal Sheet'!E103+'Sewer Fund  Bal Sheet'!E103</f>
        <v>102</v>
      </c>
      <c r="F103" s="608">
        <f>'Water Fund  Bal Sheet'!F103+'GF &amp; FF  Bal Sheet'!F103+'Sewer Fund  Bal Sheet'!F103</f>
        <v>102</v>
      </c>
      <c r="G103" s="608">
        <f>'Water Fund  Bal Sheet'!G103+'GF &amp; FF  Bal Sheet'!G103+'Sewer Fund  Bal Sheet'!G103</f>
        <v>102</v>
      </c>
      <c r="H103" s="608">
        <f>'Water Fund  Bal Sheet'!H103+'GF &amp; FF  Bal Sheet'!H103+'Sewer Fund  Bal Sheet'!H103</f>
        <v>102</v>
      </c>
      <c r="I103" s="608">
        <f>'Water Fund  Bal Sheet'!I103+'GF &amp; FF  Bal Sheet'!I103+'Sewer Fund  Bal Sheet'!I103</f>
        <v>102</v>
      </c>
      <c r="J103" s="608">
        <f>'Water Fund  Bal Sheet'!J103+'GF &amp; FF  Bal Sheet'!J103+'Sewer Fund  Bal Sheet'!J103</f>
        <v>102</v>
      </c>
      <c r="K103" s="608">
        <f>'Water Fund  Bal Sheet'!K103+'GF &amp; FF  Bal Sheet'!K103+'Sewer Fund  Bal Sheet'!K103</f>
        <v>102</v>
      </c>
      <c r="L103" s="608">
        <f>'Water Fund  Bal Sheet'!L103+'GF &amp; FF  Bal Sheet'!L103+'Sewer Fund  Bal Sheet'!L103</f>
        <v>102</v>
      </c>
      <c r="M103" s="608">
        <f>'Water Fund  Bal Sheet'!M103+'GF &amp; FF  Bal Sheet'!M103+'Sewer Fund  Bal Sheet'!M103</f>
        <v>102</v>
      </c>
      <c r="N103" s="608">
        <f>'Water Fund  Bal Sheet'!N103+'GF &amp; FF  Bal Sheet'!N103+'Sewer Fund  Bal Sheet'!N103</f>
        <v>102</v>
      </c>
      <c r="O103" s="608">
        <f>'Water Fund  Bal Sheet'!O103+'GF &amp; FF  Bal Sheet'!O103+'Sewer Fund  Bal Sheet'!O103</f>
        <v>102</v>
      </c>
      <c r="P103" s="608">
        <f>'Water Fund  Bal Sheet'!P103+'GF &amp; FF  Bal Sheet'!P103+'Sewer Fund  Bal Sheet'!P103</f>
        <v>102</v>
      </c>
    </row>
    <row r="104" spans="1:16" ht="11.25" x14ac:dyDescent="0.2">
      <c r="A104" s="654" t="s">
        <v>42</v>
      </c>
      <c r="B104" s="656">
        <f>SUM(B99:B103)</f>
        <v>0</v>
      </c>
      <c r="C104" s="656">
        <f t="shared" ref="C104:E104" si="38">SUM(C99:C103)</f>
        <v>0</v>
      </c>
      <c r="D104" s="656">
        <f t="shared" si="38"/>
        <v>24062</v>
      </c>
      <c r="E104" s="656">
        <f t="shared" si="38"/>
        <v>21841</v>
      </c>
      <c r="F104" s="656">
        <f t="shared" ref="F104:P104" si="39">SUM(F99:F103)</f>
        <v>21458.944000000007</v>
      </c>
      <c r="G104" s="656">
        <f t="shared" si="39"/>
        <v>23645.446500000005</v>
      </c>
      <c r="H104" s="656">
        <f t="shared" si="39"/>
        <v>16710.445993500005</v>
      </c>
      <c r="I104" s="656">
        <f t="shared" si="39"/>
        <v>19307.632448137505</v>
      </c>
      <c r="J104" s="656">
        <f t="shared" si="39"/>
        <v>20852.543666092446</v>
      </c>
      <c r="K104" s="656">
        <f t="shared" si="39"/>
        <v>21751.100603508967</v>
      </c>
      <c r="L104" s="656">
        <f t="shared" si="39"/>
        <v>22751.680231389895</v>
      </c>
      <c r="M104" s="656">
        <f t="shared" si="39"/>
        <v>23485.631325342722</v>
      </c>
      <c r="N104" s="656">
        <f t="shared" si="39"/>
        <v>24622.501639488859</v>
      </c>
      <c r="O104" s="656">
        <f t="shared" si="39"/>
        <v>24556.892581031985</v>
      </c>
      <c r="P104" s="656">
        <f t="shared" si="39"/>
        <v>22499.595465656355</v>
      </c>
    </row>
    <row r="105" spans="1:16" ht="11.25" x14ac:dyDescent="0.2">
      <c r="B105" s="608"/>
      <c r="C105" s="608"/>
      <c r="D105" s="608"/>
      <c r="E105" s="608"/>
      <c r="F105" s="608"/>
      <c r="G105" s="608"/>
      <c r="H105" s="608"/>
      <c r="I105" s="608"/>
      <c r="J105" s="608"/>
      <c r="K105" s="608"/>
      <c r="L105" s="608"/>
      <c r="M105" s="608"/>
      <c r="N105" s="608"/>
      <c r="O105" s="608"/>
      <c r="P105" s="608"/>
    </row>
    <row r="106" spans="1:16" ht="11.25" x14ac:dyDescent="0.2">
      <c r="A106" s="654" t="s">
        <v>43</v>
      </c>
      <c r="B106" s="608"/>
      <c r="C106" s="608"/>
      <c r="D106" s="608"/>
      <c r="E106" s="608"/>
      <c r="F106" s="608"/>
      <c r="G106" s="608"/>
      <c r="H106" s="608"/>
      <c r="I106" s="608"/>
      <c r="J106" s="608"/>
      <c r="K106" s="608"/>
      <c r="L106" s="608"/>
      <c r="M106" s="608"/>
      <c r="N106" s="608"/>
      <c r="O106" s="608"/>
      <c r="P106" s="608"/>
    </row>
    <row r="107" spans="1:16" ht="11.25" x14ac:dyDescent="0.2">
      <c r="A107" s="608" t="str">
        <f>A61</f>
        <v>Investments</v>
      </c>
      <c r="B107" s="608"/>
      <c r="C107" s="608"/>
      <c r="D107" s="608">
        <f>D61</f>
        <v>38964</v>
      </c>
      <c r="E107" s="608">
        <f>'Water Fund  Bal Sheet'!E107+'GF &amp; FF  Bal Sheet'!E107+'Sewer Fund  Bal Sheet'!E107</f>
        <v>38919</v>
      </c>
      <c r="F107" s="608">
        <f>'Water Fund  Bal Sheet'!F107+'GF &amp; FF  Bal Sheet'!F107+'Sewer Fund  Bal Sheet'!F107</f>
        <v>33292.331999999995</v>
      </c>
      <c r="G107" s="608">
        <f>'Water Fund  Bal Sheet'!G107+'GF &amp; FF  Bal Sheet'!G107+'Sewer Fund  Bal Sheet'!G107</f>
        <v>31240.069999999996</v>
      </c>
      <c r="H107" s="608">
        <f>'Water Fund  Bal Sheet'!H107+'GF &amp; FF  Bal Sheet'!H107+'Sewer Fund  Bal Sheet'!H107</f>
        <v>29088.204999999994</v>
      </c>
      <c r="I107" s="608">
        <f>'Water Fund  Bal Sheet'!I107+'GF &amp; FF  Bal Sheet'!I107+'Sewer Fund  Bal Sheet'!I107</f>
        <v>27152.592999999997</v>
      </c>
      <c r="J107" s="608">
        <f>'Water Fund  Bal Sheet'!J107+'GF &amp; FF  Bal Sheet'!J107+'Sewer Fund  Bal Sheet'!J107</f>
        <v>26186.503999999997</v>
      </c>
      <c r="K107" s="608">
        <f>'Water Fund  Bal Sheet'!K107+'GF &amp; FF  Bal Sheet'!K107+'Sewer Fund  Bal Sheet'!K107</f>
        <v>25201.093219999999</v>
      </c>
      <c r="L107" s="608">
        <f>'Water Fund  Bal Sheet'!L107+'GF &amp; FF  Bal Sheet'!L107+'Sewer Fund  Bal Sheet'!L107</f>
        <v>24195.974224399997</v>
      </c>
      <c r="M107" s="608">
        <f>'Water Fund  Bal Sheet'!M107+'GF &amp; FF  Bal Sheet'!M107+'Sewer Fund  Bal Sheet'!M107</f>
        <v>23170.752848887998</v>
      </c>
      <c r="N107" s="608">
        <f>'Water Fund  Bal Sheet'!N107+'GF &amp; FF  Bal Sheet'!N107+'Sewer Fund  Bal Sheet'!N107</f>
        <v>22125.027045865761</v>
      </c>
      <c r="O107" s="608">
        <f>'Water Fund  Bal Sheet'!O107+'GF &amp; FF  Bal Sheet'!O107+'Sewer Fund  Bal Sheet'!O107</f>
        <v>21058.386726783072</v>
      </c>
      <c r="P107" s="608">
        <f>'Water Fund  Bal Sheet'!P107+'GF &amp; FF  Bal Sheet'!P107+'Sewer Fund  Bal Sheet'!P107</f>
        <v>19970.413601318738</v>
      </c>
    </row>
    <row r="108" spans="1:16" ht="11.25" x14ac:dyDescent="0.2">
      <c r="A108" s="760" t="s">
        <v>44</v>
      </c>
      <c r="B108" s="608"/>
      <c r="C108" s="608"/>
      <c r="D108" s="608">
        <f>D62</f>
        <v>550049</v>
      </c>
      <c r="E108" s="608">
        <f>'Water Fund  Bal Sheet'!E108+'GF &amp; FF  Bal Sheet'!E108+'Sewer Fund  Bal Sheet'!E108</f>
        <v>569080</v>
      </c>
      <c r="F108" s="608">
        <f>'Water Fund  Bal Sheet'!F108+'GF &amp; FF  Bal Sheet'!F108+'Sewer Fund  Bal Sheet'!F108</f>
        <v>598528.43699999992</v>
      </c>
      <c r="G108" s="608">
        <f>'Water Fund  Bal Sheet'!G108+'GF &amp; FF  Bal Sheet'!G108+'Sewer Fund  Bal Sheet'!G108</f>
        <v>629270.68399999989</v>
      </c>
      <c r="H108" s="608">
        <f>'Water Fund  Bal Sheet'!H108+'GF &amp; FF  Bal Sheet'!H108+'Sewer Fund  Bal Sheet'!H108</f>
        <v>653245.59179999994</v>
      </c>
      <c r="I108" s="608">
        <f>'Water Fund  Bal Sheet'!I108+'GF &amp; FF  Bal Sheet'!I108+'Sewer Fund  Bal Sheet'!I108</f>
        <v>671694.23319499986</v>
      </c>
      <c r="J108" s="608">
        <f>'Water Fund  Bal Sheet'!J108+'GF &amp; FF  Bal Sheet'!J108+'Sewer Fund  Bal Sheet'!J108</f>
        <v>674516.58559987496</v>
      </c>
      <c r="K108" s="608">
        <f>'Water Fund  Bal Sheet'!K108+'GF &amp; FF  Bal Sheet'!K108+'Sewer Fund  Bal Sheet'!K108</f>
        <v>677336.55914784747</v>
      </c>
      <c r="L108" s="608">
        <f>'Water Fund  Bal Sheet'!L108+'GF &amp; FF  Bal Sheet'!L108+'Sewer Fund  Bal Sheet'!L108</f>
        <v>680152.63561415451</v>
      </c>
      <c r="M108" s="608">
        <f>'Water Fund  Bal Sheet'!M108+'GF &amp; FF  Bal Sheet'!M108+'Sewer Fund  Bal Sheet'!M108</f>
        <v>682963.22964334686</v>
      </c>
      <c r="N108" s="608">
        <f>'Water Fund  Bal Sheet'!N108+'GF &amp; FF  Bal Sheet'!N108+'Sewer Fund  Bal Sheet'!N108</f>
        <v>685766.68648752151</v>
      </c>
      <c r="O108" s="608">
        <f>'Water Fund  Bal Sheet'!O108+'GF &amp; FF  Bal Sheet'!O108+'Sewer Fund  Bal Sheet'!O108</f>
        <v>688561.27967633796</v>
      </c>
      <c r="P108" s="608">
        <f>'Water Fund  Bal Sheet'!P108+'GF &amp; FF  Bal Sheet'!P108+'Sewer Fund  Bal Sheet'!P108</f>
        <v>691345.20861688314</v>
      </c>
    </row>
    <row r="109" spans="1:16" ht="22.5" x14ac:dyDescent="0.2">
      <c r="A109" s="608" t="str">
        <f t="shared" ref="A109:A110" si="40">A63</f>
        <v>Investments accounted for using the equity method</v>
      </c>
      <c r="B109" s="608"/>
      <c r="C109" s="608"/>
      <c r="D109" s="608">
        <f t="shared" ref="D109:D110" si="41">D63</f>
        <v>89</v>
      </c>
      <c r="E109" s="608">
        <f>'Water Fund  Bal Sheet'!E109+'GF &amp; FF  Bal Sheet'!E109+'Sewer Fund  Bal Sheet'!E109</f>
        <v>91</v>
      </c>
      <c r="F109" s="608">
        <f>'Water Fund  Bal Sheet'!F109+'GF &amp; FF  Bal Sheet'!F109+'Sewer Fund  Bal Sheet'!F109</f>
        <v>91</v>
      </c>
      <c r="G109" s="608">
        <f>'Water Fund  Bal Sheet'!G109+'GF &amp; FF  Bal Sheet'!G109+'Sewer Fund  Bal Sheet'!G109</f>
        <v>91</v>
      </c>
      <c r="H109" s="608">
        <f>'Water Fund  Bal Sheet'!H109+'GF &amp; FF  Bal Sheet'!H109+'Sewer Fund  Bal Sheet'!H109</f>
        <v>91</v>
      </c>
      <c r="I109" s="608">
        <f>'Water Fund  Bal Sheet'!I109+'GF &amp; FF  Bal Sheet'!I109+'Sewer Fund  Bal Sheet'!I109</f>
        <v>91</v>
      </c>
      <c r="J109" s="608">
        <f>'Water Fund  Bal Sheet'!J109+'GF &amp; FF  Bal Sheet'!J109+'Sewer Fund  Bal Sheet'!J109</f>
        <v>91</v>
      </c>
      <c r="K109" s="608">
        <f>'Water Fund  Bal Sheet'!K109+'GF &amp; FF  Bal Sheet'!K109+'Sewer Fund  Bal Sheet'!K109</f>
        <v>91</v>
      </c>
      <c r="L109" s="608">
        <f>'Water Fund  Bal Sheet'!L109+'GF &amp; FF  Bal Sheet'!L109+'Sewer Fund  Bal Sheet'!L109</f>
        <v>91</v>
      </c>
      <c r="M109" s="608">
        <f>'Water Fund  Bal Sheet'!M109+'GF &amp; FF  Bal Sheet'!M109+'Sewer Fund  Bal Sheet'!M109</f>
        <v>91</v>
      </c>
      <c r="N109" s="608">
        <f>'Water Fund  Bal Sheet'!N109+'GF &amp; FF  Bal Sheet'!N109+'Sewer Fund  Bal Sheet'!N109</f>
        <v>91</v>
      </c>
      <c r="O109" s="608">
        <f>'Water Fund  Bal Sheet'!O109+'GF &amp; FF  Bal Sheet'!O109+'Sewer Fund  Bal Sheet'!O109</f>
        <v>91</v>
      </c>
      <c r="P109" s="608">
        <f>'Water Fund  Bal Sheet'!P109+'GF &amp; FF  Bal Sheet'!P109+'Sewer Fund  Bal Sheet'!P109</f>
        <v>91</v>
      </c>
    </row>
    <row r="110" spans="1:16" ht="11.25" x14ac:dyDescent="0.2">
      <c r="A110" s="608" t="str">
        <f t="shared" si="40"/>
        <v>Investment Property</v>
      </c>
      <c r="B110" s="608"/>
      <c r="C110" s="608"/>
      <c r="D110" s="608">
        <f t="shared" si="41"/>
        <v>8861</v>
      </c>
      <c r="E110" s="608">
        <f>'Water Fund  Bal Sheet'!E110+'GF &amp; FF  Bal Sheet'!E110+'Sewer Fund  Bal Sheet'!E110</f>
        <v>20675</v>
      </c>
      <c r="F110" s="608">
        <f>'Water Fund  Bal Sheet'!F110+'GF &amp; FF  Bal Sheet'!F110+'Sewer Fund  Bal Sheet'!F110</f>
        <v>20675</v>
      </c>
      <c r="G110" s="608">
        <f>'Water Fund  Bal Sheet'!G110+'GF &amp; FF  Bal Sheet'!G110+'Sewer Fund  Bal Sheet'!G110</f>
        <v>20675</v>
      </c>
      <c r="H110" s="608">
        <f>'Water Fund  Bal Sheet'!H110+'GF &amp; FF  Bal Sheet'!H110+'Sewer Fund  Bal Sheet'!H110</f>
        <v>20675</v>
      </c>
      <c r="I110" s="608">
        <f>'Water Fund  Bal Sheet'!I110+'GF &amp; FF  Bal Sheet'!I110+'Sewer Fund  Bal Sheet'!I110</f>
        <v>20675</v>
      </c>
      <c r="J110" s="608">
        <f>'Water Fund  Bal Sheet'!J110+'GF &amp; FF  Bal Sheet'!J110+'Sewer Fund  Bal Sheet'!J110</f>
        <v>20675</v>
      </c>
      <c r="K110" s="608">
        <f>'Water Fund  Bal Sheet'!K110+'GF &amp; FF  Bal Sheet'!K110+'Sewer Fund  Bal Sheet'!K110</f>
        <v>20675</v>
      </c>
      <c r="L110" s="608">
        <f>'Water Fund  Bal Sheet'!L110+'GF &amp; FF  Bal Sheet'!L110+'Sewer Fund  Bal Sheet'!L110</f>
        <v>20675</v>
      </c>
      <c r="M110" s="608">
        <f>'Water Fund  Bal Sheet'!M110+'GF &amp; FF  Bal Sheet'!M110+'Sewer Fund  Bal Sheet'!M110</f>
        <v>20675</v>
      </c>
      <c r="N110" s="608">
        <f>'Water Fund  Bal Sheet'!N110+'GF &amp; FF  Bal Sheet'!N110+'Sewer Fund  Bal Sheet'!N110</f>
        <v>20675</v>
      </c>
      <c r="O110" s="608">
        <f>'Water Fund  Bal Sheet'!O110+'GF &amp; FF  Bal Sheet'!O110+'Sewer Fund  Bal Sheet'!O110</f>
        <v>20675</v>
      </c>
      <c r="P110" s="608">
        <f>'Water Fund  Bal Sheet'!P110+'GF &amp; FF  Bal Sheet'!P110+'Sewer Fund  Bal Sheet'!P110</f>
        <v>20675</v>
      </c>
    </row>
    <row r="111" spans="1:16" ht="11.25" x14ac:dyDescent="0.2">
      <c r="A111" s="761" t="s">
        <v>45</v>
      </c>
      <c r="B111" s="762">
        <f>SUM(B108)</f>
        <v>0</v>
      </c>
      <c r="C111" s="762">
        <f t="shared" ref="C111" si="42">SUM(C108)</f>
        <v>0</v>
      </c>
      <c r="D111" s="762">
        <f>SUM(D107:D110)</f>
        <v>597963</v>
      </c>
      <c r="E111" s="762">
        <f t="shared" ref="E111" si="43">SUM(E107:E110)</f>
        <v>628765</v>
      </c>
      <c r="F111" s="762">
        <f t="shared" ref="F111:P111" si="44">SUM(F107:F110)</f>
        <v>652586.76899999985</v>
      </c>
      <c r="G111" s="762">
        <f t="shared" si="44"/>
        <v>681276.75399999984</v>
      </c>
      <c r="H111" s="762">
        <f t="shared" si="44"/>
        <v>703099.79679999989</v>
      </c>
      <c r="I111" s="762">
        <f t="shared" si="44"/>
        <v>719612.82619499986</v>
      </c>
      <c r="J111" s="762">
        <f t="shared" si="44"/>
        <v>721469.08959987492</v>
      </c>
      <c r="K111" s="762">
        <f t="shared" si="44"/>
        <v>723303.65236784751</v>
      </c>
      <c r="L111" s="762">
        <f t="shared" si="44"/>
        <v>725114.60983855452</v>
      </c>
      <c r="M111" s="762">
        <f t="shared" si="44"/>
        <v>726899.98249223491</v>
      </c>
      <c r="N111" s="762">
        <f t="shared" si="44"/>
        <v>728657.71353338729</v>
      </c>
      <c r="O111" s="762">
        <f t="shared" si="44"/>
        <v>730385.66640312108</v>
      </c>
      <c r="P111" s="762">
        <f t="shared" si="44"/>
        <v>732081.62221820187</v>
      </c>
    </row>
    <row r="112" spans="1:16" ht="11.25" x14ac:dyDescent="0.2">
      <c r="B112" s="608"/>
      <c r="C112" s="608"/>
      <c r="D112" s="608"/>
      <c r="E112" s="608"/>
      <c r="F112" s="608"/>
      <c r="G112" s="608"/>
      <c r="H112" s="608"/>
      <c r="I112" s="608"/>
      <c r="J112" s="608"/>
      <c r="K112" s="608"/>
      <c r="L112" s="608"/>
      <c r="M112" s="608"/>
      <c r="N112" s="608"/>
      <c r="O112" s="608"/>
      <c r="P112" s="608"/>
    </row>
    <row r="113" spans="1:19" ht="12" thickBot="1" x14ac:dyDescent="0.25">
      <c r="A113" s="654" t="s">
        <v>46</v>
      </c>
      <c r="B113" s="665">
        <f>+B104+B111</f>
        <v>0</v>
      </c>
      <c r="C113" s="665">
        <f t="shared" ref="C113:E113" si="45">+C104+C111</f>
        <v>0</v>
      </c>
      <c r="D113" s="665">
        <f t="shared" si="45"/>
        <v>622025</v>
      </c>
      <c r="E113" s="665">
        <f t="shared" si="45"/>
        <v>650606</v>
      </c>
      <c r="F113" s="665">
        <f t="shared" ref="F113:P113" si="46">+F104+F111</f>
        <v>674045.71299999987</v>
      </c>
      <c r="G113" s="665">
        <f t="shared" si="46"/>
        <v>704922.2004999998</v>
      </c>
      <c r="H113" s="665">
        <f t="shared" si="46"/>
        <v>719810.24279349996</v>
      </c>
      <c r="I113" s="665">
        <f t="shared" si="46"/>
        <v>738920.45864313736</v>
      </c>
      <c r="J113" s="665">
        <f t="shared" si="46"/>
        <v>742321.63326596736</v>
      </c>
      <c r="K113" s="665">
        <f t="shared" si="46"/>
        <v>745054.7529713565</v>
      </c>
      <c r="L113" s="665">
        <f t="shared" si="46"/>
        <v>747866.29006994446</v>
      </c>
      <c r="M113" s="665">
        <f t="shared" si="46"/>
        <v>750385.6138175776</v>
      </c>
      <c r="N113" s="665">
        <f t="shared" si="46"/>
        <v>753280.21517287614</v>
      </c>
      <c r="O113" s="665">
        <f t="shared" si="46"/>
        <v>754942.55898415309</v>
      </c>
      <c r="P113" s="665">
        <f t="shared" si="46"/>
        <v>754581.21768385824</v>
      </c>
    </row>
    <row r="114" spans="1:19" ht="11.25" x14ac:dyDescent="0.2">
      <c r="B114" s="608"/>
      <c r="C114" s="608"/>
      <c r="D114" s="608"/>
      <c r="E114" s="608"/>
      <c r="F114" s="608"/>
      <c r="G114" s="608"/>
      <c r="H114" s="608"/>
      <c r="I114" s="608"/>
      <c r="J114" s="608"/>
      <c r="K114" s="608"/>
      <c r="L114" s="608"/>
      <c r="M114" s="608"/>
      <c r="N114" s="608"/>
      <c r="O114" s="608"/>
      <c r="P114" s="608"/>
    </row>
    <row r="115" spans="1:19" ht="11.25" x14ac:dyDescent="0.2">
      <c r="A115" s="654" t="s">
        <v>47</v>
      </c>
      <c r="B115" s="608"/>
      <c r="C115" s="608"/>
      <c r="D115" s="608"/>
      <c r="E115" s="608"/>
      <c r="F115" s="608"/>
      <c r="G115" s="608"/>
      <c r="H115" s="608"/>
      <c r="I115" s="608"/>
      <c r="J115" s="608"/>
      <c r="K115" s="608"/>
      <c r="L115" s="608"/>
      <c r="M115" s="608"/>
      <c r="N115" s="608"/>
      <c r="O115" s="608"/>
      <c r="P115" s="608"/>
    </row>
    <row r="116" spans="1:19" ht="11.25" x14ac:dyDescent="0.2">
      <c r="A116" s="654" t="s">
        <v>48</v>
      </c>
      <c r="B116" s="608"/>
      <c r="C116" s="608"/>
      <c r="D116" s="608"/>
      <c r="E116" s="608"/>
      <c r="F116" s="608"/>
      <c r="G116" s="608"/>
      <c r="H116" s="608"/>
      <c r="I116" s="608"/>
      <c r="J116" s="608"/>
      <c r="K116" s="608"/>
      <c r="L116" s="608"/>
      <c r="M116" s="608"/>
      <c r="N116" s="608"/>
      <c r="O116" s="608"/>
      <c r="P116" s="608"/>
    </row>
    <row r="117" spans="1:19" ht="11.25" x14ac:dyDescent="0.2">
      <c r="A117" s="666" t="s">
        <v>49</v>
      </c>
      <c r="B117" s="608"/>
      <c r="C117" s="608"/>
      <c r="D117" s="608">
        <f>D71</f>
        <v>5504</v>
      </c>
      <c r="E117" s="608">
        <f>'Water Fund  Bal Sheet'!E117+'GF &amp; FF  Bal Sheet'!E117+'Sewer Fund  Bal Sheet'!E117</f>
        <v>5529</v>
      </c>
      <c r="F117" s="608">
        <f>'Water Fund  Bal Sheet'!F117+'GF &amp; FF  Bal Sheet'!F117+'Sewer Fund  Bal Sheet'!F117</f>
        <v>5529</v>
      </c>
      <c r="G117" s="608">
        <f>'Water Fund  Bal Sheet'!G117+'GF &amp; FF  Bal Sheet'!G117+'Sewer Fund  Bal Sheet'!G117</f>
        <v>5529</v>
      </c>
      <c r="H117" s="608">
        <f>'Water Fund  Bal Sheet'!H117+'GF &amp; FF  Bal Sheet'!H117+'Sewer Fund  Bal Sheet'!H117</f>
        <v>5529</v>
      </c>
      <c r="I117" s="608">
        <f>'Water Fund  Bal Sheet'!I117+'GF &amp; FF  Bal Sheet'!I117+'Sewer Fund  Bal Sheet'!I117</f>
        <v>5529</v>
      </c>
      <c r="J117" s="608">
        <f>'Water Fund  Bal Sheet'!J117+'GF &amp; FF  Bal Sheet'!J117+'Sewer Fund  Bal Sheet'!J117</f>
        <v>5529</v>
      </c>
      <c r="K117" s="608">
        <f>'Water Fund  Bal Sheet'!K117+'GF &amp; FF  Bal Sheet'!K117+'Sewer Fund  Bal Sheet'!K117</f>
        <v>5529</v>
      </c>
      <c r="L117" s="608">
        <f>'Water Fund  Bal Sheet'!L117+'GF &amp; FF  Bal Sheet'!L117+'Sewer Fund  Bal Sheet'!L117</f>
        <v>5529</v>
      </c>
      <c r="M117" s="608">
        <f>'Water Fund  Bal Sheet'!M117+'GF &amp; FF  Bal Sheet'!M117+'Sewer Fund  Bal Sheet'!M117</f>
        <v>5529</v>
      </c>
      <c r="N117" s="608">
        <f>'Water Fund  Bal Sheet'!N117+'GF &amp; FF  Bal Sheet'!N117+'Sewer Fund  Bal Sheet'!N117</f>
        <v>5529</v>
      </c>
      <c r="O117" s="608">
        <f>'Water Fund  Bal Sheet'!O117+'GF &amp; FF  Bal Sheet'!O117+'Sewer Fund  Bal Sheet'!O117</f>
        <v>5529</v>
      </c>
      <c r="P117" s="608">
        <f>'Water Fund  Bal Sheet'!P117+'GF &amp; FF  Bal Sheet'!P117+'Sewer Fund  Bal Sheet'!P117</f>
        <v>5529</v>
      </c>
    </row>
    <row r="118" spans="1:19" ht="11.25" x14ac:dyDescent="0.2">
      <c r="A118" s="666" t="s">
        <v>1051</v>
      </c>
      <c r="B118" s="608"/>
      <c r="C118" s="608"/>
      <c r="D118" s="608">
        <f>D72</f>
        <v>2925</v>
      </c>
      <c r="E118" s="608">
        <f>'Water Fund  Bal Sheet'!E118+'GF &amp; FF  Bal Sheet'!E118+'Sewer Fund  Bal Sheet'!E118</f>
        <v>987</v>
      </c>
      <c r="F118" s="608">
        <f>'Water Fund  Bal Sheet'!F118+'GF &amp; FF  Bal Sheet'!F118+'Sewer Fund  Bal Sheet'!F118</f>
        <v>978.11200000000008</v>
      </c>
      <c r="G118" s="608">
        <f>'Water Fund  Bal Sheet'!G118+'GF &amp; FF  Bal Sheet'!G118+'Sewer Fund  Bal Sheet'!G118</f>
        <v>932.58900000000006</v>
      </c>
      <c r="H118" s="608">
        <f>'Water Fund  Bal Sheet'!H118+'GF &amp; FF  Bal Sheet'!H118+'Sewer Fund  Bal Sheet'!H118</f>
        <v>1070.8130000000001</v>
      </c>
      <c r="I118" s="608">
        <f>'Water Fund  Bal Sheet'!I118+'GF &amp; FF  Bal Sheet'!I118+'Sewer Fund  Bal Sheet'!I118</f>
        <v>1394.7049999999999</v>
      </c>
      <c r="J118" s="608">
        <f>'Water Fund  Bal Sheet'!J118+'GF &amp; FF  Bal Sheet'!J118+'Sewer Fund  Bal Sheet'!J118</f>
        <v>1422.5990999999999</v>
      </c>
      <c r="K118" s="608">
        <f>'Water Fund  Bal Sheet'!K118+'GF &amp; FF  Bal Sheet'!K118+'Sewer Fund  Bal Sheet'!K118</f>
        <v>1451.051082</v>
      </c>
      <c r="L118" s="608">
        <f>'Water Fund  Bal Sheet'!L118+'GF &amp; FF  Bal Sheet'!L118+'Sewer Fund  Bal Sheet'!L118</f>
        <v>1452.07210364</v>
      </c>
      <c r="M118" s="608">
        <f>'Water Fund  Bal Sheet'!M118+'GF &amp; FF  Bal Sheet'!M118+'Sewer Fund  Bal Sheet'!M118</f>
        <v>1150.96743464256</v>
      </c>
      <c r="N118" s="608">
        <f>'Water Fund  Bal Sheet'!N118+'GF &amp; FF  Bal Sheet'!N118+'Sewer Fund  Bal Sheet'!N118</f>
        <v>1173.9867833354112</v>
      </c>
      <c r="O118" s="608">
        <f>'Water Fund  Bal Sheet'!O118+'GF &amp; FF  Bal Sheet'!O118+'Sewer Fund  Bal Sheet'!O118</f>
        <v>1197.4665190021196</v>
      </c>
      <c r="P118" s="608">
        <f>'Water Fund  Bal Sheet'!P118+'GF &amp; FF  Bal Sheet'!P118+'Sewer Fund  Bal Sheet'!P118</f>
        <v>0</v>
      </c>
    </row>
    <row r="119" spans="1:19" ht="11.25" x14ac:dyDescent="0.2">
      <c r="A119" s="667" t="s">
        <v>50</v>
      </c>
      <c r="B119" s="615"/>
      <c r="C119" s="608"/>
      <c r="D119" s="608">
        <f t="shared" ref="D119" si="47">D73</f>
        <v>2773</v>
      </c>
      <c r="E119" s="608">
        <f>'Water Fund  Bal Sheet'!E119+'GF &amp; FF  Bal Sheet'!E119+'Sewer Fund  Bal Sheet'!E119</f>
        <v>3185</v>
      </c>
      <c r="F119" s="608">
        <f>'Water Fund  Bal Sheet'!F119+'GF &amp; FF  Bal Sheet'!F119+'Sewer Fund  Bal Sheet'!F119</f>
        <v>3185</v>
      </c>
      <c r="G119" s="608">
        <f>'Water Fund  Bal Sheet'!G119+'GF &amp; FF  Bal Sheet'!G119+'Sewer Fund  Bal Sheet'!G119</f>
        <v>3185</v>
      </c>
      <c r="H119" s="608">
        <f>'Water Fund  Bal Sheet'!H119+'GF &amp; FF  Bal Sheet'!H119+'Sewer Fund  Bal Sheet'!H119</f>
        <v>3185</v>
      </c>
      <c r="I119" s="608">
        <f>'Water Fund  Bal Sheet'!I119+'GF &amp; FF  Bal Sheet'!I119+'Sewer Fund  Bal Sheet'!I119</f>
        <v>3185</v>
      </c>
      <c r="J119" s="608">
        <f>'Water Fund  Bal Sheet'!J119+'GF &amp; FF  Bal Sheet'!J119+'Sewer Fund  Bal Sheet'!J119</f>
        <v>3185</v>
      </c>
      <c r="K119" s="608">
        <f>'Water Fund  Bal Sheet'!K119+'GF &amp; FF  Bal Sheet'!K119+'Sewer Fund  Bal Sheet'!K119</f>
        <v>3185</v>
      </c>
      <c r="L119" s="608">
        <f>'Water Fund  Bal Sheet'!L119+'GF &amp; FF  Bal Sheet'!L119+'Sewer Fund  Bal Sheet'!L119</f>
        <v>3185</v>
      </c>
      <c r="M119" s="608">
        <f>'Water Fund  Bal Sheet'!M119+'GF &amp; FF  Bal Sheet'!M119+'Sewer Fund  Bal Sheet'!M119</f>
        <v>3185</v>
      </c>
      <c r="N119" s="608">
        <f>'Water Fund  Bal Sheet'!N119+'GF &amp; FF  Bal Sheet'!N119+'Sewer Fund  Bal Sheet'!N119</f>
        <v>3185</v>
      </c>
      <c r="O119" s="608">
        <f>'Water Fund  Bal Sheet'!O119+'GF &amp; FF  Bal Sheet'!O119+'Sewer Fund  Bal Sheet'!O119</f>
        <v>3185</v>
      </c>
      <c r="P119" s="608">
        <f>'Water Fund  Bal Sheet'!P119+'GF &amp; FF  Bal Sheet'!P119+'Sewer Fund  Bal Sheet'!P119</f>
        <v>3185</v>
      </c>
    </row>
    <row r="120" spans="1:19" ht="11.25" x14ac:dyDescent="0.2">
      <c r="A120" s="654" t="s">
        <v>51</v>
      </c>
      <c r="B120" s="656">
        <f>SUM(B117:B119)</f>
        <v>0</v>
      </c>
      <c r="C120" s="656">
        <f t="shared" ref="C120:E120" si="48">SUM(C117:C119)</f>
        <v>0</v>
      </c>
      <c r="D120" s="656">
        <f t="shared" si="48"/>
        <v>11202</v>
      </c>
      <c r="E120" s="656">
        <f t="shared" si="48"/>
        <v>9701</v>
      </c>
      <c r="F120" s="656">
        <f t="shared" ref="F120:P120" si="49">SUM(F117:F119)</f>
        <v>9692.112000000001</v>
      </c>
      <c r="G120" s="656">
        <f t="shared" si="49"/>
        <v>9646.5889999999999</v>
      </c>
      <c r="H120" s="656">
        <f t="shared" si="49"/>
        <v>9784.8130000000001</v>
      </c>
      <c r="I120" s="656">
        <f t="shared" si="49"/>
        <v>10108.705</v>
      </c>
      <c r="J120" s="656">
        <f t="shared" si="49"/>
        <v>10136.599099999999</v>
      </c>
      <c r="K120" s="656">
        <f t="shared" si="49"/>
        <v>10165.051082</v>
      </c>
      <c r="L120" s="656">
        <f t="shared" si="49"/>
        <v>10166.072103639999</v>
      </c>
      <c r="M120" s="656">
        <f t="shared" si="49"/>
        <v>9864.96743464256</v>
      </c>
      <c r="N120" s="656">
        <f t="shared" si="49"/>
        <v>9887.986783335411</v>
      </c>
      <c r="O120" s="656">
        <f t="shared" si="49"/>
        <v>9911.4665190021187</v>
      </c>
      <c r="P120" s="656">
        <f t="shared" si="49"/>
        <v>8714</v>
      </c>
    </row>
    <row r="121" spans="1:19" ht="11.25" x14ac:dyDescent="0.2">
      <c r="B121" s="608"/>
      <c r="C121" s="608"/>
      <c r="D121" s="608"/>
      <c r="E121" s="608"/>
      <c r="F121" s="608"/>
      <c r="G121" s="608"/>
      <c r="H121" s="608"/>
      <c r="I121" s="608"/>
      <c r="J121" s="608"/>
      <c r="K121" s="608"/>
      <c r="L121" s="608"/>
      <c r="M121" s="608"/>
      <c r="N121" s="608"/>
      <c r="O121" s="608"/>
      <c r="P121" s="608"/>
    </row>
    <row r="122" spans="1:19" ht="11.25" x14ac:dyDescent="0.2">
      <c r="A122" s="654" t="s">
        <v>52</v>
      </c>
      <c r="B122" s="608"/>
      <c r="C122" s="608"/>
      <c r="D122" s="608"/>
      <c r="E122" s="608"/>
      <c r="F122" s="608"/>
      <c r="G122" s="608"/>
      <c r="H122" s="608"/>
      <c r="I122" s="608"/>
      <c r="J122" s="608"/>
      <c r="K122" s="608"/>
      <c r="L122" s="608"/>
      <c r="M122" s="608"/>
      <c r="N122" s="608"/>
      <c r="O122" s="608"/>
      <c r="P122" s="608"/>
    </row>
    <row r="123" spans="1:19" ht="11.25" x14ac:dyDescent="0.2">
      <c r="A123" s="653" t="s">
        <v>49</v>
      </c>
      <c r="B123" s="608"/>
      <c r="C123" s="608"/>
      <c r="D123" s="608">
        <f>D77</f>
        <v>0</v>
      </c>
      <c r="E123" s="608">
        <f>'Water Fund  Bal Sheet'!E123+'GF &amp; FF  Bal Sheet'!E123+'Sewer Fund  Bal Sheet'!E123</f>
        <v>0</v>
      </c>
      <c r="F123" s="608">
        <f>'Water Fund  Bal Sheet'!F123+'GF &amp; FF  Bal Sheet'!F123+'Sewer Fund  Bal Sheet'!F123</f>
        <v>0</v>
      </c>
      <c r="G123" s="608">
        <f>'Water Fund  Bal Sheet'!G123+'GF &amp; FF  Bal Sheet'!G123+'Sewer Fund  Bal Sheet'!G123</f>
        <v>0</v>
      </c>
      <c r="H123" s="608">
        <f>'Water Fund  Bal Sheet'!H123+'GF &amp; FF  Bal Sheet'!H123+'Sewer Fund  Bal Sheet'!H123</f>
        <v>0</v>
      </c>
      <c r="I123" s="608">
        <f>'Water Fund  Bal Sheet'!I123+'GF &amp; FF  Bal Sheet'!I123+'Sewer Fund  Bal Sheet'!I123</f>
        <v>0</v>
      </c>
      <c r="J123" s="608">
        <f>'Water Fund  Bal Sheet'!J123+'GF &amp; FF  Bal Sheet'!J123+'Sewer Fund  Bal Sheet'!J123</f>
        <v>0</v>
      </c>
      <c r="K123" s="608">
        <f>'Water Fund  Bal Sheet'!K123+'GF &amp; FF  Bal Sheet'!K123+'Sewer Fund  Bal Sheet'!K123</f>
        <v>0</v>
      </c>
      <c r="L123" s="608">
        <f>'Water Fund  Bal Sheet'!L123+'GF &amp; FF  Bal Sheet'!L123+'Sewer Fund  Bal Sheet'!L123</f>
        <v>0</v>
      </c>
      <c r="M123" s="608">
        <f>'Water Fund  Bal Sheet'!M123+'GF &amp; FF  Bal Sheet'!M123+'Sewer Fund  Bal Sheet'!M123</f>
        <v>0</v>
      </c>
      <c r="N123" s="608">
        <f>'Water Fund  Bal Sheet'!N123+'GF &amp; FF  Bal Sheet'!N123+'Sewer Fund  Bal Sheet'!N123</f>
        <v>0</v>
      </c>
      <c r="O123" s="608">
        <f>'Water Fund  Bal Sheet'!O123+'GF &amp; FF  Bal Sheet'!O123+'Sewer Fund  Bal Sheet'!O123</f>
        <v>0</v>
      </c>
      <c r="P123" s="608">
        <f>'Water Fund  Bal Sheet'!P123+'GF &amp; FF  Bal Sheet'!P123+'Sewer Fund  Bal Sheet'!P123</f>
        <v>0</v>
      </c>
      <c r="S123" s="608">
        <f>'Water Fund  Bal Sheet'!S123+'GF &amp; FF  Bal Sheet'!S123+'Sewer Fund  Bal Sheet'!S123</f>
        <v>0</v>
      </c>
    </row>
    <row r="124" spans="1:19" ht="11.25" x14ac:dyDescent="0.2">
      <c r="A124" s="653" t="s">
        <v>1051</v>
      </c>
      <c r="B124" s="608"/>
      <c r="C124" s="608"/>
      <c r="D124" s="608">
        <f>D78</f>
        <v>13675</v>
      </c>
      <c r="E124" s="608">
        <f>'Water Fund  Bal Sheet'!E124+'GF &amp; FF  Bal Sheet'!E124+'Sewer Fund  Bal Sheet'!E124</f>
        <v>26393</v>
      </c>
      <c r="F124" s="608">
        <f>'Water Fund  Bal Sheet'!F124+'GF &amp; FF  Bal Sheet'!F124+'Sewer Fund  Bal Sheet'!F124</f>
        <v>44909.55</v>
      </c>
      <c r="G124" s="608">
        <f>'Water Fund  Bal Sheet'!G124+'GF &amp; FF  Bal Sheet'!G124+'Sewer Fund  Bal Sheet'!G124</f>
        <v>61333.142999999996</v>
      </c>
      <c r="H124" s="608">
        <f>'Water Fund  Bal Sheet'!H124+'GF &amp; FF  Bal Sheet'!H124+'Sewer Fund  Bal Sheet'!H124</f>
        <v>70762.330000000016</v>
      </c>
      <c r="I124" s="608">
        <f>'Water Fund  Bal Sheet'!I124+'GF &amp; FF  Bal Sheet'!I124+'Sewer Fund  Bal Sheet'!I124</f>
        <v>80367.625000000015</v>
      </c>
      <c r="J124" s="608">
        <f>'Water Fund  Bal Sheet'!J124+'GF &amp; FF  Bal Sheet'!J124+'Sewer Fund  Bal Sheet'!J124</f>
        <v>78945.025900000008</v>
      </c>
      <c r="K124" s="608">
        <f>'Water Fund  Bal Sheet'!K124+'GF &amp; FF  Bal Sheet'!K124+'Sewer Fund  Bal Sheet'!K124</f>
        <v>77493.974818000017</v>
      </c>
      <c r="L124" s="608">
        <f>'Water Fund  Bal Sheet'!L124+'GF &amp; FF  Bal Sheet'!L124+'Sewer Fund  Bal Sheet'!L124</f>
        <v>76041.902714360011</v>
      </c>
      <c r="M124" s="608">
        <f>'Water Fund  Bal Sheet'!M124+'GF &amp; FF  Bal Sheet'!M124+'Sewer Fund  Bal Sheet'!M124</f>
        <v>74890.935279717451</v>
      </c>
      <c r="N124" s="608">
        <f>'Water Fund  Bal Sheet'!N124+'GF &amp; FF  Bal Sheet'!N124+'Sewer Fund  Bal Sheet'!N124</f>
        <v>73716.948496382043</v>
      </c>
      <c r="O124" s="608">
        <f>'Water Fund  Bal Sheet'!O124+'GF &amp; FF  Bal Sheet'!O124+'Sewer Fund  Bal Sheet'!O124</f>
        <v>72519.48197737991</v>
      </c>
      <c r="P124" s="608">
        <f>'Water Fund  Bal Sheet'!P124+'GF &amp; FF  Bal Sheet'!P124+'Sewer Fund  Bal Sheet'!P124</f>
        <v>72519.48197737991</v>
      </c>
    </row>
    <row r="125" spans="1:19" ht="11.25" x14ac:dyDescent="0.2">
      <c r="A125" s="655" t="s">
        <v>50</v>
      </c>
      <c r="B125" s="615"/>
      <c r="C125" s="608"/>
      <c r="D125" s="608">
        <f t="shared" ref="D125" si="50">D79</f>
        <v>5056</v>
      </c>
      <c r="E125" s="608">
        <f>'Water Fund  Bal Sheet'!E125+'GF &amp; FF  Bal Sheet'!E125+'Sewer Fund  Bal Sheet'!E125</f>
        <v>5284</v>
      </c>
      <c r="F125" s="608">
        <f>'Water Fund  Bal Sheet'!F125+'GF &amp; FF  Bal Sheet'!F125+'Sewer Fund  Bal Sheet'!F125</f>
        <v>5284</v>
      </c>
      <c r="G125" s="608">
        <f>'Water Fund  Bal Sheet'!G125+'GF &amp; FF  Bal Sheet'!G125+'Sewer Fund  Bal Sheet'!G125</f>
        <v>5284</v>
      </c>
      <c r="H125" s="608">
        <f>'Water Fund  Bal Sheet'!H125+'GF &amp; FF  Bal Sheet'!H125+'Sewer Fund  Bal Sheet'!H125</f>
        <v>5284</v>
      </c>
      <c r="I125" s="608">
        <f>'Water Fund  Bal Sheet'!I125+'GF &amp; FF  Bal Sheet'!I125+'Sewer Fund  Bal Sheet'!I125</f>
        <v>5284</v>
      </c>
      <c r="J125" s="608">
        <f>'Water Fund  Bal Sheet'!J125+'GF &amp; FF  Bal Sheet'!J125+'Sewer Fund  Bal Sheet'!J125</f>
        <v>5284</v>
      </c>
      <c r="K125" s="608">
        <f>'Water Fund  Bal Sheet'!K125+'GF &amp; FF  Bal Sheet'!K125+'Sewer Fund  Bal Sheet'!K125</f>
        <v>5284</v>
      </c>
      <c r="L125" s="608">
        <f>'Water Fund  Bal Sheet'!L125+'GF &amp; FF  Bal Sheet'!L125+'Sewer Fund  Bal Sheet'!L125</f>
        <v>5284</v>
      </c>
      <c r="M125" s="608">
        <f>'Water Fund  Bal Sheet'!M125+'GF &amp; FF  Bal Sheet'!M125+'Sewer Fund  Bal Sheet'!M125</f>
        <v>5284</v>
      </c>
      <c r="N125" s="608">
        <f>'Water Fund  Bal Sheet'!N125+'GF &amp; FF  Bal Sheet'!N125+'Sewer Fund  Bal Sheet'!N125</f>
        <v>5284</v>
      </c>
      <c r="O125" s="608">
        <f>'Water Fund  Bal Sheet'!O125+'GF &amp; FF  Bal Sheet'!O125+'Sewer Fund  Bal Sheet'!O125</f>
        <v>5284</v>
      </c>
      <c r="P125" s="608">
        <f>'Water Fund  Bal Sheet'!P125+'GF &amp; FF  Bal Sheet'!P125+'Sewer Fund  Bal Sheet'!P125</f>
        <v>5284</v>
      </c>
    </row>
    <row r="126" spans="1:19" ht="11.25" x14ac:dyDescent="0.2">
      <c r="A126" s="654" t="s">
        <v>53</v>
      </c>
      <c r="B126" s="656">
        <f>SUM(B123:B125)</f>
        <v>0</v>
      </c>
      <c r="C126" s="656">
        <f t="shared" ref="C126:E126" si="51">SUM(C123:C125)</f>
        <v>0</v>
      </c>
      <c r="D126" s="656">
        <f t="shared" si="51"/>
        <v>18731</v>
      </c>
      <c r="E126" s="656">
        <f t="shared" si="51"/>
        <v>31677</v>
      </c>
      <c r="F126" s="656">
        <f t="shared" ref="F126:P126" si="52">SUM(F123:F125)</f>
        <v>50193.55</v>
      </c>
      <c r="G126" s="656">
        <f t="shared" si="52"/>
        <v>66617.142999999996</v>
      </c>
      <c r="H126" s="656">
        <f t="shared" si="52"/>
        <v>76046.330000000016</v>
      </c>
      <c r="I126" s="656">
        <f t="shared" si="52"/>
        <v>85651.625000000015</v>
      </c>
      <c r="J126" s="656">
        <f t="shared" si="52"/>
        <v>84229.025900000008</v>
      </c>
      <c r="K126" s="656">
        <f t="shared" si="52"/>
        <v>82777.974818000017</v>
      </c>
      <c r="L126" s="656">
        <f t="shared" si="52"/>
        <v>81325.902714360011</v>
      </c>
      <c r="M126" s="656">
        <f t="shared" si="52"/>
        <v>80174.935279717451</v>
      </c>
      <c r="N126" s="656">
        <f t="shared" si="52"/>
        <v>79000.948496382043</v>
      </c>
      <c r="O126" s="656">
        <f t="shared" si="52"/>
        <v>77803.48197737991</v>
      </c>
      <c r="P126" s="656">
        <f t="shared" si="52"/>
        <v>77803.48197737991</v>
      </c>
    </row>
    <row r="127" spans="1:19" ht="11.25" x14ac:dyDescent="0.2">
      <c r="B127" s="608"/>
      <c r="C127" s="608"/>
      <c r="D127" s="608"/>
      <c r="E127" s="608"/>
      <c r="F127" s="608"/>
      <c r="G127" s="608"/>
      <c r="H127" s="608"/>
      <c r="I127" s="608"/>
      <c r="J127" s="608"/>
      <c r="K127" s="608"/>
      <c r="L127" s="608"/>
      <c r="M127" s="608"/>
      <c r="N127" s="608"/>
      <c r="O127" s="608"/>
      <c r="P127" s="608"/>
    </row>
    <row r="128" spans="1:19" ht="12" thickBot="1" x14ac:dyDescent="0.25">
      <c r="A128" s="654" t="s">
        <v>54</v>
      </c>
      <c r="B128" s="665">
        <f>+B120+B126</f>
        <v>0</v>
      </c>
      <c r="C128" s="665">
        <f t="shared" ref="C128" si="53">+C120+C126</f>
        <v>0</v>
      </c>
      <c r="D128" s="608">
        <f t="shared" ref="D128" si="54">D82</f>
        <v>29933</v>
      </c>
      <c r="E128" s="665">
        <f t="shared" ref="E128" si="55">+E120+E126</f>
        <v>41378</v>
      </c>
      <c r="F128" s="665">
        <f t="shared" ref="F128:P128" si="56">+F120+F126</f>
        <v>59885.662000000004</v>
      </c>
      <c r="G128" s="665">
        <f t="shared" si="56"/>
        <v>76263.731999999989</v>
      </c>
      <c r="H128" s="665">
        <f t="shared" si="56"/>
        <v>85831.143000000011</v>
      </c>
      <c r="I128" s="665">
        <f t="shared" si="56"/>
        <v>95760.330000000016</v>
      </c>
      <c r="J128" s="665">
        <f t="shared" si="56"/>
        <v>94365.625</v>
      </c>
      <c r="K128" s="665">
        <f t="shared" si="56"/>
        <v>92943.025900000022</v>
      </c>
      <c r="L128" s="665">
        <f t="shared" si="56"/>
        <v>91491.974818000017</v>
      </c>
      <c r="M128" s="665">
        <f t="shared" si="56"/>
        <v>90039.902714360011</v>
      </c>
      <c r="N128" s="665">
        <f t="shared" si="56"/>
        <v>88888.935279717451</v>
      </c>
      <c r="O128" s="665">
        <f t="shared" si="56"/>
        <v>87714.948496382029</v>
      </c>
      <c r="P128" s="665">
        <f t="shared" si="56"/>
        <v>86517.48197737991</v>
      </c>
    </row>
    <row r="129" spans="1:16" ht="12" thickBot="1" x14ac:dyDescent="0.25">
      <c r="A129" s="654" t="s">
        <v>55</v>
      </c>
      <c r="B129" s="668">
        <f>+B113-B128</f>
        <v>0</v>
      </c>
      <c r="C129" s="668">
        <f t="shared" ref="C129:E129" si="57">+C113-C128</f>
        <v>0</v>
      </c>
      <c r="D129" s="668">
        <f t="shared" si="57"/>
        <v>592092</v>
      </c>
      <c r="E129" s="668">
        <f t="shared" si="57"/>
        <v>609228</v>
      </c>
      <c r="F129" s="668">
        <f t="shared" ref="F129:P129" si="58">+F113-F128</f>
        <v>614160.05099999986</v>
      </c>
      <c r="G129" s="668">
        <f t="shared" si="58"/>
        <v>628658.46849999984</v>
      </c>
      <c r="H129" s="668">
        <f t="shared" si="58"/>
        <v>633979.09979349992</v>
      </c>
      <c r="I129" s="668">
        <f t="shared" si="58"/>
        <v>643160.1286431374</v>
      </c>
      <c r="J129" s="668">
        <f t="shared" si="58"/>
        <v>647956.00826596736</v>
      </c>
      <c r="K129" s="668">
        <f t="shared" si="58"/>
        <v>652111.72707135649</v>
      </c>
      <c r="L129" s="668">
        <f t="shared" si="58"/>
        <v>656374.31525194447</v>
      </c>
      <c r="M129" s="668">
        <f t="shared" si="58"/>
        <v>660345.71110321756</v>
      </c>
      <c r="N129" s="668">
        <f t="shared" si="58"/>
        <v>664391.2798931587</v>
      </c>
      <c r="O129" s="668">
        <f t="shared" si="58"/>
        <v>667227.6104877711</v>
      </c>
      <c r="P129" s="668">
        <f t="shared" si="58"/>
        <v>668063.73570647836</v>
      </c>
    </row>
    <row r="130" spans="1:16" ht="12" thickTop="1" x14ac:dyDescent="0.2">
      <c r="B130" s="608"/>
      <c r="C130" s="608"/>
      <c r="D130" s="608"/>
      <c r="E130" s="608"/>
      <c r="F130" s="608"/>
      <c r="G130" s="608"/>
      <c r="H130" s="608"/>
      <c r="I130" s="608"/>
      <c r="J130" s="608"/>
      <c r="K130" s="608"/>
      <c r="L130" s="608"/>
      <c r="M130" s="608"/>
      <c r="N130" s="608"/>
      <c r="O130" s="608"/>
      <c r="P130" s="608"/>
    </row>
    <row r="131" spans="1:16" ht="11.25" x14ac:dyDescent="0.2">
      <c r="A131" s="654" t="s">
        <v>56</v>
      </c>
      <c r="B131" s="608"/>
      <c r="C131" s="608"/>
      <c r="D131" s="608"/>
      <c r="E131" s="608"/>
      <c r="F131" s="608"/>
      <c r="G131" s="608"/>
      <c r="H131" s="608"/>
      <c r="I131" s="608"/>
      <c r="J131" s="608"/>
      <c r="K131" s="608"/>
      <c r="L131" s="608"/>
      <c r="M131" s="608"/>
      <c r="N131" s="608"/>
      <c r="O131" s="608"/>
      <c r="P131" s="608"/>
    </row>
    <row r="132" spans="1:16" ht="11.25" x14ac:dyDescent="0.2">
      <c r="A132" s="653" t="s">
        <v>57</v>
      </c>
      <c r="B132" s="608"/>
      <c r="C132" s="608"/>
      <c r="D132" s="608">
        <f>D86</f>
        <v>291432</v>
      </c>
      <c r="E132" s="608">
        <f>'Water Fund  Bal Sheet'!E132+'GF &amp; FF  Bal Sheet'!E132+'Sewer Fund  Bal Sheet'!E132</f>
        <v>306238</v>
      </c>
      <c r="F132" s="608">
        <f>'Water Fund  Bal Sheet'!F132+'GF &amp; FF  Bal Sheet'!F132+'Sewer Fund  Bal Sheet'!F132</f>
        <v>311170.05100000004</v>
      </c>
      <c r="G132" s="608">
        <f>'Water Fund  Bal Sheet'!G132+'GF &amp; FF  Bal Sheet'!G132+'Sewer Fund  Bal Sheet'!G132</f>
        <v>325668.46850000002</v>
      </c>
      <c r="H132" s="608">
        <f>'Water Fund  Bal Sheet'!H132+'GF &amp; FF  Bal Sheet'!H132+'Sewer Fund  Bal Sheet'!H132</f>
        <v>330989.09979350003</v>
      </c>
      <c r="I132" s="608">
        <f>'Water Fund  Bal Sheet'!I132+'GF &amp; FF  Bal Sheet'!I132+'Sewer Fund  Bal Sheet'!I132</f>
        <v>340170.12864313758</v>
      </c>
      <c r="J132" s="608">
        <f>'Water Fund  Bal Sheet'!J132+'GF &amp; FF  Bal Sheet'!J132+'Sewer Fund  Bal Sheet'!J132</f>
        <v>344966.00826596748</v>
      </c>
      <c r="K132" s="608">
        <f>'Water Fund  Bal Sheet'!K132+'GF &amp; FF  Bal Sheet'!K132+'Sewer Fund  Bal Sheet'!K132</f>
        <v>349121.72707135649</v>
      </c>
      <c r="L132" s="608">
        <f>'Water Fund  Bal Sheet'!L132+'GF &amp; FF  Bal Sheet'!L132+'Sewer Fund  Bal Sheet'!L132</f>
        <v>353384.31525194435</v>
      </c>
      <c r="M132" s="608">
        <f>'Water Fund  Bal Sheet'!M132+'GF &amp; FF  Bal Sheet'!M132+'Sewer Fund  Bal Sheet'!M132</f>
        <v>357355.71110321768</v>
      </c>
      <c r="N132" s="608">
        <f>'Water Fund  Bal Sheet'!N132+'GF &amp; FF  Bal Sheet'!N132+'Sewer Fund  Bal Sheet'!N132</f>
        <v>361401.27989315882</v>
      </c>
      <c r="O132" s="608">
        <f>'Water Fund  Bal Sheet'!O132+'GF &amp; FF  Bal Sheet'!O132+'Sewer Fund  Bal Sheet'!O132</f>
        <v>364237.61048777122</v>
      </c>
      <c r="P132" s="608">
        <f>'Water Fund  Bal Sheet'!P132+'GF &amp; FF  Bal Sheet'!P132+'Sewer Fund  Bal Sheet'!P132</f>
        <v>365073.73570647842</v>
      </c>
    </row>
    <row r="133" spans="1:16" ht="12" thickBot="1" x14ac:dyDescent="0.25">
      <c r="A133" s="653" t="s">
        <v>58</v>
      </c>
      <c r="B133" s="669"/>
      <c r="C133" s="669"/>
      <c r="D133" s="608">
        <f>D87</f>
        <v>300660</v>
      </c>
      <c r="E133" s="608">
        <f>'Water Fund  Bal Sheet'!E133+'GF &amp; FF  Bal Sheet'!E133+'Sewer Fund  Bal Sheet'!E133</f>
        <v>302990</v>
      </c>
      <c r="F133" s="608">
        <f>'Water Fund  Bal Sheet'!F133+'GF &amp; FF  Bal Sheet'!F133+'Sewer Fund  Bal Sheet'!F133</f>
        <v>302990</v>
      </c>
      <c r="G133" s="608">
        <f>'Water Fund  Bal Sheet'!G133+'GF &amp; FF  Bal Sheet'!G133+'Sewer Fund  Bal Sheet'!G133</f>
        <v>302990</v>
      </c>
      <c r="H133" s="608">
        <f>'Water Fund  Bal Sheet'!H133+'GF &amp; FF  Bal Sheet'!H133+'Sewer Fund  Bal Sheet'!H133</f>
        <v>302990</v>
      </c>
      <c r="I133" s="608">
        <f>'Water Fund  Bal Sheet'!I133+'GF &amp; FF  Bal Sheet'!I133+'Sewer Fund  Bal Sheet'!I133</f>
        <v>302990</v>
      </c>
      <c r="J133" s="608">
        <f>'Water Fund  Bal Sheet'!J133+'GF &amp; FF  Bal Sheet'!J133+'Sewer Fund  Bal Sheet'!J133</f>
        <v>302990</v>
      </c>
      <c r="K133" s="608">
        <f>'Water Fund  Bal Sheet'!K133+'GF &amp; FF  Bal Sheet'!K133+'Sewer Fund  Bal Sheet'!K133</f>
        <v>302990</v>
      </c>
      <c r="L133" s="608">
        <f>'Water Fund  Bal Sheet'!L133+'GF &amp; FF  Bal Sheet'!L133+'Sewer Fund  Bal Sheet'!L133</f>
        <v>302990</v>
      </c>
      <c r="M133" s="608">
        <f>'Water Fund  Bal Sheet'!M133+'GF &amp; FF  Bal Sheet'!M133+'Sewer Fund  Bal Sheet'!M133</f>
        <v>302990</v>
      </c>
      <c r="N133" s="608">
        <f>'Water Fund  Bal Sheet'!N133+'GF &amp; FF  Bal Sheet'!N133+'Sewer Fund  Bal Sheet'!N133</f>
        <v>302990</v>
      </c>
      <c r="O133" s="608">
        <f>'Water Fund  Bal Sheet'!O133+'GF &amp; FF  Bal Sheet'!O133+'Sewer Fund  Bal Sheet'!O133</f>
        <v>302990</v>
      </c>
      <c r="P133" s="608">
        <f>'Water Fund  Bal Sheet'!P133+'GF &amp; FF  Bal Sheet'!P133+'Sewer Fund  Bal Sheet'!P133</f>
        <v>302990</v>
      </c>
    </row>
    <row r="134" spans="1:16" ht="12" thickBot="1" x14ac:dyDescent="0.25">
      <c r="A134" s="654" t="s">
        <v>59</v>
      </c>
      <c r="B134" s="668">
        <f>SUM(B132:B133)</f>
        <v>0</v>
      </c>
      <c r="C134" s="668">
        <f t="shared" ref="C134:E134" si="59">SUM(C132:C133)</f>
        <v>0</v>
      </c>
      <c r="D134" s="668">
        <f t="shared" si="59"/>
        <v>592092</v>
      </c>
      <c r="E134" s="668">
        <f t="shared" si="59"/>
        <v>609228</v>
      </c>
      <c r="F134" s="668">
        <f t="shared" ref="F134:P134" si="60">SUM(F132:F133)</f>
        <v>614160.05099999998</v>
      </c>
      <c r="G134" s="668">
        <f t="shared" si="60"/>
        <v>628658.46849999996</v>
      </c>
      <c r="H134" s="668">
        <f t="shared" si="60"/>
        <v>633979.09979350003</v>
      </c>
      <c r="I134" s="668">
        <f t="shared" si="60"/>
        <v>643160.12864313764</v>
      </c>
      <c r="J134" s="668">
        <f t="shared" si="60"/>
        <v>647956.00826596748</v>
      </c>
      <c r="K134" s="668">
        <f t="shared" si="60"/>
        <v>652111.72707135649</v>
      </c>
      <c r="L134" s="668">
        <f t="shared" si="60"/>
        <v>656374.31525194435</v>
      </c>
      <c r="M134" s="668">
        <f t="shared" si="60"/>
        <v>660345.71110321768</v>
      </c>
      <c r="N134" s="668">
        <f t="shared" si="60"/>
        <v>664391.27989315882</v>
      </c>
      <c r="O134" s="668">
        <f t="shared" si="60"/>
        <v>667227.61048777122</v>
      </c>
      <c r="P134" s="668">
        <f t="shared" si="60"/>
        <v>668063.73570647836</v>
      </c>
    </row>
    <row r="135" spans="1:16" ht="12" thickTop="1" x14ac:dyDescent="0.2">
      <c r="B135" s="608"/>
      <c r="C135" s="608"/>
      <c r="D135" s="608"/>
      <c r="E135" s="608"/>
      <c r="F135" s="608"/>
      <c r="G135" s="608"/>
      <c r="H135" s="608"/>
      <c r="I135" s="608"/>
      <c r="J135" s="608"/>
      <c r="K135" s="608"/>
      <c r="L135" s="608"/>
      <c r="M135" s="608"/>
      <c r="N135" s="608"/>
      <c r="O135" s="608"/>
      <c r="P135" s="608"/>
    </row>
    <row r="136" spans="1:16" ht="11.25" x14ac:dyDescent="0.2">
      <c r="A136" s="653" t="s">
        <v>111</v>
      </c>
      <c r="B136" s="621">
        <f>+B129-B134</f>
        <v>0</v>
      </c>
      <c r="C136" s="621">
        <f t="shared" ref="C136:P136" si="61">+C129-C134</f>
        <v>0</v>
      </c>
      <c r="D136" s="621">
        <f t="shared" si="61"/>
        <v>0</v>
      </c>
      <c r="E136" s="621">
        <f t="shared" si="61"/>
        <v>0</v>
      </c>
      <c r="F136" s="621">
        <f t="shared" si="61"/>
        <v>0</v>
      </c>
      <c r="G136" s="621">
        <f t="shared" si="61"/>
        <v>0</v>
      </c>
      <c r="H136" s="621">
        <f t="shared" si="61"/>
        <v>0</v>
      </c>
      <c r="I136" s="621">
        <f t="shared" si="61"/>
        <v>0</v>
      </c>
      <c r="J136" s="621">
        <f t="shared" si="61"/>
        <v>0</v>
      </c>
      <c r="K136" s="621">
        <f t="shared" si="61"/>
        <v>0</v>
      </c>
      <c r="L136" s="621">
        <f t="shared" si="61"/>
        <v>0</v>
      </c>
      <c r="M136" s="621">
        <f t="shared" si="61"/>
        <v>0</v>
      </c>
      <c r="N136" s="621">
        <f t="shared" si="61"/>
        <v>0</v>
      </c>
      <c r="O136" s="621">
        <f t="shared" si="61"/>
        <v>0</v>
      </c>
      <c r="P136" s="621">
        <f t="shared" si="61"/>
        <v>0</v>
      </c>
    </row>
    <row r="137" spans="1:16" ht="11.25" x14ac:dyDescent="0.2">
      <c r="A137" s="653" t="s">
        <v>112</v>
      </c>
      <c r="B137" s="621">
        <f>+B134-'GF &amp; FF  Equity Statement'!B101</f>
        <v>0</v>
      </c>
      <c r="C137" s="621">
        <f>+C134-'GF &amp; FF  Equity Statement'!C101</f>
        <v>0</v>
      </c>
      <c r="D137" s="621">
        <f>+D134-'Consol  Equity Statement'!D101</f>
        <v>0</v>
      </c>
      <c r="E137" s="621">
        <f>+E134-'Consol  Equity Statement'!E101</f>
        <v>0</v>
      </c>
      <c r="F137" s="621">
        <f>+F134-'Consol  Equity Statement'!F101</f>
        <v>0</v>
      </c>
      <c r="G137" s="621">
        <f>+G134-'Consol  Equity Statement'!G101</f>
        <v>0</v>
      </c>
      <c r="H137" s="621">
        <f>+H134-'Consol  Equity Statement'!H101</f>
        <v>0</v>
      </c>
      <c r="I137" s="621">
        <f>+I134-'Consol  Equity Statement'!I101</f>
        <v>0</v>
      </c>
      <c r="J137" s="621">
        <f>+J134-'Consol  Equity Statement'!J101</f>
        <v>0</v>
      </c>
      <c r="K137" s="621">
        <f>+K134-'Consol  Equity Statement'!K101</f>
        <v>0</v>
      </c>
      <c r="L137" s="621">
        <f>+L134-'Consol  Equity Statement'!L101</f>
        <v>0</v>
      </c>
      <c r="M137" s="621">
        <f>+M134-'Consol  Equity Statement'!M101</f>
        <v>0</v>
      </c>
      <c r="N137" s="621">
        <f>+N134-'Consol  Equity Statement'!N101</f>
        <v>0</v>
      </c>
      <c r="O137" s="621">
        <f>+O134-'Consol  Equity Statement'!O101</f>
        <v>0</v>
      </c>
      <c r="P137" s="621">
        <f>+P134-'Consol  Equity Statement'!P101</f>
        <v>0</v>
      </c>
    </row>
  </sheetData>
  <pageMargins left="0.70866141732283472" right="0.70866141732283472" top="0.74803149606299213" bottom="0.74803149606299213" header="0.31496062992125984" footer="0.31496062992125984"/>
  <pageSetup paperSize="9" scale="94" fitToHeight="0" orientation="landscape" r:id="rId1"/>
  <rowBreaks count="2" manualBreakCount="2">
    <brk id="43" max="16383" man="1"/>
    <brk id="8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B2:K124"/>
  <sheetViews>
    <sheetView topLeftCell="D14" zoomScaleNormal="100" zoomScalePageLayoutView="90" workbookViewId="0">
      <selection activeCell="E108" sqref="E108"/>
    </sheetView>
  </sheetViews>
  <sheetFormatPr defaultColWidth="8.88671875" defaultRowHeight="14.4" outlineLevelRow="1" x14ac:dyDescent="0.3"/>
  <cols>
    <col min="1" max="1" width="8.88671875" style="221"/>
    <col min="2" max="2" width="51.33203125" style="221" customWidth="1"/>
    <col min="3" max="3" width="23.44140625" style="221" customWidth="1"/>
    <col min="4" max="4" width="17.33203125" style="221" customWidth="1"/>
    <col min="5" max="5" width="17" style="221" customWidth="1"/>
    <col min="6" max="6" width="9.44140625" style="221" hidden="1" customWidth="1"/>
    <col min="7" max="7" width="16.88671875" style="221" customWidth="1"/>
    <col min="8" max="9" width="8.88671875" style="221"/>
    <col min="10" max="10" width="48.33203125" style="221" customWidth="1"/>
    <col min="11" max="11" width="15.109375" style="221" customWidth="1"/>
    <col min="12" max="12" width="11.6640625" style="221" customWidth="1"/>
    <col min="13" max="16384" width="8.88671875" style="221"/>
  </cols>
  <sheetData>
    <row r="2" spans="2:11" ht="15.75" thickBot="1" x14ac:dyDescent="0.3">
      <c r="J2" s="555"/>
    </row>
    <row r="3" spans="2:11" ht="15.75" thickBot="1" x14ac:dyDescent="0.3">
      <c r="B3" s="556" t="s">
        <v>1016</v>
      </c>
      <c r="C3" s="557"/>
      <c r="J3" s="558"/>
    </row>
    <row r="4" spans="2:11" ht="21.75" thickBot="1" x14ac:dyDescent="0.4">
      <c r="J4" s="559" t="s">
        <v>998</v>
      </c>
      <c r="K4" s="560" t="s">
        <v>1017</v>
      </c>
    </row>
    <row r="5" spans="2:11" ht="15" hidden="1" outlineLevel="1" x14ac:dyDescent="0.25">
      <c r="B5" s="561" t="s">
        <v>1018</v>
      </c>
      <c r="C5" s="562"/>
      <c r="D5" s="562"/>
      <c r="E5" s="562"/>
      <c r="F5" s="562"/>
      <c r="G5" s="563"/>
      <c r="J5" s="564" t="s">
        <v>1019</v>
      </c>
      <c r="K5" s="565">
        <v>-2.9474827543573864E-3</v>
      </c>
    </row>
    <row r="6" spans="2:11" ht="15" hidden="1" outlineLevel="1" x14ac:dyDescent="0.25">
      <c r="B6" s="566"/>
      <c r="C6" s="567"/>
      <c r="D6" s="568" t="s">
        <v>1045</v>
      </c>
      <c r="E6" s="568" t="s">
        <v>1020</v>
      </c>
      <c r="F6" s="568"/>
      <c r="G6" s="569"/>
      <c r="J6" s="570" t="s">
        <v>1021</v>
      </c>
      <c r="K6" s="571">
        <v>0.87933028144639569</v>
      </c>
    </row>
    <row r="7" spans="2:11" ht="15" hidden="1" outlineLevel="1" x14ac:dyDescent="0.25">
      <c r="B7" s="566"/>
      <c r="C7" s="572" t="s">
        <v>1022</v>
      </c>
      <c r="D7" s="573" t="b">
        <v>1</v>
      </c>
      <c r="E7" s="573" t="b">
        <v>0</v>
      </c>
      <c r="F7" s="574">
        <f>IF(D7=TRUE,1,2)</f>
        <v>1</v>
      </c>
      <c r="G7" s="574" t="str">
        <f>IF(D7=TRUE,D6,E6)</f>
        <v>Muswellbrook</v>
      </c>
      <c r="J7" s="570" t="s">
        <v>1023</v>
      </c>
      <c r="K7" s="571">
        <v>1.0285055255192777</v>
      </c>
    </row>
    <row r="8" spans="2:11" ht="15.75" hidden="1" outlineLevel="1" thickBot="1" x14ac:dyDescent="0.3">
      <c r="B8" s="575"/>
      <c r="C8" s="576" t="s">
        <v>1024</v>
      </c>
      <c r="D8" s="577" t="b">
        <v>1</v>
      </c>
      <c r="E8" s="577" t="b">
        <v>0</v>
      </c>
      <c r="F8" s="574">
        <f>IF(D8=TRUE,1,2)</f>
        <v>1</v>
      </c>
      <c r="G8" s="574" t="str">
        <f>IF(D8=TRUE,D6,E6)</f>
        <v>Muswellbrook</v>
      </c>
      <c r="J8" s="570" t="s">
        <v>1002</v>
      </c>
      <c r="K8" s="578">
        <v>1.364160037481609E-2</v>
      </c>
    </row>
    <row r="9" spans="2:11" ht="15.75" hidden="1" outlineLevel="1" thickBot="1" x14ac:dyDescent="0.3">
      <c r="J9" s="570" t="s">
        <v>1025</v>
      </c>
      <c r="K9" s="579">
        <v>1.0725317208550902</v>
      </c>
    </row>
    <row r="10" spans="2:11" ht="16.5" hidden="1" customHeight="1" outlineLevel="1" x14ac:dyDescent="0.25">
      <c r="B10" s="561" t="s">
        <v>1026</v>
      </c>
      <c r="C10" s="562"/>
      <c r="D10" s="562"/>
      <c r="E10" s="562"/>
      <c r="F10" s="562"/>
      <c r="G10" s="563"/>
      <c r="J10" s="570" t="s">
        <v>440</v>
      </c>
      <c r="K10" s="571">
        <v>0</v>
      </c>
    </row>
    <row r="11" spans="2:11" ht="16.5" hidden="1" customHeight="1" outlineLevel="1" thickBot="1" x14ac:dyDescent="0.3">
      <c r="B11" s="566"/>
      <c r="C11" s="567"/>
      <c r="D11" s="568" t="s">
        <v>1027</v>
      </c>
      <c r="E11" s="568"/>
      <c r="F11" s="568"/>
      <c r="G11" s="580"/>
      <c r="J11" s="581" t="s">
        <v>1028</v>
      </c>
      <c r="K11" s="582">
        <v>627.00201858856053</v>
      </c>
    </row>
    <row r="12" spans="2:11" ht="15.75" hidden="1" outlineLevel="1" thickBot="1" x14ac:dyDescent="0.3">
      <c r="B12" s="575"/>
      <c r="C12" s="583"/>
      <c r="D12" s="577" t="b">
        <v>1</v>
      </c>
      <c r="E12" s="577"/>
      <c r="F12" s="584">
        <f>IF(D12=TRUE,1,2)</f>
        <v>1</v>
      </c>
      <c r="G12" s="584" t="str">
        <f>IF(D12=TRUE,"INCLUDED","NOT INCLUDED")</f>
        <v>INCLUDED</v>
      </c>
    </row>
    <row r="13" spans="2:11" ht="15" hidden="1" x14ac:dyDescent="0.25"/>
    <row r="15" spans="2:11" ht="15" hidden="1" outlineLevel="1" x14ac:dyDescent="0.25"/>
    <row r="16" spans="2:11" ht="15" hidden="1" outlineLevel="1" x14ac:dyDescent="0.25"/>
    <row r="17" ht="15" hidden="1" outlineLevel="1" x14ac:dyDescent="0.25"/>
    <row r="18" ht="15" hidden="1" outlineLevel="1" x14ac:dyDescent="0.25"/>
    <row r="19" ht="15" hidden="1" outlineLevel="1" x14ac:dyDescent="0.25"/>
    <row r="20" ht="15" hidden="1" outlineLevel="1" x14ac:dyDescent="0.25"/>
    <row r="21" ht="15" hidden="1" outlineLevel="1" x14ac:dyDescent="0.25"/>
    <row r="22" ht="15" hidden="1" outlineLevel="1" x14ac:dyDescent="0.25"/>
    <row r="23" ht="15" hidden="1" outlineLevel="1" x14ac:dyDescent="0.25"/>
    <row r="24" ht="15" hidden="1" outlineLevel="1" x14ac:dyDescent="0.25"/>
    <row r="25" ht="15" hidden="1" outlineLevel="1" x14ac:dyDescent="0.25"/>
    <row r="26" ht="15" hidden="1" outlineLevel="1" x14ac:dyDescent="0.25"/>
    <row r="27" ht="15" hidden="1" outlineLevel="1" x14ac:dyDescent="0.25"/>
    <row r="28" ht="15" hidden="1" outlineLevel="1" x14ac:dyDescent="0.25"/>
    <row r="29" ht="15" hidden="1" outlineLevel="1" x14ac:dyDescent="0.25"/>
    <row r="30" ht="15" hidden="1" outlineLevel="1" x14ac:dyDescent="0.25"/>
    <row r="31" ht="15" hidden="1" outlineLevel="1" x14ac:dyDescent="0.25"/>
    <row r="32" ht="15" hidden="1" outlineLevel="1" x14ac:dyDescent="0.25"/>
    <row r="33" ht="15" hidden="1" outlineLevel="1" x14ac:dyDescent="0.25"/>
    <row r="34" ht="15" hidden="1" outlineLevel="1" x14ac:dyDescent="0.25"/>
    <row r="35" ht="15" hidden="1" outlineLevel="1" x14ac:dyDescent="0.25"/>
    <row r="36" ht="15" hidden="1" outlineLevel="1" x14ac:dyDescent="0.25"/>
    <row r="37" ht="15" hidden="1" outlineLevel="1" x14ac:dyDescent="0.25"/>
    <row r="38" ht="15" hidden="1" outlineLevel="1" x14ac:dyDescent="0.25"/>
    <row r="39" ht="15" hidden="1" outlineLevel="1" x14ac:dyDescent="0.25"/>
    <row r="40" ht="15" hidden="1" outlineLevel="1" x14ac:dyDescent="0.25"/>
    <row r="41" ht="15" hidden="1" outlineLevel="1" x14ac:dyDescent="0.25"/>
    <row r="42" ht="15" hidden="1" outlineLevel="1" x14ac:dyDescent="0.25"/>
    <row r="43" ht="15" hidden="1" outlineLevel="1" x14ac:dyDescent="0.25"/>
    <row r="44" ht="15" hidden="1" outlineLevel="1" x14ac:dyDescent="0.25"/>
    <row r="45" ht="15" hidden="1" outlineLevel="1" x14ac:dyDescent="0.25"/>
    <row r="46" ht="15" hidden="1" outlineLevel="1" x14ac:dyDescent="0.25"/>
    <row r="47" ht="15" hidden="1" outlineLevel="1" x14ac:dyDescent="0.25"/>
    <row r="48" ht="15" hidden="1" outlineLevel="1" x14ac:dyDescent="0.25"/>
    <row r="49" ht="15" hidden="1" outlineLevel="1" x14ac:dyDescent="0.25"/>
    <row r="50" ht="15" hidden="1" outlineLevel="1" x14ac:dyDescent="0.25"/>
    <row r="51" ht="15" hidden="1" outlineLevel="1" x14ac:dyDescent="0.25"/>
    <row r="52" ht="15" hidden="1" outlineLevel="1" x14ac:dyDescent="0.25"/>
    <row r="53" ht="15" hidden="1" outlineLevel="1" x14ac:dyDescent="0.25"/>
    <row r="54" ht="15" hidden="1" outlineLevel="1" x14ac:dyDescent="0.25"/>
    <row r="55" ht="15" hidden="1" outlineLevel="1" x14ac:dyDescent="0.25"/>
    <row r="56" ht="15" hidden="1" outlineLevel="1" x14ac:dyDescent="0.25"/>
    <row r="57" ht="15" hidden="1" outlineLevel="1" x14ac:dyDescent="0.25"/>
    <row r="58" ht="15" hidden="1" outlineLevel="1" x14ac:dyDescent="0.25"/>
    <row r="59" ht="15" hidden="1" outlineLevel="1" x14ac:dyDescent="0.25"/>
    <row r="60" ht="15" hidden="1" outlineLevel="1" x14ac:dyDescent="0.25"/>
    <row r="61" ht="15" hidden="1" outlineLevel="1" x14ac:dyDescent="0.25"/>
    <row r="62" ht="15" hidden="1" outlineLevel="1" x14ac:dyDescent="0.25"/>
    <row r="63" ht="15" hidden="1" outlineLevel="1" x14ac:dyDescent="0.25"/>
    <row r="64" ht="15" hidden="1" outlineLevel="1" x14ac:dyDescent="0.25"/>
    <row r="65" ht="15" hidden="1" outlineLevel="1" x14ac:dyDescent="0.25"/>
    <row r="66" ht="15" hidden="1" outlineLevel="1" x14ac:dyDescent="0.25"/>
    <row r="67" ht="15" hidden="1" outlineLevel="1" x14ac:dyDescent="0.25"/>
    <row r="68" ht="15" hidden="1" outlineLevel="1" x14ac:dyDescent="0.25"/>
    <row r="69" ht="15" hidden="1" outlineLevel="1" x14ac:dyDescent="0.25"/>
    <row r="70" ht="15" hidden="1" outlineLevel="1" x14ac:dyDescent="0.25"/>
    <row r="71" ht="15" hidden="1" outlineLevel="1" x14ac:dyDescent="0.25"/>
    <row r="72" ht="15" hidden="1" outlineLevel="1" x14ac:dyDescent="0.25"/>
    <row r="73" ht="15" hidden="1" outlineLevel="1" x14ac:dyDescent="0.25"/>
    <row r="74" ht="15" hidden="1" outlineLevel="1" x14ac:dyDescent="0.25"/>
    <row r="75" ht="15" hidden="1" outlineLevel="1" x14ac:dyDescent="0.25"/>
    <row r="76" ht="15" hidden="1" outlineLevel="1" x14ac:dyDescent="0.25"/>
    <row r="77" ht="15" hidden="1" outlineLevel="1" x14ac:dyDescent="0.25"/>
    <row r="78" ht="15" hidden="1" outlineLevel="1" x14ac:dyDescent="0.25"/>
    <row r="79" ht="15" hidden="1" outlineLevel="1" x14ac:dyDescent="0.25"/>
    <row r="80" ht="15" hidden="1" outlineLevel="1" x14ac:dyDescent="0.25"/>
    <row r="81" spans="2:2" ht="15" hidden="1" outlineLevel="1" x14ac:dyDescent="0.25"/>
    <row r="82" spans="2:2" ht="15" hidden="1" outlineLevel="1" x14ac:dyDescent="0.25"/>
    <row r="83" spans="2:2" ht="15" hidden="1" outlineLevel="1" x14ac:dyDescent="0.25"/>
    <row r="84" spans="2:2" ht="15" hidden="1" outlineLevel="1" x14ac:dyDescent="0.25"/>
    <row r="85" spans="2:2" ht="15" hidden="1" outlineLevel="1" x14ac:dyDescent="0.25"/>
    <row r="86" spans="2:2" ht="15" hidden="1" outlineLevel="1" x14ac:dyDescent="0.25"/>
    <row r="87" spans="2:2" ht="15" hidden="1" outlineLevel="1" x14ac:dyDescent="0.25"/>
    <row r="88" spans="2:2" ht="15" hidden="1" outlineLevel="1" x14ac:dyDescent="0.25"/>
    <row r="89" spans="2:2" ht="15" hidden="1" outlineLevel="1" x14ac:dyDescent="0.25"/>
    <row r="90" spans="2:2" ht="23.25" collapsed="1" x14ac:dyDescent="0.35">
      <c r="B90" s="331" t="s">
        <v>1316</v>
      </c>
    </row>
    <row r="124" spans="2:2" x14ac:dyDescent="0.3">
      <c r="B124" s="221" t="s">
        <v>1029</v>
      </c>
    </row>
  </sheetData>
  <conditionalFormatting sqref="K11">
    <cfRule type="iconSet" priority="7">
      <iconSet iconSet="3Symbols2">
        <cfvo type="percent" val="0"/>
        <cfvo type="num" val="0" gte="0"/>
        <cfvo type="num" val="0" gte="0"/>
      </iconSet>
    </cfRule>
  </conditionalFormatting>
  <conditionalFormatting sqref="K5">
    <cfRule type="iconSet" priority="1">
      <iconSet iconSet="3Symbols2">
        <cfvo type="percent" val="0"/>
        <cfvo type="num" val="0" gte="0"/>
        <cfvo type="num" val="0" gte="0"/>
      </iconSet>
    </cfRule>
  </conditionalFormatting>
  <conditionalFormatting sqref="K8">
    <cfRule type="iconSet" priority="2">
      <iconSet iconSet="3Symbols2" reverse="1">
        <cfvo type="percent" val="0"/>
        <cfvo type="num" val="0.02" gte="0"/>
        <cfvo type="num" val="0.02"/>
      </iconSet>
    </cfRule>
  </conditionalFormatting>
  <pageMargins left="0.7" right="0.7" top="0.75" bottom="0.75" header="0.3" footer="0.3"/>
  <pageSetup paperSize="9" scale="80" fitToHeight="0" orientation="portrait" r:id="rId1"/>
  <headerFooter>
    <oddFooter>&amp;A&amp;RPage &amp;P</oddFooter>
  </headerFooter>
  <rowBreaks count="4" manualBreakCount="4">
    <brk id="141" min="1" max="4" man="1"/>
    <brk id="194" min="1" max="4" man="1"/>
    <brk id="248" min="1" max="4" man="1"/>
    <brk id="299" min="1" max="4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Check Box 1">
              <controlPr defaultSize="0" autoFill="0" autoLine="0" autoPict="0">
                <anchor moveWithCells="1">
                  <from>
                    <xdr:col>3</xdr:col>
                    <xdr:colOff>373380</xdr:colOff>
                    <xdr:row>4</xdr:row>
                    <xdr:rowOff>0</xdr:rowOff>
                  </from>
                  <to>
                    <xdr:col>3</xdr:col>
                    <xdr:colOff>579120</xdr:colOff>
                    <xdr:row>89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Check Box 2">
              <controlPr defaultSize="0" autoFill="0" autoLine="0" autoPict="0">
                <anchor moveWithCells="1">
                  <from>
                    <xdr:col>4</xdr:col>
                    <xdr:colOff>373380</xdr:colOff>
                    <xdr:row>4</xdr:row>
                    <xdr:rowOff>0</xdr:rowOff>
                  </from>
                  <to>
                    <xdr:col>4</xdr:col>
                    <xdr:colOff>571500</xdr:colOff>
                    <xdr:row>89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1" r:id="rId6" name="Check Box 3">
              <controlPr defaultSize="0" autoFill="0" autoLine="0" autoPict="0">
                <anchor moveWithCells="1">
                  <from>
                    <xdr:col>3</xdr:col>
                    <xdr:colOff>502920</xdr:colOff>
                    <xdr:row>4</xdr:row>
                    <xdr:rowOff>0</xdr:rowOff>
                  </from>
                  <to>
                    <xdr:col>3</xdr:col>
                    <xdr:colOff>670560</xdr:colOff>
                    <xdr:row>89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2" r:id="rId7" name="Check Box 4">
              <controlPr defaultSize="0" autoFill="0" autoLine="0" autoPict="0">
                <anchor moveWithCells="1">
                  <from>
                    <xdr:col>3</xdr:col>
                    <xdr:colOff>373380</xdr:colOff>
                    <xdr:row>4</xdr:row>
                    <xdr:rowOff>0</xdr:rowOff>
                  </from>
                  <to>
                    <xdr:col>3</xdr:col>
                    <xdr:colOff>579120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3" r:id="rId8" name="Check Box 5">
              <controlPr defaultSize="0" autoFill="0" autoLine="0" autoPict="0">
                <anchor moveWithCells="1">
                  <from>
                    <xdr:col>4</xdr:col>
                    <xdr:colOff>373380</xdr:colOff>
                    <xdr:row>4</xdr:row>
                    <xdr:rowOff>0</xdr:rowOff>
                  </from>
                  <to>
                    <xdr:col>4</xdr:col>
                    <xdr:colOff>571500</xdr:colOff>
                    <xdr:row>89</xdr:row>
                    <xdr:rowOff>144780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286DEB9E-50C6-4DBD-9C11-F408DF7E5DCF}">
            <x14:iconSet iconSet="3Symbols2" custom="1">
              <x14:cfvo type="percent">
                <xm:f>0</xm:f>
              </x14:cfvo>
              <x14:cfvo type="num">
                <xm:f>0.2</xm:f>
              </x14:cfvo>
              <x14:cfvo type="num">
                <xm:f>0.2</xm:f>
              </x14:cfvo>
              <x14:cfIcon iconSet="3Symbols2" iconId="2"/>
              <x14:cfIcon iconSet="3Symbols2" iconId="2"/>
              <x14:cfIcon iconSet="3Symbols2" iconId="0"/>
            </x14:iconSet>
          </x14:cfRule>
          <xm:sqref>K10</xm:sqref>
        </x14:conditionalFormatting>
        <x14:conditionalFormatting xmlns:xm="http://schemas.microsoft.com/office/excel/2006/main">
          <x14:cfRule type="iconSet" priority="4" id="{19DD4AB2-3564-4A89-84DC-319AA34C1008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K9</xm:sqref>
        </x14:conditionalFormatting>
        <x14:conditionalFormatting xmlns:xm="http://schemas.microsoft.com/office/excel/2006/main">
          <x14:cfRule type="iconSet" priority="5" id="{AE037D06-AFFF-4E05-92FC-C015955C6C62}">
            <x14:iconSet iconSet="3Symbols2" custom="1">
              <x14:cfvo type="percent">
                <xm:f>0</xm:f>
              </x14:cfvo>
              <x14:cfvo type="num">
                <xm:f>0.6</xm:f>
              </x14:cfvo>
              <x14:cfvo type="num">
                <xm:f>0.6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K6</xm:sqref>
        </x14:conditionalFormatting>
        <x14:conditionalFormatting xmlns:xm="http://schemas.microsoft.com/office/excel/2006/main">
          <x14:cfRule type="iconSet" priority="6" id="{109FDFCF-3B18-4D1A-AD68-A7DA7404E763}">
            <x14:iconSet iconSet="3Symbols2" custom="1">
              <x14:cfvo type="percent">
                <xm:f>0</xm:f>
              </x14:cfvo>
              <x14:cfvo type="num">
                <xm:f>1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K7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  <pageSetUpPr fitToPage="1"/>
  </sheetPr>
  <dimension ref="A1:P102"/>
  <sheetViews>
    <sheetView workbookViewId="0">
      <pane xSplit="3" ySplit="3" topLeftCell="F4" activePane="bottomRight" state="frozen"/>
      <selection pane="topRight" activeCell="D1" sqref="D1"/>
      <selection pane="bottomLeft" activeCell="A3" sqref="A3"/>
      <selection pane="bottomRight" activeCell="G7" sqref="G7"/>
    </sheetView>
  </sheetViews>
  <sheetFormatPr defaultColWidth="9.109375" defaultRowHeight="10.199999999999999" outlineLevelCol="1" x14ac:dyDescent="0.2"/>
  <cols>
    <col min="1" max="1" width="32.33203125" style="653" customWidth="1"/>
    <col min="2" max="3" width="13.109375" style="653" hidden="1" customWidth="1" outlineLevel="1"/>
    <col min="4" max="5" width="13.109375" style="653" hidden="1" customWidth="1" outlineLevel="1" collapsed="1"/>
    <col min="6" max="6" width="13.109375" style="653" bestFit="1" customWidth="1" collapsed="1"/>
    <col min="7" max="16" width="9.88671875" style="653" bestFit="1" customWidth="1"/>
    <col min="17" max="16384" width="9.109375" style="653"/>
  </cols>
  <sheetData>
    <row r="1" spans="1:16" ht="12.75" x14ac:dyDescent="0.2">
      <c r="A1" s="1091" t="s">
        <v>1361</v>
      </c>
    </row>
    <row r="2" spans="1:16" s="660" customFormat="1" ht="12" x14ac:dyDescent="0.2">
      <c r="A2" s="652" t="s">
        <v>1072</v>
      </c>
      <c r="B2" s="586" t="s">
        <v>69</v>
      </c>
      <c r="C2" s="586" t="s">
        <v>69</v>
      </c>
      <c r="D2" s="586" t="s">
        <v>69</v>
      </c>
      <c r="E2" s="586" t="s">
        <v>69</v>
      </c>
      <c r="F2" s="586" t="s">
        <v>70</v>
      </c>
      <c r="G2" s="586" t="s">
        <v>70</v>
      </c>
      <c r="H2" s="586" t="s">
        <v>71</v>
      </c>
      <c r="I2" s="586" t="s">
        <v>71</v>
      </c>
      <c r="J2" s="586" t="s">
        <v>71</v>
      </c>
      <c r="K2" s="586" t="s">
        <v>71</v>
      </c>
      <c r="L2" s="586" t="s">
        <v>71</v>
      </c>
      <c r="M2" s="586" t="s">
        <v>71</v>
      </c>
      <c r="N2" s="586" t="s">
        <v>71</v>
      </c>
      <c r="O2" s="586" t="s">
        <v>71</v>
      </c>
      <c r="P2" s="586" t="s">
        <v>71</v>
      </c>
    </row>
    <row r="3" spans="1:16" ht="11.25" x14ac:dyDescent="0.2">
      <c r="A3" s="652" t="s">
        <v>73</v>
      </c>
      <c r="B3" s="741" t="s">
        <v>68</v>
      </c>
      <c r="C3" s="694" t="s">
        <v>0</v>
      </c>
      <c r="D3" s="694" t="s">
        <v>1</v>
      </c>
      <c r="E3" s="694" t="s">
        <v>2</v>
      </c>
      <c r="F3" s="694" t="s">
        <v>3</v>
      </c>
      <c r="G3" s="694" t="s">
        <v>4</v>
      </c>
      <c r="H3" s="694" t="s">
        <v>5</v>
      </c>
      <c r="I3" s="694" t="s">
        <v>6</v>
      </c>
      <c r="J3" s="694" t="s">
        <v>7</v>
      </c>
      <c r="K3" s="694" t="s">
        <v>8</v>
      </c>
      <c r="L3" s="694" t="s">
        <v>9</v>
      </c>
      <c r="M3" s="694" t="s">
        <v>514</v>
      </c>
      <c r="N3" s="694" t="s">
        <v>515</v>
      </c>
      <c r="O3" s="694" t="s">
        <v>904</v>
      </c>
      <c r="P3" s="694" t="s">
        <v>1046</v>
      </c>
    </row>
    <row r="4" spans="1:16" s="664" customFormat="1" ht="11.25" x14ac:dyDescent="0.2">
      <c r="A4" s="661"/>
      <c r="B4" s="662"/>
      <c r="C4" s="662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</row>
    <row r="5" spans="1:16" ht="11.25" x14ac:dyDescent="0.2">
      <c r="A5" s="654" t="s">
        <v>103</v>
      </c>
    </row>
    <row r="6" spans="1:16" ht="11.25" x14ac:dyDescent="0.2">
      <c r="A6" s="654" t="s">
        <v>100</v>
      </c>
      <c r="B6" s="621"/>
      <c r="C6" s="621"/>
      <c r="D6" s="621">
        <v>271472</v>
      </c>
      <c r="E6" s="621">
        <f>'Water Fund  Equity Statement'!E6+'GF &amp; FF  Equity Statement'!E6+'Sewer Fund  Equity Statemen'!E6</f>
        <v>291432</v>
      </c>
      <c r="F6" s="621">
        <f>'Water Fund  Equity Statement'!F6+'GF &amp; FF  Equity Statement'!F6+'Sewer Fund  Equity Statemen'!F6</f>
        <v>306238</v>
      </c>
      <c r="G6" s="621">
        <f>'Water Fund  Equity Statement'!G6+'GF &amp; FF  Equity Statement'!G6+'Sewer Fund  Equity Statemen'!G6</f>
        <v>311171.05100000004</v>
      </c>
      <c r="H6" s="621">
        <f>'Water Fund  Equity Statement'!H6+'GF &amp; FF  Equity Statement'!H6+'Sewer Fund  Equity Statemen'!H6</f>
        <v>324810.57996</v>
      </c>
      <c r="I6" s="621">
        <f>'Water Fund  Equity Statement'!I6+'GF &amp; FF  Equity Statement'!I6+'Sewer Fund  Equity Statemen'!I6</f>
        <v>329442.06344500004</v>
      </c>
      <c r="J6" s="621">
        <f>'Water Fund  Equity Statement'!J6+'GF &amp; FF  Equity Statement'!J6+'Sewer Fund  Equity Statemen'!J6</f>
        <v>334340.34473529999</v>
      </c>
      <c r="K6" s="621">
        <f>'Water Fund  Equity Statement'!K6+'GF &amp; FF  Equity Statement'!K6+'Sewer Fund  Equity Statemen'!K6</f>
        <v>339179.70045293396</v>
      </c>
      <c r="L6" s="621">
        <f>'Water Fund  Equity Statement'!L6+'GF &amp; FF  Equity Statement'!L6+'Sewer Fund  Equity Statemen'!L6</f>
        <v>343703.78642643121</v>
      </c>
      <c r="M6" s="621">
        <f>'Water Fund  Equity Statement'!M6+'GF &amp; FF  Equity Statement'!M6+'Sewer Fund  Equity Statemen'!M6</f>
        <v>348298.90096205869</v>
      </c>
      <c r="N6" s="621">
        <f>'Water Fund  Equity Statement'!N6+'GF &amp; FF  Equity Statement'!N6+'Sewer Fund  Equity Statemen'!N6</f>
        <v>352956.143213214</v>
      </c>
      <c r="O6" s="621">
        <f>'Water Fund  Equity Statement'!O6+'GF &amp; FF  Equity Statement'!O6+'Sewer Fund  Equity Statemen'!O6</f>
        <v>357673.29060206626</v>
      </c>
      <c r="P6" s="621">
        <f>'Water Fund  Equity Statement'!P6+'GF &amp; FF  Equity Statement'!P6+'Sewer Fund  Equity Statemen'!P6</f>
        <v>362455.58366613009</v>
      </c>
    </row>
    <row r="7" spans="1:16" ht="11.25" x14ac:dyDescent="0.2">
      <c r="A7" s="655" t="s">
        <v>101</v>
      </c>
      <c r="B7" s="617"/>
      <c r="C7" s="617"/>
      <c r="D7" s="617"/>
      <c r="E7" s="621">
        <f>'Water Fund  Equity Statement'!E7+'GF &amp; FF  Equity Statement'!E7+'Sewer Fund  Equity Statemen'!E7</f>
        <v>0</v>
      </c>
      <c r="F7" s="621">
        <f>'Water Fund  Equity Statement'!F7+'GF &amp; FF  Equity Statement'!F7+'Sewer Fund  Equity Statemen'!F7</f>
        <v>0</v>
      </c>
      <c r="G7" s="621">
        <f>'Water Fund  Equity Statement'!G7+'GF &amp; FF  Equity Statement'!G7+'Sewer Fund  Equity Statemen'!G7</f>
        <v>0</v>
      </c>
      <c r="H7" s="621">
        <f>'Water Fund  Equity Statement'!H7+'GF &amp; FF  Equity Statement'!H7+'Sewer Fund  Equity Statemen'!H7</f>
        <v>0</v>
      </c>
      <c r="I7" s="621">
        <f>'Water Fund  Equity Statement'!I7+'GF &amp; FF  Equity Statement'!I7+'Sewer Fund  Equity Statemen'!I7</f>
        <v>0</v>
      </c>
      <c r="J7" s="621">
        <f>'Water Fund  Equity Statement'!J7+'GF &amp; FF  Equity Statement'!J7+'Sewer Fund  Equity Statemen'!J7</f>
        <v>0</v>
      </c>
      <c r="K7" s="621">
        <f>'Water Fund  Equity Statement'!K7+'GF &amp; FF  Equity Statement'!K7+'Sewer Fund  Equity Statemen'!K7</f>
        <v>0</v>
      </c>
      <c r="L7" s="621">
        <f>'Water Fund  Equity Statement'!L7+'GF &amp; FF  Equity Statement'!L7+'Sewer Fund  Equity Statemen'!L7</f>
        <v>0</v>
      </c>
      <c r="M7" s="621">
        <f>'Water Fund  Equity Statement'!M7+'GF &amp; FF  Equity Statement'!M7+'Sewer Fund  Equity Statemen'!M7</f>
        <v>0</v>
      </c>
      <c r="N7" s="621">
        <f>'Water Fund  Equity Statement'!N7+'GF &amp; FF  Equity Statement'!N7+'Sewer Fund  Equity Statemen'!N7</f>
        <v>0</v>
      </c>
      <c r="O7" s="621">
        <f>'Water Fund  Equity Statement'!O7+'GF &amp; FF  Equity Statement'!O7+'Sewer Fund  Equity Statemen'!O7</f>
        <v>0</v>
      </c>
      <c r="P7" s="621">
        <f>'Water Fund  Equity Statement'!P7+'GF &amp; FF  Equity Statement'!P7+'Sewer Fund  Equity Statemen'!P7</f>
        <v>0</v>
      </c>
    </row>
    <row r="8" spans="1:16" ht="11.25" x14ac:dyDescent="0.2">
      <c r="A8" s="654" t="s">
        <v>102</v>
      </c>
      <c r="B8" s="621">
        <f>SUM(B6:B7)</f>
        <v>0</v>
      </c>
      <c r="C8" s="621">
        <f t="shared" ref="C8:P8" si="0">SUM(C6:C7)</f>
        <v>0</v>
      </c>
      <c r="D8" s="621">
        <f t="shared" si="0"/>
        <v>271472</v>
      </c>
      <c r="E8" s="773">
        <f t="shared" si="0"/>
        <v>291432</v>
      </c>
      <c r="F8" s="773">
        <f t="shared" si="0"/>
        <v>306238</v>
      </c>
      <c r="G8" s="773">
        <f t="shared" si="0"/>
        <v>311171.05100000004</v>
      </c>
      <c r="H8" s="773">
        <f t="shared" si="0"/>
        <v>324810.57996</v>
      </c>
      <c r="I8" s="773">
        <f t="shared" si="0"/>
        <v>329442.06344500004</v>
      </c>
      <c r="J8" s="773">
        <f t="shared" si="0"/>
        <v>334340.34473529999</v>
      </c>
      <c r="K8" s="773">
        <f t="shared" si="0"/>
        <v>339179.70045293396</v>
      </c>
      <c r="L8" s="773">
        <f t="shared" si="0"/>
        <v>343703.78642643121</v>
      </c>
      <c r="M8" s="773">
        <f t="shared" si="0"/>
        <v>348298.90096205869</v>
      </c>
      <c r="N8" s="773">
        <f t="shared" si="0"/>
        <v>352956.143213214</v>
      </c>
      <c r="O8" s="773">
        <f t="shared" si="0"/>
        <v>357673.29060206626</v>
      </c>
      <c r="P8" s="773">
        <f t="shared" si="0"/>
        <v>362455.58366613009</v>
      </c>
    </row>
    <row r="9" spans="1:16" ht="11.25" x14ac:dyDescent="0.2">
      <c r="B9" s="621"/>
      <c r="C9" s="621"/>
      <c r="D9" s="621"/>
      <c r="E9" s="621"/>
      <c r="F9" s="621"/>
      <c r="G9" s="621"/>
      <c r="H9" s="621"/>
      <c r="I9" s="621"/>
      <c r="J9" s="621"/>
      <c r="K9" s="621"/>
      <c r="L9" s="621"/>
      <c r="M9" s="621"/>
      <c r="N9" s="621"/>
      <c r="O9" s="621"/>
      <c r="P9" s="621"/>
    </row>
    <row r="10" spans="1:16" ht="11.25" x14ac:dyDescent="0.2">
      <c r="A10" s="654" t="s">
        <v>76</v>
      </c>
      <c r="B10" s="621">
        <f>+'GF &amp; FF  Inc Exp Statement'!B38</f>
        <v>0</v>
      </c>
      <c r="C10" s="621">
        <f>+'GF &amp; FF  Inc Exp Statement'!C38</f>
        <v>0</v>
      </c>
      <c r="D10" s="621">
        <f>+'Consol  Inc Exp Statement'!D40</f>
        <v>19960</v>
      </c>
      <c r="E10" s="621">
        <f>'Water Fund  Equity Statement'!E10+'GF &amp; FF  Equity Statement'!E10+'Sewer Fund  Equity Statemen'!E10</f>
        <v>14806</v>
      </c>
      <c r="F10" s="621">
        <f>'Water Fund  Equity Statement'!F10+'GF &amp; FF  Equity Statement'!F10+'Sewer Fund  Equity Statemen'!F10</f>
        <v>4933.0510000000122</v>
      </c>
      <c r="G10" s="621">
        <f>'Water Fund  Equity Statement'!G10+'GF &amp; FF  Equity Statement'!G10+'Sewer Fund  Equity Statemen'!G10</f>
        <v>13639.528959999994</v>
      </c>
      <c r="H10" s="621">
        <f>'Water Fund  Equity Statement'!H10+'GF &amp; FF  Equity Statement'!H10+'Sewer Fund  Equity Statemen'!H10</f>
        <v>4631.4834850000025</v>
      </c>
      <c r="I10" s="621">
        <f>'Water Fund  Equity Statement'!I10+'GF &amp; FF  Equity Statement'!I10+'Sewer Fund  Equity Statemen'!I10</f>
        <v>4898.2812902999995</v>
      </c>
      <c r="J10" s="621">
        <f>'Water Fund  Equity Statement'!J10+'GF &amp; FF  Equity Statement'!J10+'Sewer Fund  Equity Statemen'!J10</f>
        <v>4839.3557176340082</v>
      </c>
      <c r="K10" s="621">
        <f>'Water Fund  Equity Statement'!K10+'GF &amp; FF  Equity Statement'!K10+'Sewer Fund  Equity Statemen'!K10</f>
        <v>4524.0859734972091</v>
      </c>
      <c r="L10" s="621">
        <f>'Water Fund  Equity Statement'!L10+'GF &amp; FF  Equity Statement'!L10+'Sewer Fund  Equity Statemen'!L10</f>
        <v>4595.1145356274674</v>
      </c>
      <c r="M10" s="621">
        <f>'Water Fund  Equity Statement'!M10+'GF &amp; FF  Equity Statement'!M10+'Sewer Fund  Equity Statemen'!M10</f>
        <v>4657.2422511553214</v>
      </c>
      <c r="N10" s="621">
        <f>'Water Fund  Equity Statement'!N10+'GF &amp; FF  Equity Statement'!N10+'Sewer Fund  Equity Statemen'!N10</f>
        <v>4717.1473888522623</v>
      </c>
      <c r="O10" s="621">
        <f>'Water Fund  Equity Statement'!O10+'GF &amp; FF  Equity Statement'!O10+'Sewer Fund  Equity Statemen'!O10</f>
        <v>4782.2930640637987</v>
      </c>
      <c r="P10" s="621">
        <f>'Water Fund  Equity Statement'!P10+'GF &amp; FF  Equity Statement'!P10+'Sewer Fund  Equity Statemen'!P10</f>
        <v>4846.3893485290882</v>
      </c>
    </row>
    <row r="11" spans="1:16" ht="11.25" x14ac:dyDescent="0.2">
      <c r="B11" s="608"/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</row>
    <row r="12" spans="1:16" s="654" customFormat="1" ht="11.25" x14ac:dyDescent="0.2">
      <c r="A12" s="654" t="s">
        <v>105</v>
      </c>
      <c r="B12" s="674">
        <f>+B10</f>
        <v>0</v>
      </c>
      <c r="C12" s="619">
        <f t="shared" ref="C12:P12" si="1">+C10</f>
        <v>0</v>
      </c>
      <c r="D12" s="674">
        <f t="shared" si="1"/>
        <v>19960</v>
      </c>
      <c r="E12" s="619">
        <f t="shared" si="1"/>
        <v>14806</v>
      </c>
      <c r="F12" s="619">
        <f t="shared" si="1"/>
        <v>4933.0510000000122</v>
      </c>
      <c r="G12" s="619">
        <f t="shared" si="1"/>
        <v>13639.528959999994</v>
      </c>
      <c r="H12" s="619">
        <f t="shared" si="1"/>
        <v>4631.4834850000025</v>
      </c>
      <c r="I12" s="619">
        <f t="shared" si="1"/>
        <v>4898.2812902999995</v>
      </c>
      <c r="J12" s="619">
        <f t="shared" si="1"/>
        <v>4839.3557176340082</v>
      </c>
      <c r="K12" s="619">
        <f t="shared" si="1"/>
        <v>4524.0859734972091</v>
      </c>
      <c r="L12" s="619">
        <f t="shared" si="1"/>
        <v>4595.1145356274674</v>
      </c>
      <c r="M12" s="619">
        <f t="shared" si="1"/>
        <v>4657.2422511553214</v>
      </c>
      <c r="N12" s="619">
        <f t="shared" si="1"/>
        <v>4717.1473888522623</v>
      </c>
      <c r="O12" s="619">
        <f t="shared" si="1"/>
        <v>4782.2930640637987</v>
      </c>
      <c r="P12" s="619">
        <f t="shared" si="1"/>
        <v>4846.3893485290882</v>
      </c>
    </row>
    <row r="13" spans="1:16" s="654" customFormat="1" ht="12" thickBot="1" x14ac:dyDescent="0.25">
      <c r="A13" s="654" t="s">
        <v>106</v>
      </c>
      <c r="B13" s="658">
        <f t="shared" ref="B13:P13" si="2">+B8+B12</f>
        <v>0</v>
      </c>
      <c r="C13" s="658">
        <f t="shared" si="2"/>
        <v>0</v>
      </c>
      <c r="D13" s="658">
        <f t="shared" si="2"/>
        <v>291432</v>
      </c>
      <c r="E13" s="658">
        <f t="shared" si="2"/>
        <v>306238</v>
      </c>
      <c r="F13" s="658">
        <f t="shared" si="2"/>
        <v>311171.05100000004</v>
      </c>
      <c r="G13" s="658">
        <f t="shared" si="2"/>
        <v>324810.57996</v>
      </c>
      <c r="H13" s="658">
        <f t="shared" si="2"/>
        <v>329442.06344499998</v>
      </c>
      <c r="I13" s="658">
        <f t="shared" si="2"/>
        <v>334340.34473530005</v>
      </c>
      <c r="J13" s="658">
        <f t="shared" si="2"/>
        <v>339179.70045293402</v>
      </c>
      <c r="K13" s="658">
        <f t="shared" si="2"/>
        <v>343703.78642643115</v>
      </c>
      <c r="L13" s="658">
        <f t="shared" si="2"/>
        <v>348298.90096205869</v>
      </c>
      <c r="M13" s="658">
        <f t="shared" si="2"/>
        <v>352956.143213214</v>
      </c>
      <c r="N13" s="658">
        <f t="shared" si="2"/>
        <v>357673.29060206626</v>
      </c>
      <c r="O13" s="658">
        <f t="shared" si="2"/>
        <v>362455.58366613009</v>
      </c>
      <c r="P13" s="658">
        <f t="shared" si="2"/>
        <v>367301.97301465919</v>
      </c>
    </row>
    <row r="14" spans="1:16" ht="11.25" x14ac:dyDescent="0.2"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</row>
    <row r="15" spans="1:16" ht="11.25" x14ac:dyDescent="0.2">
      <c r="A15" s="654" t="s">
        <v>107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</row>
    <row r="16" spans="1:16" ht="11.25" x14ac:dyDescent="0.2">
      <c r="A16" s="654" t="s">
        <v>100</v>
      </c>
      <c r="B16" s="608"/>
      <c r="C16" s="608"/>
      <c r="D16" s="608">
        <v>309010</v>
      </c>
      <c r="E16" s="621">
        <f>'Water Fund  Equity Statement'!E16+'GF &amp; FF  Equity Statement'!E16+'Sewer Fund  Equity Statemen'!E16</f>
        <v>302990</v>
      </c>
      <c r="F16" s="621">
        <f>'Water Fund  Equity Statement'!F16+'GF &amp; FF  Equity Statement'!F16</f>
        <v>280282</v>
      </c>
      <c r="G16" s="621">
        <f>'Water Fund  Equity Statement'!G16+'GF &amp; FF  Equity Statement'!G16</f>
        <v>280282</v>
      </c>
      <c r="H16" s="621">
        <f>'Water Fund  Equity Statement'!H16+'GF &amp; FF  Equity Statement'!H16</f>
        <v>280282</v>
      </c>
      <c r="I16" s="621">
        <f>'Water Fund  Equity Statement'!I16+'GF &amp; FF  Equity Statement'!I16</f>
        <v>280282</v>
      </c>
      <c r="J16" s="621">
        <f>'Water Fund  Equity Statement'!J16+'GF &amp; FF  Equity Statement'!J16</f>
        <v>280282</v>
      </c>
      <c r="K16" s="621">
        <f>'Water Fund  Equity Statement'!K16+'GF &amp; FF  Equity Statement'!K16</f>
        <v>280282</v>
      </c>
      <c r="L16" s="621">
        <f>'Water Fund  Equity Statement'!L16+'GF &amp; FF  Equity Statement'!L16</f>
        <v>280282</v>
      </c>
      <c r="M16" s="621">
        <f>'Water Fund  Equity Statement'!M16+'GF &amp; FF  Equity Statement'!M16</f>
        <v>280282</v>
      </c>
      <c r="N16" s="621">
        <f>'Water Fund  Equity Statement'!N16+'GF &amp; FF  Equity Statement'!N16</f>
        <v>280282</v>
      </c>
      <c r="O16" s="621">
        <f>'Water Fund  Equity Statement'!O16+'GF &amp; FF  Equity Statement'!O16</f>
        <v>280282</v>
      </c>
      <c r="P16" s="621">
        <f>'Water Fund  Equity Statement'!P16+'GF &amp; FF  Equity Statement'!P16</f>
        <v>280282</v>
      </c>
    </row>
    <row r="17" spans="1:16" ht="11.25" x14ac:dyDescent="0.2">
      <c r="A17" s="655" t="s">
        <v>101</v>
      </c>
      <c r="B17" s="617"/>
      <c r="C17" s="617"/>
      <c r="D17" s="617"/>
      <c r="E17" s="621">
        <f>'Water Fund  Equity Statement'!E17+'GF &amp; FF  Equity Statement'!E17+'Sewer Fund  Equity Statemen'!E17</f>
        <v>0</v>
      </c>
      <c r="F17" s="621">
        <f>'Water Fund  Equity Statement'!F17+'GF &amp; FF  Equity Statement'!F17</f>
        <v>0</v>
      </c>
      <c r="G17" s="621">
        <f>'Water Fund  Equity Statement'!G17+'GF &amp; FF  Equity Statement'!G17</f>
        <v>0</v>
      </c>
      <c r="H17" s="621">
        <f>'Water Fund  Equity Statement'!H17+'GF &amp; FF  Equity Statement'!H17</f>
        <v>0</v>
      </c>
      <c r="I17" s="621">
        <f>'Water Fund  Equity Statement'!I17+'GF &amp; FF  Equity Statement'!I17</f>
        <v>0</v>
      </c>
      <c r="J17" s="621">
        <f>'Water Fund  Equity Statement'!J17+'GF &amp; FF  Equity Statement'!J17</f>
        <v>0</v>
      </c>
      <c r="K17" s="621">
        <f>'Water Fund  Equity Statement'!K17+'GF &amp; FF  Equity Statement'!K17</f>
        <v>0</v>
      </c>
      <c r="L17" s="621">
        <f>'Water Fund  Equity Statement'!L17+'GF &amp; FF  Equity Statement'!L17</f>
        <v>0</v>
      </c>
      <c r="M17" s="621">
        <f>'Water Fund  Equity Statement'!M17+'GF &amp; FF  Equity Statement'!M17</f>
        <v>0</v>
      </c>
      <c r="N17" s="621">
        <f>'Water Fund  Equity Statement'!N17+'GF &amp; FF  Equity Statement'!N17</f>
        <v>0</v>
      </c>
      <c r="O17" s="621">
        <f>'Water Fund  Equity Statement'!O17+'GF &amp; FF  Equity Statement'!O17</f>
        <v>0</v>
      </c>
      <c r="P17" s="621">
        <f>'Water Fund  Equity Statement'!P17+'GF &amp; FF  Equity Statement'!P17</f>
        <v>0</v>
      </c>
    </row>
    <row r="18" spans="1:16" ht="11.25" x14ac:dyDescent="0.2">
      <c r="A18" s="654" t="s">
        <v>102</v>
      </c>
      <c r="B18" s="675">
        <f>SUM(B16:B17)</f>
        <v>0</v>
      </c>
      <c r="C18" s="675">
        <f t="shared" ref="C18:P18" si="3">SUM(C16:C17)</f>
        <v>0</v>
      </c>
      <c r="D18" s="675">
        <f t="shared" si="3"/>
        <v>309010</v>
      </c>
      <c r="E18" s="775">
        <f t="shared" si="3"/>
        <v>302990</v>
      </c>
      <c r="F18" s="775">
        <f t="shared" si="3"/>
        <v>280282</v>
      </c>
      <c r="G18" s="775">
        <f t="shared" si="3"/>
        <v>280282</v>
      </c>
      <c r="H18" s="775">
        <f t="shared" si="3"/>
        <v>280282</v>
      </c>
      <c r="I18" s="775">
        <f t="shared" si="3"/>
        <v>280282</v>
      </c>
      <c r="J18" s="775">
        <f t="shared" si="3"/>
        <v>280282</v>
      </c>
      <c r="K18" s="775">
        <f t="shared" si="3"/>
        <v>280282</v>
      </c>
      <c r="L18" s="775">
        <f t="shared" si="3"/>
        <v>280282</v>
      </c>
      <c r="M18" s="775">
        <f t="shared" si="3"/>
        <v>280282</v>
      </c>
      <c r="N18" s="775">
        <f t="shared" si="3"/>
        <v>280282</v>
      </c>
      <c r="O18" s="775">
        <f t="shared" si="3"/>
        <v>280282</v>
      </c>
      <c r="P18" s="775">
        <f t="shared" si="3"/>
        <v>280282</v>
      </c>
    </row>
    <row r="19" spans="1:16" ht="11.25" x14ac:dyDescent="0.2">
      <c r="B19" s="608"/>
      <c r="C19" s="608"/>
      <c r="D19" s="608"/>
      <c r="E19" s="608"/>
      <c r="F19" s="608"/>
      <c r="G19" s="608"/>
      <c r="H19" s="608"/>
      <c r="I19" s="608"/>
      <c r="J19" s="608"/>
      <c r="K19" s="608"/>
      <c r="L19" s="608"/>
      <c r="M19" s="608"/>
      <c r="N19" s="608"/>
      <c r="O19" s="608"/>
      <c r="P19" s="608"/>
    </row>
    <row r="20" spans="1:16" ht="11.25" x14ac:dyDescent="0.2">
      <c r="A20" s="653" t="s">
        <v>104</v>
      </c>
      <c r="B20" s="621"/>
      <c r="C20" s="621"/>
      <c r="D20" s="621">
        <v>-8350</v>
      </c>
      <c r="E20" s="621">
        <f>'Water Fund  Equity Statement'!E20+'GF &amp; FF  Equity Statement'!E20+'Sewer Fund  Equity Statemen'!E20</f>
        <v>0</v>
      </c>
      <c r="F20" s="621">
        <f>'Water Fund  Equity Statement'!F20+'GF &amp; FF  Equity Statement'!F20+'Sewer Fund  Equity Statemen'!F20</f>
        <v>0</v>
      </c>
      <c r="G20" s="621">
        <f>'Water Fund  Equity Statement'!G20+'GF &amp; FF  Equity Statement'!G20+'Sewer Fund  Equity Statemen'!G20</f>
        <v>0</v>
      </c>
      <c r="H20" s="621">
        <f>'Water Fund  Equity Statement'!H20+'GF &amp; FF  Equity Statement'!H20+'Sewer Fund  Equity Statemen'!H20</f>
        <v>0</v>
      </c>
      <c r="I20" s="621">
        <f>'Water Fund  Equity Statement'!I20+'GF &amp; FF  Equity Statement'!I20+'Sewer Fund  Equity Statemen'!I20</f>
        <v>0</v>
      </c>
      <c r="J20" s="621">
        <f>'Water Fund  Equity Statement'!J20+'GF &amp; FF  Equity Statement'!J20+'Sewer Fund  Equity Statemen'!J20</f>
        <v>0</v>
      </c>
      <c r="K20" s="621">
        <f>'Water Fund  Equity Statement'!K20+'GF &amp; FF  Equity Statement'!K20+'Sewer Fund  Equity Statemen'!K20</f>
        <v>0</v>
      </c>
      <c r="L20" s="621">
        <f>'Water Fund  Equity Statement'!L20+'GF &amp; FF  Equity Statement'!L20+'Sewer Fund  Equity Statemen'!L20</f>
        <v>0</v>
      </c>
      <c r="M20" s="621">
        <f>'Water Fund  Equity Statement'!M20+'GF &amp; FF  Equity Statement'!M20+'Sewer Fund  Equity Statemen'!M20</f>
        <v>0</v>
      </c>
      <c r="N20" s="621">
        <f>'Water Fund  Equity Statement'!N20+'GF &amp; FF  Equity Statement'!N20+'Sewer Fund  Equity Statemen'!N20</f>
        <v>0</v>
      </c>
      <c r="O20" s="621">
        <f>'Water Fund  Equity Statement'!O20+'GF &amp; FF  Equity Statement'!O20+'Sewer Fund  Equity Statemen'!O20</f>
        <v>0</v>
      </c>
      <c r="P20" s="621">
        <f>'Water Fund  Equity Statement'!P20+'GF &amp; FF  Equity Statement'!P20+'Sewer Fund  Equity Statemen'!P20</f>
        <v>0</v>
      </c>
    </row>
    <row r="21" spans="1:16" s="657" customFormat="1" ht="11.25" x14ac:dyDescent="0.2">
      <c r="A21" s="654" t="s">
        <v>105</v>
      </c>
      <c r="B21" s="674">
        <f>+B18+B20</f>
        <v>0</v>
      </c>
      <c r="C21" s="674">
        <f>C18+C20</f>
        <v>0</v>
      </c>
      <c r="D21" s="674">
        <f t="shared" ref="D21:E21" si="4">D18+D20</f>
        <v>300660</v>
      </c>
      <c r="E21" s="674">
        <f t="shared" si="4"/>
        <v>302990</v>
      </c>
      <c r="F21" s="674">
        <f t="shared" ref="F21:P21" si="5">F18+F20</f>
        <v>280282</v>
      </c>
      <c r="G21" s="674">
        <f t="shared" si="5"/>
        <v>280282</v>
      </c>
      <c r="H21" s="674">
        <f t="shared" si="5"/>
        <v>280282</v>
      </c>
      <c r="I21" s="674">
        <f t="shared" si="5"/>
        <v>280282</v>
      </c>
      <c r="J21" s="674">
        <f t="shared" si="5"/>
        <v>280282</v>
      </c>
      <c r="K21" s="674">
        <f t="shared" si="5"/>
        <v>280282</v>
      </c>
      <c r="L21" s="674">
        <f t="shared" si="5"/>
        <v>280282</v>
      </c>
      <c r="M21" s="674">
        <f t="shared" si="5"/>
        <v>280282</v>
      </c>
      <c r="N21" s="674">
        <f t="shared" si="5"/>
        <v>280282</v>
      </c>
      <c r="O21" s="674">
        <f t="shared" si="5"/>
        <v>280282</v>
      </c>
      <c r="P21" s="674">
        <f t="shared" si="5"/>
        <v>280282</v>
      </c>
    </row>
    <row r="22" spans="1:16" s="657" customFormat="1" ht="12" thickBot="1" x14ac:dyDescent="0.25">
      <c r="A22" s="654" t="s">
        <v>106</v>
      </c>
      <c r="B22" s="658">
        <f>+B21</f>
        <v>0</v>
      </c>
      <c r="C22" s="658">
        <f t="shared" ref="C22:P22" si="6">+C21</f>
        <v>0</v>
      </c>
      <c r="D22" s="658">
        <f t="shared" si="6"/>
        <v>300660</v>
      </c>
      <c r="E22" s="658">
        <f t="shared" si="6"/>
        <v>302990</v>
      </c>
      <c r="F22" s="658">
        <f t="shared" si="6"/>
        <v>280282</v>
      </c>
      <c r="G22" s="658">
        <f t="shared" si="6"/>
        <v>280282</v>
      </c>
      <c r="H22" s="658">
        <f t="shared" si="6"/>
        <v>280282</v>
      </c>
      <c r="I22" s="658">
        <f t="shared" si="6"/>
        <v>280282</v>
      </c>
      <c r="J22" s="658">
        <f t="shared" si="6"/>
        <v>280282</v>
      </c>
      <c r="K22" s="658">
        <f t="shared" si="6"/>
        <v>280282</v>
      </c>
      <c r="L22" s="658">
        <f t="shared" si="6"/>
        <v>280282</v>
      </c>
      <c r="M22" s="658">
        <f t="shared" si="6"/>
        <v>280282</v>
      </c>
      <c r="N22" s="658">
        <f t="shared" si="6"/>
        <v>280282</v>
      </c>
      <c r="O22" s="658">
        <f t="shared" si="6"/>
        <v>280282</v>
      </c>
      <c r="P22" s="658">
        <f t="shared" si="6"/>
        <v>280282</v>
      </c>
    </row>
    <row r="23" spans="1:16" ht="11.25" x14ac:dyDescent="0.2">
      <c r="B23" s="608"/>
      <c r="C23" s="608"/>
      <c r="D23" s="608"/>
      <c r="E23" s="608"/>
      <c r="F23" s="608"/>
      <c r="G23" s="608"/>
      <c r="H23" s="608"/>
      <c r="I23" s="608"/>
      <c r="J23" s="608"/>
      <c r="K23" s="608"/>
      <c r="L23" s="608"/>
      <c r="M23" s="608"/>
      <c r="N23" s="608"/>
      <c r="O23" s="608"/>
      <c r="P23" s="608"/>
    </row>
    <row r="24" spans="1:16" ht="11.25" x14ac:dyDescent="0.2">
      <c r="A24" s="654" t="s">
        <v>108</v>
      </c>
    </row>
    <row r="25" spans="1:16" ht="11.25" x14ac:dyDescent="0.2">
      <c r="A25" s="654" t="s">
        <v>100</v>
      </c>
      <c r="B25" s="608">
        <f>+B6+B16</f>
        <v>0</v>
      </c>
      <c r="C25" s="608">
        <f t="shared" ref="C25:D26" si="7">+C6+C16</f>
        <v>0</v>
      </c>
      <c r="D25" s="608">
        <f t="shared" si="7"/>
        <v>580482</v>
      </c>
      <c r="E25" s="621">
        <f>'Water Fund  Equity Statement'!E25+'GF &amp; FF  Equity Statement'!E25+'Sewer Fund  Equity Statemen'!E25</f>
        <v>594422</v>
      </c>
      <c r="F25" s="621">
        <f>'Water Fund  Equity Statement'!F25+'GF &amp; FF  Equity Statement'!F25+'Sewer Fund  Equity Statemen'!F25</f>
        <v>609228</v>
      </c>
      <c r="G25" s="621">
        <f>'Water Fund  Equity Statement'!G25+'GF &amp; FF  Equity Statement'!G25+'Sewer Fund  Equity Statemen'!G25</f>
        <v>614161.05099999998</v>
      </c>
      <c r="H25" s="621">
        <f>'Water Fund  Equity Statement'!H25+'GF &amp; FF  Equity Statement'!H25+'Sewer Fund  Equity Statemen'!H25</f>
        <v>627800.57996</v>
      </c>
      <c r="I25" s="621">
        <f>'Water Fund  Equity Statement'!I25+'GF &amp; FF  Equity Statement'!I25+'Sewer Fund  Equity Statemen'!I25</f>
        <v>632432.06344499998</v>
      </c>
      <c r="J25" s="621">
        <f>'Water Fund  Equity Statement'!J25+'GF &amp; FF  Equity Statement'!J25+'Sewer Fund  Equity Statemen'!J25</f>
        <v>637330.34473529994</v>
      </c>
      <c r="K25" s="621">
        <f>'Water Fund  Equity Statement'!K25+'GF &amp; FF  Equity Statement'!K25+'Sewer Fund  Equity Statemen'!K25</f>
        <v>642169.70045293402</v>
      </c>
      <c r="L25" s="621">
        <f>'Water Fund  Equity Statement'!L25+'GF &amp; FF  Equity Statement'!L25+'Sewer Fund  Equity Statemen'!L25</f>
        <v>646693.78642643127</v>
      </c>
      <c r="M25" s="621">
        <f>'Water Fund  Equity Statement'!M25+'GF &amp; FF  Equity Statement'!M25+'Sewer Fund  Equity Statemen'!M25</f>
        <v>651288.90096205857</v>
      </c>
      <c r="N25" s="621">
        <f>'Water Fund  Equity Statement'!N25+'GF &amp; FF  Equity Statement'!N25+'Sewer Fund  Equity Statemen'!N25</f>
        <v>655946.143213214</v>
      </c>
      <c r="O25" s="621">
        <f>'Water Fund  Equity Statement'!O25+'GF &amp; FF  Equity Statement'!O25+'Sewer Fund  Equity Statemen'!O25</f>
        <v>660663.29060206632</v>
      </c>
      <c r="P25" s="621">
        <f>'Water Fund  Equity Statement'!P25+'GF &amp; FF  Equity Statement'!P25+'Sewer Fund  Equity Statemen'!P25</f>
        <v>665445.58366613009</v>
      </c>
    </row>
    <row r="26" spans="1:16" ht="11.25" x14ac:dyDescent="0.2">
      <c r="A26" s="655" t="s">
        <v>101</v>
      </c>
      <c r="B26" s="617">
        <f>+B7+B17</f>
        <v>0</v>
      </c>
      <c r="C26" s="617">
        <f t="shared" si="7"/>
        <v>0</v>
      </c>
      <c r="D26" s="617">
        <f t="shared" si="7"/>
        <v>0</v>
      </c>
      <c r="E26" s="621">
        <f>'Water Fund  Equity Statement'!E26+'GF &amp; FF  Equity Statement'!E26+'Sewer Fund  Equity Statemen'!E26</f>
        <v>0</v>
      </c>
      <c r="F26" s="621">
        <f>'Water Fund  Equity Statement'!F26+'GF &amp; FF  Equity Statement'!F26+'Sewer Fund  Equity Statemen'!F26</f>
        <v>0</v>
      </c>
      <c r="G26" s="621">
        <f>'Water Fund  Equity Statement'!G26+'GF &amp; FF  Equity Statement'!G26+'Sewer Fund  Equity Statemen'!G26</f>
        <v>0</v>
      </c>
      <c r="H26" s="621">
        <f>'Water Fund  Equity Statement'!H26+'GF &amp; FF  Equity Statement'!H26+'Sewer Fund  Equity Statemen'!H26</f>
        <v>0</v>
      </c>
      <c r="I26" s="621">
        <f>'Water Fund  Equity Statement'!I26+'GF &amp; FF  Equity Statement'!I26+'Sewer Fund  Equity Statemen'!I26</f>
        <v>0</v>
      </c>
      <c r="J26" s="621">
        <f>'Water Fund  Equity Statement'!J26+'GF &amp; FF  Equity Statement'!J26+'Sewer Fund  Equity Statemen'!J26</f>
        <v>0</v>
      </c>
      <c r="K26" s="621">
        <f>'Water Fund  Equity Statement'!K26+'GF &amp; FF  Equity Statement'!K26+'Sewer Fund  Equity Statemen'!K26</f>
        <v>0</v>
      </c>
      <c r="L26" s="621">
        <f>'Water Fund  Equity Statement'!L26+'GF &amp; FF  Equity Statement'!L26+'Sewer Fund  Equity Statemen'!L26</f>
        <v>0</v>
      </c>
      <c r="M26" s="621">
        <f>'Water Fund  Equity Statement'!M26+'GF &amp; FF  Equity Statement'!M26+'Sewer Fund  Equity Statemen'!M26</f>
        <v>0</v>
      </c>
      <c r="N26" s="621">
        <f>'Water Fund  Equity Statement'!N26+'GF &amp; FF  Equity Statement'!N26+'Sewer Fund  Equity Statemen'!N26</f>
        <v>0</v>
      </c>
      <c r="O26" s="621">
        <f>'Water Fund  Equity Statement'!O26+'GF &amp; FF  Equity Statement'!O26+'Sewer Fund  Equity Statemen'!O26</f>
        <v>0</v>
      </c>
      <c r="P26" s="621">
        <f>'Water Fund  Equity Statement'!P26+'GF &amp; FF  Equity Statement'!P26+'Sewer Fund  Equity Statemen'!P26</f>
        <v>0</v>
      </c>
    </row>
    <row r="27" spans="1:16" ht="11.25" x14ac:dyDescent="0.2">
      <c r="A27" s="654" t="s">
        <v>102</v>
      </c>
      <c r="B27" s="608">
        <f>SUM(B25:B26)</f>
        <v>0</v>
      </c>
      <c r="C27" s="608">
        <f t="shared" ref="C27:P27" si="8">SUM(C25:C26)</f>
        <v>0</v>
      </c>
      <c r="D27" s="608">
        <f t="shared" si="8"/>
        <v>580482</v>
      </c>
      <c r="E27" s="774">
        <f t="shared" si="8"/>
        <v>594422</v>
      </c>
      <c r="F27" s="774">
        <f t="shared" si="8"/>
        <v>609228</v>
      </c>
      <c r="G27" s="774">
        <f t="shared" si="8"/>
        <v>614161.05099999998</v>
      </c>
      <c r="H27" s="774">
        <f t="shared" si="8"/>
        <v>627800.57996</v>
      </c>
      <c r="I27" s="774">
        <f t="shared" si="8"/>
        <v>632432.06344499998</v>
      </c>
      <c r="J27" s="774">
        <f t="shared" si="8"/>
        <v>637330.34473529994</v>
      </c>
      <c r="K27" s="774">
        <f t="shared" si="8"/>
        <v>642169.70045293402</v>
      </c>
      <c r="L27" s="774">
        <f t="shared" si="8"/>
        <v>646693.78642643127</v>
      </c>
      <c r="M27" s="774">
        <f t="shared" si="8"/>
        <v>651288.90096205857</v>
      </c>
      <c r="N27" s="774">
        <f t="shared" si="8"/>
        <v>655946.143213214</v>
      </c>
      <c r="O27" s="774">
        <f t="shared" si="8"/>
        <v>660663.29060206632</v>
      </c>
      <c r="P27" s="774">
        <f t="shared" si="8"/>
        <v>665445.58366613009</v>
      </c>
    </row>
    <row r="28" spans="1:16" ht="11.25" x14ac:dyDescent="0.2">
      <c r="B28" s="608"/>
      <c r="C28" s="608"/>
      <c r="D28" s="608"/>
      <c r="E28" s="608"/>
      <c r="F28" s="608"/>
      <c r="G28" s="608"/>
      <c r="H28" s="608"/>
      <c r="I28" s="608"/>
      <c r="J28" s="608"/>
      <c r="K28" s="608"/>
      <c r="L28" s="608"/>
      <c r="M28" s="608"/>
      <c r="N28" s="608"/>
      <c r="O28" s="608"/>
      <c r="P28" s="608"/>
    </row>
    <row r="29" spans="1:16" ht="11.25" x14ac:dyDescent="0.2">
      <c r="A29" s="654" t="s">
        <v>76</v>
      </c>
      <c r="B29" s="608">
        <f>+B10</f>
        <v>0</v>
      </c>
      <c r="C29" s="621">
        <f t="shared" ref="C29:D29" si="9">+C10</f>
        <v>0</v>
      </c>
      <c r="D29" s="608">
        <f t="shared" si="9"/>
        <v>19960</v>
      </c>
      <c r="E29" s="621">
        <f>'Water Fund  Equity Statement'!E29+'GF &amp; FF  Equity Statement'!E29+'Sewer Fund  Equity Statemen'!E29</f>
        <v>14806</v>
      </c>
      <c r="F29" s="621">
        <f>'Water Fund  Equity Statement'!F29+'GF &amp; FF  Equity Statement'!F29+'Sewer Fund  Equity Statemen'!F29</f>
        <v>4933.0510000000122</v>
      </c>
      <c r="G29" s="621">
        <f>'Water Fund  Equity Statement'!G29+'GF &amp; FF  Equity Statement'!G29+'Sewer Fund  Equity Statemen'!G29</f>
        <v>13639.528959999994</v>
      </c>
      <c r="H29" s="621">
        <f>'Water Fund  Equity Statement'!H29+'GF &amp; FF  Equity Statement'!H29+'Sewer Fund  Equity Statemen'!H29</f>
        <v>4631.4834850000025</v>
      </c>
      <c r="I29" s="621">
        <f>'Water Fund  Equity Statement'!I29+'GF &amp; FF  Equity Statement'!I29+'Sewer Fund  Equity Statemen'!I29</f>
        <v>4898.2812902999995</v>
      </c>
      <c r="J29" s="621">
        <f>'Water Fund  Equity Statement'!J29+'GF &amp; FF  Equity Statement'!J29+'Sewer Fund  Equity Statemen'!J29</f>
        <v>4839.3557176340082</v>
      </c>
      <c r="K29" s="621">
        <f>'Water Fund  Equity Statement'!K29+'GF &amp; FF  Equity Statement'!K29+'Sewer Fund  Equity Statemen'!K29</f>
        <v>4524.0859734972091</v>
      </c>
      <c r="L29" s="621">
        <f>'Water Fund  Equity Statement'!L29+'GF &amp; FF  Equity Statement'!L29+'Sewer Fund  Equity Statemen'!L29</f>
        <v>4595.1145356274674</v>
      </c>
      <c r="M29" s="621">
        <f>'Water Fund  Equity Statement'!M29+'GF &amp; FF  Equity Statement'!M29+'Sewer Fund  Equity Statemen'!M29</f>
        <v>4657.2422511553214</v>
      </c>
      <c r="N29" s="621">
        <f>'Water Fund  Equity Statement'!N29+'GF &amp; FF  Equity Statement'!N29+'Sewer Fund  Equity Statemen'!N29</f>
        <v>4717.1473888522623</v>
      </c>
      <c r="O29" s="621">
        <f>'Water Fund  Equity Statement'!O29+'GF &amp; FF  Equity Statement'!O29+'Sewer Fund  Equity Statemen'!O29</f>
        <v>4782.2930640637987</v>
      </c>
      <c r="P29" s="621">
        <f>'Water Fund  Equity Statement'!P29+'GF &amp; FF  Equity Statement'!P29+'Sewer Fund  Equity Statemen'!P29</f>
        <v>4846.3893485290882</v>
      </c>
    </row>
    <row r="30" spans="1:16" ht="11.25" x14ac:dyDescent="0.2">
      <c r="B30" s="608"/>
      <c r="C30" s="608"/>
      <c r="D30" s="608"/>
      <c r="E30" s="621"/>
      <c r="F30" s="621"/>
      <c r="G30" s="621"/>
      <c r="H30" s="621"/>
      <c r="I30" s="621"/>
      <c r="J30" s="621"/>
      <c r="K30" s="621"/>
      <c r="L30" s="621"/>
      <c r="M30" s="621"/>
      <c r="N30" s="621"/>
      <c r="O30" s="621"/>
      <c r="P30" s="621"/>
    </row>
    <row r="31" spans="1:16" s="654" customFormat="1" ht="11.25" x14ac:dyDescent="0.2">
      <c r="A31" s="654" t="s">
        <v>105</v>
      </c>
      <c r="B31" s="674">
        <f>+B12</f>
        <v>0</v>
      </c>
      <c r="C31" s="619">
        <f t="shared" ref="C31:P31" si="10">+C29</f>
        <v>0</v>
      </c>
      <c r="D31" s="674">
        <f t="shared" si="10"/>
        <v>19960</v>
      </c>
      <c r="E31" s="619">
        <f t="shared" si="10"/>
        <v>14806</v>
      </c>
      <c r="F31" s="619">
        <f t="shared" si="10"/>
        <v>4933.0510000000122</v>
      </c>
      <c r="G31" s="619">
        <f t="shared" si="10"/>
        <v>13639.528959999994</v>
      </c>
      <c r="H31" s="619">
        <f t="shared" si="10"/>
        <v>4631.4834850000025</v>
      </c>
      <c r="I31" s="619">
        <f t="shared" si="10"/>
        <v>4898.2812902999995</v>
      </c>
      <c r="J31" s="619">
        <f t="shared" si="10"/>
        <v>4839.3557176340082</v>
      </c>
      <c r="K31" s="619">
        <f t="shared" si="10"/>
        <v>4524.0859734972091</v>
      </c>
      <c r="L31" s="619">
        <f t="shared" si="10"/>
        <v>4595.1145356274674</v>
      </c>
      <c r="M31" s="619">
        <f t="shared" si="10"/>
        <v>4657.2422511553214</v>
      </c>
      <c r="N31" s="619">
        <f t="shared" si="10"/>
        <v>4717.1473888522623</v>
      </c>
      <c r="O31" s="619">
        <f t="shared" si="10"/>
        <v>4782.2930640637987</v>
      </c>
      <c r="P31" s="619">
        <f t="shared" si="10"/>
        <v>4846.3893485290882</v>
      </c>
    </row>
    <row r="32" spans="1:16" s="676" customFormat="1" ht="12" thickBot="1" x14ac:dyDescent="0.25">
      <c r="A32" s="653" t="s">
        <v>104</v>
      </c>
      <c r="B32" s="633">
        <f>+B20</f>
        <v>0</v>
      </c>
      <c r="C32" s="633">
        <f t="shared" ref="C32:P32" si="11">+C20</f>
        <v>0</v>
      </c>
      <c r="D32" s="633">
        <f t="shared" si="11"/>
        <v>-8350</v>
      </c>
      <c r="E32" s="633">
        <f t="shared" si="11"/>
        <v>0</v>
      </c>
      <c r="F32" s="633">
        <f t="shared" si="11"/>
        <v>0</v>
      </c>
      <c r="G32" s="633">
        <f t="shared" si="11"/>
        <v>0</v>
      </c>
      <c r="H32" s="633">
        <f t="shared" si="11"/>
        <v>0</v>
      </c>
      <c r="I32" s="633">
        <f t="shared" si="11"/>
        <v>0</v>
      </c>
      <c r="J32" s="633">
        <f t="shared" si="11"/>
        <v>0</v>
      </c>
      <c r="K32" s="633">
        <f t="shared" si="11"/>
        <v>0</v>
      </c>
      <c r="L32" s="633">
        <f t="shared" si="11"/>
        <v>0</v>
      </c>
      <c r="M32" s="633">
        <f t="shared" si="11"/>
        <v>0</v>
      </c>
      <c r="N32" s="633">
        <f t="shared" si="11"/>
        <v>0</v>
      </c>
      <c r="O32" s="633">
        <f t="shared" si="11"/>
        <v>0</v>
      </c>
      <c r="P32" s="633">
        <f t="shared" si="11"/>
        <v>0</v>
      </c>
    </row>
    <row r="33" spans="1:16" s="654" customFormat="1" ht="12" thickBot="1" x14ac:dyDescent="0.25">
      <c r="A33" s="654" t="s">
        <v>106</v>
      </c>
      <c r="B33" s="668">
        <f>+B27+B31+B32</f>
        <v>0</v>
      </c>
      <c r="C33" s="668">
        <f t="shared" ref="C33:P33" si="12">+C27+C31+C32</f>
        <v>0</v>
      </c>
      <c r="D33" s="668">
        <f t="shared" si="12"/>
        <v>592092</v>
      </c>
      <c r="E33" s="668">
        <f t="shared" si="12"/>
        <v>609228</v>
      </c>
      <c r="F33" s="668">
        <f t="shared" si="12"/>
        <v>614161.05099999998</v>
      </c>
      <c r="G33" s="668">
        <f t="shared" si="12"/>
        <v>627800.57996</v>
      </c>
      <c r="H33" s="668">
        <f t="shared" si="12"/>
        <v>632432.06344499998</v>
      </c>
      <c r="I33" s="668">
        <f t="shared" si="12"/>
        <v>637330.34473529994</v>
      </c>
      <c r="J33" s="668">
        <f t="shared" si="12"/>
        <v>642169.7004529339</v>
      </c>
      <c r="K33" s="668">
        <f t="shared" si="12"/>
        <v>646693.78642643127</v>
      </c>
      <c r="L33" s="668">
        <f t="shared" si="12"/>
        <v>651288.90096205869</v>
      </c>
      <c r="M33" s="668">
        <f t="shared" si="12"/>
        <v>655946.14321321389</v>
      </c>
      <c r="N33" s="668">
        <f t="shared" si="12"/>
        <v>660663.29060206632</v>
      </c>
      <c r="O33" s="668">
        <f t="shared" si="12"/>
        <v>665445.58366613009</v>
      </c>
      <c r="P33" s="668">
        <f t="shared" si="12"/>
        <v>670291.97301465913</v>
      </c>
    </row>
    <row r="34" spans="1:16" ht="12" thickTop="1" x14ac:dyDescent="0.2">
      <c r="B34" s="608"/>
      <c r="C34" s="608"/>
      <c r="D34" s="608"/>
      <c r="E34" s="608"/>
      <c r="F34" s="608"/>
      <c r="G34" s="608"/>
      <c r="H34" s="608"/>
      <c r="I34" s="608"/>
      <c r="J34" s="608"/>
      <c r="K34" s="608"/>
      <c r="L34" s="608"/>
      <c r="M34" s="608"/>
      <c r="N34" s="608"/>
      <c r="O34" s="608"/>
      <c r="P34" s="608"/>
    </row>
    <row r="35" spans="1:16" ht="12.75" x14ac:dyDescent="0.2">
      <c r="A35" s="1091" t="s">
        <v>1361</v>
      </c>
    </row>
    <row r="36" spans="1:16" s="660" customFormat="1" ht="12" x14ac:dyDescent="0.2">
      <c r="A36" s="671" t="s">
        <v>1073</v>
      </c>
      <c r="B36" s="586" t="s">
        <v>69</v>
      </c>
      <c r="C36" s="586" t="s">
        <v>69</v>
      </c>
      <c r="D36" s="586" t="s">
        <v>69</v>
      </c>
      <c r="E36" s="586" t="s">
        <v>69</v>
      </c>
      <c r="F36" s="586" t="s">
        <v>70</v>
      </c>
      <c r="G36" s="586" t="s">
        <v>70</v>
      </c>
      <c r="H36" s="586" t="s">
        <v>71</v>
      </c>
      <c r="I36" s="586" t="s">
        <v>71</v>
      </c>
      <c r="J36" s="586" t="s">
        <v>71</v>
      </c>
      <c r="K36" s="586" t="s">
        <v>71</v>
      </c>
      <c r="L36" s="586" t="s">
        <v>71</v>
      </c>
      <c r="M36" s="586" t="s">
        <v>71</v>
      </c>
      <c r="N36" s="586" t="s">
        <v>71</v>
      </c>
      <c r="O36" s="586" t="s">
        <v>71</v>
      </c>
      <c r="P36" s="586" t="s">
        <v>71</v>
      </c>
    </row>
    <row r="37" spans="1:16" ht="11.25" x14ac:dyDescent="0.2">
      <c r="A37" s="652" t="s">
        <v>73</v>
      </c>
      <c r="B37" s="741" t="s">
        <v>68</v>
      </c>
      <c r="C37" s="694" t="s">
        <v>0</v>
      </c>
      <c r="D37" s="694" t="s">
        <v>1</v>
      </c>
      <c r="E37" s="694" t="s">
        <v>2</v>
      </c>
      <c r="F37" s="694" t="s">
        <v>3</v>
      </c>
      <c r="G37" s="694" t="s">
        <v>4</v>
      </c>
      <c r="H37" s="694" t="s">
        <v>5</v>
      </c>
      <c r="I37" s="694" t="s">
        <v>6</v>
      </c>
      <c r="J37" s="694" t="s">
        <v>7</v>
      </c>
      <c r="K37" s="694" t="s">
        <v>8</v>
      </c>
      <c r="L37" s="694" t="s">
        <v>9</v>
      </c>
      <c r="M37" s="694" t="s">
        <v>514</v>
      </c>
      <c r="N37" s="694" t="s">
        <v>515</v>
      </c>
      <c r="O37" s="694" t="s">
        <v>904</v>
      </c>
      <c r="P37" s="694" t="s">
        <v>1046</v>
      </c>
    </row>
    <row r="38" spans="1:16" s="664" customFormat="1" ht="11.25" x14ac:dyDescent="0.2">
      <c r="A38" s="661"/>
      <c r="B38" s="662"/>
      <c r="C38" s="662"/>
      <c r="D38" s="663"/>
      <c r="E38" s="663"/>
      <c r="F38" s="663"/>
      <c r="G38" s="663"/>
      <c r="H38" s="663"/>
      <c r="I38" s="663"/>
      <c r="J38" s="663"/>
      <c r="K38" s="663"/>
      <c r="L38" s="663"/>
      <c r="M38" s="663"/>
      <c r="N38" s="663"/>
      <c r="O38" s="663"/>
      <c r="P38" s="663"/>
    </row>
    <row r="39" spans="1:16" ht="11.25" x14ac:dyDescent="0.2">
      <c r="A39" s="654" t="s">
        <v>103</v>
      </c>
    </row>
    <row r="40" spans="1:16" ht="11.25" x14ac:dyDescent="0.2">
      <c r="A40" s="654" t="s">
        <v>100</v>
      </c>
      <c r="B40" s="608"/>
      <c r="C40" s="608"/>
      <c r="D40" s="608">
        <f>D6</f>
        <v>271472</v>
      </c>
      <c r="E40" s="621">
        <f>'Water Fund  Equity Statement'!E40+'GF &amp; FF  Equity Statement'!E40+'Sewer Fund  Equity Statemen'!E40</f>
        <v>291432</v>
      </c>
      <c r="F40" s="621">
        <f>'Water Fund  Equity Statement'!F40+'GF &amp; FF  Equity Statement'!F40+'Sewer Fund  Equity Statemen'!F40</f>
        <v>306238</v>
      </c>
      <c r="G40" s="621">
        <f>'Water Fund  Equity Statement'!G40+'GF &amp; FF  Equity Statement'!G40+'Sewer Fund  Equity Statemen'!G40</f>
        <v>311170.05100000004</v>
      </c>
      <c r="H40" s="621">
        <f>'Water Fund  Equity Statement'!H40+'GF &amp; FF  Equity Statement'!H40+'Sewer Fund  Equity Statemen'!H40</f>
        <v>325110.11700000003</v>
      </c>
      <c r="I40" s="621">
        <f>'Water Fund  Equity Statement'!I40+'GF &amp; FF  Equity Statement'!I40+'Sewer Fund  Equity Statemen'!I40</f>
        <v>330337.41000999999</v>
      </c>
      <c r="J40" s="621">
        <f>'Water Fund  Equity Statement'!J40+'GF &amp; FF  Equity Statement'!J40+'Sewer Fund  Equity Statemen'!J40</f>
        <v>339156.17102530005</v>
      </c>
      <c r="K40" s="621">
        <f>'Water Fund  Equity Statement'!K40+'GF &amp; FF  Equity Statement'!K40+'Sewer Fund  Equity Statemen'!K40</f>
        <v>343580.72611793398</v>
      </c>
      <c r="L40" s="621">
        <f>'Water Fund  Equity Statement'!L40+'GF &amp; FF  Equity Statement'!L40+'Sewer Fund  Equity Statemen'!L40</f>
        <v>347869.31603594311</v>
      </c>
      <c r="M40" s="621">
        <f>'Water Fund  Equity Statement'!M40+'GF &amp; FF  Equity Statement'!M40+'Sewer Fund  Equity Statemen'!M40</f>
        <v>352314.06893013831</v>
      </c>
      <c r="N40" s="621">
        <f>'Water Fund  Equity Statement'!N40+'GF &amp; FF  Equity Statement'!N40+'Sewer Fund  Equity Statemen'!N40</f>
        <v>356881.69432860508</v>
      </c>
      <c r="O40" s="621">
        <f>'Water Fund  Equity Statement'!O40+'GF &amp; FF  Equity Statement'!O40+'Sewer Fund  Equity Statemen'!O40</f>
        <v>361526.84498061863</v>
      </c>
      <c r="P40" s="621">
        <f>'Water Fund  Equity Statement'!P40+'GF &amp; FF  Equity Statement'!P40+'Sewer Fund  Equity Statemen'!P40</f>
        <v>366283.81521938241</v>
      </c>
    </row>
    <row r="41" spans="1:16" ht="11.25" x14ac:dyDescent="0.2">
      <c r="A41" s="655" t="s">
        <v>101</v>
      </c>
      <c r="B41" s="617"/>
      <c r="C41" s="617"/>
      <c r="D41" s="617"/>
      <c r="E41" s="621">
        <f>'Water Fund  Equity Statement'!E41+'GF &amp; FF  Equity Statement'!E41+'Sewer Fund  Equity Statemen'!E41</f>
        <v>0</v>
      </c>
      <c r="F41" s="621">
        <f>'Water Fund  Equity Statement'!F41+'GF &amp; FF  Equity Statement'!F41+'Sewer Fund  Equity Statemen'!F41</f>
        <v>0</v>
      </c>
      <c r="G41" s="621">
        <f>'Water Fund  Equity Statement'!G41+'GF &amp; FF  Equity Statement'!G41+'Sewer Fund  Equity Statemen'!G41</f>
        <v>0</v>
      </c>
      <c r="H41" s="621">
        <f>'Water Fund  Equity Statement'!H41+'GF &amp; FF  Equity Statement'!H41+'Sewer Fund  Equity Statemen'!H41</f>
        <v>0</v>
      </c>
      <c r="I41" s="621">
        <f>'Water Fund  Equity Statement'!I41+'GF &amp; FF  Equity Statement'!I41+'Sewer Fund  Equity Statemen'!I41</f>
        <v>0</v>
      </c>
      <c r="J41" s="621">
        <f>'Water Fund  Equity Statement'!J41+'GF &amp; FF  Equity Statement'!J41+'Sewer Fund  Equity Statemen'!J41</f>
        <v>0</v>
      </c>
      <c r="K41" s="621">
        <f>'Water Fund  Equity Statement'!K41+'GF &amp; FF  Equity Statement'!K41+'Sewer Fund  Equity Statemen'!K41</f>
        <v>0</v>
      </c>
      <c r="L41" s="621">
        <f>'Water Fund  Equity Statement'!L41+'GF &amp; FF  Equity Statement'!L41+'Sewer Fund  Equity Statemen'!L41</f>
        <v>0</v>
      </c>
      <c r="M41" s="621">
        <f>'Water Fund  Equity Statement'!M41+'GF &amp; FF  Equity Statement'!M41+'Sewer Fund  Equity Statemen'!M41</f>
        <v>0</v>
      </c>
      <c r="N41" s="621">
        <f>'Water Fund  Equity Statement'!N41+'GF &amp; FF  Equity Statement'!N41+'Sewer Fund  Equity Statemen'!N41</f>
        <v>0</v>
      </c>
      <c r="O41" s="621">
        <f>'Water Fund  Equity Statement'!O41+'GF &amp; FF  Equity Statement'!O41+'Sewer Fund  Equity Statemen'!O41</f>
        <v>0</v>
      </c>
      <c r="P41" s="621">
        <f>'Water Fund  Equity Statement'!P41+'GF &amp; FF  Equity Statement'!P41+'Sewer Fund  Equity Statemen'!P41</f>
        <v>0</v>
      </c>
    </row>
    <row r="42" spans="1:16" ht="11.25" x14ac:dyDescent="0.2">
      <c r="A42" s="654" t="s">
        <v>102</v>
      </c>
      <c r="B42" s="608">
        <f>SUM(B40:B41)</f>
        <v>0</v>
      </c>
      <c r="C42" s="608">
        <f t="shared" ref="C42:P42" si="13">SUM(C40:C41)</f>
        <v>0</v>
      </c>
      <c r="D42" s="608">
        <f t="shared" si="13"/>
        <v>271472</v>
      </c>
      <c r="E42" s="774">
        <f t="shared" si="13"/>
        <v>291432</v>
      </c>
      <c r="F42" s="774">
        <f t="shared" si="13"/>
        <v>306238</v>
      </c>
      <c r="G42" s="774">
        <f t="shared" si="13"/>
        <v>311170.05100000004</v>
      </c>
      <c r="H42" s="774">
        <f t="shared" si="13"/>
        <v>325110.11700000003</v>
      </c>
      <c r="I42" s="774">
        <f t="shared" si="13"/>
        <v>330337.41000999999</v>
      </c>
      <c r="J42" s="774">
        <f t="shared" si="13"/>
        <v>339156.17102530005</v>
      </c>
      <c r="K42" s="774">
        <f t="shared" si="13"/>
        <v>343580.72611793398</v>
      </c>
      <c r="L42" s="774">
        <f t="shared" si="13"/>
        <v>347869.31603594311</v>
      </c>
      <c r="M42" s="774">
        <f t="shared" si="13"/>
        <v>352314.06893013831</v>
      </c>
      <c r="N42" s="774">
        <f t="shared" si="13"/>
        <v>356881.69432860508</v>
      </c>
      <c r="O42" s="774">
        <f t="shared" si="13"/>
        <v>361526.84498061863</v>
      </c>
      <c r="P42" s="774">
        <f t="shared" si="13"/>
        <v>366283.81521938241</v>
      </c>
    </row>
    <row r="43" spans="1:16" ht="11.25" x14ac:dyDescent="0.2">
      <c r="B43" s="608"/>
      <c r="C43" s="608"/>
      <c r="D43" s="608"/>
      <c r="E43" s="608"/>
      <c r="F43" s="608"/>
      <c r="G43" s="608"/>
      <c r="H43" s="608"/>
      <c r="I43" s="608"/>
      <c r="J43" s="608"/>
      <c r="K43" s="608"/>
      <c r="L43" s="608"/>
      <c r="M43" s="608"/>
      <c r="N43" s="608"/>
      <c r="O43" s="608"/>
      <c r="P43" s="608"/>
    </row>
    <row r="44" spans="1:16" ht="11.25" x14ac:dyDescent="0.2">
      <c r="A44" s="654" t="s">
        <v>76</v>
      </c>
      <c r="B44" s="621">
        <f>+'GF &amp; FF  Inc Exp Statement'!B113</f>
        <v>0</v>
      </c>
      <c r="C44" s="621">
        <f>+'GF &amp; FF  Inc Exp Statement'!C113</f>
        <v>0</v>
      </c>
      <c r="D44" s="621">
        <f>+'Consol  Inc Exp Statement'!D112</f>
        <v>19960</v>
      </c>
      <c r="E44" s="621">
        <f>'Water Fund  Equity Statement'!E44+'GF &amp; FF  Equity Statement'!E44+'Sewer Fund  Equity Statemen'!E44</f>
        <v>14806</v>
      </c>
      <c r="F44" s="621">
        <f>'Water Fund  Equity Statement'!F44+'GF &amp; FF  Equity Statement'!F44+'Sewer Fund  Equity Statemen'!F44</f>
        <v>4932.0510000000122</v>
      </c>
      <c r="G44" s="621">
        <f>'Water Fund  Equity Statement'!G44+'GF &amp; FF  Equity Statement'!G44+'Sewer Fund  Equity Statemen'!G44</f>
        <v>13940.06599999999</v>
      </c>
      <c r="H44" s="621">
        <f>'Water Fund  Equity Statement'!H44+'GF &amp; FF  Equity Statement'!H44+'Sewer Fund  Equity Statemen'!H44</f>
        <v>5227.2930099999976</v>
      </c>
      <c r="I44" s="621">
        <f>'Water Fund  Equity Statement'!I44+'GF &amp; FF  Equity Statement'!I44+'Sewer Fund  Equity Statemen'!I44</f>
        <v>8818.7610152999951</v>
      </c>
      <c r="J44" s="621">
        <f>'Water Fund  Equity Statement'!J44+'GF &amp; FF  Equity Statement'!J44+'Sewer Fund  Equity Statemen'!J44</f>
        <v>4424.555092634002</v>
      </c>
      <c r="K44" s="621">
        <f>'Water Fund  Equity Statement'!K44+'GF &amp; FF  Equity Statement'!K44+'Sewer Fund  Equity Statemen'!K44</f>
        <v>4288.58991800904</v>
      </c>
      <c r="L44" s="621">
        <f>'Water Fund  Equity Statement'!L44+'GF &amp; FF  Equity Statement'!L44+'Sewer Fund  Equity Statemen'!L44</f>
        <v>4444.7528941952542</v>
      </c>
      <c r="M44" s="621">
        <f>'Water Fund  Equity Statement'!M44+'GF &amp; FF  Equity Statement'!M44+'Sewer Fund  Equity Statemen'!M44</f>
        <v>4567.6253984667437</v>
      </c>
      <c r="N44" s="621">
        <f>'Water Fund  Equity Statement'!N44+'GF &amp; FF  Equity Statement'!N44+'Sewer Fund  Equity Statemen'!N44</f>
        <v>4645.1506520135763</v>
      </c>
      <c r="O44" s="621">
        <f>'Water Fund  Equity Statement'!O44+'GF &amp; FF  Equity Statement'!O44+'Sewer Fund  Equity Statemen'!O44</f>
        <v>4756.9702387637426</v>
      </c>
      <c r="P44" s="621">
        <f>'Water Fund  Equity Statement'!P44+'GF &amp; FF  Equity Statement'!P44+'Sewer Fund  Equity Statemen'!P44</f>
        <v>4872.2377671681206</v>
      </c>
    </row>
    <row r="45" spans="1:16" ht="11.25" x14ac:dyDescent="0.2">
      <c r="B45" s="608"/>
      <c r="C45" s="608"/>
      <c r="D45" s="608"/>
      <c r="E45" s="608"/>
      <c r="F45" s="608"/>
      <c r="G45" s="608"/>
      <c r="H45" s="608"/>
      <c r="I45" s="608"/>
      <c r="J45" s="608"/>
      <c r="K45" s="608"/>
      <c r="L45" s="608"/>
      <c r="M45" s="608"/>
      <c r="N45" s="608"/>
      <c r="O45" s="608"/>
      <c r="P45" s="608"/>
    </row>
    <row r="46" spans="1:16" s="654" customFormat="1" x14ac:dyDescent="0.2">
      <c r="A46" s="654" t="s">
        <v>105</v>
      </c>
      <c r="B46" s="674">
        <f>+B44</f>
        <v>0</v>
      </c>
      <c r="C46" s="619">
        <f t="shared" ref="C46:D46" si="14">+C44</f>
        <v>0</v>
      </c>
      <c r="D46" s="674">
        <f t="shared" si="14"/>
        <v>19960</v>
      </c>
      <c r="E46" s="621">
        <f>'Water Fund  Equity Statement'!E46+'GF &amp; FF  Equity Statement'!E46</f>
        <v>12669</v>
      </c>
      <c r="F46" s="621">
        <f>'Water Fund  Equity Statement'!F46+'GF &amp; FF  Equity Statement'!F46</f>
        <v>3182.0090000000118</v>
      </c>
      <c r="G46" s="621">
        <f>'Water Fund  Equity Statement'!G46+'GF &amp; FF  Equity Statement'!G46</f>
        <v>5091.821999999991</v>
      </c>
      <c r="H46" s="621">
        <f>'Water Fund  Equity Statement'!H46+'GF &amp; FF  Equity Statement'!H46</f>
        <v>5357.1090099999974</v>
      </c>
      <c r="I46" s="621">
        <f>'Water Fund  Equity Statement'!I46+'GF &amp; FF  Equity Statement'!I46</f>
        <v>9007.1950152999962</v>
      </c>
      <c r="J46" s="621">
        <f>'Water Fund  Equity Statement'!J46+'GF &amp; FF  Equity Statement'!J46</f>
        <v>4630.6210926340018</v>
      </c>
      <c r="K46" s="621">
        <f>'Water Fund  Equity Statement'!K46+'GF &amp; FF  Equity Statement'!K46</f>
        <v>4575.6940194090403</v>
      </c>
      <c r="L46" s="621">
        <f>'Water Fund  Equity Statement'!L46+'GF &amp; FF  Equity Statement'!L46</f>
        <v>4770.632137104255</v>
      </c>
      <c r="M46" s="621">
        <f>'Water Fund  Equity Statement'!M46+'GF &amp; FF  Equity Statement'!M46</f>
        <v>4933.9728120542904</v>
      </c>
      <c r="N46" s="621">
        <f>'Water Fund  Equity Statement'!N46+'GF &amp; FF  Equity Statement'!N46</f>
        <v>5053.7210998238161</v>
      </c>
      <c r="O46" s="621">
        <f>'Water Fund  Equity Statement'!O46+'GF &amp; FF  Equity Statement'!O46</f>
        <v>5209.5825972021703</v>
      </c>
      <c r="P46" s="621">
        <f>'Water Fund  Equity Statement'!P46+'GF &amp; FF  Equity Statement'!P46</f>
        <v>5370.7771820320831</v>
      </c>
    </row>
    <row r="47" spans="1:16" s="654" customFormat="1" ht="10.8" thickBot="1" x14ac:dyDescent="0.25">
      <c r="A47" s="654" t="s">
        <v>106</v>
      </c>
      <c r="B47" s="658">
        <f t="shared" ref="B47:P47" si="15">+B42+B46</f>
        <v>0</v>
      </c>
      <c r="C47" s="658">
        <f t="shared" si="15"/>
        <v>0</v>
      </c>
      <c r="D47" s="658">
        <f t="shared" si="15"/>
        <v>291432</v>
      </c>
      <c r="E47" s="658">
        <f t="shared" si="15"/>
        <v>304101</v>
      </c>
      <c r="F47" s="658">
        <f t="shared" si="15"/>
        <v>309420.00900000002</v>
      </c>
      <c r="G47" s="658">
        <f t="shared" si="15"/>
        <v>316261.87300000002</v>
      </c>
      <c r="H47" s="658">
        <f t="shared" si="15"/>
        <v>330467.22601000004</v>
      </c>
      <c r="I47" s="658">
        <f t="shared" si="15"/>
        <v>339344.6050253</v>
      </c>
      <c r="J47" s="658">
        <f t="shared" si="15"/>
        <v>343786.79211793403</v>
      </c>
      <c r="K47" s="658">
        <f t="shared" si="15"/>
        <v>348156.420137343</v>
      </c>
      <c r="L47" s="658">
        <f t="shared" si="15"/>
        <v>352639.94817304733</v>
      </c>
      <c r="M47" s="658">
        <f t="shared" si="15"/>
        <v>357248.04174219258</v>
      </c>
      <c r="N47" s="658">
        <f t="shared" si="15"/>
        <v>361935.41542842891</v>
      </c>
      <c r="O47" s="658">
        <f t="shared" si="15"/>
        <v>366736.42757782078</v>
      </c>
      <c r="P47" s="658">
        <f t="shared" si="15"/>
        <v>371654.59240141447</v>
      </c>
    </row>
    <row r="48" spans="1:16" x14ac:dyDescent="0.2">
      <c r="B48" s="608"/>
      <c r="C48" s="608"/>
      <c r="D48" s="608"/>
      <c r="E48" s="608"/>
      <c r="F48" s="608"/>
      <c r="G48" s="608"/>
      <c r="H48" s="608"/>
      <c r="I48" s="608"/>
      <c r="J48" s="608"/>
      <c r="K48" s="608"/>
      <c r="L48" s="608"/>
      <c r="M48" s="608"/>
      <c r="N48" s="608"/>
      <c r="O48" s="608"/>
      <c r="P48" s="608"/>
    </row>
    <row r="49" spans="1:16" x14ac:dyDescent="0.2">
      <c r="A49" s="654" t="s">
        <v>107</v>
      </c>
      <c r="B49" s="608"/>
      <c r="C49" s="608"/>
      <c r="D49" s="608"/>
      <c r="E49" s="608"/>
      <c r="F49" s="608"/>
      <c r="G49" s="608"/>
      <c r="H49" s="608"/>
      <c r="I49" s="608"/>
      <c r="J49" s="608"/>
      <c r="K49" s="608"/>
      <c r="L49" s="608"/>
      <c r="M49" s="608"/>
      <c r="N49" s="608"/>
      <c r="O49" s="608"/>
      <c r="P49" s="608"/>
    </row>
    <row r="50" spans="1:16" x14ac:dyDescent="0.2">
      <c r="A50" s="654" t="s">
        <v>100</v>
      </c>
      <c r="B50" s="608"/>
      <c r="C50" s="608">
        <f>+B56</f>
        <v>0</v>
      </c>
      <c r="D50" s="608">
        <f>D16</f>
        <v>309010</v>
      </c>
      <c r="E50" s="621">
        <f>'Water Fund  Equity Statement'!E50+'GF &amp; FF  Equity Statement'!E50+'Sewer Fund  Equity Statemen'!E50</f>
        <v>302990</v>
      </c>
      <c r="F50" s="608">
        <f t="shared" ref="F50:P50" si="16">+E56</f>
        <v>302990</v>
      </c>
      <c r="G50" s="608">
        <f t="shared" si="16"/>
        <v>302990</v>
      </c>
      <c r="H50" s="608">
        <f t="shared" si="16"/>
        <v>302990</v>
      </c>
      <c r="I50" s="608">
        <f t="shared" si="16"/>
        <v>302990</v>
      </c>
      <c r="J50" s="608">
        <f t="shared" si="16"/>
        <v>302990</v>
      </c>
      <c r="K50" s="608">
        <f t="shared" si="16"/>
        <v>302990</v>
      </c>
      <c r="L50" s="608">
        <f t="shared" si="16"/>
        <v>302990</v>
      </c>
      <c r="M50" s="608">
        <f t="shared" si="16"/>
        <v>302990</v>
      </c>
      <c r="N50" s="608">
        <f t="shared" si="16"/>
        <v>302990</v>
      </c>
      <c r="O50" s="608">
        <f t="shared" si="16"/>
        <v>302990</v>
      </c>
      <c r="P50" s="608">
        <f t="shared" si="16"/>
        <v>302990</v>
      </c>
    </row>
    <row r="51" spans="1:16" x14ac:dyDescent="0.2">
      <c r="A51" s="655" t="s">
        <v>101</v>
      </c>
      <c r="B51" s="617">
        <v>0</v>
      </c>
      <c r="C51" s="617">
        <v>0</v>
      </c>
      <c r="D51" s="617">
        <v>0</v>
      </c>
      <c r="E51" s="621">
        <f>'Water Fund  Equity Statement'!E51+'GF &amp; FF  Equity Statement'!E51+'Sewer Fund  Equity Statemen'!E51</f>
        <v>0</v>
      </c>
      <c r="F51" s="621">
        <f>'Water Fund  Equity Statement'!F51+'GF &amp; FF  Equity Statement'!F51+'Sewer Fund  Equity Statemen'!F51</f>
        <v>0</v>
      </c>
      <c r="G51" s="621">
        <f>'Water Fund  Equity Statement'!G51+'GF &amp; FF  Equity Statement'!G51+'Sewer Fund  Equity Statemen'!G51</f>
        <v>0</v>
      </c>
      <c r="H51" s="621">
        <f>'Water Fund  Equity Statement'!H51+'GF &amp; FF  Equity Statement'!H51+'Sewer Fund  Equity Statemen'!H51</f>
        <v>0</v>
      </c>
      <c r="I51" s="621">
        <f>'Water Fund  Equity Statement'!I51+'GF &amp; FF  Equity Statement'!I51+'Sewer Fund  Equity Statemen'!I51</f>
        <v>0</v>
      </c>
      <c r="J51" s="621">
        <f>'Water Fund  Equity Statement'!J51+'GF &amp; FF  Equity Statement'!J51+'Sewer Fund  Equity Statemen'!J51</f>
        <v>0</v>
      </c>
      <c r="K51" s="621">
        <f>'Water Fund  Equity Statement'!K51+'GF &amp; FF  Equity Statement'!K51+'Sewer Fund  Equity Statemen'!K51</f>
        <v>0</v>
      </c>
      <c r="L51" s="621">
        <f>'Water Fund  Equity Statement'!L51+'GF &amp; FF  Equity Statement'!L51+'Sewer Fund  Equity Statemen'!L51</f>
        <v>0</v>
      </c>
      <c r="M51" s="621">
        <f>'Water Fund  Equity Statement'!M51+'GF &amp; FF  Equity Statement'!M51+'Sewer Fund  Equity Statemen'!M51</f>
        <v>0</v>
      </c>
      <c r="N51" s="621">
        <f>'Water Fund  Equity Statement'!N51+'GF &amp; FF  Equity Statement'!N51+'Sewer Fund  Equity Statemen'!N51</f>
        <v>0</v>
      </c>
      <c r="O51" s="621">
        <f>'Water Fund  Equity Statement'!O51+'GF &amp; FF  Equity Statement'!O51+'Sewer Fund  Equity Statemen'!O51</f>
        <v>0</v>
      </c>
      <c r="P51" s="621">
        <f>'Water Fund  Equity Statement'!P51+'GF &amp; FF  Equity Statement'!P51+'Sewer Fund  Equity Statemen'!P51</f>
        <v>0</v>
      </c>
    </row>
    <row r="52" spans="1:16" x14ac:dyDescent="0.2">
      <c r="A52" s="654" t="s">
        <v>102</v>
      </c>
      <c r="B52" s="675">
        <f>SUM(B50:B51)</f>
        <v>0</v>
      </c>
      <c r="C52" s="675">
        <f t="shared" ref="C52:P52" si="17">SUM(C50:C51)</f>
        <v>0</v>
      </c>
      <c r="D52" s="675">
        <f t="shared" si="17"/>
        <v>309010</v>
      </c>
      <c r="E52" s="775">
        <f t="shared" si="17"/>
        <v>302990</v>
      </c>
      <c r="F52" s="775">
        <f t="shared" si="17"/>
        <v>302990</v>
      </c>
      <c r="G52" s="775">
        <f t="shared" si="17"/>
        <v>302990</v>
      </c>
      <c r="H52" s="775">
        <f t="shared" si="17"/>
        <v>302990</v>
      </c>
      <c r="I52" s="775">
        <f t="shared" si="17"/>
        <v>302990</v>
      </c>
      <c r="J52" s="775">
        <f t="shared" si="17"/>
        <v>302990</v>
      </c>
      <c r="K52" s="775">
        <f t="shared" si="17"/>
        <v>302990</v>
      </c>
      <c r="L52" s="775">
        <f t="shared" si="17"/>
        <v>302990</v>
      </c>
      <c r="M52" s="775">
        <f t="shared" si="17"/>
        <v>302990</v>
      </c>
      <c r="N52" s="775">
        <f t="shared" si="17"/>
        <v>302990</v>
      </c>
      <c r="O52" s="775">
        <f t="shared" si="17"/>
        <v>302990</v>
      </c>
      <c r="P52" s="775">
        <f t="shared" si="17"/>
        <v>302990</v>
      </c>
    </row>
    <row r="53" spans="1:16" x14ac:dyDescent="0.2">
      <c r="B53" s="608"/>
      <c r="C53" s="608"/>
      <c r="D53" s="608"/>
      <c r="E53" s="608"/>
      <c r="F53" s="608"/>
      <c r="G53" s="608"/>
      <c r="H53" s="608"/>
      <c r="I53" s="608"/>
      <c r="J53" s="608"/>
      <c r="K53" s="608"/>
      <c r="L53" s="608"/>
      <c r="M53" s="608"/>
      <c r="N53" s="608"/>
      <c r="O53" s="608"/>
      <c r="P53" s="608"/>
    </row>
    <row r="54" spans="1:16" x14ac:dyDescent="0.2">
      <c r="A54" s="653" t="s">
        <v>104</v>
      </c>
      <c r="B54" s="621">
        <v>0</v>
      </c>
      <c r="C54" s="621">
        <f>C32</f>
        <v>0</v>
      </c>
      <c r="D54" s="621">
        <f>D20</f>
        <v>-8350</v>
      </c>
      <c r="E54" s="621">
        <f>'Water Fund  Equity Statement'!E54+'GF &amp; FF  Equity Statement'!E54+'Sewer Fund  Equity Statemen'!E54</f>
        <v>0</v>
      </c>
      <c r="F54" s="621">
        <f>'Water Fund  Equity Statement'!F54+'GF &amp; FF  Equity Statement'!F54+'Sewer Fund  Equity Statemen'!F54</f>
        <v>0</v>
      </c>
      <c r="G54" s="621">
        <f>'Water Fund  Equity Statement'!G54+'GF &amp; FF  Equity Statement'!G54+'Sewer Fund  Equity Statemen'!G54</f>
        <v>0</v>
      </c>
      <c r="H54" s="621">
        <f>'Water Fund  Equity Statement'!H54+'GF &amp; FF  Equity Statement'!H54+'Sewer Fund  Equity Statemen'!H54</f>
        <v>0</v>
      </c>
      <c r="I54" s="621">
        <f>'Water Fund  Equity Statement'!I54+'GF &amp; FF  Equity Statement'!I54+'Sewer Fund  Equity Statemen'!I54</f>
        <v>0</v>
      </c>
      <c r="J54" s="621">
        <f>'Water Fund  Equity Statement'!J54+'GF &amp; FF  Equity Statement'!J54+'Sewer Fund  Equity Statemen'!J54</f>
        <v>0</v>
      </c>
      <c r="K54" s="621">
        <f>'Water Fund  Equity Statement'!K54+'GF &amp; FF  Equity Statement'!K54+'Sewer Fund  Equity Statemen'!K54</f>
        <v>0</v>
      </c>
      <c r="L54" s="621">
        <f>'Water Fund  Equity Statement'!L54+'GF &amp; FF  Equity Statement'!L54+'Sewer Fund  Equity Statemen'!L54</f>
        <v>0</v>
      </c>
      <c r="M54" s="621">
        <f>'Water Fund  Equity Statement'!M54+'GF &amp; FF  Equity Statement'!M54+'Sewer Fund  Equity Statemen'!M54</f>
        <v>0</v>
      </c>
      <c r="N54" s="621">
        <f>'Water Fund  Equity Statement'!N54+'GF &amp; FF  Equity Statement'!N54+'Sewer Fund  Equity Statemen'!N54</f>
        <v>0</v>
      </c>
      <c r="O54" s="621">
        <f>'Water Fund  Equity Statement'!O54+'GF &amp; FF  Equity Statement'!O54+'Sewer Fund  Equity Statemen'!O54</f>
        <v>0</v>
      </c>
      <c r="P54" s="621">
        <f>'Water Fund  Equity Statement'!P54+'GF &amp; FF  Equity Statement'!P54+'Sewer Fund  Equity Statemen'!P54</f>
        <v>0</v>
      </c>
    </row>
    <row r="55" spans="1:16" s="657" customFormat="1" x14ac:dyDescent="0.2">
      <c r="A55" s="654" t="s">
        <v>105</v>
      </c>
      <c r="B55" s="674">
        <f>+B52+B54</f>
        <v>0</v>
      </c>
      <c r="C55" s="674">
        <f>C52+C54</f>
        <v>0</v>
      </c>
      <c r="D55" s="674">
        <f t="shared" ref="D55:P55" si="18">D52+D54</f>
        <v>300660</v>
      </c>
      <c r="E55" s="674">
        <f t="shared" si="18"/>
        <v>302990</v>
      </c>
      <c r="F55" s="674">
        <f t="shared" si="18"/>
        <v>302990</v>
      </c>
      <c r="G55" s="674">
        <f t="shared" si="18"/>
        <v>302990</v>
      </c>
      <c r="H55" s="674">
        <f t="shared" si="18"/>
        <v>302990</v>
      </c>
      <c r="I55" s="674">
        <f t="shared" si="18"/>
        <v>302990</v>
      </c>
      <c r="J55" s="674">
        <f t="shared" si="18"/>
        <v>302990</v>
      </c>
      <c r="K55" s="674">
        <f t="shared" si="18"/>
        <v>302990</v>
      </c>
      <c r="L55" s="674">
        <f t="shared" si="18"/>
        <v>302990</v>
      </c>
      <c r="M55" s="674">
        <f t="shared" si="18"/>
        <v>302990</v>
      </c>
      <c r="N55" s="674">
        <f t="shared" si="18"/>
        <v>302990</v>
      </c>
      <c r="O55" s="674">
        <f t="shared" si="18"/>
        <v>302990</v>
      </c>
      <c r="P55" s="674">
        <f t="shared" si="18"/>
        <v>302990</v>
      </c>
    </row>
    <row r="56" spans="1:16" s="657" customFormat="1" ht="10.8" thickBot="1" x14ac:dyDescent="0.25">
      <c r="A56" s="654" t="s">
        <v>106</v>
      </c>
      <c r="B56" s="658">
        <f>+B55</f>
        <v>0</v>
      </c>
      <c r="C56" s="658">
        <f t="shared" ref="C56:P56" si="19">+C55</f>
        <v>0</v>
      </c>
      <c r="D56" s="658">
        <f t="shared" si="19"/>
        <v>300660</v>
      </c>
      <c r="E56" s="658">
        <f t="shared" si="19"/>
        <v>302990</v>
      </c>
      <c r="F56" s="658">
        <f t="shared" si="19"/>
        <v>302990</v>
      </c>
      <c r="G56" s="658">
        <f t="shared" si="19"/>
        <v>302990</v>
      </c>
      <c r="H56" s="658">
        <f t="shared" si="19"/>
        <v>302990</v>
      </c>
      <c r="I56" s="658">
        <f t="shared" si="19"/>
        <v>302990</v>
      </c>
      <c r="J56" s="658">
        <f t="shared" si="19"/>
        <v>302990</v>
      </c>
      <c r="K56" s="658">
        <f t="shared" si="19"/>
        <v>302990</v>
      </c>
      <c r="L56" s="658">
        <f t="shared" si="19"/>
        <v>302990</v>
      </c>
      <c r="M56" s="658">
        <f t="shared" si="19"/>
        <v>302990</v>
      </c>
      <c r="N56" s="658">
        <f t="shared" si="19"/>
        <v>302990</v>
      </c>
      <c r="O56" s="658">
        <f t="shared" si="19"/>
        <v>302990</v>
      </c>
      <c r="P56" s="658">
        <f t="shared" si="19"/>
        <v>302990</v>
      </c>
    </row>
    <row r="57" spans="1:16" x14ac:dyDescent="0.2">
      <c r="B57" s="608"/>
      <c r="C57" s="608"/>
      <c r="D57" s="608"/>
      <c r="E57" s="608"/>
      <c r="F57" s="608"/>
      <c r="G57" s="608"/>
      <c r="H57" s="608"/>
      <c r="I57" s="608"/>
      <c r="J57" s="608"/>
      <c r="K57" s="608"/>
      <c r="L57" s="608"/>
      <c r="M57" s="608"/>
      <c r="N57" s="608"/>
      <c r="O57" s="608"/>
      <c r="P57" s="608"/>
    </row>
    <row r="58" spans="1:16" x14ac:dyDescent="0.2">
      <c r="A58" s="654" t="s">
        <v>108</v>
      </c>
    </row>
    <row r="59" spans="1:16" x14ac:dyDescent="0.2">
      <c r="A59" s="654" t="s">
        <v>100</v>
      </c>
      <c r="B59" s="608">
        <f>+B40+B50</f>
        <v>0</v>
      </c>
      <c r="C59" s="608">
        <f t="shared" ref="C59:P60" si="20">+C40+C50</f>
        <v>0</v>
      </c>
      <c r="D59" s="608">
        <f t="shared" si="20"/>
        <v>580482</v>
      </c>
      <c r="E59" s="608">
        <f t="shared" si="20"/>
        <v>594422</v>
      </c>
      <c r="F59" s="608">
        <f t="shared" si="20"/>
        <v>609228</v>
      </c>
      <c r="G59" s="608">
        <f t="shared" si="20"/>
        <v>614160.05099999998</v>
      </c>
      <c r="H59" s="608">
        <f t="shared" si="20"/>
        <v>628100.11700000009</v>
      </c>
      <c r="I59" s="608">
        <f t="shared" si="20"/>
        <v>633327.41000999999</v>
      </c>
      <c r="J59" s="608">
        <f t="shared" si="20"/>
        <v>642146.17102530005</v>
      </c>
      <c r="K59" s="608">
        <f t="shared" si="20"/>
        <v>646570.72611793398</v>
      </c>
      <c r="L59" s="608">
        <f t="shared" si="20"/>
        <v>650859.31603594311</v>
      </c>
      <c r="M59" s="608">
        <f t="shared" si="20"/>
        <v>655304.06893013837</v>
      </c>
      <c r="N59" s="608">
        <f t="shared" si="20"/>
        <v>659871.69432860508</v>
      </c>
      <c r="O59" s="608">
        <f t="shared" si="20"/>
        <v>664516.84498061868</v>
      </c>
      <c r="P59" s="608">
        <f t="shared" si="20"/>
        <v>669273.81521938241</v>
      </c>
    </row>
    <row r="60" spans="1:16" x14ac:dyDescent="0.2">
      <c r="A60" s="655" t="s">
        <v>101</v>
      </c>
      <c r="B60" s="617">
        <f>+B41+B51</f>
        <v>0</v>
      </c>
      <c r="C60" s="617">
        <f t="shared" si="20"/>
        <v>0</v>
      </c>
      <c r="D60" s="617">
        <f t="shared" si="20"/>
        <v>0</v>
      </c>
      <c r="E60" s="617">
        <f>'Water Fund  Equity Statement'!E60+'GF &amp; FF  Equity Statement'!E60+'Sewer Fund  Equity Statemen'!E60</f>
        <v>0</v>
      </c>
      <c r="F60" s="617">
        <f>'Water Fund  Equity Statement'!F60+'GF &amp; FF  Equity Statement'!F60+'Sewer Fund  Equity Statemen'!F60</f>
        <v>0</v>
      </c>
      <c r="G60" s="617">
        <f>'Water Fund  Equity Statement'!G60+'GF &amp; FF  Equity Statement'!G60+'Sewer Fund  Equity Statemen'!G60</f>
        <v>0</v>
      </c>
      <c r="H60" s="617">
        <f>'Water Fund  Equity Statement'!H60+'GF &amp; FF  Equity Statement'!H60+'Sewer Fund  Equity Statemen'!H60</f>
        <v>0</v>
      </c>
      <c r="I60" s="617">
        <f>'Water Fund  Equity Statement'!I60+'GF &amp; FF  Equity Statement'!I60+'Sewer Fund  Equity Statemen'!I60</f>
        <v>0</v>
      </c>
      <c r="J60" s="617">
        <f>'Water Fund  Equity Statement'!J60+'GF &amp; FF  Equity Statement'!J60+'Sewer Fund  Equity Statemen'!J60</f>
        <v>0</v>
      </c>
      <c r="K60" s="617">
        <f>'Water Fund  Equity Statement'!K60+'GF &amp; FF  Equity Statement'!K60+'Sewer Fund  Equity Statemen'!K60</f>
        <v>0</v>
      </c>
      <c r="L60" s="617">
        <f>'Water Fund  Equity Statement'!L60+'GF &amp; FF  Equity Statement'!L60+'Sewer Fund  Equity Statemen'!L60</f>
        <v>0</v>
      </c>
      <c r="M60" s="617">
        <f>'Water Fund  Equity Statement'!M60+'GF &amp; FF  Equity Statement'!M60+'Sewer Fund  Equity Statemen'!M60</f>
        <v>0</v>
      </c>
      <c r="N60" s="617">
        <f>'Water Fund  Equity Statement'!N60+'GF &amp; FF  Equity Statement'!N60+'Sewer Fund  Equity Statemen'!N60</f>
        <v>0</v>
      </c>
      <c r="O60" s="617">
        <f>'Water Fund  Equity Statement'!O60+'GF &amp; FF  Equity Statement'!O60+'Sewer Fund  Equity Statemen'!O60</f>
        <v>0</v>
      </c>
      <c r="P60" s="617">
        <f>'Water Fund  Equity Statement'!P60+'GF &amp; FF  Equity Statement'!P60+'Sewer Fund  Equity Statemen'!P60</f>
        <v>0</v>
      </c>
    </row>
    <row r="61" spans="1:16" x14ac:dyDescent="0.2">
      <c r="A61" s="654" t="s">
        <v>102</v>
      </c>
      <c r="B61" s="608">
        <f>SUM(B59:B60)</f>
        <v>0</v>
      </c>
      <c r="C61" s="608">
        <f t="shared" ref="C61:P61" si="21">SUM(C59:C60)</f>
        <v>0</v>
      </c>
      <c r="D61" s="608">
        <f t="shared" si="21"/>
        <v>580482</v>
      </c>
      <c r="E61" s="774">
        <f t="shared" si="21"/>
        <v>594422</v>
      </c>
      <c r="F61" s="608">
        <f t="shared" si="21"/>
        <v>609228</v>
      </c>
      <c r="G61" s="608">
        <f t="shared" si="21"/>
        <v>614160.05099999998</v>
      </c>
      <c r="H61" s="608">
        <f t="shared" si="21"/>
        <v>628100.11700000009</v>
      </c>
      <c r="I61" s="608">
        <f t="shared" si="21"/>
        <v>633327.41000999999</v>
      </c>
      <c r="J61" s="608">
        <f t="shared" si="21"/>
        <v>642146.17102530005</v>
      </c>
      <c r="K61" s="608">
        <f t="shared" si="21"/>
        <v>646570.72611793398</v>
      </c>
      <c r="L61" s="608">
        <f t="shared" si="21"/>
        <v>650859.31603594311</v>
      </c>
      <c r="M61" s="608">
        <f t="shared" si="21"/>
        <v>655304.06893013837</v>
      </c>
      <c r="N61" s="608">
        <f t="shared" si="21"/>
        <v>659871.69432860508</v>
      </c>
      <c r="O61" s="608">
        <f t="shared" si="21"/>
        <v>664516.84498061868</v>
      </c>
      <c r="P61" s="608">
        <f t="shared" si="21"/>
        <v>669273.81521938241</v>
      </c>
    </row>
    <row r="62" spans="1:16" x14ac:dyDescent="0.2">
      <c r="B62" s="608"/>
      <c r="C62" s="608"/>
      <c r="D62" s="608"/>
      <c r="E62" s="608"/>
      <c r="F62" s="608"/>
      <c r="G62" s="608"/>
      <c r="H62" s="608"/>
      <c r="I62" s="608"/>
      <c r="J62" s="608"/>
      <c r="K62" s="608"/>
      <c r="L62" s="608"/>
      <c r="M62" s="608"/>
      <c r="N62" s="608"/>
      <c r="O62" s="608"/>
      <c r="P62" s="608"/>
    </row>
    <row r="63" spans="1:16" x14ac:dyDescent="0.2">
      <c r="A63" s="654" t="s">
        <v>76</v>
      </c>
      <c r="B63" s="608">
        <f>+B44</f>
        <v>0</v>
      </c>
      <c r="C63" s="621">
        <f t="shared" ref="C63:D63" si="22">+C44</f>
        <v>0</v>
      </c>
      <c r="D63" s="608">
        <f t="shared" si="22"/>
        <v>19960</v>
      </c>
      <c r="E63" s="621">
        <f>'Water Fund  Equity Statement'!E63+'GF &amp; FF  Equity Statement'!E63+'Sewer Fund  Equity Statemen'!E63</f>
        <v>14806</v>
      </c>
      <c r="F63" s="621">
        <f>'Water Fund  Equity Statement'!F63+'GF &amp; FF  Equity Statement'!F63+'Sewer Fund  Equity Statemen'!F63</f>
        <v>4932.0510000000122</v>
      </c>
      <c r="G63" s="621">
        <f>'Water Fund  Equity Statement'!G63+'GF &amp; FF  Equity Statement'!G63+'Sewer Fund  Equity Statemen'!G63</f>
        <v>13940.06599999999</v>
      </c>
      <c r="H63" s="621">
        <f>'Water Fund  Equity Statement'!H63+'GF &amp; FF  Equity Statement'!H63+'Sewer Fund  Equity Statemen'!H63</f>
        <v>5227.2930099999976</v>
      </c>
      <c r="I63" s="621">
        <f>'Water Fund  Equity Statement'!I63+'GF &amp; FF  Equity Statement'!I63+'Sewer Fund  Equity Statemen'!I63</f>
        <v>8818.7610152999951</v>
      </c>
      <c r="J63" s="621">
        <f>'Water Fund  Equity Statement'!J63+'GF &amp; FF  Equity Statement'!J63+'Sewer Fund  Equity Statemen'!J63</f>
        <v>4424.555092634002</v>
      </c>
      <c r="K63" s="621">
        <f>'Water Fund  Equity Statement'!K63+'GF &amp; FF  Equity Statement'!K63+'Sewer Fund  Equity Statemen'!K63</f>
        <v>4288.58991800904</v>
      </c>
      <c r="L63" s="621">
        <f>'Water Fund  Equity Statement'!L63+'GF &amp; FF  Equity Statement'!L63+'Sewer Fund  Equity Statemen'!L63</f>
        <v>4444.7528941952542</v>
      </c>
      <c r="M63" s="621">
        <f>'Water Fund  Equity Statement'!M63+'GF &amp; FF  Equity Statement'!M63+'Sewer Fund  Equity Statemen'!M63</f>
        <v>4567.6253984667437</v>
      </c>
      <c r="N63" s="621">
        <f>'Water Fund  Equity Statement'!N63+'GF &amp; FF  Equity Statement'!N63+'Sewer Fund  Equity Statemen'!N63</f>
        <v>4645.1506520135763</v>
      </c>
      <c r="O63" s="621">
        <f>'Water Fund  Equity Statement'!O63+'GF &amp; FF  Equity Statement'!O63+'Sewer Fund  Equity Statemen'!O63</f>
        <v>4756.9702387637426</v>
      </c>
      <c r="P63" s="621">
        <f>'Water Fund  Equity Statement'!P63+'GF &amp; FF  Equity Statement'!P63+'Sewer Fund  Equity Statemen'!P63</f>
        <v>4872.2377671681206</v>
      </c>
    </row>
    <row r="64" spans="1:16" x14ac:dyDescent="0.2">
      <c r="B64" s="608"/>
      <c r="C64" s="608"/>
      <c r="D64" s="608"/>
      <c r="E64" s="608"/>
      <c r="F64" s="608"/>
      <c r="G64" s="608"/>
      <c r="H64" s="608"/>
      <c r="I64" s="608"/>
      <c r="J64" s="608"/>
      <c r="K64" s="608"/>
      <c r="L64" s="608"/>
      <c r="M64" s="608"/>
      <c r="N64" s="608"/>
      <c r="O64" s="608"/>
      <c r="P64" s="608"/>
    </row>
    <row r="65" spans="1:16" s="654" customFormat="1" x14ac:dyDescent="0.2">
      <c r="A65" s="654" t="s">
        <v>105</v>
      </c>
      <c r="B65" s="674">
        <f>+B46</f>
        <v>0</v>
      </c>
      <c r="C65" s="619">
        <f t="shared" ref="C65:P65" si="23">+C63</f>
        <v>0</v>
      </c>
      <c r="D65" s="674">
        <f t="shared" si="23"/>
        <v>19960</v>
      </c>
      <c r="E65" s="619">
        <f t="shared" si="23"/>
        <v>14806</v>
      </c>
      <c r="F65" s="619">
        <f t="shared" si="23"/>
        <v>4932.0510000000122</v>
      </c>
      <c r="G65" s="619">
        <f t="shared" si="23"/>
        <v>13940.06599999999</v>
      </c>
      <c r="H65" s="619">
        <f t="shared" si="23"/>
        <v>5227.2930099999976</v>
      </c>
      <c r="I65" s="619">
        <f t="shared" si="23"/>
        <v>8818.7610152999951</v>
      </c>
      <c r="J65" s="619">
        <f t="shared" si="23"/>
        <v>4424.555092634002</v>
      </c>
      <c r="K65" s="619">
        <f t="shared" si="23"/>
        <v>4288.58991800904</v>
      </c>
      <c r="L65" s="619">
        <f t="shared" si="23"/>
        <v>4444.7528941952542</v>
      </c>
      <c r="M65" s="619">
        <f t="shared" si="23"/>
        <v>4567.6253984667437</v>
      </c>
      <c r="N65" s="619">
        <f t="shared" si="23"/>
        <v>4645.1506520135763</v>
      </c>
      <c r="O65" s="619">
        <f t="shared" si="23"/>
        <v>4756.9702387637426</v>
      </c>
      <c r="P65" s="619">
        <f t="shared" si="23"/>
        <v>4872.2377671681206</v>
      </c>
    </row>
    <row r="66" spans="1:16" s="676" customFormat="1" ht="10.8" thickBot="1" x14ac:dyDescent="0.25">
      <c r="A66" s="653" t="s">
        <v>104</v>
      </c>
      <c r="B66" s="633">
        <f>+B54</f>
        <v>0</v>
      </c>
      <c r="C66" s="633">
        <f t="shared" ref="C66:D66" si="24">+C54</f>
        <v>0</v>
      </c>
      <c r="D66" s="633">
        <f t="shared" si="24"/>
        <v>-8350</v>
      </c>
      <c r="E66" s="621">
        <f>'Water Fund  Equity Statement'!E66+'GF &amp; FF  Equity Statement'!E66</f>
        <v>0</v>
      </c>
      <c r="F66" s="621">
        <f>'Water Fund  Equity Statement'!F66+'GF &amp; FF  Equity Statement'!F66</f>
        <v>0</v>
      </c>
      <c r="G66" s="621">
        <f>'Water Fund  Equity Statement'!G66+'GF &amp; FF  Equity Statement'!G66</f>
        <v>0</v>
      </c>
      <c r="H66" s="621">
        <f>'Water Fund  Equity Statement'!H66+'GF &amp; FF  Equity Statement'!H66</f>
        <v>0</v>
      </c>
      <c r="I66" s="621">
        <f>'Water Fund  Equity Statement'!I66+'GF &amp; FF  Equity Statement'!I66</f>
        <v>0</v>
      </c>
      <c r="J66" s="621">
        <f>'Water Fund  Equity Statement'!J66+'GF &amp; FF  Equity Statement'!J66</f>
        <v>0</v>
      </c>
      <c r="K66" s="621">
        <f>'Water Fund  Equity Statement'!K66+'GF &amp; FF  Equity Statement'!K66</f>
        <v>0</v>
      </c>
      <c r="L66" s="621">
        <f>'Water Fund  Equity Statement'!L66+'GF &amp; FF  Equity Statement'!L66</f>
        <v>0</v>
      </c>
      <c r="M66" s="621">
        <f>'Water Fund  Equity Statement'!M66+'GF &amp; FF  Equity Statement'!M66</f>
        <v>0</v>
      </c>
      <c r="N66" s="621">
        <f>'Water Fund  Equity Statement'!N66+'GF &amp; FF  Equity Statement'!N66</f>
        <v>0</v>
      </c>
      <c r="O66" s="621">
        <f>'Water Fund  Equity Statement'!O66+'GF &amp; FF  Equity Statement'!O66</f>
        <v>0</v>
      </c>
      <c r="P66" s="621">
        <f>'Water Fund  Equity Statement'!P66+'GF &amp; FF  Equity Statement'!P66</f>
        <v>0</v>
      </c>
    </row>
    <row r="67" spans="1:16" s="654" customFormat="1" ht="10.8" thickBot="1" x14ac:dyDescent="0.25">
      <c r="A67" s="654" t="s">
        <v>106</v>
      </c>
      <c r="B67" s="668">
        <f>+B61+B65+B66</f>
        <v>0</v>
      </c>
      <c r="C67" s="668">
        <f t="shared" ref="C67:P67" si="25">+C61+C65+C66</f>
        <v>0</v>
      </c>
      <c r="D67" s="668">
        <f t="shared" si="25"/>
        <v>592092</v>
      </c>
      <c r="E67" s="668">
        <f t="shared" si="25"/>
        <v>609228</v>
      </c>
      <c r="F67" s="668">
        <f t="shared" si="25"/>
        <v>614160.05099999998</v>
      </c>
      <c r="G67" s="668">
        <f t="shared" si="25"/>
        <v>628100.11699999997</v>
      </c>
      <c r="H67" s="668">
        <f t="shared" si="25"/>
        <v>633327.41001000011</v>
      </c>
      <c r="I67" s="668">
        <f t="shared" si="25"/>
        <v>642146.17102529993</v>
      </c>
      <c r="J67" s="668">
        <f t="shared" si="25"/>
        <v>646570.7261179341</v>
      </c>
      <c r="K67" s="668">
        <f t="shared" si="25"/>
        <v>650859.31603594299</v>
      </c>
      <c r="L67" s="668">
        <f t="shared" si="25"/>
        <v>655304.06893013837</v>
      </c>
      <c r="M67" s="668">
        <f t="shared" si="25"/>
        <v>659871.69432860508</v>
      </c>
      <c r="N67" s="668">
        <f t="shared" si="25"/>
        <v>664516.84498061868</v>
      </c>
      <c r="O67" s="668">
        <f t="shared" si="25"/>
        <v>669273.81521938241</v>
      </c>
      <c r="P67" s="668">
        <f t="shared" si="25"/>
        <v>674146.05298655049</v>
      </c>
    </row>
    <row r="68" spans="1:16" ht="10.8" thickTop="1" x14ac:dyDescent="0.2"/>
    <row r="69" spans="1:16" ht="13.8" x14ac:dyDescent="0.3">
      <c r="A69" s="1091" t="s">
        <v>1361</v>
      </c>
    </row>
    <row r="70" spans="1:16" ht="12" x14ac:dyDescent="0.25">
      <c r="A70" s="673" t="s">
        <v>1074</v>
      </c>
      <c r="B70" s="586" t="s">
        <v>69</v>
      </c>
      <c r="C70" s="586" t="s">
        <v>69</v>
      </c>
      <c r="D70" s="586" t="s">
        <v>69</v>
      </c>
      <c r="E70" s="586" t="s">
        <v>69</v>
      </c>
      <c r="F70" s="586" t="s">
        <v>70</v>
      </c>
      <c r="G70" s="586" t="s">
        <v>70</v>
      </c>
      <c r="H70" s="586" t="s">
        <v>71</v>
      </c>
      <c r="I70" s="586" t="s">
        <v>71</v>
      </c>
      <c r="J70" s="586" t="s">
        <v>71</v>
      </c>
      <c r="K70" s="586" t="s">
        <v>71</v>
      </c>
      <c r="L70" s="586" t="s">
        <v>71</v>
      </c>
      <c r="M70" s="586" t="s">
        <v>71</v>
      </c>
      <c r="N70" s="586" t="s">
        <v>71</v>
      </c>
      <c r="O70" s="586" t="s">
        <v>71</v>
      </c>
      <c r="P70" s="586" t="s">
        <v>71</v>
      </c>
    </row>
    <row r="71" spans="1:16" x14ac:dyDescent="0.2">
      <c r="A71" s="652" t="s">
        <v>73</v>
      </c>
      <c r="B71" s="741" t="s">
        <v>68</v>
      </c>
      <c r="C71" s="694" t="s">
        <v>0</v>
      </c>
      <c r="D71" s="694" t="s">
        <v>1</v>
      </c>
      <c r="E71" s="694" t="s">
        <v>2</v>
      </c>
      <c r="F71" s="694" t="s">
        <v>3</v>
      </c>
      <c r="G71" s="694" t="s">
        <v>4</v>
      </c>
      <c r="H71" s="694" t="s">
        <v>5</v>
      </c>
      <c r="I71" s="694" t="s">
        <v>6</v>
      </c>
      <c r="J71" s="694" t="s">
        <v>7</v>
      </c>
      <c r="K71" s="694" t="s">
        <v>8</v>
      </c>
      <c r="L71" s="694" t="s">
        <v>9</v>
      </c>
      <c r="M71" s="694" t="s">
        <v>514</v>
      </c>
      <c r="N71" s="694" t="s">
        <v>515</v>
      </c>
      <c r="O71" s="694" t="s">
        <v>904</v>
      </c>
      <c r="P71" s="694" t="s">
        <v>1046</v>
      </c>
    </row>
    <row r="72" spans="1:16" x14ac:dyDescent="0.2">
      <c r="A72" s="661"/>
      <c r="B72" s="662"/>
      <c r="C72" s="662"/>
      <c r="D72" s="663"/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3"/>
      <c r="P72" s="663"/>
    </row>
    <row r="73" spans="1:16" x14ac:dyDescent="0.2">
      <c r="A73" s="654" t="s">
        <v>103</v>
      </c>
    </row>
    <row r="74" spans="1:16" x14ac:dyDescent="0.2">
      <c r="A74" s="654" t="s">
        <v>100</v>
      </c>
      <c r="B74" s="608"/>
      <c r="C74" s="608">
        <f>+B81</f>
        <v>0</v>
      </c>
      <c r="D74" s="608">
        <f>D6</f>
        <v>271472</v>
      </c>
      <c r="E74" s="621">
        <f>'Water Fund  Equity Statement'!E74+'GF &amp; FF  Equity Statement'!E74+'Sewer Fund  Equity Statemen'!E74</f>
        <v>291432</v>
      </c>
      <c r="F74" s="621">
        <f>'Water Fund  Equity Statement'!F74+'GF &amp; FF  Equity Statement'!F74+'Sewer Fund  Equity Statemen'!F74</f>
        <v>306238</v>
      </c>
      <c r="G74" s="621">
        <f>'Water Fund  Equity Statement'!G74+'GF &amp; FF  Equity Statement'!G74+'Sewer Fund  Equity Statemen'!G74</f>
        <v>311170.05100000004</v>
      </c>
      <c r="H74" s="621">
        <f>'Water Fund  Equity Statement'!H74+'GF &amp; FF  Equity Statement'!H74+'Sewer Fund  Equity Statemen'!H74</f>
        <v>325668.46850000002</v>
      </c>
      <c r="I74" s="621">
        <f>'Water Fund  Equity Statement'!I74+'GF &amp; FF  Equity Statement'!I74+'Sewer Fund  Equity Statemen'!I74</f>
        <v>330989.09979350003</v>
      </c>
      <c r="J74" s="621">
        <f>'Water Fund  Equity Statement'!J74+'GF &amp; FF  Equity Statement'!J74+'Sewer Fund  Equity Statemen'!J74</f>
        <v>340170.12864313758</v>
      </c>
      <c r="K74" s="621">
        <f>'Water Fund  Equity Statement'!K74+'GF &amp; FF  Equity Statement'!K74+'Sewer Fund  Equity Statemen'!K74</f>
        <v>344966.00826596748</v>
      </c>
      <c r="L74" s="621">
        <f>'Water Fund  Equity Statement'!L74+'GF &amp; FF  Equity Statement'!L74+'Sewer Fund  Equity Statemen'!L74</f>
        <v>349121.72707135649</v>
      </c>
      <c r="M74" s="621">
        <f>'Water Fund  Equity Statement'!M74+'GF &amp; FF  Equity Statement'!M74+'Sewer Fund  Equity Statemen'!M74</f>
        <v>353384.31525194435</v>
      </c>
      <c r="N74" s="621">
        <f>'Water Fund  Equity Statement'!N74+'GF &amp; FF  Equity Statement'!N74+'Sewer Fund  Equity Statemen'!N74</f>
        <v>357355.71110321768</v>
      </c>
      <c r="O74" s="621">
        <f>'Water Fund  Equity Statement'!O74+'GF &amp; FF  Equity Statement'!O74+'Sewer Fund  Equity Statemen'!O74</f>
        <v>361401.27989315882</v>
      </c>
      <c r="P74" s="621">
        <f>'Water Fund  Equity Statement'!P74+'GF &amp; FF  Equity Statement'!P74+'Sewer Fund  Equity Statemen'!P74</f>
        <v>364237.61048777122</v>
      </c>
    </row>
    <row r="75" spans="1:16" x14ac:dyDescent="0.2">
      <c r="A75" s="655" t="s">
        <v>101</v>
      </c>
      <c r="B75" s="617"/>
      <c r="C75" s="617">
        <v>0</v>
      </c>
      <c r="D75" s="617">
        <v>0</v>
      </c>
      <c r="E75" s="621">
        <f>'Water Fund  Equity Statement'!E75+'GF &amp; FF  Equity Statement'!E75+'Sewer Fund  Equity Statemen'!E75</f>
        <v>0</v>
      </c>
      <c r="F75" s="621">
        <f>'Water Fund  Equity Statement'!F75+'GF &amp; FF  Equity Statement'!F75+'Sewer Fund  Equity Statemen'!F75</f>
        <v>0</v>
      </c>
      <c r="G75" s="621">
        <f>'Water Fund  Equity Statement'!G75+'GF &amp; FF  Equity Statement'!G75+'Sewer Fund  Equity Statemen'!G75</f>
        <v>0</v>
      </c>
      <c r="H75" s="621">
        <f>'Water Fund  Equity Statement'!H75+'GF &amp; FF  Equity Statement'!H75+'Sewer Fund  Equity Statemen'!H75</f>
        <v>0</v>
      </c>
      <c r="I75" s="621">
        <f>'Water Fund  Equity Statement'!I75+'GF &amp; FF  Equity Statement'!I75+'Sewer Fund  Equity Statemen'!I75</f>
        <v>0</v>
      </c>
      <c r="J75" s="621">
        <f>'Water Fund  Equity Statement'!J75+'GF &amp; FF  Equity Statement'!J75+'Sewer Fund  Equity Statemen'!J75</f>
        <v>0</v>
      </c>
      <c r="K75" s="621">
        <f>'Water Fund  Equity Statement'!K75+'GF &amp; FF  Equity Statement'!K75+'Sewer Fund  Equity Statemen'!K75</f>
        <v>0</v>
      </c>
      <c r="L75" s="621">
        <f>'Water Fund  Equity Statement'!L75+'GF &amp; FF  Equity Statement'!L75+'Sewer Fund  Equity Statemen'!L75</f>
        <v>0</v>
      </c>
      <c r="M75" s="621">
        <f>'Water Fund  Equity Statement'!M75+'GF &amp; FF  Equity Statement'!M75+'Sewer Fund  Equity Statemen'!M75</f>
        <v>0</v>
      </c>
      <c r="N75" s="621">
        <f>'Water Fund  Equity Statement'!N75+'GF &amp; FF  Equity Statement'!N75+'Sewer Fund  Equity Statemen'!N75</f>
        <v>0</v>
      </c>
      <c r="O75" s="621">
        <f>'Water Fund  Equity Statement'!O75+'GF &amp; FF  Equity Statement'!O75+'Sewer Fund  Equity Statemen'!O75</f>
        <v>0</v>
      </c>
      <c r="P75" s="621">
        <f>'Water Fund  Equity Statement'!P75+'GF &amp; FF  Equity Statement'!P75+'Sewer Fund  Equity Statemen'!P75</f>
        <v>0</v>
      </c>
    </row>
    <row r="76" spans="1:16" x14ac:dyDescent="0.2">
      <c r="A76" s="654" t="s">
        <v>102</v>
      </c>
      <c r="B76" s="608">
        <f>SUM(B74:B75)</f>
        <v>0</v>
      </c>
      <c r="C76" s="608">
        <f t="shared" ref="C76:P76" si="26">SUM(C74:C75)</f>
        <v>0</v>
      </c>
      <c r="D76" s="608">
        <f t="shared" si="26"/>
        <v>271472</v>
      </c>
      <c r="E76" s="774">
        <f t="shared" si="26"/>
        <v>291432</v>
      </c>
      <c r="F76" s="774">
        <f t="shared" si="26"/>
        <v>306238</v>
      </c>
      <c r="G76" s="774">
        <f t="shared" si="26"/>
        <v>311170.05100000004</v>
      </c>
      <c r="H76" s="774">
        <f t="shared" si="26"/>
        <v>325668.46850000002</v>
      </c>
      <c r="I76" s="774">
        <f t="shared" si="26"/>
        <v>330989.09979350003</v>
      </c>
      <c r="J76" s="774">
        <f t="shared" si="26"/>
        <v>340170.12864313758</v>
      </c>
      <c r="K76" s="774">
        <f t="shared" si="26"/>
        <v>344966.00826596748</v>
      </c>
      <c r="L76" s="774">
        <f t="shared" si="26"/>
        <v>349121.72707135649</v>
      </c>
      <c r="M76" s="774">
        <f t="shared" si="26"/>
        <v>353384.31525194435</v>
      </c>
      <c r="N76" s="774">
        <f t="shared" si="26"/>
        <v>357355.71110321768</v>
      </c>
      <c r="O76" s="774">
        <f t="shared" si="26"/>
        <v>361401.27989315882</v>
      </c>
      <c r="P76" s="774">
        <f t="shared" si="26"/>
        <v>364237.61048777122</v>
      </c>
    </row>
    <row r="77" spans="1:16" x14ac:dyDescent="0.2">
      <c r="B77" s="608"/>
      <c r="C77" s="608"/>
      <c r="D77" s="608"/>
      <c r="E77" s="608"/>
      <c r="F77" s="608"/>
      <c r="G77" s="608"/>
      <c r="H77" s="608"/>
      <c r="I77" s="608"/>
      <c r="J77" s="608"/>
      <c r="K77" s="608"/>
      <c r="L77" s="608"/>
      <c r="M77" s="608"/>
      <c r="N77" s="608"/>
      <c r="O77" s="608"/>
      <c r="P77" s="608"/>
    </row>
    <row r="78" spans="1:16" x14ac:dyDescent="0.2">
      <c r="A78" s="654" t="s">
        <v>76</v>
      </c>
      <c r="B78" s="608">
        <f>+'GF &amp; FF  Inc Exp Statement'!B182</f>
        <v>0</v>
      </c>
      <c r="C78" s="621">
        <f>+'GF &amp; FF  Inc Exp Statement'!C182</f>
        <v>0</v>
      </c>
      <c r="D78" s="608">
        <f>'Consol  Inc Exp Statement'!D185</f>
        <v>19960</v>
      </c>
      <c r="E78" s="621">
        <f>'Water Fund  Equity Statement'!E78+'GF &amp; FF  Equity Statement'!E78+'Sewer Fund  Equity Statemen'!E78</f>
        <v>14806</v>
      </c>
      <c r="F78" s="621">
        <f>'Water Fund  Equity Statement'!F78+'GF &amp; FF  Equity Statement'!F78+'Sewer Fund  Equity Statemen'!F78</f>
        <v>4932.0510000000122</v>
      </c>
      <c r="G78" s="621">
        <f>'Water Fund  Equity Statement'!G78+'GF &amp; FF  Equity Statement'!G78+'Sewer Fund  Equity Statemen'!G78</f>
        <v>14498.417499999994</v>
      </c>
      <c r="H78" s="621">
        <f>'Water Fund  Equity Statement'!H78+'GF &amp; FF  Equity Statement'!H78+'Sewer Fund  Equity Statemen'!H78</f>
        <v>5320.6312934999987</v>
      </c>
      <c r="I78" s="621">
        <f>'Water Fund  Equity Statement'!I78+'GF &amp; FF  Equity Statement'!I78+'Sewer Fund  Equity Statemen'!I78</f>
        <v>9181.028849637496</v>
      </c>
      <c r="J78" s="621">
        <f>'Water Fund  Equity Statement'!J78+'GF &amp; FF  Equity Statement'!J78+'Sewer Fund  Equity Statemen'!J78</f>
        <v>4795.8796228299416</v>
      </c>
      <c r="K78" s="621">
        <f>'Water Fund  Equity Statement'!K78+'GF &amp; FF  Equity Statement'!K78+'Sewer Fund  Equity Statemen'!K78</f>
        <v>4155.7188053890259</v>
      </c>
      <c r="L78" s="621">
        <f>'Water Fund  Equity Statement'!L78+'GF &amp; FF  Equity Statement'!L78+'Sewer Fund  Equity Statemen'!L78</f>
        <v>4262.5881805878807</v>
      </c>
      <c r="M78" s="621">
        <f>'Water Fund  Equity Statement'!M78+'GF &amp; FF  Equity Statement'!M78+'Sewer Fund  Equity Statemen'!M78</f>
        <v>3971.3958512733025</v>
      </c>
      <c r="N78" s="621">
        <f>'Water Fund  Equity Statement'!N78+'GF &amp; FF  Equity Statement'!N78+'Sewer Fund  Equity Statemen'!N78</f>
        <v>4045.5687899411305</v>
      </c>
      <c r="O78" s="621">
        <f>'Water Fund  Equity Statement'!O78+'GF &amp; FF  Equity Statement'!O78+'Sewer Fund  Equity Statemen'!O78</f>
        <v>2836.3305946123419</v>
      </c>
      <c r="P78" s="621">
        <f>'Water Fund  Equity Statement'!P78+'GF &amp; FF  Equity Statement'!P78+'Sewer Fund  Equity Statemen'!P78</f>
        <v>836.12521870724959</v>
      </c>
    </row>
    <row r="79" spans="1:16" x14ac:dyDescent="0.2">
      <c r="B79" s="608"/>
      <c r="C79" s="608"/>
      <c r="D79" s="608"/>
      <c r="E79" s="608"/>
      <c r="F79" s="608"/>
      <c r="G79" s="608"/>
      <c r="H79" s="608"/>
      <c r="I79" s="608"/>
      <c r="J79" s="608"/>
      <c r="K79" s="608"/>
      <c r="L79" s="608"/>
      <c r="M79" s="608"/>
      <c r="N79" s="608"/>
      <c r="O79" s="608"/>
      <c r="P79" s="608"/>
    </row>
    <row r="80" spans="1:16" x14ac:dyDescent="0.2">
      <c r="A80" s="654" t="s">
        <v>105</v>
      </c>
      <c r="B80" s="674">
        <f>+B78</f>
        <v>0</v>
      </c>
      <c r="C80" s="619">
        <f t="shared" ref="C80:P80" si="27">+C78</f>
        <v>0</v>
      </c>
      <c r="D80" s="674">
        <f t="shared" si="27"/>
        <v>19960</v>
      </c>
      <c r="E80" s="619">
        <f t="shared" si="27"/>
        <v>14806</v>
      </c>
      <c r="F80" s="619">
        <f t="shared" si="27"/>
        <v>4932.0510000000122</v>
      </c>
      <c r="G80" s="619">
        <f t="shared" si="27"/>
        <v>14498.417499999994</v>
      </c>
      <c r="H80" s="619">
        <f t="shared" si="27"/>
        <v>5320.6312934999987</v>
      </c>
      <c r="I80" s="619">
        <f t="shared" si="27"/>
        <v>9181.028849637496</v>
      </c>
      <c r="J80" s="619">
        <f t="shared" si="27"/>
        <v>4795.8796228299416</v>
      </c>
      <c r="K80" s="619">
        <f t="shared" si="27"/>
        <v>4155.7188053890259</v>
      </c>
      <c r="L80" s="674">
        <f t="shared" si="27"/>
        <v>4262.5881805878807</v>
      </c>
      <c r="M80" s="674">
        <f t="shared" si="27"/>
        <v>3971.3958512733025</v>
      </c>
      <c r="N80" s="674">
        <f t="shared" si="27"/>
        <v>4045.5687899411305</v>
      </c>
      <c r="O80" s="674">
        <f t="shared" si="27"/>
        <v>2836.3305946123419</v>
      </c>
      <c r="P80" s="674">
        <f t="shared" si="27"/>
        <v>836.12521870724959</v>
      </c>
    </row>
    <row r="81" spans="1:16" ht="10.8" thickBot="1" x14ac:dyDescent="0.25">
      <c r="A81" s="654" t="s">
        <v>106</v>
      </c>
      <c r="B81" s="658">
        <f t="shared" ref="B81:P81" si="28">+B76+B80</f>
        <v>0</v>
      </c>
      <c r="C81" s="658">
        <f t="shared" si="28"/>
        <v>0</v>
      </c>
      <c r="D81" s="658">
        <f t="shared" si="28"/>
        <v>291432</v>
      </c>
      <c r="E81" s="658">
        <f t="shared" si="28"/>
        <v>306238</v>
      </c>
      <c r="F81" s="658">
        <f t="shared" si="28"/>
        <v>311170.05100000004</v>
      </c>
      <c r="G81" s="658">
        <f t="shared" si="28"/>
        <v>325668.46850000002</v>
      </c>
      <c r="H81" s="658">
        <f t="shared" si="28"/>
        <v>330989.09979350003</v>
      </c>
      <c r="I81" s="658">
        <f t="shared" si="28"/>
        <v>340170.12864313752</v>
      </c>
      <c r="J81" s="658">
        <f t="shared" si="28"/>
        <v>344966.00826596754</v>
      </c>
      <c r="K81" s="658">
        <f t="shared" si="28"/>
        <v>349121.72707135649</v>
      </c>
      <c r="L81" s="658">
        <f t="shared" si="28"/>
        <v>353384.31525194435</v>
      </c>
      <c r="M81" s="658">
        <f t="shared" si="28"/>
        <v>357355.71110321768</v>
      </c>
      <c r="N81" s="658">
        <f t="shared" si="28"/>
        <v>361401.27989315882</v>
      </c>
      <c r="O81" s="658">
        <f t="shared" si="28"/>
        <v>364237.61048777116</v>
      </c>
      <c r="P81" s="658">
        <f t="shared" si="28"/>
        <v>365073.73570647847</v>
      </c>
    </row>
    <row r="82" spans="1:16" x14ac:dyDescent="0.2">
      <c r="B82" s="608"/>
      <c r="C82" s="608"/>
      <c r="D82" s="608"/>
      <c r="E82" s="608"/>
      <c r="F82" s="608"/>
      <c r="G82" s="608"/>
      <c r="H82" s="608"/>
      <c r="I82" s="608"/>
      <c r="J82" s="608"/>
      <c r="K82" s="608"/>
      <c r="L82" s="608"/>
      <c r="M82" s="608"/>
      <c r="N82" s="608"/>
      <c r="O82" s="608"/>
      <c r="P82" s="608"/>
    </row>
    <row r="83" spans="1:16" x14ac:dyDescent="0.2">
      <c r="A83" s="654" t="s">
        <v>107</v>
      </c>
      <c r="B83" s="608"/>
      <c r="C83" s="608"/>
      <c r="D83" s="608"/>
      <c r="E83" s="608"/>
      <c r="F83" s="608"/>
      <c r="G83" s="608"/>
      <c r="H83" s="608"/>
      <c r="I83" s="608"/>
      <c r="J83" s="608"/>
      <c r="K83" s="608"/>
      <c r="L83" s="608"/>
      <c r="M83" s="608"/>
      <c r="N83" s="608"/>
      <c r="O83" s="608"/>
      <c r="P83" s="608"/>
    </row>
    <row r="84" spans="1:16" x14ac:dyDescent="0.2">
      <c r="A84" s="654" t="s">
        <v>100</v>
      </c>
      <c r="B84" s="608"/>
      <c r="C84" s="608">
        <f>+B90</f>
        <v>0</v>
      </c>
      <c r="D84" s="608">
        <f>D16</f>
        <v>309010</v>
      </c>
      <c r="E84" s="621">
        <f>'Water Fund  Equity Statement'!E84+'GF &amp; FF  Equity Statement'!E84+'Sewer Fund  Equity Statemen'!E84</f>
        <v>302990</v>
      </c>
      <c r="F84" s="621">
        <f>'Water Fund  Equity Statement'!F84+'GF &amp; FF  Equity Statement'!F84+'Sewer Fund  Equity Statemen'!F84</f>
        <v>302990</v>
      </c>
      <c r="G84" s="621">
        <f>'Water Fund  Equity Statement'!G84+'GF &amp; FF  Equity Statement'!G84+'Sewer Fund  Equity Statemen'!G84</f>
        <v>302990</v>
      </c>
      <c r="H84" s="621">
        <f>'Water Fund  Equity Statement'!H84+'GF &amp; FF  Equity Statement'!H84+'Sewer Fund  Equity Statemen'!H84</f>
        <v>302990</v>
      </c>
      <c r="I84" s="621">
        <f>'Water Fund  Equity Statement'!I84+'GF &amp; FF  Equity Statement'!I84+'Sewer Fund  Equity Statemen'!I84</f>
        <v>302990</v>
      </c>
      <c r="J84" s="621">
        <f>'Water Fund  Equity Statement'!J84+'GF &amp; FF  Equity Statement'!J84+'Sewer Fund  Equity Statemen'!J84</f>
        <v>302990</v>
      </c>
      <c r="K84" s="621">
        <f>'Water Fund  Equity Statement'!K84+'GF &amp; FF  Equity Statement'!K84+'Sewer Fund  Equity Statemen'!K84</f>
        <v>302990</v>
      </c>
      <c r="L84" s="621">
        <f>'Water Fund  Equity Statement'!L84+'GF &amp; FF  Equity Statement'!L84+'Sewer Fund  Equity Statemen'!L84</f>
        <v>302990</v>
      </c>
      <c r="M84" s="621">
        <f>'Water Fund  Equity Statement'!M84+'GF &amp; FF  Equity Statement'!M84+'Sewer Fund  Equity Statemen'!M84</f>
        <v>302990</v>
      </c>
      <c r="N84" s="621">
        <f>'Water Fund  Equity Statement'!N84+'GF &amp; FF  Equity Statement'!N84+'Sewer Fund  Equity Statemen'!N84</f>
        <v>302990</v>
      </c>
      <c r="O84" s="621">
        <f>'Water Fund  Equity Statement'!O84+'GF &amp; FF  Equity Statement'!O84+'Sewer Fund  Equity Statemen'!O84</f>
        <v>302990</v>
      </c>
      <c r="P84" s="621">
        <f>'Water Fund  Equity Statement'!P84+'GF &amp; FF  Equity Statement'!P84+'Sewer Fund  Equity Statemen'!P84</f>
        <v>302990</v>
      </c>
    </row>
    <row r="85" spans="1:16" x14ac:dyDescent="0.2">
      <c r="A85" s="655" t="s">
        <v>101</v>
      </c>
      <c r="B85" s="617">
        <v>0</v>
      </c>
      <c r="C85" s="617">
        <v>0</v>
      </c>
      <c r="D85" s="617">
        <v>0</v>
      </c>
      <c r="E85" s="621">
        <f>'Water Fund  Equity Statement'!E85+'GF &amp; FF  Equity Statement'!E85+'Sewer Fund  Equity Statemen'!E85</f>
        <v>0</v>
      </c>
      <c r="F85" s="621">
        <f>'Water Fund  Equity Statement'!F85+'GF &amp; FF  Equity Statement'!F85+'Sewer Fund  Equity Statemen'!F85</f>
        <v>0</v>
      </c>
      <c r="G85" s="621">
        <f>'Water Fund  Equity Statement'!G85+'GF &amp; FF  Equity Statement'!G85+'Sewer Fund  Equity Statemen'!G85</f>
        <v>0</v>
      </c>
      <c r="H85" s="621">
        <f>'Water Fund  Equity Statement'!H85+'GF &amp; FF  Equity Statement'!H85+'Sewer Fund  Equity Statemen'!H85</f>
        <v>0</v>
      </c>
      <c r="I85" s="621">
        <f>'Water Fund  Equity Statement'!I85+'GF &amp; FF  Equity Statement'!I85+'Sewer Fund  Equity Statemen'!I85</f>
        <v>0</v>
      </c>
      <c r="J85" s="621">
        <f>'Water Fund  Equity Statement'!J85+'GF &amp; FF  Equity Statement'!J85+'Sewer Fund  Equity Statemen'!J85</f>
        <v>0</v>
      </c>
      <c r="K85" s="621">
        <f>'Water Fund  Equity Statement'!K85+'GF &amp; FF  Equity Statement'!K85+'Sewer Fund  Equity Statemen'!K85</f>
        <v>0</v>
      </c>
      <c r="L85" s="621">
        <f>'Water Fund  Equity Statement'!L85+'GF &amp; FF  Equity Statement'!L85+'Sewer Fund  Equity Statemen'!L85</f>
        <v>0</v>
      </c>
      <c r="M85" s="621">
        <f>'Water Fund  Equity Statement'!M85+'GF &amp; FF  Equity Statement'!M85+'Sewer Fund  Equity Statemen'!M85</f>
        <v>0</v>
      </c>
      <c r="N85" s="621">
        <f>'Water Fund  Equity Statement'!N85+'GF &amp; FF  Equity Statement'!N85+'Sewer Fund  Equity Statemen'!N85</f>
        <v>0</v>
      </c>
      <c r="O85" s="621">
        <f>'Water Fund  Equity Statement'!O85+'GF &amp; FF  Equity Statement'!O85+'Sewer Fund  Equity Statemen'!O85</f>
        <v>0</v>
      </c>
      <c r="P85" s="621">
        <f>'Water Fund  Equity Statement'!P85+'GF &amp; FF  Equity Statement'!P85+'Sewer Fund  Equity Statemen'!P85</f>
        <v>0</v>
      </c>
    </row>
    <row r="86" spans="1:16" x14ac:dyDescent="0.2">
      <c r="A86" s="654" t="s">
        <v>102</v>
      </c>
      <c r="B86" s="675">
        <f>SUM(B84:B85)</f>
        <v>0</v>
      </c>
      <c r="C86" s="675">
        <f t="shared" ref="C86:P86" si="29">SUM(C84:C85)</f>
        <v>0</v>
      </c>
      <c r="D86" s="675">
        <f t="shared" si="29"/>
        <v>309010</v>
      </c>
      <c r="E86" s="775">
        <f t="shared" si="29"/>
        <v>302990</v>
      </c>
      <c r="F86" s="775">
        <f t="shared" si="29"/>
        <v>302990</v>
      </c>
      <c r="G86" s="775">
        <f t="shared" si="29"/>
        <v>302990</v>
      </c>
      <c r="H86" s="775">
        <f t="shared" si="29"/>
        <v>302990</v>
      </c>
      <c r="I86" s="775">
        <f t="shared" si="29"/>
        <v>302990</v>
      </c>
      <c r="J86" s="775">
        <f t="shared" si="29"/>
        <v>302990</v>
      </c>
      <c r="K86" s="775">
        <f t="shared" si="29"/>
        <v>302990</v>
      </c>
      <c r="L86" s="775">
        <f t="shared" si="29"/>
        <v>302990</v>
      </c>
      <c r="M86" s="775">
        <f t="shared" si="29"/>
        <v>302990</v>
      </c>
      <c r="N86" s="775">
        <f t="shared" si="29"/>
        <v>302990</v>
      </c>
      <c r="O86" s="775">
        <f t="shared" si="29"/>
        <v>302990</v>
      </c>
      <c r="P86" s="775">
        <f t="shared" si="29"/>
        <v>302990</v>
      </c>
    </row>
    <row r="87" spans="1:16" x14ac:dyDescent="0.2">
      <c r="B87" s="608"/>
      <c r="C87" s="608"/>
      <c r="D87" s="608"/>
      <c r="E87" s="608"/>
      <c r="F87" s="608"/>
      <c r="G87" s="608"/>
      <c r="H87" s="608"/>
      <c r="I87" s="608"/>
      <c r="J87" s="608"/>
      <c r="K87" s="608"/>
      <c r="L87" s="608"/>
      <c r="M87" s="608"/>
      <c r="N87" s="608"/>
      <c r="O87" s="608"/>
      <c r="P87" s="608"/>
    </row>
    <row r="88" spans="1:16" x14ac:dyDescent="0.2">
      <c r="A88" s="653" t="s">
        <v>104</v>
      </c>
      <c r="B88" s="621">
        <v>0</v>
      </c>
      <c r="C88" s="621">
        <f>C54</f>
        <v>0</v>
      </c>
      <c r="D88" s="621">
        <f t="shared" ref="D88" si="30">D54</f>
        <v>-8350</v>
      </c>
      <c r="E88" s="621">
        <f>'Water Fund  Equity Statement'!E88+'GF &amp; FF  Equity Statement'!E88+'Sewer Fund  Equity Statemen'!E88</f>
        <v>0</v>
      </c>
      <c r="F88" s="621">
        <f>'Water Fund  Equity Statement'!F88+'GF &amp; FF  Equity Statement'!F88+'Sewer Fund  Equity Statemen'!F88</f>
        <v>0</v>
      </c>
      <c r="G88" s="621">
        <f>'Water Fund  Equity Statement'!G88+'GF &amp; FF  Equity Statement'!G88+'Sewer Fund  Equity Statemen'!G88</f>
        <v>0</v>
      </c>
      <c r="H88" s="621">
        <f>'Water Fund  Equity Statement'!H88+'GF &amp; FF  Equity Statement'!H88+'Sewer Fund  Equity Statemen'!H88</f>
        <v>0</v>
      </c>
      <c r="I88" s="621">
        <f>'Water Fund  Equity Statement'!I88+'GF &amp; FF  Equity Statement'!I88+'Sewer Fund  Equity Statemen'!I88</f>
        <v>0</v>
      </c>
      <c r="J88" s="621">
        <f>'Water Fund  Equity Statement'!J88+'GF &amp; FF  Equity Statement'!J88+'Sewer Fund  Equity Statemen'!J88</f>
        <v>0</v>
      </c>
      <c r="K88" s="621">
        <f>'Water Fund  Equity Statement'!K88+'GF &amp; FF  Equity Statement'!K88+'Sewer Fund  Equity Statemen'!K88</f>
        <v>0</v>
      </c>
      <c r="L88" s="621">
        <f>'Water Fund  Equity Statement'!L88+'GF &amp; FF  Equity Statement'!L88+'Sewer Fund  Equity Statemen'!L88</f>
        <v>0</v>
      </c>
      <c r="M88" s="621">
        <f>'Water Fund  Equity Statement'!M88+'GF &amp; FF  Equity Statement'!M88+'Sewer Fund  Equity Statemen'!M88</f>
        <v>0</v>
      </c>
      <c r="N88" s="621">
        <f>'Water Fund  Equity Statement'!N88+'GF &amp; FF  Equity Statement'!N88+'Sewer Fund  Equity Statemen'!N88</f>
        <v>0</v>
      </c>
      <c r="O88" s="621">
        <f>'Water Fund  Equity Statement'!O88+'GF &amp; FF  Equity Statement'!O88+'Sewer Fund  Equity Statemen'!O88</f>
        <v>0</v>
      </c>
      <c r="P88" s="621">
        <f>'Water Fund  Equity Statement'!P88+'GF &amp; FF  Equity Statement'!P88+'Sewer Fund  Equity Statemen'!P88</f>
        <v>0</v>
      </c>
    </row>
    <row r="89" spans="1:16" x14ac:dyDescent="0.2">
      <c r="A89" s="654" t="s">
        <v>105</v>
      </c>
      <c r="B89" s="674">
        <f>+B86+B88</f>
        <v>0</v>
      </c>
      <c r="C89" s="674">
        <f>C86+C88</f>
        <v>0</v>
      </c>
      <c r="D89" s="674">
        <f t="shared" ref="D89:P89" si="31">D86+D88</f>
        <v>300660</v>
      </c>
      <c r="E89" s="674">
        <f t="shared" si="31"/>
        <v>302990</v>
      </c>
      <c r="F89" s="674">
        <f t="shared" si="31"/>
        <v>302990</v>
      </c>
      <c r="G89" s="674">
        <f t="shared" si="31"/>
        <v>302990</v>
      </c>
      <c r="H89" s="674">
        <f t="shared" si="31"/>
        <v>302990</v>
      </c>
      <c r="I89" s="674">
        <f t="shared" si="31"/>
        <v>302990</v>
      </c>
      <c r="J89" s="674">
        <f t="shared" si="31"/>
        <v>302990</v>
      </c>
      <c r="K89" s="674">
        <f t="shared" si="31"/>
        <v>302990</v>
      </c>
      <c r="L89" s="674">
        <f t="shared" si="31"/>
        <v>302990</v>
      </c>
      <c r="M89" s="674">
        <f t="shared" si="31"/>
        <v>302990</v>
      </c>
      <c r="N89" s="674">
        <f t="shared" si="31"/>
        <v>302990</v>
      </c>
      <c r="O89" s="674">
        <f t="shared" si="31"/>
        <v>302990</v>
      </c>
      <c r="P89" s="674">
        <f t="shared" si="31"/>
        <v>302990</v>
      </c>
    </row>
    <row r="90" spans="1:16" ht="10.8" thickBot="1" x14ac:dyDescent="0.25">
      <c r="A90" s="654" t="s">
        <v>106</v>
      </c>
      <c r="B90" s="658">
        <f>+B89</f>
        <v>0</v>
      </c>
      <c r="C90" s="658">
        <f t="shared" ref="C90:P90" si="32">+C89</f>
        <v>0</v>
      </c>
      <c r="D90" s="658">
        <f t="shared" si="32"/>
        <v>300660</v>
      </c>
      <c r="E90" s="658">
        <f t="shared" si="32"/>
        <v>302990</v>
      </c>
      <c r="F90" s="658">
        <f t="shared" si="32"/>
        <v>302990</v>
      </c>
      <c r="G90" s="658">
        <f t="shared" si="32"/>
        <v>302990</v>
      </c>
      <c r="H90" s="658">
        <f t="shared" si="32"/>
        <v>302990</v>
      </c>
      <c r="I90" s="658">
        <f t="shared" si="32"/>
        <v>302990</v>
      </c>
      <c r="J90" s="658">
        <f t="shared" si="32"/>
        <v>302990</v>
      </c>
      <c r="K90" s="658">
        <f t="shared" si="32"/>
        <v>302990</v>
      </c>
      <c r="L90" s="658">
        <f t="shared" si="32"/>
        <v>302990</v>
      </c>
      <c r="M90" s="658">
        <f t="shared" si="32"/>
        <v>302990</v>
      </c>
      <c r="N90" s="658">
        <f t="shared" si="32"/>
        <v>302990</v>
      </c>
      <c r="O90" s="658">
        <f t="shared" si="32"/>
        <v>302990</v>
      </c>
      <c r="P90" s="658">
        <f t="shared" si="32"/>
        <v>302990</v>
      </c>
    </row>
    <row r="91" spans="1:16" x14ac:dyDescent="0.2">
      <c r="B91" s="608"/>
      <c r="C91" s="608"/>
      <c r="D91" s="608"/>
      <c r="E91" s="608"/>
      <c r="F91" s="608"/>
      <c r="G91" s="608"/>
      <c r="H91" s="608"/>
      <c r="I91" s="608"/>
      <c r="J91" s="608"/>
      <c r="K91" s="608"/>
      <c r="L91" s="608"/>
      <c r="M91" s="608"/>
      <c r="N91" s="608"/>
      <c r="O91" s="608"/>
      <c r="P91" s="608"/>
    </row>
    <row r="92" spans="1:16" x14ac:dyDescent="0.2">
      <c r="A92" s="654" t="s">
        <v>108</v>
      </c>
    </row>
    <row r="93" spans="1:16" x14ac:dyDescent="0.2">
      <c r="A93" s="654" t="s">
        <v>100</v>
      </c>
      <c r="B93" s="608">
        <f>+B74+B84</f>
        <v>0</v>
      </c>
      <c r="C93" s="608">
        <f t="shared" ref="C93:P94" si="33">+C74+C84</f>
        <v>0</v>
      </c>
      <c r="D93" s="608">
        <f t="shared" si="33"/>
        <v>580482</v>
      </c>
      <c r="E93" s="608">
        <f t="shared" si="33"/>
        <v>594422</v>
      </c>
      <c r="F93" s="608">
        <f t="shared" si="33"/>
        <v>609228</v>
      </c>
      <c r="G93" s="608">
        <f t="shared" si="33"/>
        <v>614160.05099999998</v>
      </c>
      <c r="H93" s="608">
        <f t="shared" si="33"/>
        <v>628658.46849999996</v>
      </c>
      <c r="I93" s="608">
        <f t="shared" si="33"/>
        <v>633979.09979350003</v>
      </c>
      <c r="J93" s="608">
        <f t="shared" si="33"/>
        <v>643160.12864313764</v>
      </c>
      <c r="K93" s="608">
        <f t="shared" si="33"/>
        <v>647956.00826596748</v>
      </c>
      <c r="L93" s="608">
        <f t="shared" si="33"/>
        <v>652111.72707135649</v>
      </c>
      <c r="M93" s="608">
        <f t="shared" si="33"/>
        <v>656374.31525194435</v>
      </c>
      <c r="N93" s="608">
        <f t="shared" si="33"/>
        <v>660345.71110321768</v>
      </c>
      <c r="O93" s="608">
        <f t="shared" si="33"/>
        <v>664391.27989315882</v>
      </c>
      <c r="P93" s="608">
        <f t="shared" si="33"/>
        <v>667227.61048777122</v>
      </c>
    </row>
    <row r="94" spans="1:16" x14ac:dyDescent="0.2">
      <c r="A94" s="655" t="s">
        <v>101</v>
      </c>
      <c r="B94" s="617">
        <f>+B75+B85</f>
        <v>0</v>
      </c>
      <c r="C94" s="617">
        <f t="shared" si="33"/>
        <v>0</v>
      </c>
      <c r="D94" s="617">
        <f t="shared" si="33"/>
        <v>0</v>
      </c>
      <c r="E94" s="617">
        <f t="shared" si="33"/>
        <v>0</v>
      </c>
      <c r="F94" s="617">
        <f t="shared" si="33"/>
        <v>0</v>
      </c>
      <c r="G94" s="617">
        <f t="shared" si="33"/>
        <v>0</v>
      </c>
      <c r="H94" s="617">
        <f t="shared" si="33"/>
        <v>0</v>
      </c>
      <c r="I94" s="617">
        <f t="shared" si="33"/>
        <v>0</v>
      </c>
      <c r="J94" s="617">
        <f t="shared" si="33"/>
        <v>0</v>
      </c>
      <c r="K94" s="617">
        <f t="shared" si="33"/>
        <v>0</v>
      </c>
      <c r="L94" s="617">
        <f t="shared" si="33"/>
        <v>0</v>
      </c>
      <c r="M94" s="617">
        <f t="shared" si="33"/>
        <v>0</v>
      </c>
      <c r="N94" s="617">
        <f t="shared" si="33"/>
        <v>0</v>
      </c>
      <c r="O94" s="617">
        <f t="shared" si="33"/>
        <v>0</v>
      </c>
      <c r="P94" s="617">
        <f t="shared" si="33"/>
        <v>0</v>
      </c>
    </row>
    <row r="95" spans="1:16" x14ac:dyDescent="0.2">
      <c r="A95" s="654" t="s">
        <v>102</v>
      </c>
      <c r="B95" s="608">
        <f>SUM(B93:B94)</f>
        <v>0</v>
      </c>
      <c r="C95" s="608">
        <f t="shared" ref="C95:P95" si="34">SUM(C93:C94)</f>
        <v>0</v>
      </c>
      <c r="D95" s="608">
        <f t="shared" si="34"/>
        <v>580482</v>
      </c>
      <c r="E95" s="608">
        <f t="shared" si="34"/>
        <v>594422</v>
      </c>
      <c r="F95" s="608">
        <f t="shared" si="34"/>
        <v>609228</v>
      </c>
      <c r="G95" s="608">
        <f t="shared" si="34"/>
        <v>614160.05099999998</v>
      </c>
      <c r="H95" s="608">
        <f t="shared" si="34"/>
        <v>628658.46849999996</v>
      </c>
      <c r="I95" s="608">
        <f t="shared" si="34"/>
        <v>633979.09979350003</v>
      </c>
      <c r="J95" s="608">
        <f t="shared" si="34"/>
        <v>643160.12864313764</v>
      </c>
      <c r="K95" s="608">
        <f t="shared" si="34"/>
        <v>647956.00826596748</v>
      </c>
      <c r="L95" s="608">
        <f t="shared" si="34"/>
        <v>652111.72707135649</v>
      </c>
      <c r="M95" s="608">
        <f t="shared" si="34"/>
        <v>656374.31525194435</v>
      </c>
      <c r="N95" s="608">
        <f t="shared" si="34"/>
        <v>660345.71110321768</v>
      </c>
      <c r="O95" s="608">
        <f t="shared" si="34"/>
        <v>664391.27989315882</v>
      </c>
      <c r="P95" s="608">
        <f t="shared" si="34"/>
        <v>667227.61048777122</v>
      </c>
    </row>
    <row r="96" spans="1:16" x14ac:dyDescent="0.2">
      <c r="B96" s="608"/>
      <c r="C96" s="608"/>
      <c r="D96" s="608"/>
      <c r="E96" s="608"/>
      <c r="F96" s="608"/>
      <c r="G96" s="608"/>
      <c r="H96" s="608"/>
      <c r="I96" s="608"/>
      <c r="J96" s="608"/>
      <c r="K96" s="608"/>
      <c r="L96" s="608"/>
      <c r="M96" s="608"/>
      <c r="N96" s="608"/>
      <c r="O96" s="608"/>
      <c r="P96" s="608"/>
    </row>
    <row r="97" spans="1:16" x14ac:dyDescent="0.2">
      <c r="A97" s="654" t="s">
        <v>76</v>
      </c>
      <c r="B97" s="621">
        <f>+B78</f>
        <v>0</v>
      </c>
      <c r="C97" s="621">
        <f t="shared" ref="C97:P97" si="35">+C78</f>
        <v>0</v>
      </c>
      <c r="D97" s="621">
        <f t="shared" si="35"/>
        <v>19960</v>
      </c>
      <c r="E97" s="621">
        <f t="shared" si="35"/>
        <v>14806</v>
      </c>
      <c r="F97" s="621">
        <f t="shared" si="35"/>
        <v>4932.0510000000122</v>
      </c>
      <c r="G97" s="621">
        <f t="shared" si="35"/>
        <v>14498.417499999994</v>
      </c>
      <c r="H97" s="621">
        <f t="shared" si="35"/>
        <v>5320.6312934999987</v>
      </c>
      <c r="I97" s="621">
        <f t="shared" si="35"/>
        <v>9181.028849637496</v>
      </c>
      <c r="J97" s="621">
        <f t="shared" si="35"/>
        <v>4795.8796228299416</v>
      </c>
      <c r="K97" s="621">
        <f t="shared" si="35"/>
        <v>4155.7188053890259</v>
      </c>
      <c r="L97" s="621">
        <f t="shared" si="35"/>
        <v>4262.5881805878807</v>
      </c>
      <c r="M97" s="621">
        <f t="shared" si="35"/>
        <v>3971.3958512733025</v>
      </c>
      <c r="N97" s="621">
        <f t="shared" si="35"/>
        <v>4045.5687899411305</v>
      </c>
      <c r="O97" s="621">
        <f t="shared" si="35"/>
        <v>2836.3305946123419</v>
      </c>
      <c r="P97" s="621">
        <f t="shared" si="35"/>
        <v>836.12521870724959</v>
      </c>
    </row>
    <row r="98" spans="1:16" x14ac:dyDescent="0.2">
      <c r="B98" s="608"/>
      <c r="C98" s="608"/>
      <c r="D98" s="608"/>
      <c r="E98" s="608"/>
      <c r="F98" s="608"/>
      <c r="G98" s="608"/>
      <c r="H98" s="608"/>
      <c r="I98" s="608"/>
      <c r="J98" s="608"/>
      <c r="K98" s="608"/>
      <c r="L98" s="608"/>
      <c r="M98" s="608"/>
      <c r="N98" s="608"/>
      <c r="O98" s="608"/>
      <c r="P98" s="608"/>
    </row>
    <row r="99" spans="1:16" x14ac:dyDescent="0.2">
      <c r="A99" s="654" t="s">
        <v>105</v>
      </c>
      <c r="B99" s="674">
        <f>+B80</f>
        <v>0</v>
      </c>
      <c r="C99" s="619">
        <f t="shared" ref="C99:P99" si="36">+C97</f>
        <v>0</v>
      </c>
      <c r="D99" s="674">
        <f t="shared" si="36"/>
        <v>19960</v>
      </c>
      <c r="E99" s="619">
        <f t="shared" si="36"/>
        <v>14806</v>
      </c>
      <c r="F99" s="619">
        <f t="shared" si="36"/>
        <v>4932.0510000000122</v>
      </c>
      <c r="G99" s="619">
        <f t="shared" si="36"/>
        <v>14498.417499999994</v>
      </c>
      <c r="H99" s="619">
        <f t="shared" si="36"/>
        <v>5320.6312934999987</v>
      </c>
      <c r="I99" s="619">
        <f t="shared" si="36"/>
        <v>9181.028849637496</v>
      </c>
      <c r="J99" s="619">
        <f t="shared" si="36"/>
        <v>4795.8796228299416</v>
      </c>
      <c r="K99" s="619">
        <f t="shared" si="36"/>
        <v>4155.7188053890259</v>
      </c>
      <c r="L99" s="674">
        <f t="shared" si="36"/>
        <v>4262.5881805878807</v>
      </c>
      <c r="M99" s="674">
        <f t="shared" si="36"/>
        <v>3971.3958512733025</v>
      </c>
      <c r="N99" s="674">
        <f t="shared" si="36"/>
        <v>4045.5687899411305</v>
      </c>
      <c r="O99" s="674">
        <f t="shared" si="36"/>
        <v>2836.3305946123419</v>
      </c>
      <c r="P99" s="674">
        <f t="shared" si="36"/>
        <v>836.12521870724959</v>
      </c>
    </row>
    <row r="100" spans="1:16" ht="10.8" thickBot="1" x14ac:dyDescent="0.25">
      <c r="A100" s="653" t="s">
        <v>104</v>
      </c>
      <c r="B100" s="633">
        <f>+B88</f>
        <v>0</v>
      </c>
      <c r="C100" s="633">
        <f t="shared" ref="C100:P100" si="37">+C88</f>
        <v>0</v>
      </c>
      <c r="D100" s="633">
        <f t="shared" si="37"/>
        <v>-8350</v>
      </c>
      <c r="E100" s="633">
        <f t="shared" si="37"/>
        <v>0</v>
      </c>
      <c r="F100" s="633">
        <f t="shared" si="37"/>
        <v>0</v>
      </c>
      <c r="G100" s="633">
        <f t="shared" si="37"/>
        <v>0</v>
      </c>
      <c r="H100" s="633">
        <f t="shared" si="37"/>
        <v>0</v>
      </c>
      <c r="I100" s="633">
        <f t="shared" si="37"/>
        <v>0</v>
      </c>
      <c r="J100" s="633">
        <f t="shared" si="37"/>
        <v>0</v>
      </c>
      <c r="K100" s="633">
        <f t="shared" si="37"/>
        <v>0</v>
      </c>
      <c r="L100" s="633">
        <f t="shared" si="37"/>
        <v>0</v>
      </c>
      <c r="M100" s="633">
        <f t="shared" si="37"/>
        <v>0</v>
      </c>
      <c r="N100" s="633">
        <f t="shared" si="37"/>
        <v>0</v>
      </c>
      <c r="O100" s="633">
        <f t="shared" si="37"/>
        <v>0</v>
      </c>
      <c r="P100" s="633">
        <f t="shared" si="37"/>
        <v>0</v>
      </c>
    </row>
    <row r="101" spans="1:16" ht="10.8" thickBot="1" x14ac:dyDescent="0.25">
      <c r="A101" s="654" t="s">
        <v>106</v>
      </c>
      <c r="B101" s="668">
        <f>+B95+B99+B100</f>
        <v>0</v>
      </c>
      <c r="C101" s="668">
        <f t="shared" ref="C101:P101" si="38">+C95+C99+C100</f>
        <v>0</v>
      </c>
      <c r="D101" s="668">
        <f t="shared" si="38"/>
        <v>592092</v>
      </c>
      <c r="E101" s="668">
        <f t="shared" si="38"/>
        <v>609228</v>
      </c>
      <c r="F101" s="668">
        <f t="shared" si="38"/>
        <v>614160.05099999998</v>
      </c>
      <c r="G101" s="668">
        <f t="shared" si="38"/>
        <v>628658.46849999996</v>
      </c>
      <c r="H101" s="668">
        <f t="shared" si="38"/>
        <v>633979.09979349992</v>
      </c>
      <c r="I101" s="668">
        <f t="shared" si="38"/>
        <v>643160.12864313752</v>
      </c>
      <c r="J101" s="668">
        <f t="shared" si="38"/>
        <v>647956.0082659676</v>
      </c>
      <c r="K101" s="668">
        <f t="shared" si="38"/>
        <v>652111.72707135649</v>
      </c>
      <c r="L101" s="668">
        <f t="shared" si="38"/>
        <v>656374.31525194435</v>
      </c>
      <c r="M101" s="668">
        <f t="shared" si="38"/>
        <v>660345.71110321768</v>
      </c>
      <c r="N101" s="668">
        <f t="shared" si="38"/>
        <v>664391.27989315882</v>
      </c>
      <c r="O101" s="668">
        <f t="shared" si="38"/>
        <v>667227.6104877711</v>
      </c>
      <c r="P101" s="668">
        <f t="shared" si="38"/>
        <v>668063.73570647847</v>
      </c>
    </row>
    <row r="102" spans="1:16" ht="10.8" thickTop="1" x14ac:dyDescent="0.2"/>
  </sheetData>
  <pageMargins left="0.70866141732283472" right="0.70866141732283472" top="0.74803149606299213" bottom="0.74803149606299213" header="0.31496062992125984" footer="0.31496062992125984"/>
  <pageSetup paperSize="9" scale="91" fitToHeight="0" orientation="landscape" r:id="rId1"/>
  <rowBreaks count="2" manualBreakCount="2">
    <brk id="34" max="16383" man="1"/>
    <brk id="6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89"/>
  <sheetViews>
    <sheetView topLeftCell="A4" workbookViewId="0">
      <pane xSplit="4" ySplit="2" topLeftCell="E12" activePane="bottomRight" state="frozen"/>
      <selection activeCell="A4" sqref="A4"/>
      <selection pane="topRight" activeCell="E4" sqref="E4"/>
      <selection pane="bottomLeft" activeCell="A6" sqref="A6"/>
      <selection pane="bottomRight" activeCell="H27" sqref="H27"/>
    </sheetView>
  </sheetViews>
  <sheetFormatPr defaultColWidth="9.109375" defaultRowHeight="14.4" outlineLevelRow="2" x14ac:dyDescent="0.3"/>
  <cols>
    <col min="1" max="1" width="21.6640625" style="221" customWidth="1"/>
    <col min="2" max="3" width="9.109375" style="221"/>
    <col min="4" max="4" width="10.5546875" style="221" bestFit="1" customWidth="1"/>
    <col min="5" max="5" width="10" style="221" bestFit="1" customWidth="1"/>
    <col min="6" max="10" width="13.33203125" style="221" bestFit="1" customWidth="1"/>
    <col min="11" max="16" width="11.5546875" style="221" bestFit="1" customWidth="1"/>
    <col min="17" max="17" width="10.5546875" style="221" bestFit="1" customWidth="1"/>
    <col min="18" max="21" width="9.5546875" style="221" bestFit="1" customWidth="1"/>
    <col min="22" max="16384" width="9.109375" style="221"/>
  </cols>
  <sheetData>
    <row r="2" spans="1:22" ht="21" x14ac:dyDescent="0.35">
      <c r="A2" s="314" t="s">
        <v>517</v>
      </c>
    </row>
    <row r="3" spans="1:22" ht="21" x14ac:dyDescent="0.35">
      <c r="A3" s="314" t="s">
        <v>518</v>
      </c>
    </row>
    <row r="4" spans="1:22" ht="15" x14ac:dyDescent="0.25">
      <c r="E4" s="315" t="s">
        <v>519</v>
      </c>
      <c r="F4" s="315" t="s">
        <v>575</v>
      </c>
      <c r="G4" s="315" t="s">
        <v>519</v>
      </c>
      <c r="H4" s="315" t="s">
        <v>520</v>
      </c>
      <c r="I4" s="315" t="s">
        <v>521</v>
      </c>
      <c r="J4" s="315" t="s">
        <v>522</v>
      </c>
      <c r="K4" s="315" t="s">
        <v>523</v>
      </c>
      <c r="L4" s="315" t="s">
        <v>524</v>
      </c>
      <c r="M4" s="315" t="s">
        <v>525</v>
      </c>
      <c r="N4" s="315" t="s">
        <v>526</v>
      </c>
      <c r="O4" s="315" t="s">
        <v>527</v>
      </c>
      <c r="P4" s="315" t="s">
        <v>528</v>
      </c>
      <c r="Q4" s="316" t="s">
        <v>529</v>
      </c>
      <c r="R4" s="316" t="s">
        <v>530</v>
      </c>
      <c r="S4" s="316" t="s">
        <v>531</v>
      </c>
      <c r="T4" s="316" t="s">
        <v>532</v>
      </c>
      <c r="U4" s="316" t="s">
        <v>533</v>
      </c>
      <c r="V4" s="316" t="s">
        <v>534</v>
      </c>
    </row>
    <row r="5" spans="1:22" ht="15" x14ac:dyDescent="0.25">
      <c r="A5" s="202" t="s">
        <v>535</v>
      </c>
      <c r="B5" s="317">
        <v>2011</v>
      </c>
      <c r="C5" s="317">
        <v>2012</v>
      </c>
      <c r="D5" s="317">
        <v>2013</v>
      </c>
      <c r="E5" s="318">
        <v>2014</v>
      </c>
      <c r="F5" s="318">
        <v>2015</v>
      </c>
      <c r="G5" s="318">
        <v>2016</v>
      </c>
      <c r="H5" s="318">
        <v>2017</v>
      </c>
      <c r="I5" s="318">
        <v>2018</v>
      </c>
      <c r="J5" s="318">
        <v>2019</v>
      </c>
      <c r="K5" s="318">
        <v>2020</v>
      </c>
      <c r="L5" s="318">
        <v>2021</v>
      </c>
      <c r="M5" s="318">
        <v>2022</v>
      </c>
      <c r="N5" s="318">
        <v>2023</v>
      </c>
      <c r="O5" s="318">
        <v>2024</v>
      </c>
      <c r="P5" s="318">
        <v>2025</v>
      </c>
      <c r="Q5" s="317">
        <v>2026</v>
      </c>
      <c r="R5" s="317">
        <v>2027</v>
      </c>
      <c r="S5" s="317">
        <v>2028</v>
      </c>
      <c r="T5" s="317">
        <v>2029</v>
      </c>
      <c r="U5" s="317">
        <v>2030</v>
      </c>
      <c r="V5" s="317">
        <v>2031</v>
      </c>
    </row>
    <row r="6" spans="1:22" ht="15" outlineLevel="1" x14ac:dyDescent="0.25">
      <c r="A6" s="221" t="s">
        <v>536</v>
      </c>
      <c r="B6" s="221">
        <v>37239</v>
      </c>
      <c r="C6" s="319">
        <f>B6*(1+$G$10)</f>
        <v>37565.426878596445</v>
      </c>
      <c r="D6" s="319">
        <f t="shared" ref="D6:G6" si="0">C6*(1+$G$10)</f>
        <v>37894.71512584055</v>
      </c>
      <c r="E6" s="320">
        <f t="shared" si="0"/>
        <v>38226.889823706486</v>
      </c>
      <c r="F6" s="320">
        <f t="shared" si="0"/>
        <v>38561.976274030145</v>
      </c>
      <c r="G6" s="320">
        <f t="shared" si="0"/>
        <v>38900.000000436376</v>
      </c>
      <c r="H6" s="320">
        <f>G6*(1+$Q10)</f>
        <v>39400.058633809662</v>
      </c>
      <c r="I6" s="320">
        <f t="shared" ref="I6:Q7" si="1">H6*(1+$Q10)</f>
        <v>39906.54550977442</v>
      </c>
      <c r="J6" s="320">
        <f t="shared" si="1"/>
        <v>40419.543263245956</v>
      </c>
      <c r="K6" s="320">
        <f t="shared" si="1"/>
        <v>40939.135591409569</v>
      </c>
      <c r="L6" s="320">
        <f t="shared" si="1"/>
        <v>41465.407267376002</v>
      </c>
      <c r="M6" s="320">
        <f t="shared" si="1"/>
        <v>41998.444154012461</v>
      </c>
      <c r="N6" s="320">
        <f t="shared" si="1"/>
        <v>42538.333217951382</v>
      </c>
      <c r="O6" s="319">
        <f t="shared" si="1"/>
        <v>43085.162543779341</v>
      </c>
      <c r="P6" s="319">
        <f t="shared" si="1"/>
        <v>43639.0213484083</v>
      </c>
      <c r="Q6" s="221">
        <f t="shared" si="1"/>
        <v>44199.999995631639</v>
      </c>
    </row>
    <row r="7" spans="1:22" ht="15" outlineLevel="1" x14ac:dyDescent="0.25">
      <c r="A7" s="321" t="s">
        <v>537</v>
      </c>
      <c r="B7" s="321">
        <v>37239</v>
      </c>
      <c r="C7" s="322">
        <f>B7*(1+$G11)</f>
        <v>37718.682051269963</v>
      </c>
      <c r="D7" s="322">
        <f t="shared" ref="D7:G7" si="2">C7*(1+$G11)</f>
        <v>38204.542970670394</v>
      </c>
      <c r="E7" s="320">
        <f t="shared" si="2"/>
        <v>38696.662349278915</v>
      </c>
      <c r="F7" s="320">
        <f t="shared" si="2"/>
        <v>39195.120803399681</v>
      </c>
      <c r="G7" s="320">
        <f t="shared" si="2"/>
        <v>39699.99998776953</v>
      </c>
      <c r="H7" s="320">
        <f>G7*(1+$L11)</f>
        <v>40824.470584232469</v>
      </c>
      <c r="I7" s="320">
        <f t="shared" ref="I7:L7" si="3">H7*(1+$L11)</f>
        <v>41980.790906707989</v>
      </c>
      <c r="J7" s="320">
        <f t="shared" si="3"/>
        <v>43169.863073090732</v>
      </c>
      <c r="K7" s="320">
        <f t="shared" si="3"/>
        <v>44392.614753039765</v>
      </c>
      <c r="L7" s="320">
        <f t="shared" si="3"/>
        <v>45649.99989171177</v>
      </c>
      <c r="M7" s="320">
        <f>L7*(1+$Q11)</f>
        <v>46225.314916076306</v>
      </c>
      <c r="N7" s="320">
        <f t="shared" si="1"/>
        <v>46807.88048541444</v>
      </c>
      <c r="O7" s="322">
        <f t="shared" si="1"/>
        <v>47397.787976450549</v>
      </c>
      <c r="P7" s="322">
        <f t="shared" si="1"/>
        <v>47995.129917506012</v>
      </c>
      <c r="Q7" s="321">
        <f t="shared" si="1"/>
        <v>48600.000003012457</v>
      </c>
      <c r="R7" s="322">
        <f>Q7*(1+$V11)</f>
        <v>49051.531535365801</v>
      </c>
      <c r="S7" s="322">
        <f t="shared" ref="S7:V7" si="4">R7*(1+$V11)</f>
        <v>49507.258144358995</v>
      </c>
      <c r="T7" s="322">
        <f t="shared" si="4"/>
        <v>49967.218805493758</v>
      </c>
      <c r="U7" s="322">
        <f t="shared" si="4"/>
        <v>50431.452856384312</v>
      </c>
      <c r="V7" s="321">
        <f t="shared" si="4"/>
        <v>50900.000000121698</v>
      </c>
    </row>
    <row r="8" spans="1:22" ht="15" outlineLevel="2" x14ac:dyDescent="0.25">
      <c r="A8" s="221" t="s">
        <v>538</v>
      </c>
      <c r="B8" s="221">
        <v>37239</v>
      </c>
      <c r="G8" s="221">
        <v>38900</v>
      </c>
      <c r="Q8" s="221">
        <v>44200</v>
      </c>
    </row>
    <row r="9" spans="1:22" ht="15" outlineLevel="2" x14ac:dyDescent="0.25">
      <c r="A9" s="221" t="s">
        <v>537</v>
      </c>
      <c r="B9" s="221">
        <v>37239</v>
      </c>
      <c r="G9" s="221">
        <v>39700</v>
      </c>
      <c r="L9" s="221">
        <v>45650</v>
      </c>
      <c r="Q9" s="221">
        <v>48600</v>
      </c>
      <c r="V9" s="221">
        <v>50900</v>
      </c>
    </row>
    <row r="10" spans="1:22" ht="15" outlineLevel="1" x14ac:dyDescent="0.25">
      <c r="A10" s="221" t="s">
        <v>538</v>
      </c>
      <c r="B10" s="221" t="s">
        <v>539</v>
      </c>
      <c r="G10" s="323">
        <v>8.7657262170425174E-3</v>
      </c>
      <c r="L10" s="324"/>
      <c r="Q10" s="323">
        <v>1.2854977721534209E-2</v>
      </c>
    </row>
    <row r="11" spans="1:22" ht="15" outlineLevel="1" x14ac:dyDescent="0.25">
      <c r="A11" s="221" t="s">
        <v>537</v>
      </c>
      <c r="B11" s="221" t="s">
        <v>539</v>
      </c>
      <c r="G11" s="323">
        <v>1.2881174340609708E-2</v>
      </c>
      <c r="L11" s="323">
        <v>2.8324196393182743E-2</v>
      </c>
      <c r="Q11" s="323">
        <v>1.2602738789249968E-2</v>
      </c>
      <c r="V11" s="325">
        <v>9.2907722700690653E-3</v>
      </c>
    </row>
    <row r="12" spans="1:22" ht="15" outlineLevel="1" x14ac:dyDescent="0.25"/>
    <row r="13" spans="1:22" ht="30.75" customHeight="1" outlineLevel="1" x14ac:dyDescent="0.25">
      <c r="A13" s="52" t="s">
        <v>540</v>
      </c>
      <c r="E13" s="326"/>
      <c r="F13" s="320">
        <f>F7-E7</f>
        <v>498.45845412076596</v>
      </c>
      <c r="G13" s="320">
        <f t="shared" ref="G13:Q13" si="5">G7-F7</f>
        <v>504.8791843698491</v>
      </c>
      <c r="H13" s="320">
        <f t="shared" si="5"/>
        <v>1124.4705964629393</v>
      </c>
      <c r="I13" s="320">
        <f t="shared" si="5"/>
        <v>1156.3203224755198</v>
      </c>
      <c r="J13" s="320">
        <f t="shared" si="5"/>
        <v>1189.0721663827426</v>
      </c>
      <c r="K13" s="320">
        <f t="shared" si="5"/>
        <v>1222.7516799490331</v>
      </c>
      <c r="L13" s="320">
        <f t="shared" si="5"/>
        <v>1257.3851386720053</v>
      </c>
      <c r="M13" s="320">
        <f t="shared" si="5"/>
        <v>575.31502436453593</v>
      </c>
      <c r="N13" s="320">
        <f t="shared" si="5"/>
        <v>582.56556933813408</v>
      </c>
      <c r="O13" s="319">
        <f t="shared" si="5"/>
        <v>589.90749103610869</v>
      </c>
      <c r="P13" s="319">
        <f t="shared" si="5"/>
        <v>597.34194105546339</v>
      </c>
      <c r="Q13" s="319">
        <f t="shared" si="5"/>
        <v>604.87008550644532</v>
      </c>
    </row>
    <row r="14" spans="1:22" ht="15" outlineLevel="1" x14ac:dyDescent="0.25">
      <c r="A14" s="221" t="s">
        <v>541</v>
      </c>
      <c r="E14" s="327">
        <v>64</v>
      </c>
      <c r="F14" s="327">
        <v>486</v>
      </c>
      <c r="G14" s="326">
        <f t="shared" ref="G14:Q14" si="6">ROUND(G13/2.2,0)</f>
        <v>229</v>
      </c>
      <c r="H14" s="326">
        <f t="shared" si="6"/>
        <v>511</v>
      </c>
      <c r="I14" s="326">
        <f t="shared" si="6"/>
        <v>526</v>
      </c>
      <c r="J14" s="326">
        <f t="shared" si="6"/>
        <v>540</v>
      </c>
      <c r="K14" s="326">
        <f t="shared" si="6"/>
        <v>556</v>
      </c>
      <c r="L14" s="326">
        <f t="shared" si="6"/>
        <v>572</v>
      </c>
      <c r="M14" s="326">
        <f t="shared" si="6"/>
        <v>262</v>
      </c>
      <c r="N14" s="326">
        <f t="shared" si="6"/>
        <v>265</v>
      </c>
      <c r="O14" s="221">
        <f t="shared" si="6"/>
        <v>268</v>
      </c>
      <c r="P14" s="221">
        <f t="shared" si="6"/>
        <v>272</v>
      </c>
      <c r="Q14" s="221">
        <f t="shared" si="6"/>
        <v>275</v>
      </c>
    </row>
    <row r="15" spans="1:22" s="328" customFormat="1" ht="15" x14ac:dyDescent="0.25"/>
    <row r="16" spans="1:22" s="202" customFormat="1" ht="15" x14ac:dyDescent="0.25">
      <c r="A16" s="202" t="s">
        <v>542</v>
      </c>
      <c r="E16" s="329"/>
      <c r="F16" s="329"/>
      <c r="G16" s="330">
        <v>304</v>
      </c>
      <c r="H16" s="330">
        <v>304</v>
      </c>
      <c r="I16" s="330">
        <v>304</v>
      </c>
      <c r="J16" s="330">
        <v>304</v>
      </c>
      <c r="K16" s="330">
        <v>523</v>
      </c>
      <c r="L16" s="330">
        <f>K16</f>
        <v>523</v>
      </c>
      <c r="M16" s="330">
        <f t="shared" ref="M16:Q16" si="7">L16</f>
        <v>523</v>
      </c>
      <c r="N16" s="330">
        <f t="shared" si="7"/>
        <v>523</v>
      </c>
      <c r="O16" s="330">
        <f t="shared" si="7"/>
        <v>523</v>
      </c>
      <c r="P16" s="330">
        <f t="shared" si="7"/>
        <v>523</v>
      </c>
      <c r="Q16" s="330">
        <f t="shared" si="7"/>
        <v>523</v>
      </c>
    </row>
    <row r="17" spans="1:17" ht="23.25" x14ac:dyDescent="0.35">
      <c r="A17" s="331" t="s">
        <v>543</v>
      </c>
      <c r="H17" s="318">
        <v>2017</v>
      </c>
      <c r="I17" s="318">
        <v>2018</v>
      </c>
      <c r="J17" s="318">
        <v>2019</v>
      </c>
      <c r="K17" s="318">
        <v>2020</v>
      </c>
      <c r="L17" s="318">
        <v>2021</v>
      </c>
      <c r="M17" s="318">
        <v>2022</v>
      </c>
      <c r="N17" s="318">
        <v>2023</v>
      </c>
      <c r="O17" s="318">
        <v>2024</v>
      </c>
      <c r="P17" s="318">
        <v>2025</v>
      </c>
      <c r="Q17" s="318">
        <v>2026</v>
      </c>
    </row>
    <row r="18" spans="1:17" ht="15" x14ac:dyDescent="0.25">
      <c r="A18" s="221" t="s">
        <v>544</v>
      </c>
      <c r="D18" s="332">
        <v>550</v>
      </c>
      <c r="E18" s="332">
        <v>0</v>
      </c>
      <c r="F18" s="332">
        <v>0</v>
      </c>
      <c r="G18" s="332"/>
      <c r="H18" s="332">
        <f t="shared" ref="H18:K18" si="8">H16*$D18</f>
        <v>167200</v>
      </c>
      <c r="I18" s="332">
        <f t="shared" si="8"/>
        <v>167200</v>
      </c>
      <c r="J18" s="332">
        <f t="shared" si="8"/>
        <v>167200</v>
      </c>
      <c r="K18" s="332">
        <f t="shared" si="8"/>
        <v>287650</v>
      </c>
      <c r="L18" s="332">
        <f t="shared" ref="L18:Q18" si="9">L16*$D18</f>
        <v>287650</v>
      </c>
      <c r="M18" s="332">
        <f t="shared" si="9"/>
        <v>287650</v>
      </c>
      <c r="N18" s="332">
        <f t="shared" si="9"/>
        <v>287650</v>
      </c>
      <c r="O18" s="332">
        <f t="shared" si="9"/>
        <v>287650</v>
      </c>
      <c r="P18" s="332">
        <f t="shared" si="9"/>
        <v>287650</v>
      </c>
      <c r="Q18" s="332">
        <f t="shared" si="9"/>
        <v>287650</v>
      </c>
    </row>
    <row r="19" spans="1:17" ht="15" x14ac:dyDescent="0.25">
      <c r="A19" s="202" t="s">
        <v>545</v>
      </c>
      <c r="B19" s="202"/>
      <c r="C19" s="202"/>
      <c r="D19" s="202"/>
      <c r="E19" s="333">
        <f>D19+E18</f>
        <v>0</v>
      </c>
      <c r="F19" s="333">
        <v>0</v>
      </c>
      <c r="G19" s="333"/>
      <c r="H19" s="333">
        <f t="shared" ref="H19" si="10">G19+H18</f>
        <v>167200</v>
      </c>
      <c r="I19" s="333">
        <f t="shared" ref="I19" si="11">H19+I18</f>
        <v>334400</v>
      </c>
      <c r="J19" s="333">
        <f t="shared" ref="J19" si="12">I19+J18</f>
        <v>501600</v>
      </c>
      <c r="K19" s="333">
        <f t="shared" ref="K19" si="13">J19+K18</f>
        <v>789250</v>
      </c>
      <c r="L19" s="333">
        <f t="shared" ref="L19:Q19" si="14">K19+L18</f>
        <v>1076900</v>
      </c>
      <c r="M19" s="333">
        <f t="shared" si="14"/>
        <v>1364550</v>
      </c>
      <c r="N19" s="333">
        <f t="shared" si="14"/>
        <v>1652200</v>
      </c>
      <c r="O19" s="333">
        <f t="shared" si="14"/>
        <v>1939850</v>
      </c>
      <c r="P19" s="333">
        <f t="shared" si="14"/>
        <v>2227500</v>
      </c>
      <c r="Q19" s="334">
        <f t="shared" si="14"/>
        <v>2515150</v>
      </c>
    </row>
    <row r="21" spans="1:17" ht="15" x14ac:dyDescent="0.25">
      <c r="A21" s="221" t="s">
        <v>546</v>
      </c>
      <c r="B21" s="200">
        <f>'LTFP Assumptions'!B6</f>
        <v>1.4999999999999999E-2</v>
      </c>
      <c r="G21" s="335">
        <f>1+$B21</f>
        <v>1.0149999999999999</v>
      </c>
      <c r="H21" s="200">
        <f>G21*(1+$B21)</f>
        <v>1.0302249999999997</v>
      </c>
      <c r="I21" s="200">
        <f t="shared" ref="I21:Q21" si="15">H21*(1+$B21)</f>
        <v>1.0456783749999996</v>
      </c>
      <c r="J21" s="200">
        <f t="shared" si="15"/>
        <v>1.0613635506249994</v>
      </c>
      <c r="K21" s="200">
        <f t="shared" si="15"/>
        <v>1.0772840038843743</v>
      </c>
      <c r="L21" s="200">
        <f t="shared" si="15"/>
        <v>1.0934432639426397</v>
      </c>
      <c r="M21" s="200">
        <f t="shared" si="15"/>
        <v>1.1098449129017791</v>
      </c>
      <c r="N21" s="200">
        <f t="shared" si="15"/>
        <v>1.1264925865953057</v>
      </c>
      <c r="O21" s="200">
        <f t="shared" si="15"/>
        <v>1.1433899753942351</v>
      </c>
      <c r="P21" s="200">
        <f t="shared" si="15"/>
        <v>1.1605408250251485</v>
      </c>
      <c r="Q21" s="200">
        <f t="shared" si="15"/>
        <v>1.1779489374005256</v>
      </c>
    </row>
    <row r="23" spans="1:17" ht="15" x14ac:dyDescent="0.25">
      <c r="A23" s="221" t="s">
        <v>544</v>
      </c>
      <c r="G23" s="332">
        <f>G18*G$21</f>
        <v>0</v>
      </c>
      <c r="H23" s="332">
        <f t="shared" ref="H23:N24" si="16">H18*H$21</f>
        <v>172253.61999999997</v>
      </c>
      <c r="I23" s="332">
        <f t="shared" si="16"/>
        <v>174837.42429999993</v>
      </c>
      <c r="J23" s="332">
        <f t="shared" si="16"/>
        <v>177459.98566449989</v>
      </c>
      <c r="K23" s="332">
        <f t="shared" si="16"/>
        <v>309880.74371734029</v>
      </c>
      <c r="L23" s="332">
        <f t="shared" si="16"/>
        <v>314528.95487310033</v>
      </c>
      <c r="M23" s="332">
        <f t="shared" si="16"/>
        <v>319246.88919619675</v>
      </c>
      <c r="N23" s="332">
        <f t="shared" si="16"/>
        <v>324035.59253413969</v>
      </c>
      <c r="O23" s="332">
        <f t="shared" ref="O23:P23" si="17">O18*O$21</f>
        <v>328896.12642215175</v>
      </c>
      <c r="P23" s="332">
        <f t="shared" si="17"/>
        <v>333829.568318484</v>
      </c>
      <c r="Q23" s="332">
        <f t="shared" ref="Q23" si="18">Q18*Q$21</f>
        <v>338837.01184326119</v>
      </c>
    </row>
    <row r="24" spans="1:17" ht="15" x14ac:dyDescent="0.25">
      <c r="A24" s="330" t="s">
        <v>576</v>
      </c>
      <c r="B24" s="330"/>
      <c r="C24" s="330"/>
      <c r="D24" s="330"/>
      <c r="E24" s="330"/>
      <c r="F24" s="330"/>
      <c r="G24" s="333">
        <f>G19*G$21</f>
        <v>0</v>
      </c>
      <c r="H24" s="333">
        <f t="shared" si="16"/>
        <v>172253.61999999997</v>
      </c>
      <c r="I24" s="333">
        <f t="shared" si="16"/>
        <v>349674.84859999985</v>
      </c>
      <c r="J24" s="333">
        <f t="shared" si="16"/>
        <v>532379.95699349977</v>
      </c>
      <c r="K24" s="333">
        <f t="shared" si="16"/>
        <v>850246.40006574243</v>
      </c>
      <c r="L24" s="333">
        <f t="shared" si="16"/>
        <v>1177529.0509398286</v>
      </c>
      <c r="M24" s="333">
        <f t="shared" si="16"/>
        <v>1514438.8759001228</v>
      </c>
      <c r="N24" s="333">
        <f t="shared" si="16"/>
        <v>1861191.0515727641</v>
      </c>
      <c r="O24" s="333">
        <f t="shared" ref="O24:P24" si="19">O19*O$21</f>
        <v>2218005.043768507</v>
      </c>
      <c r="P24" s="333">
        <f t="shared" si="19"/>
        <v>2585104.6877435185</v>
      </c>
      <c r="Q24" s="332">
        <f t="shared" ref="Q24" si="20">Q19*Q$21</f>
        <v>2962718.269902932</v>
      </c>
    </row>
    <row r="27" spans="1:17" ht="18.75" x14ac:dyDescent="0.3">
      <c r="A27" s="336" t="s">
        <v>547</v>
      </c>
      <c r="F27" s="349">
        <v>452</v>
      </c>
      <c r="G27" s="349">
        <f>$F27*G21</f>
        <v>458.78</v>
      </c>
      <c r="H27" s="349">
        <f t="shared" ref="H27:Q27" si="21">$F27*H21</f>
        <v>465.66169999999988</v>
      </c>
      <c r="I27" s="349">
        <f t="shared" si="21"/>
        <v>472.6466254999998</v>
      </c>
      <c r="J27" s="349">
        <f t="shared" si="21"/>
        <v>479.73632488249973</v>
      </c>
      <c r="K27" s="349">
        <f t="shared" si="21"/>
        <v>486.93236975573717</v>
      </c>
      <c r="L27" s="349">
        <f t="shared" si="21"/>
        <v>494.23635530207315</v>
      </c>
      <c r="M27" s="349">
        <f t="shared" si="21"/>
        <v>501.64990063160417</v>
      </c>
      <c r="N27" s="349">
        <f t="shared" si="21"/>
        <v>509.17464914107819</v>
      </c>
      <c r="O27" s="349">
        <f t="shared" si="21"/>
        <v>516.81226887819423</v>
      </c>
      <c r="P27" s="349">
        <f t="shared" si="21"/>
        <v>524.5644529113672</v>
      </c>
      <c r="Q27" s="349">
        <f t="shared" si="21"/>
        <v>532.43291970503753</v>
      </c>
    </row>
    <row r="28" spans="1:17" ht="15" x14ac:dyDescent="0.25">
      <c r="A28" s="221" t="s">
        <v>548</v>
      </c>
      <c r="G28" s="337"/>
      <c r="H28" s="337"/>
      <c r="I28" s="337"/>
      <c r="J28" s="337"/>
      <c r="K28" s="337"/>
      <c r="L28" s="337">
        <f t="shared" ref="L28:Q28" si="22">L16*L27</f>
        <v>258485.61382298425</v>
      </c>
      <c r="M28" s="337">
        <f t="shared" si="22"/>
        <v>262362.89803032897</v>
      </c>
      <c r="N28" s="337">
        <f t="shared" si="22"/>
        <v>266298.34150078392</v>
      </c>
      <c r="O28" s="337">
        <f t="shared" si="22"/>
        <v>270292.8166232956</v>
      </c>
      <c r="P28" s="337">
        <f t="shared" si="22"/>
        <v>274347.20887264505</v>
      </c>
      <c r="Q28" s="337">
        <f t="shared" si="22"/>
        <v>278462.41700573463</v>
      </c>
    </row>
    <row r="29" spans="1:17" ht="15" x14ac:dyDescent="0.25">
      <c r="A29" s="221" t="s">
        <v>549</v>
      </c>
      <c r="G29" s="337"/>
      <c r="H29" s="337"/>
      <c r="I29" s="337"/>
      <c r="J29" s="337"/>
      <c r="K29" s="337"/>
      <c r="L29" s="337">
        <f t="shared" ref="L29:Q29" si="23">L28</f>
        <v>258485.61382298425</v>
      </c>
      <c r="M29" s="337">
        <f t="shared" si="23"/>
        <v>262362.89803032897</v>
      </c>
      <c r="N29" s="337">
        <f t="shared" si="23"/>
        <v>266298.34150078392</v>
      </c>
      <c r="O29" s="337">
        <f t="shared" si="23"/>
        <v>270292.8166232956</v>
      </c>
      <c r="P29" s="337">
        <f t="shared" si="23"/>
        <v>274347.20887264505</v>
      </c>
      <c r="Q29" s="337">
        <f t="shared" si="23"/>
        <v>278462.41700573463</v>
      </c>
    </row>
    <row r="30" spans="1:17" ht="15" x14ac:dyDescent="0.25">
      <c r="A30" s="330" t="s">
        <v>550</v>
      </c>
      <c r="B30" s="330"/>
      <c r="C30" s="330"/>
      <c r="D30" s="330"/>
      <c r="E30" s="330"/>
      <c r="F30" s="330"/>
      <c r="G30" s="350">
        <f>G29</f>
        <v>0</v>
      </c>
      <c r="H30" s="350">
        <f t="shared" ref="H30" si="24">G30+H29</f>
        <v>0</v>
      </c>
      <c r="I30" s="350">
        <f t="shared" ref="I30" si="25">H30+I29</f>
        <v>0</v>
      </c>
      <c r="J30" s="350">
        <f t="shared" ref="J30" si="26">I30+J29</f>
        <v>0</v>
      </c>
      <c r="K30" s="350">
        <f t="shared" ref="K30" si="27">J30+K29</f>
        <v>0</v>
      </c>
      <c r="L30" s="350">
        <f t="shared" ref="L30:Q30" si="28">K30+L29</f>
        <v>258485.61382298425</v>
      </c>
      <c r="M30" s="350">
        <f t="shared" si="28"/>
        <v>520848.51185331319</v>
      </c>
      <c r="N30" s="350">
        <f t="shared" si="28"/>
        <v>787146.85335409711</v>
      </c>
      <c r="O30" s="350">
        <f t="shared" si="28"/>
        <v>1057439.6699773928</v>
      </c>
      <c r="P30" s="350">
        <f t="shared" si="28"/>
        <v>1331786.8788500377</v>
      </c>
      <c r="Q30" s="338">
        <f t="shared" si="28"/>
        <v>1610249.2958557722</v>
      </c>
    </row>
    <row r="33" spans="1:17" ht="18.75" x14ac:dyDescent="0.3">
      <c r="A33" s="336" t="s">
        <v>551</v>
      </c>
      <c r="F33" s="348">
        <v>12.5</v>
      </c>
      <c r="G33" s="348">
        <f>F33</f>
        <v>12.5</v>
      </c>
      <c r="H33" s="348">
        <f t="shared" ref="H33:Q33" si="29">G33</f>
        <v>12.5</v>
      </c>
      <c r="I33" s="348">
        <f t="shared" si="29"/>
        <v>12.5</v>
      </c>
      <c r="J33" s="348">
        <f t="shared" si="29"/>
        <v>12.5</v>
      </c>
      <c r="K33" s="348">
        <f t="shared" si="29"/>
        <v>12.5</v>
      </c>
      <c r="L33" s="348">
        <f t="shared" si="29"/>
        <v>12.5</v>
      </c>
      <c r="M33" s="348">
        <f t="shared" si="29"/>
        <v>12.5</v>
      </c>
      <c r="N33" s="348">
        <f t="shared" si="29"/>
        <v>12.5</v>
      </c>
      <c r="O33" s="348">
        <f t="shared" si="29"/>
        <v>12.5</v>
      </c>
      <c r="P33" s="348">
        <f t="shared" si="29"/>
        <v>12.5</v>
      </c>
      <c r="Q33" s="348">
        <f t="shared" si="29"/>
        <v>12.5</v>
      </c>
    </row>
    <row r="34" spans="1:17" ht="15" x14ac:dyDescent="0.25">
      <c r="A34" s="221" t="s">
        <v>548</v>
      </c>
      <c r="G34" s="337"/>
      <c r="H34" s="337">
        <f t="shared" ref="H34:K34" si="30">H16*H33</f>
        <v>3800</v>
      </c>
      <c r="I34" s="337">
        <f t="shared" si="30"/>
        <v>3800</v>
      </c>
      <c r="J34" s="337">
        <f t="shared" si="30"/>
        <v>3800</v>
      </c>
      <c r="K34" s="337">
        <f t="shared" si="30"/>
        <v>6537.5</v>
      </c>
      <c r="L34" s="337">
        <f t="shared" ref="L34:Q34" si="31">L16*L33</f>
        <v>6537.5</v>
      </c>
      <c r="M34" s="337">
        <f t="shared" si="31"/>
        <v>6537.5</v>
      </c>
      <c r="N34" s="337">
        <f t="shared" si="31"/>
        <v>6537.5</v>
      </c>
      <c r="O34" s="337">
        <f t="shared" si="31"/>
        <v>6537.5</v>
      </c>
      <c r="P34" s="337">
        <f t="shared" si="31"/>
        <v>6537.5</v>
      </c>
      <c r="Q34" s="337">
        <f t="shared" si="31"/>
        <v>6537.5</v>
      </c>
    </row>
    <row r="35" spans="1:17" ht="15" x14ac:dyDescent="0.25">
      <c r="A35" s="330" t="s">
        <v>550</v>
      </c>
      <c r="B35" s="330"/>
      <c r="C35" s="330"/>
      <c r="D35" s="330"/>
      <c r="E35" s="330"/>
      <c r="F35" s="330"/>
      <c r="G35" s="350">
        <f>G34</f>
        <v>0</v>
      </c>
      <c r="H35" s="350">
        <f>G35+H34</f>
        <v>3800</v>
      </c>
      <c r="I35" s="350">
        <f t="shared" ref="I35:Q35" si="32">H35+I34</f>
        <v>7600</v>
      </c>
      <c r="J35" s="350">
        <f t="shared" si="32"/>
        <v>11400</v>
      </c>
      <c r="K35" s="350">
        <f t="shared" si="32"/>
        <v>17937.5</v>
      </c>
      <c r="L35" s="350">
        <f t="shared" si="32"/>
        <v>24475</v>
      </c>
      <c r="M35" s="350">
        <f t="shared" si="32"/>
        <v>31012.5</v>
      </c>
      <c r="N35" s="350">
        <f t="shared" si="32"/>
        <v>37550</v>
      </c>
      <c r="O35" s="350">
        <f t="shared" si="32"/>
        <v>44087.5</v>
      </c>
      <c r="P35" s="350">
        <f t="shared" si="32"/>
        <v>50625</v>
      </c>
      <c r="Q35" s="338">
        <f t="shared" si="32"/>
        <v>57162.5</v>
      </c>
    </row>
    <row r="37" spans="1:17" ht="15" x14ac:dyDescent="0.25">
      <c r="A37" s="202" t="s">
        <v>627</v>
      </c>
      <c r="G37" s="318">
        <v>2016</v>
      </c>
      <c r="H37" s="318">
        <v>2017</v>
      </c>
      <c r="I37" s="318">
        <v>2018</v>
      </c>
      <c r="J37" s="318">
        <v>2019</v>
      </c>
      <c r="K37" s="318">
        <v>2020</v>
      </c>
      <c r="L37" s="318">
        <v>2021</v>
      </c>
      <c r="M37" s="318">
        <v>2022</v>
      </c>
      <c r="N37" s="318">
        <v>2023</v>
      </c>
      <c r="O37" s="318">
        <v>2024</v>
      </c>
      <c r="P37" s="318">
        <v>2025</v>
      </c>
    </row>
    <row r="38" spans="1:17" ht="15" x14ac:dyDescent="0.25">
      <c r="A38" s="221" t="s">
        <v>628</v>
      </c>
      <c r="G38" s="337">
        <f>-Rates!F10/1000</f>
        <v>0</v>
      </c>
      <c r="H38" s="337">
        <f>-Rates!G10</f>
        <v>0</v>
      </c>
      <c r="I38" s="337">
        <f>-Rates!H10</f>
        <v>0</v>
      </c>
      <c r="J38" s="337">
        <f>-Rates!I10</f>
        <v>0</v>
      </c>
      <c r="K38" s="337">
        <f>-Rates!J10</f>
        <v>0</v>
      </c>
      <c r="L38" s="337">
        <f>-Rates!K10</f>
        <v>0</v>
      </c>
      <c r="M38" s="337">
        <f>-Rates!L10</f>
        <v>0</v>
      </c>
      <c r="N38" s="337">
        <f>-Rates!M10</f>
        <v>0</v>
      </c>
      <c r="O38" s="337">
        <f>-Rates!N10</f>
        <v>0</v>
      </c>
      <c r="P38" s="337">
        <f>-Rates!O10</f>
        <v>0</v>
      </c>
    </row>
    <row r="39" spans="1:17" ht="15" x14ac:dyDescent="0.25">
      <c r="A39" s="375" t="s">
        <v>791</v>
      </c>
      <c r="B39" s="375"/>
      <c r="C39" s="375"/>
      <c r="D39" s="375"/>
      <c r="E39" s="375"/>
      <c r="F39" s="375"/>
      <c r="G39" s="375"/>
      <c r="H39" s="376"/>
      <c r="I39" s="376"/>
      <c r="J39" s="375"/>
      <c r="K39" s="375"/>
      <c r="L39" s="375">
        <f>K38*L41</f>
        <v>0</v>
      </c>
      <c r="M39" s="375"/>
      <c r="N39" s="375"/>
      <c r="O39" s="375"/>
      <c r="P39" s="375"/>
    </row>
    <row r="40" spans="1:17" ht="15" x14ac:dyDescent="0.25">
      <c r="A40" s="375" t="s">
        <v>794</v>
      </c>
      <c r="B40" s="375"/>
      <c r="C40" s="375"/>
      <c r="D40" s="375"/>
      <c r="E40" s="375"/>
      <c r="F40" s="375"/>
      <c r="G40" s="375"/>
      <c r="H40" s="375"/>
      <c r="I40" s="370">
        <f>H39*$G21</f>
        <v>0</v>
      </c>
      <c r="J40" s="378">
        <f>I40*$G21</f>
        <v>0</v>
      </c>
      <c r="K40" s="370">
        <f t="shared" ref="K40:P40" si="33">J40*H21</f>
        <v>0</v>
      </c>
      <c r="L40" s="370">
        <f t="shared" si="33"/>
        <v>0</v>
      </c>
      <c r="M40" s="370">
        <f t="shared" si="33"/>
        <v>0</v>
      </c>
      <c r="N40" s="370">
        <f t="shared" si="33"/>
        <v>0</v>
      </c>
      <c r="O40" s="370">
        <f t="shared" si="33"/>
        <v>0</v>
      </c>
      <c r="P40" s="370">
        <f t="shared" si="33"/>
        <v>0</v>
      </c>
    </row>
    <row r="41" spans="1:17" x14ac:dyDescent="0.3">
      <c r="A41" s="375" t="s">
        <v>792</v>
      </c>
      <c r="B41" s="375"/>
      <c r="C41" s="375"/>
      <c r="D41" s="375"/>
      <c r="E41" s="375"/>
      <c r="F41" s="375"/>
      <c r="G41" s="375"/>
      <c r="H41" s="377" t="e">
        <f>H39/H38</f>
        <v>#DIV/0!</v>
      </c>
      <c r="I41" s="377" t="e">
        <f>I39/I38</f>
        <v>#DIV/0!</v>
      </c>
      <c r="J41" s="375"/>
      <c r="K41" s="375"/>
      <c r="L41" s="744">
        <v>7.4999999999999997E-2</v>
      </c>
      <c r="M41" s="375"/>
      <c r="N41" s="375"/>
      <c r="O41" s="375"/>
      <c r="P41" s="375"/>
    </row>
    <row r="42" spans="1:17" x14ac:dyDescent="0.3">
      <c r="A42" s="221" t="s">
        <v>793</v>
      </c>
      <c r="I42" s="338">
        <f>I38+I39</f>
        <v>0</v>
      </c>
      <c r="J42" s="338">
        <f t="shared" ref="J42:P42" si="34">J38+J40</f>
        <v>0</v>
      </c>
      <c r="K42" s="338">
        <f t="shared" si="34"/>
        <v>0</v>
      </c>
      <c r="L42" s="338">
        <f t="shared" si="34"/>
        <v>0</v>
      </c>
      <c r="M42" s="338">
        <f t="shared" si="34"/>
        <v>0</v>
      </c>
      <c r="N42" s="338">
        <f t="shared" si="34"/>
        <v>0</v>
      </c>
      <c r="O42" s="338">
        <f t="shared" si="34"/>
        <v>0</v>
      </c>
      <c r="P42" s="338">
        <f t="shared" si="34"/>
        <v>0</v>
      </c>
    </row>
    <row r="43" spans="1:17" ht="15" thickBot="1" x14ac:dyDescent="0.35"/>
    <row r="44" spans="1:17" x14ac:dyDescent="0.3">
      <c r="A44" s="391" t="s">
        <v>795</v>
      </c>
      <c r="B44" s="390"/>
      <c r="C44" s="390"/>
      <c r="D44" s="390"/>
      <c r="E44" s="389">
        <f>'GF &amp; FF  Inc Exp Statement'!D43</f>
        <v>0</v>
      </c>
      <c r="F44" s="388">
        <f>'GF &amp; FF  Inc Exp Statement'!E43</f>
        <v>-2644</v>
      </c>
      <c r="G44" s="388">
        <f>'GF &amp; FF  Inc Exp Statement'!F43</f>
        <v>30.000000000012278</v>
      </c>
      <c r="H44" s="388">
        <f>'GF &amp; FF  Inc Exp Statement'!G43</f>
        <v>631.93295999999509</v>
      </c>
      <c r="I44" s="388">
        <f>'GF &amp; FF  Inc Exp Statement'!H43</f>
        <v>557.91147500000352</v>
      </c>
      <c r="J44" s="388">
        <f>'GF &amp; FF  Inc Exp Statement'!I43</f>
        <v>758.92227499999944</v>
      </c>
      <c r="K44" s="388">
        <f>'GF &amp; FF  Inc Exp Statement'!J43</f>
        <v>585.00338500000726</v>
      </c>
      <c r="L44" s="388">
        <f>'GF &amp; FF  Inc Exp Statement'!K43</f>
        <v>271.22384774735883</v>
      </c>
      <c r="M44" s="388">
        <f>'GF &amp; FF  Inc Exp Statement'!L43</f>
        <v>257.31453071587384</v>
      </c>
      <c r="N44" s="388">
        <f>'GF &amp; FF  Inc Exp Statement'!M43</f>
        <v>232.83509066719671</v>
      </c>
      <c r="O44" s="388">
        <f>'GF &amp; FF  Inc Exp Statement'!N43</f>
        <v>216.50230859806106</v>
      </c>
      <c r="P44" s="387">
        <f>'GF &amp; FF  Inc Exp Statement'!O43</f>
        <v>192.24287796896624</v>
      </c>
    </row>
    <row r="45" spans="1:17" x14ac:dyDescent="0.3">
      <c r="A45" s="386" t="s">
        <v>797</v>
      </c>
      <c r="B45" s="385"/>
      <c r="C45" s="385"/>
      <c r="D45" s="385"/>
      <c r="E45" s="384" t="e">
        <f>E44/('GF &amp; FF  Inc Exp Statement'!D21-'GF &amp; FF  Inc Exp Statement'!D16-'GF &amp; FF  Inc Exp Statement'!D19)</f>
        <v>#DIV/0!</v>
      </c>
      <c r="F45" s="383">
        <f>F44/('GF &amp; FF  Inc Exp Statement'!E21-'GF &amp; FF  Inc Exp Statement'!E16-'GF &amp; FF  Inc Exp Statement'!E19)</f>
        <v>-8.1708334620970977E-2</v>
      </c>
      <c r="G45" s="383">
        <f>G44/('GF &amp; FF  Inc Exp Statement'!F21-'GF &amp; FF  Inc Exp Statement'!F16-'GF &amp; FF  Inc Exp Statement'!F19)</f>
        <v>7.8428465057196761E-4</v>
      </c>
      <c r="H45" s="383">
        <f>H44/('GF &amp; FF  Inc Exp Statement'!G21-'GF &amp; FF  Inc Exp Statement'!G16-'GF &amp; FF  Inc Exp Statement'!G19)</f>
        <v>1.6195019811859918E-2</v>
      </c>
      <c r="I45" s="383">
        <f>I44/('GF &amp; FF  Inc Exp Statement'!H21-'GF &amp; FF  Inc Exp Statement'!H16-'GF &amp; FF  Inc Exp Statement'!H19)</f>
        <v>1.3933209785465668E-2</v>
      </c>
      <c r="J45" s="383">
        <f>J44/('GF &amp; FF  Inc Exp Statement'!I21-'GF &amp; FF  Inc Exp Statement'!I16-'GF &amp; FF  Inc Exp Statement'!I19)</f>
        <v>1.8400616334424261E-2</v>
      </c>
      <c r="K45" s="383">
        <f>K44/('GF &amp; FF  Inc Exp Statement'!J21-'GF &amp; FF  Inc Exp Statement'!J16-'GF &amp; FF  Inc Exp Statement'!J19)</f>
        <v>1.3885829321355798E-2</v>
      </c>
      <c r="L45" s="383">
        <f>L44/('GF &amp; FF  Inc Exp Statement'!K21-'GF &amp; FF  Inc Exp Statement'!K16-'GF &amp; FF  Inc Exp Statement'!K19)</f>
        <v>6.3419629263559525E-3</v>
      </c>
      <c r="M45" s="383">
        <f>M44/('GF &amp; FF  Inc Exp Statement'!L21-'GF &amp; FF  Inc Exp Statement'!L16-'GF &amp; FF  Inc Exp Statement'!L19)</f>
        <v>5.8846215124111366E-3</v>
      </c>
      <c r="N45" s="383">
        <f>N44/('GF &amp; FF  Inc Exp Statement'!M21-'GF &amp; FF  Inc Exp Statement'!M16-'GF &amp; FF  Inc Exp Statement'!M19)</f>
        <v>5.2074719065726303E-3</v>
      </c>
      <c r="O45" s="383">
        <f>O44/('GF &amp; FF  Inc Exp Statement'!N21-'GF &amp; FF  Inc Exp Statement'!N16-'GF &amp; FF  Inc Exp Statement'!N19)</f>
        <v>4.7339463031987649E-3</v>
      </c>
      <c r="P45" s="383">
        <f>P44/('GF &amp; FF  Inc Exp Statement'!O21-'GF &amp; FF  Inc Exp Statement'!O16-'GF &amp; FF  Inc Exp Statement'!O19)</f>
        <v>4.1100160243647318E-3</v>
      </c>
    </row>
    <row r="46" spans="1:17" ht="15.6" x14ac:dyDescent="0.3">
      <c r="A46" s="386" t="s">
        <v>796</v>
      </c>
      <c r="B46" s="385"/>
      <c r="C46" s="385"/>
      <c r="D46" s="385"/>
      <c r="E46" s="385"/>
      <c r="F46" s="385"/>
      <c r="G46" s="382" t="e">
        <f>AVERAGE(E45:G45)</f>
        <v>#DIV/0!</v>
      </c>
      <c r="H46" s="382">
        <f>AVERAGE(F45:H45)</f>
        <v>-2.1576343386179697E-2</v>
      </c>
      <c r="I46" s="382">
        <f t="shared" ref="I46:P46" si="35">AVERAGE(G45:I45)</f>
        <v>1.0304171415965851E-2</v>
      </c>
      <c r="J46" s="382">
        <f t="shared" si="35"/>
        <v>1.6176281977249948E-2</v>
      </c>
      <c r="K46" s="382">
        <f t="shared" si="35"/>
        <v>1.5406551813748575E-2</v>
      </c>
      <c r="L46" s="382">
        <f t="shared" si="35"/>
        <v>1.2876136194045337E-2</v>
      </c>
      <c r="M46" s="382">
        <f t="shared" si="35"/>
        <v>8.7041379200409625E-3</v>
      </c>
      <c r="N46" s="382">
        <f t="shared" si="35"/>
        <v>5.8113521151132398E-3</v>
      </c>
      <c r="O46" s="382">
        <f t="shared" si="35"/>
        <v>5.2753465740608442E-3</v>
      </c>
      <c r="P46" s="382">
        <f t="shared" si="35"/>
        <v>4.6838114113787093E-3</v>
      </c>
    </row>
    <row r="47" spans="1:17" ht="15" thickBot="1" x14ac:dyDescent="0.35">
      <c r="A47" s="381"/>
      <c r="B47" s="380"/>
      <c r="C47" s="380"/>
      <c r="D47" s="380"/>
      <c r="E47" s="380" t="s">
        <v>798</v>
      </c>
      <c r="F47" s="380"/>
      <c r="G47" s="380"/>
      <c r="H47" s="380"/>
      <c r="I47" s="380"/>
      <c r="J47" s="380"/>
      <c r="K47" s="380"/>
      <c r="L47" s="380"/>
      <c r="M47" s="380"/>
      <c r="N47" s="380"/>
      <c r="O47" s="380"/>
      <c r="P47" s="379"/>
    </row>
    <row r="51" spans="1:16" x14ac:dyDescent="0.3">
      <c r="G51" s="318">
        <v>2016</v>
      </c>
      <c r="H51" s="318">
        <v>2017</v>
      </c>
      <c r="I51" s="318">
        <v>2018</v>
      </c>
      <c r="J51" s="318">
        <v>2019</v>
      </c>
      <c r="K51" s="318">
        <v>2020</v>
      </c>
      <c r="L51" s="318">
        <v>2021</v>
      </c>
      <c r="M51" s="318">
        <v>2022</v>
      </c>
      <c r="N51" s="318">
        <v>2023</v>
      </c>
      <c r="O51" s="318">
        <v>2024</v>
      </c>
      <c r="P51" s="318">
        <v>2025</v>
      </c>
    </row>
    <row r="52" spans="1:16" s="337" customFormat="1" x14ac:dyDescent="0.3">
      <c r="A52" s="337" t="s">
        <v>581</v>
      </c>
      <c r="F52" s="337">
        <v>7000000</v>
      </c>
      <c r="G52" s="337">
        <v>2000000</v>
      </c>
      <c r="H52" s="337">
        <v>2000000</v>
      </c>
      <c r="I52" s="337">
        <v>2000000</v>
      </c>
      <c r="J52" s="337">
        <f>$I52*G21</f>
        <v>2029999.9999999998</v>
      </c>
      <c r="K52" s="337">
        <f t="shared" ref="K52:P52" si="36">$I52*H21</f>
        <v>2060449.9999999995</v>
      </c>
      <c r="L52" s="337">
        <f t="shared" si="36"/>
        <v>2091356.7499999993</v>
      </c>
      <c r="M52" s="337">
        <f t="shared" si="36"/>
        <v>2122727.1012499989</v>
      </c>
      <c r="N52" s="337">
        <f t="shared" si="36"/>
        <v>2154568.0077687488</v>
      </c>
      <c r="O52" s="337">
        <f t="shared" si="36"/>
        <v>2186886.5278852792</v>
      </c>
      <c r="P52" s="337">
        <f t="shared" si="36"/>
        <v>2219689.8258035583</v>
      </c>
    </row>
    <row r="53" spans="1:16" s="337" customFormat="1" x14ac:dyDescent="0.3">
      <c r="A53" s="337" t="s">
        <v>583</v>
      </c>
      <c r="F53" s="337">
        <f>E53+F52</f>
        <v>7000000</v>
      </c>
      <c r="G53" s="337">
        <f t="shared" ref="G53:P53" si="37">F53+G52</f>
        <v>9000000</v>
      </c>
      <c r="H53" s="337">
        <f t="shared" si="37"/>
        <v>11000000</v>
      </c>
      <c r="I53" s="337">
        <f t="shared" si="37"/>
        <v>13000000</v>
      </c>
      <c r="J53" s="337">
        <f t="shared" si="37"/>
        <v>15030000</v>
      </c>
      <c r="K53" s="337">
        <f t="shared" si="37"/>
        <v>17090450</v>
      </c>
      <c r="L53" s="337">
        <f t="shared" si="37"/>
        <v>19181806.75</v>
      </c>
      <c r="M53" s="337">
        <f t="shared" si="37"/>
        <v>21304533.85125</v>
      </c>
      <c r="N53" s="337">
        <f t="shared" si="37"/>
        <v>23459101.85901875</v>
      </c>
      <c r="O53" s="337">
        <f t="shared" si="37"/>
        <v>25645988.386904031</v>
      </c>
      <c r="P53" s="337">
        <f t="shared" si="37"/>
        <v>27865678.21270759</v>
      </c>
    </row>
    <row r="54" spans="1:16" x14ac:dyDescent="0.3">
      <c r="A54" s="337" t="s">
        <v>582</v>
      </c>
      <c r="G54" s="338">
        <f>F53*'LTFP Assumptions'!$B17</f>
        <v>175000</v>
      </c>
      <c r="H54" s="338">
        <f>G53*'LTFP Assumptions'!$B17</f>
        <v>225000</v>
      </c>
      <c r="I54" s="338">
        <f>H53*'LTFP Assumptions'!$B17</f>
        <v>275000</v>
      </c>
      <c r="J54" s="338">
        <f>I53*'LTFP Assumptions'!$B17</f>
        <v>325000</v>
      </c>
      <c r="K54" s="338">
        <f>J53*'LTFP Assumptions'!$B17</f>
        <v>375750</v>
      </c>
      <c r="L54" s="338">
        <f>K53*'LTFP Assumptions'!$B17</f>
        <v>427261.25</v>
      </c>
      <c r="M54" s="338">
        <f>L53*'LTFP Assumptions'!$B17</f>
        <v>479545.16875000001</v>
      </c>
      <c r="N54" s="338">
        <f>M53*'LTFP Assumptions'!$B17</f>
        <v>532613.34628125001</v>
      </c>
      <c r="O54" s="338">
        <f>N53*'LTFP Assumptions'!$B17</f>
        <v>586477.54647546879</v>
      </c>
      <c r="P54" s="338">
        <f>O53*'LTFP Assumptions'!$B17</f>
        <v>641149.70967260085</v>
      </c>
    </row>
    <row r="56" spans="1:16" x14ac:dyDescent="0.3">
      <c r="A56" s="339" t="s">
        <v>552</v>
      </c>
    </row>
    <row r="58" spans="1:16" x14ac:dyDescent="0.3">
      <c r="A58" s="340" t="s">
        <v>553</v>
      </c>
      <c r="B58" s="340" t="s">
        <v>554</v>
      </c>
      <c r="C58" s="340" t="s">
        <v>555</v>
      </c>
      <c r="D58" s="340" t="s">
        <v>465</v>
      </c>
      <c r="E58" s="340"/>
      <c r="F58" s="341"/>
    </row>
    <row r="59" spans="1:16" x14ac:dyDescent="0.3">
      <c r="A59" s="342" t="s">
        <v>556</v>
      </c>
      <c r="B59" s="341">
        <v>12595</v>
      </c>
      <c r="C59" s="341">
        <v>12807</v>
      </c>
      <c r="D59" s="341">
        <f t="shared" ref="D59:D70" si="38">C59-B59</f>
        <v>212</v>
      </c>
      <c r="E59" s="340"/>
      <c r="F59" s="341"/>
    </row>
    <row r="60" spans="1:16" x14ac:dyDescent="0.3">
      <c r="A60" s="156" t="s">
        <v>557</v>
      </c>
      <c r="B60" s="156">
        <v>12109</v>
      </c>
      <c r="C60" s="156">
        <v>12595</v>
      </c>
      <c r="D60" s="156">
        <f t="shared" si="38"/>
        <v>486</v>
      </c>
      <c r="E60" s="342"/>
    </row>
    <row r="61" spans="1:16" x14ac:dyDescent="0.3">
      <c r="A61" s="156" t="s">
        <v>558</v>
      </c>
      <c r="B61" s="156">
        <v>12045</v>
      </c>
      <c r="C61" s="156">
        <v>12109</v>
      </c>
      <c r="D61" s="156">
        <f t="shared" si="38"/>
        <v>64</v>
      </c>
      <c r="E61" s="156"/>
    </row>
    <row r="62" spans="1:16" x14ac:dyDescent="0.3">
      <c r="A62" s="156" t="s">
        <v>559</v>
      </c>
      <c r="B62" s="156">
        <v>12024</v>
      </c>
      <c r="C62" s="156">
        <v>12045</v>
      </c>
      <c r="D62" s="156">
        <f t="shared" si="38"/>
        <v>21</v>
      </c>
      <c r="E62" s="156"/>
    </row>
    <row r="63" spans="1:16" x14ac:dyDescent="0.3">
      <c r="A63" s="156" t="s">
        <v>560</v>
      </c>
      <c r="B63" s="156">
        <v>11816</v>
      </c>
      <c r="C63" s="156">
        <v>12024</v>
      </c>
      <c r="D63" s="156">
        <f t="shared" si="38"/>
        <v>208</v>
      </c>
      <c r="E63" s="156"/>
    </row>
    <row r="64" spans="1:16" x14ac:dyDescent="0.3">
      <c r="A64" s="156" t="s">
        <v>561</v>
      </c>
      <c r="B64" s="156">
        <v>11698</v>
      </c>
      <c r="C64" s="156">
        <v>11816</v>
      </c>
      <c r="D64" s="156">
        <f t="shared" si="38"/>
        <v>118</v>
      </c>
      <c r="E64" s="156"/>
    </row>
    <row r="65" spans="1:5" x14ac:dyDescent="0.3">
      <c r="A65" s="156" t="s">
        <v>562</v>
      </c>
      <c r="B65" s="156">
        <v>11476</v>
      </c>
      <c r="C65" s="156">
        <v>11698</v>
      </c>
      <c r="D65" s="156">
        <f t="shared" si="38"/>
        <v>222</v>
      </c>
      <c r="E65" s="156"/>
    </row>
    <row r="66" spans="1:5" x14ac:dyDescent="0.3">
      <c r="A66" s="156" t="s">
        <v>563</v>
      </c>
      <c r="B66" s="156">
        <v>11317</v>
      </c>
      <c r="C66" s="156">
        <v>11476</v>
      </c>
      <c r="D66" s="156">
        <f t="shared" si="38"/>
        <v>159</v>
      </c>
      <c r="E66" s="156"/>
    </row>
    <row r="67" spans="1:5" x14ac:dyDescent="0.3">
      <c r="A67" s="156" t="s">
        <v>564</v>
      </c>
      <c r="B67" s="156">
        <v>11022</v>
      </c>
      <c r="C67" s="156">
        <v>11317</v>
      </c>
      <c r="D67" s="156">
        <f t="shared" si="38"/>
        <v>295</v>
      </c>
      <c r="E67" s="156"/>
    </row>
    <row r="68" spans="1:5" x14ac:dyDescent="0.3">
      <c r="A68" s="156" t="s">
        <v>565</v>
      </c>
      <c r="B68" s="156">
        <v>10591</v>
      </c>
      <c r="C68" s="156">
        <v>11022</v>
      </c>
      <c r="D68" s="156">
        <f t="shared" si="38"/>
        <v>431</v>
      </c>
      <c r="E68" s="156"/>
    </row>
    <row r="69" spans="1:5" x14ac:dyDescent="0.3">
      <c r="A69" s="156" t="s">
        <v>566</v>
      </c>
      <c r="B69" s="156">
        <v>10119</v>
      </c>
      <c r="C69" s="156">
        <v>10591</v>
      </c>
      <c r="D69" s="156">
        <f t="shared" si="38"/>
        <v>472</v>
      </c>
      <c r="E69" s="156"/>
    </row>
    <row r="70" spans="1:5" ht="15" thickBot="1" x14ac:dyDescent="0.35">
      <c r="A70" s="156" t="s">
        <v>567</v>
      </c>
      <c r="B70" s="156">
        <v>9856</v>
      </c>
      <c r="C70" s="156">
        <v>10119</v>
      </c>
      <c r="D70" s="156">
        <f t="shared" si="38"/>
        <v>263</v>
      </c>
      <c r="E70" s="156"/>
    </row>
    <row r="71" spans="1:5" ht="15" thickBot="1" x14ac:dyDescent="0.35">
      <c r="A71" s="343" t="s">
        <v>568</v>
      </c>
      <c r="B71" s="344"/>
      <c r="C71" s="344"/>
      <c r="D71" s="345">
        <f>SUM(D59:D70)</f>
        <v>2951</v>
      </c>
      <c r="E71" s="156"/>
    </row>
    <row r="72" spans="1:5" x14ac:dyDescent="0.3">
      <c r="A72" s="156"/>
      <c r="B72" s="156"/>
      <c r="C72" s="156"/>
      <c r="D72" s="156"/>
      <c r="E72" s="156"/>
    </row>
    <row r="73" spans="1:5" x14ac:dyDescent="0.3">
      <c r="A73" s="342"/>
      <c r="B73" s="342" t="s">
        <v>569</v>
      </c>
      <c r="C73" s="156"/>
      <c r="D73" s="346">
        <f>D71/12</f>
        <v>245.91666666666666</v>
      </c>
      <c r="E73" s="342" t="s">
        <v>570</v>
      </c>
    </row>
    <row r="74" spans="1:5" x14ac:dyDescent="0.3">
      <c r="A74" s="156"/>
      <c r="B74" s="342" t="s">
        <v>571</v>
      </c>
      <c r="C74" s="156"/>
      <c r="D74" s="346">
        <f>SUM(D67:D70)/4</f>
        <v>365.25</v>
      </c>
      <c r="E74" s="342" t="s">
        <v>570</v>
      </c>
    </row>
    <row r="75" spans="1:5" x14ac:dyDescent="0.3">
      <c r="A75" s="156"/>
      <c r="B75" s="342"/>
      <c r="C75" s="156"/>
      <c r="D75" s="346"/>
      <c r="E75" s="342"/>
    </row>
    <row r="76" spans="1:5" x14ac:dyDescent="0.3">
      <c r="A76" s="221" t="s">
        <v>572</v>
      </c>
    </row>
    <row r="77" spans="1:5" x14ac:dyDescent="0.3">
      <c r="A77" s="221" t="s">
        <v>573</v>
      </c>
      <c r="B77" s="347">
        <v>425</v>
      </c>
    </row>
    <row r="78" spans="1:5" x14ac:dyDescent="0.3">
      <c r="A78" s="221" t="s">
        <v>574</v>
      </c>
      <c r="B78" s="347">
        <v>430</v>
      </c>
    </row>
    <row r="84" spans="1:4" ht="18" x14ac:dyDescent="0.35">
      <c r="A84" s="336" t="s">
        <v>577</v>
      </c>
    </row>
    <row r="85" spans="1:4" x14ac:dyDescent="0.3">
      <c r="B85" s="316" t="s">
        <v>68</v>
      </c>
      <c r="C85" s="316" t="s">
        <v>0</v>
      </c>
      <c r="D85" s="316" t="s">
        <v>1</v>
      </c>
    </row>
    <row r="86" spans="1:4" x14ac:dyDescent="0.3">
      <c r="A86" s="221" t="s">
        <v>69</v>
      </c>
      <c r="B86" s="221">
        <v>14719</v>
      </c>
      <c r="C86" s="221">
        <v>14912</v>
      </c>
      <c r="D86" s="316"/>
    </row>
    <row r="87" spans="1:4" x14ac:dyDescent="0.3">
      <c r="A87" s="221" t="s">
        <v>578</v>
      </c>
      <c r="C87" s="337">
        <f>SUM(10328016+4831792)/1000</f>
        <v>15159.808000000001</v>
      </c>
      <c r="D87" s="337">
        <f>SUM(10801329+4884422)/1000</f>
        <v>15685.751</v>
      </c>
    </row>
    <row r="88" spans="1:4" x14ac:dyDescent="0.3">
      <c r="C88" s="325" t="e">
        <f>(C87-B87)/B87</f>
        <v>#DIV/0!</v>
      </c>
      <c r="D88" s="325">
        <f>(D87-C87)/C87</f>
        <v>3.4693249413185134E-2</v>
      </c>
    </row>
    <row r="89" spans="1:4" x14ac:dyDescent="0.3">
      <c r="A89" s="221" t="s">
        <v>579</v>
      </c>
      <c r="C89" s="351">
        <v>3.4000000000000002E-2</v>
      </c>
      <c r="D89" s="351">
        <v>2.3E-2</v>
      </c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34"/>
  <sheetViews>
    <sheetView workbookViewId="0">
      <pane xSplit="4" ySplit="3" topLeftCell="G64" activePane="bottomRight" state="frozen"/>
      <selection pane="topRight" activeCell="E1" sqref="E1"/>
      <selection pane="bottomLeft" activeCell="A4" sqref="A4"/>
      <selection pane="bottomRight" activeCell="H76" sqref="H76"/>
    </sheetView>
  </sheetViews>
  <sheetFormatPr defaultRowHeight="14.4" outlineLevelCol="1" x14ac:dyDescent="0.3"/>
  <cols>
    <col min="1" max="1" width="29.109375" customWidth="1"/>
    <col min="2" max="3" width="9.33203125" hidden="1" customWidth="1" outlineLevel="1"/>
    <col min="4" max="4" width="13.33203125" hidden="1" customWidth="1" outlineLevel="1"/>
    <col min="5" max="5" width="13.33203125" hidden="1" customWidth="1" outlineLevel="1" collapsed="1"/>
    <col min="6" max="6" width="13.33203125" bestFit="1" customWidth="1" collapsed="1"/>
    <col min="7" max="15" width="13.33203125" bestFit="1" customWidth="1"/>
    <col min="16" max="16" width="14.109375" customWidth="1"/>
    <col min="17" max="17" width="14.109375" style="221" customWidth="1"/>
  </cols>
  <sheetData>
    <row r="2" spans="1:17" s="152" customFormat="1" ht="15" x14ac:dyDescent="0.25">
      <c r="A2" s="212"/>
      <c r="B2" s="213" t="s">
        <v>69</v>
      </c>
      <c r="C2" s="213" t="s">
        <v>69</v>
      </c>
      <c r="D2" s="213" t="s">
        <v>69</v>
      </c>
      <c r="E2" s="213" t="s">
        <v>69</v>
      </c>
      <c r="F2" s="213" t="s">
        <v>69</v>
      </c>
      <c r="G2" s="213" t="s">
        <v>71</v>
      </c>
      <c r="H2" s="213" t="s">
        <v>71</v>
      </c>
      <c r="I2" s="213" t="s">
        <v>71</v>
      </c>
      <c r="J2" s="213" t="s">
        <v>71</v>
      </c>
      <c r="K2" s="213" t="s">
        <v>71</v>
      </c>
      <c r="L2" s="213" t="s">
        <v>71</v>
      </c>
      <c r="M2" s="213" t="s">
        <v>71</v>
      </c>
      <c r="N2" s="213" t="s">
        <v>71</v>
      </c>
      <c r="O2" s="213" t="s">
        <v>71</v>
      </c>
      <c r="P2" s="213" t="s">
        <v>71</v>
      </c>
      <c r="Q2" s="213" t="s">
        <v>71</v>
      </c>
    </row>
    <row r="3" spans="1:17" s="152" customFormat="1" ht="15" x14ac:dyDescent="0.25">
      <c r="A3" s="212" t="s">
        <v>73</v>
      </c>
      <c r="B3" s="213" t="s">
        <v>60</v>
      </c>
      <c r="C3" s="151" t="s">
        <v>68</v>
      </c>
      <c r="D3" s="151" t="s">
        <v>0</v>
      </c>
      <c r="E3" s="151" t="s">
        <v>1</v>
      </c>
      <c r="F3" s="151" t="s">
        <v>2</v>
      </c>
      <c r="G3" s="151" t="s">
        <v>3</v>
      </c>
      <c r="H3" s="151" t="s">
        <v>4</v>
      </c>
      <c r="I3" s="151" t="s">
        <v>5</v>
      </c>
      <c r="J3" s="151" t="s">
        <v>6</v>
      </c>
      <c r="K3" s="151" t="s">
        <v>7</v>
      </c>
      <c r="L3" s="151" t="s">
        <v>8</v>
      </c>
      <c r="M3" s="151" t="s">
        <v>9</v>
      </c>
      <c r="N3" s="151" t="s">
        <v>514</v>
      </c>
      <c r="O3" s="151" t="s">
        <v>515</v>
      </c>
      <c r="P3" s="151" t="s">
        <v>904</v>
      </c>
      <c r="Q3" s="151" t="s">
        <v>1046</v>
      </c>
    </row>
    <row r="4" spans="1:17" ht="26.25" x14ac:dyDescent="0.4">
      <c r="A4" s="901" t="s">
        <v>1275</v>
      </c>
      <c r="D4" s="338"/>
      <c r="P4" s="221"/>
    </row>
    <row r="5" spans="1:17" ht="15" x14ac:dyDescent="0.25">
      <c r="A5" s="339" t="s">
        <v>584</v>
      </c>
      <c r="P5" s="221"/>
    </row>
    <row r="6" spans="1:17" ht="15" x14ac:dyDescent="0.25">
      <c r="A6" t="s">
        <v>612</v>
      </c>
      <c r="B6" s="337"/>
      <c r="C6" s="337"/>
      <c r="D6" s="337"/>
      <c r="E6" s="337"/>
      <c r="F6" s="337">
        <f>F19+F34</f>
        <v>8250</v>
      </c>
      <c r="G6" s="337">
        <f t="shared" ref="G6:P6" si="0">G19+G34</f>
        <v>9622.0178893016346</v>
      </c>
      <c r="H6" s="337">
        <f t="shared" si="0"/>
        <v>8862.1095854383348</v>
      </c>
      <c r="I6" s="337">
        <f t="shared" si="0"/>
        <v>9237.9385390044572</v>
      </c>
      <c r="J6" s="337">
        <f t="shared" si="0"/>
        <v>9451.4341788168622</v>
      </c>
      <c r="K6" s="337">
        <f t="shared" si="0"/>
        <v>9671.4261610175963</v>
      </c>
      <c r="L6" s="337">
        <f t="shared" si="0"/>
        <v>9913.2118150430342</v>
      </c>
      <c r="M6" s="337">
        <f t="shared" si="0"/>
        <v>10161.04211041911</v>
      </c>
      <c r="N6" s="337">
        <f t="shared" si="0"/>
        <v>10415.068163179585</v>
      </c>
      <c r="O6" s="337">
        <f t="shared" si="0"/>
        <v>10675.444867259073</v>
      </c>
      <c r="P6" s="337">
        <f t="shared" si="0"/>
        <v>10942.33098894055</v>
      </c>
      <c r="Q6" s="337">
        <f t="shared" ref="Q6" si="1">Q19+Q34</f>
        <v>11215.889263664063</v>
      </c>
    </row>
    <row r="7" spans="1:17" ht="15" x14ac:dyDescent="0.25">
      <c r="A7" t="s">
        <v>613</v>
      </c>
      <c r="B7" s="337"/>
      <c r="C7" s="337"/>
      <c r="D7" s="337"/>
      <c r="E7" s="337"/>
      <c r="F7" s="337">
        <f>F20+F35</f>
        <v>1624</v>
      </c>
      <c r="G7" s="337">
        <f t="shared" ref="G7:P7" si="2">G20+G35</f>
        <v>1664.9671106983653</v>
      </c>
      <c r="H7" s="337">
        <f t="shared" si="2"/>
        <v>1549.4554145616646</v>
      </c>
      <c r="I7" s="337">
        <f t="shared" si="2"/>
        <v>1590.2996309955429</v>
      </c>
      <c r="J7" s="337">
        <f t="shared" si="2"/>
        <v>1628.3954748331357</v>
      </c>
      <c r="K7" s="337">
        <f t="shared" si="2"/>
        <v>1667.3650669616522</v>
      </c>
      <c r="L7" s="337">
        <f t="shared" si="2"/>
        <v>1709.0491936356934</v>
      </c>
      <c r="M7" s="337">
        <f t="shared" si="2"/>
        <v>1751.7754234765855</v>
      </c>
      <c r="N7" s="337">
        <f t="shared" si="2"/>
        <v>1795.5698090635001</v>
      </c>
      <c r="O7" s="337">
        <f t="shared" si="2"/>
        <v>1840.4590542900874</v>
      </c>
      <c r="P7" s="337">
        <f t="shared" si="2"/>
        <v>1886.4705306473395</v>
      </c>
      <c r="Q7" s="337">
        <f t="shared" ref="Q7" si="3">Q20+Q35</f>
        <v>1933.6322939135227</v>
      </c>
    </row>
    <row r="8" spans="1:17" ht="15.75" thickBot="1" x14ac:dyDescent="0.3">
      <c r="A8" s="202" t="s">
        <v>614</v>
      </c>
      <c r="B8" s="368">
        <f>SUM(B6:B7)</f>
        <v>0</v>
      </c>
      <c r="C8" s="368">
        <f t="shared" ref="C8:E8" si="4">SUM(C6:C7)</f>
        <v>0</v>
      </c>
      <c r="D8" s="368">
        <f t="shared" si="4"/>
        <v>0</v>
      </c>
      <c r="E8" s="368">
        <f t="shared" si="4"/>
        <v>0</v>
      </c>
      <c r="F8" s="368">
        <f t="shared" ref="F8:P8" si="5">SUM(F6:F7)</f>
        <v>9874</v>
      </c>
      <c r="G8" s="368">
        <f t="shared" si="5"/>
        <v>11286.985000000001</v>
      </c>
      <c r="H8" s="368">
        <f t="shared" si="5"/>
        <v>10411.564999999999</v>
      </c>
      <c r="I8" s="368">
        <f t="shared" si="5"/>
        <v>10828.238170000001</v>
      </c>
      <c r="J8" s="368">
        <f t="shared" si="5"/>
        <v>11079.829653649998</v>
      </c>
      <c r="K8" s="368">
        <f t="shared" si="5"/>
        <v>11338.791227979249</v>
      </c>
      <c r="L8" s="368">
        <f t="shared" si="5"/>
        <v>11622.261008678728</v>
      </c>
      <c r="M8" s="368">
        <f t="shared" si="5"/>
        <v>11912.817533895695</v>
      </c>
      <c r="N8" s="368">
        <f t="shared" si="5"/>
        <v>12210.637972243085</v>
      </c>
      <c r="O8" s="368">
        <f t="shared" si="5"/>
        <v>12515.903921549161</v>
      </c>
      <c r="P8" s="368">
        <f t="shared" si="5"/>
        <v>12828.801519587889</v>
      </c>
      <c r="Q8" s="368">
        <f t="shared" ref="Q8" si="6">SUM(Q6:Q7)</f>
        <v>13149.521557577586</v>
      </c>
    </row>
    <row r="9" spans="1:17" ht="15" x14ac:dyDescent="0.25"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337"/>
      <c r="P9" s="337"/>
      <c r="Q9" s="337"/>
    </row>
    <row r="10" spans="1:17" ht="15" x14ac:dyDescent="0.25"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337"/>
      <c r="P10" s="337"/>
      <c r="Q10" s="337"/>
    </row>
    <row r="11" spans="1:17" ht="15" x14ac:dyDescent="0.25">
      <c r="A11" t="s">
        <v>615</v>
      </c>
      <c r="B11" s="337"/>
      <c r="C11" s="337"/>
      <c r="D11" s="337">
        <f>D6*0.4472</f>
        <v>0</v>
      </c>
      <c r="E11" s="337"/>
      <c r="F11" s="337">
        <f>F24+F39</f>
        <v>0</v>
      </c>
      <c r="G11" s="337">
        <f t="shared" ref="G11:P11" si="7">G24+G39</f>
        <v>6862</v>
      </c>
      <c r="H11" s="337">
        <f t="shared" si="7"/>
        <v>6549.5910000000003</v>
      </c>
      <c r="I11" s="337">
        <f t="shared" si="7"/>
        <v>10802.8825</v>
      </c>
      <c r="J11" s="337">
        <f t="shared" si="7"/>
        <v>6510.3760000000002</v>
      </c>
      <c r="K11" s="337">
        <f t="shared" si="7"/>
        <v>6654.5879999999997</v>
      </c>
      <c r="L11" s="337">
        <f t="shared" si="7"/>
        <v>6869.9465</v>
      </c>
      <c r="M11" s="337">
        <f t="shared" si="7"/>
        <v>6963.8391624999995</v>
      </c>
      <c r="N11" s="337">
        <f t="shared" si="7"/>
        <v>7141.0371415625004</v>
      </c>
      <c r="O11" s="337">
        <f t="shared" si="7"/>
        <v>7354.5472301015634</v>
      </c>
      <c r="P11" s="337">
        <f t="shared" si="7"/>
        <v>7504.3763740541017</v>
      </c>
      <c r="Q11" s="337">
        <f t="shared" ref="Q11" si="8">Q24+Q39</f>
        <v>7699.5316758694544</v>
      </c>
    </row>
    <row r="12" spans="1:17" ht="15" x14ac:dyDescent="0.25">
      <c r="A12" t="s">
        <v>335</v>
      </c>
      <c r="B12" s="337"/>
      <c r="C12" s="337"/>
      <c r="D12" s="337"/>
      <c r="E12" s="337"/>
      <c r="F12" s="337">
        <f>F25+F40</f>
        <v>0</v>
      </c>
      <c r="G12" s="337">
        <f t="shared" ref="G12:P12" si="9">G25+G40</f>
        <v>0</v>
      </c>
      <c r="H12" s="337">
        <f t="shared" si="9"/>
        <v>1686.5450000000001</v>
      </c>
      <c r="I12" s="337">
        <f t="shared" si="9"/>
        <v>1796.6877999999999</v>
      </c>
      <c r="J12" s="337">
        <f t="shared" si="9"/>
        <v>1849.9013950000001</v>
      </c>
      <c r="K12" s="337">
        <f t="shared" si="9"/>
        <v>1851.8494048749997</v>
      </c>
      <c r="L12" s="337">
        <f t="shared" si="9"/>
        <v>1821.87</v>
      </c>
      <c r="M12" s="337">
        <f t="shared" si="9"/>
        <v>1877.645</v>
      </c>
      <c r="N12" s="337">
        <f t="shared" si="9"/>
        <v>1884.05125</v>
      </c>
      <c r="O12" s="337">
        <f t="shared" si="9"/>
        <v>1890.61765625</v>
      </c>
      <c r="P12" s="337">
        <f t="shared" si="9"/>
        <v>1897.3482226562501</v>
      </c>
      <c r="Q12" s="337">
        <f t="shared" ref="Q12" si="10">Q25+Q40</f>
        <v>1929.2470532226562</v>
      </c>
    </row>
    <row r="13" spans="1:17" ht="15.75" thickBot="1" x14ac:dyDescent="0.3">
      <c r="B13" s="369">
        <f t="shared" ref="B13:E13" si="11">SUM(B11:B12)</f>
        <v>0</v>
      </c>
      <c r="C13" s="369">
        <f t="shared" si="11"/>
        <v>0</v>
      </c>
      <c r="D13" s="369">
        <f t="shared" si="11"/>
        <v>0</v>
      </c>
      <c r="E13" s="369">
        <f t="shared" si="11"/>
        <v>0</v>
      </c>
      <c r="F13" s="369">
        <f>SUM(F11:F12)</f>
        <v>0</v>
      </c>
      <c r="G13" s="369">
        <f t="shared" ref="G13:O13" si="12">SUM(G11:G12)</f>
        <v>6862</v>
      </c>
      <c r="H13" s="369">
        <f t="shared" si="12"/>
        <v>8236.1360000000004</v>
      </c>
      <c r="I13" s="369">
        <f t="shared" si="12"/>
        <v>12599.570299999999</v>
      </c>
      <c r="J13" s="369">
        <f t="shared" si="12"/>
        <v>8360.277395000001</v>
      </c>
      <c r="K13" s="369">
        <f t="shared" si="12"/>
        <v>8506.4374048749996</v>
      </c>
      <c r="L13" s="369">
        <f t="shared" si="12"/>
        <v>8691.8165000000008</v>
      </c>
      <c r="M13" s="369">
        <f t="shared" si="12"/>
        <v>8841.484162499999</v>
      </c>
      <c r="N13" s="369">
        <f t="shared" si="12"/>
        <v>9025.0883915625</v>
      </c>
      <c r="O13" s="369">
        <f t="shared" si="12"/>
        <v>9245.1648863515638</v>
      </c>
      <c r="P13" s="369">
        <f t="shared" ref="P13:Q13" si="13">SUM(P11:P12)</f>
        <v>9401.7245967103518</v>
      </c>
      <c r="Q13" s="369">
        <f t="shared" si="13"/>
        <v>9628.7787290921115</v>
      </c>
    </row>
    <row r="14" spans="1:17" ht="15" x14ac:dyDescent="0.25">
      <c r="P14" s="221"/>
    </row>
    <row r="15" spans="1:17" ht="15" x14ac:dyDescent="0.25">
      <c r="A15" s="366" t="s">
        <v>616</v>
      </c>
      <c r="B15" s="366"/>
      <c r="C15" s="367" t="e">
        <f t="shared" ref="C15:E15" si="14">C11/C6</f>
        <v>#DIV/0!</v>
      </c>
      <c r="D15" s="367" t="e">
        <f t="shared" si="14"/>
        <v>#DIV/0!</v>
      </c>
      <c r="E15" s="367" t="e">
        <f t="shared" si="14"/>
        <v>#DIV/0!</v>
      </c>
      <c r="F15" s="367">
        <f>F11/F6</f>
        <v>0</v>
      </c>
      <c r="G15" s="367">
        <f t="shared" ref="G15:O15" si="15">G11/G6</f>
        <v>0.71315602183920312</v>
      </c>
      <c r="H15" s="367">
        <f t="shared" si="15"/>
        <v>0.73905551910144274</v>
      </c>
      <c r="I15" s="367">
        <f t="shared" si="15"/>
        <v>1.1694040238942953</v>
      </c>
      <c r="J15" s="367">
        <f t="shared" si="15"/>
        <v>0.68882413788496322</v>
      </c>
      <c r="K15" s="367">
        <f t="shared" si="15"/>
        <v>0.68806687754309703</v>
      </c>
      <c r="L15" s="367">
        <f t="shared" si="15"/>
        <v>0.6930091506342112</v>
      </c>
      <c r="M15" s="367">
        <f t="shared" si="15"/>
        <v>0.68534694442012933</v>
      </c>
      <c r="N15" s="367">
        <f t="shared" si="15"/>
        <v>0.68564478212521218</v>
      </c>
      <c r="O15" s="367">
        <f t="shared" si="15"/>
        <v>0.68892185024134245</v>
      </c>
      <c r="P15" s="367">
        <f t="shared" ref="P15:Q15" si="16">P11/P6</f>
        <v>0.68581149497660043</v>
      </c>
      <c r="Q15" s="367">
        <f t="shared" si="16"/>
        <v>0.68648428090436875</v>
      </c>
    </row>
    <row r="17" spans="1:17" ht="26.25" x14ac:dyDescent="0.4">
      <c r="A17" s="901" t="s">
        <v>1266</v>
      </c>
      <c r="H17" s="151" t="s">
        <v>4</v>
      </c>
      <c r="I17" s="151" t="s">
        <v>5</v>
      </c>
      <c r="J17" s="151" t="s">
        <v>6</v>
      </c>
      <c r="K17" s="151" t="s">
        <v>7</v>
      </c>
      <c r="L17" s="151" t="s">
        <v>8</v>
      </c>
      <c r="M17" s="151" t="s">
        <v>9</v>
      </c>
      <c r="N17" s="151" t="s">
        <v>514</v>
      </c>
      <c r="O17" s="151" t="s">
        <v>515</v>
      </c>
      <c r="P17" s="151" t="s">
        <v>904</v>
      </c>
      <c r="Q17" s="151" t="s">
        <v>1046</v>
      </c>
    </row>
    <row r="18" spans="1:17" s="221" customFormat="1" ht="15" x14ac:dyDescent="0.25">
      <c r="A18" s="339" t="s">
        <v>584</v>
      </c>
    </row>
    <row r="19" spans="1:17" s="221" customFormat="1" ht="15" x14ac:dyDescent="0.25">
      <c r="A19" s="221" t="s">
        <v>612</v>
      </c>
      <c r="B19" s="337"/>
      <c r="C19" s="337"/>
      <c r="D19" s="337"/>
      <c r="E19" s="337"/>
      <c r="F19" s="337">
        <f>'GF &amp; FF  Inc Exp Statement'!E27-F20</f>
        <v>5616</v>
      </c>
      <c r="G19" s="337">
        <f>'GF &amp; FF  Inc Exp Statement'!F27-G20</f>
        <v>6905.496000000001</v>
      </c>
      <c r="H19" s="337">
        <f>-'Revised Capital budget No SRV'!D35/1000+'Future Fund  Inc Exp Statement'!G27</f>
        <v>6136.0370000000003</v>
      </c>
      <c r="I19" s="337">
        <f>-'Revised Capital budget No SRV'!E35/1000+'Future Fund  Inc Exp Statement'!H27</f>
        <v>6288.4847499999996</v>
      </c>
      <c r="J19" s="337">
        <f>-'Revised Capital budget No SRV'!F35/1000+'Future Fund  Inc Exp Statement'!I27</f>
        <v>6442.9218437499985</v>
      </c>
      <c r="K19" s="337">
        <f>-'Revised Capital budget No SRV'!G35/1000+'Future Fund  Inc Exp Statement'!J27</f>
        <v>6604.8493898437482</v>
      </c>
      <c r="L19" s="337">
        <f>-'Revised Capital budget No SRV'!H35/1000+'Future Fund  Inc Exp Statement'!K27</f>
        <v>6769.9706245898415</v>
      </c>
      <c r="M19" s="337">
        <f>-'Revised Capital budget No SRV'!I35/1000+'Future Fund  Inc Exp Statement'!L27</f>
        <v>6939.2198902045866</v>
      </c>
      <c r="N19" s="337">
        <f>-'Revised Capital budget No SRV'!J35/1000+'Future Fund  Inc Exp Statement'!M27</f>
        <v>7112.7003874597003</v>
      </c>
      <c r="O19" s="337">
        <f>-'Revised Capital budget No SRV'!K35/1000+'Future Fund  Inc Exp Statement'!N27</f>
        <v>7290.5178971461919</v>
      </c>
      <c r="P19" s="337">
        <f>-'Revised Capital budget No SRV'!L35/1000+'Future Fund  Inc Exp Statement'!O27</f>
        <v>7472.7808445748469</v>
      </c>
      <c r="Q19" s="337">
        <f>-'Revised Capital budget No SRV'!M35/1000+'Future Fund  Inc Exp Statement'!P27</f>
        <v>7659.6003656892171</v>
      </c>
    </row>
    <row r="20" spans="1:17" s="221" customFormat="1" ht="15" x14ac:dyDescent="0.25">
      <c r="A20" s="221" t="s">
        <v>613</v>
      </c>
      <c r="B20" s="337"/>
      <c r="C20" s="337"/>
      <c r="D20" s="337"/>
      <c r="E20" s="337"/>
      <c r="F20" s="337">
        <f>1160+166+92+125+23</f>
        <v>1566</v>
      </c>
      <c r="G20" s="337">
        <f>F20*1.025</f>
        <v>1605.1499999999999</v>
      </c>
      <c r="H20" s="337">
        <f>-'Revised Capital budget No SRV'!D51/1000</f>
        <v>1489.4280000000001</v>
      </c>
      <c r="I20" s="337">
        <f>-'Revised Capital budget No SRV'!E51/1000</f>
        <v>1525.3534199999999</v>
      </c>
      <c r="J20" s="337">
        <f>-'Revised Capital budget No SRV'!F51/1000</f>
        <v>1562.1488098999998</v>
      </c>
      <c r="K20" s="337">
        <f>-'Revised Capital budget No SRV'!G51/1000</f>
        <v>1599.8398381355</v>
      </c>
      <c r="L20" s="337">
        <f>-'Revised Capital budget No SRV'!H51/1000</f>
        <v>1639.8358340888872</v>
      </c>
      <c r="M20" s="337">
        <f>-'Revised Capital budget No SRV'!I51/1000</f>
        <v>1680.831729941109</v>
      </c>
      <c r="N20" s="337">
        <f>-'Revised Capital budget No SRV'!J51/1000</f>
        <v>1722.8525231896365</v>
      </c>
      <c r="O20" s="337">
        <f>-'Revised Capital budget No SRV'!K51/1000</f>
        <v>1765.9238362693773</v>
      </c>
      <c r="P20" s="337">
        <f>-'Revised Capital budget No SRV'!L51/1000</f>
        <v>1810.0719321761114</v>
      </c>
      <c r="Q20" s="337">
        <f>-'Revised Capital budget No SRV'!M51/1000</f>
        <v>1855.3237304805141</v>
      </c>
    </row>
    <row r="21" spans="1:17" s="221" customFormat="1" ht="15.75" thickBot="1" x14ac:dyDescent="0.3">
      <c r="A21" s="202" t="s">
        <v>614</v>
      </c>
      <c r="B21" s="368">
        <f>SUM(B19:B20)</f>
        <v>0</v>
      </c>
      <c r="C21" s="368">
        <f t="shared" ref="C21:P21" si="17">SUM(C19:C20)</f>
        <v>0</v>
      </c>
      <c r="D21" s="368">
        <f t="shared" si="17"/>
        <v>0</v>
      </c>
      <c r="E21" s="368">
        <f t="shared" si="17"/>
        <v>0</v>
      </c>
      <c r="F21" s="368">
        <f t="shared" si="17"/>
        <v>7182</v>
      </c>
      <c r="G21" s="368">
        <f t="shared" si="17"/>
        <v>8510.6460000000006</v>
      </c>
      <c r="H21" s="368">
        <f t="shared" si="17"/>
        <v>7625.4650000000001</v>
      </c>
      <c r="I21" s="368">
        <f t="shared" si="17"/>
        <v>7813.8381699999991</v>
      </c>
      <c r="J21" s="368">
        <f t="shared" si="17"/>
        <v>8005.0706536499983</v>
      </c>
      <c r="K21" s="368">
        <f t="shared" si="17"/>
        <v>8204.6892279792482</v>
      </c>
      <c r="L21" s="368">
        <f t="shared" si="17"/>
        <v>8409.8064586787295</v>
      </c>
      <c r="M21" s="368">
        <f t="shared" si="17"/>
        <v>8620.0516201456958</v>
      </c>
      <c r="N21" s="368">
        <f t="shared" si="17"/>
        <v>8835.5529106493377</v>
      </c>
      <c r="O21" s="368">
        <f t="shared" si="17"/>
        <v>9056.4417334155696</v>
      </c>
      <c r="P21" s="368">
        <f t="shared" si="17"/>
        <v>9282.8527767509586</v>
      </c>
      <c r="Q21" s="368">
        <f t="shared" ref="Q21" si="18">SUM(Q19:Q20)</f>
        <v>9514.9240961697305</v>
      </c>
    </row>
    <row r="22" spans="1:17" s="221" customFormat="1" ht="15" x14ac:dyDescent="0.25">
      <c r="A22" s="1378" t="s">
        <v>1599</v>
      </c>
      <c r="B22" s="1525"/>
      <c r="C22" s="1525"/>
      <c r="D22" s="1525"/>
      <c r="E22" s="1525"/>
      <c r="F22" s="1525"/>
      <c r="G22" s="1525"/>
      <c r="H22" s="1525">
        <f>'GF &amp; FF  Inc Exp Statement'!G27-H21</f>
        <v>0</v>
      </c>
      <c r="I22" s="1525">
        <f>'GF &amp; FF  Inc Exp Statement'!H27-I21</f>
        <v>-5.7169999999132415E-2</v>
      </c>
      <c r="J22" s="1525">
        <f>'GF &amp; FF  Inc Exp Statement'!I27-J21</f>
        <v>-0.12665364999884332</v>
      </c>
      <c r="K22" s="1525">
        <f>'GF &amp; FF  Inc Exp Statement'!J27-K21</f>
        <v>-0.18522797924742918</v>
      </c>
      <c r="L22" s="1525">
        <f>'GF &amp; FF  Inc Exp Statement'!K27-L21</f>
        <v>-0.18985867873016105</v>
      </c>
      <c r="M22" s="1525">
        <f>'GF &amp; FF  Inc Exp Statement'!L27-M21</f>
        <v>-0.19460514569618681</v>
      </c>
      <c r="N22" s="1525">
        <f>'GF &amp; FF  Inc Exp Statement'!M27-N21</f>
        <v>-0.19947027433954645</v>
      </c>
      <c r="O22" s="1525">
        <f>'GF &amp; FF  Inc Exp Statement'!N27-O21</f>
        <v>-0.20445703119548853</v>
      </c>
      <c r="P22" s="1525">
        <f>'GF &amp; FF  Inc Exp Statement'!O27-P21</f>
        <v>-0.20956845697764948</v>
      </c>
      <c r="Q22" s="1525">
        <f>'GF &amp; FF  Inc Exp Statement'!P27-Q21</f>
        <v>-0.21480766839886201</v>
      </c>
    </row>
    <row r="23" spans="1:17" s="221" customFormat="1" ht="15" x14ac:dyDescent="0.25">
      <c r="A23" s="202" t="s">
        <v>1520</v>
      </c>
      <c r="B23" s="337"/>
      <c r="C23" s="33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</row>
    <row r="24" spans="1:17" s="221" customFormat="1" ht="15" x14ac:dyDescent="0.25">
      <c r="A24" s="221" t="s">
        <v>615</v>
      </c>
      <c r="B24" s="337"/>
      <c r="C24" s="337"/>
      <c r="D24" s="337"/>
      <c r="E24" s="337"/>
      <c r="G24" s="337">
        <v>6862</v>
      </c>
      <c r="H24" s="337">
        <f>'Revised Capital budget No SRV'!D179/1000</f>
        <v>6549.5910000000003</v>
      </c>
      <c r="I24" s="337">
        <f>'Revised Capital budget No SRV'!E179/1000</f>
        <v>10802.8825</v>
      </c>
      <c r="J24" s="337">
        <f>'Revised Capital budget No SRV'!F179/1000</f>
        <v>6510.3760000000002</v>
      </c>
      <c r="K24" s="337">
        <f>'Revised Capital budget No SRV'!G179/1000</f>
        <v>6654.5879999999997</v>
      </c>
      <c r="L24" s="337">
        <f>'Revised Capital budget No SRV'!H179/1000</f>
        <v>6869.9465</v>
      </c>
      <c r="M24" s="337">
        <f>'Revised Capital budget No SRV'!I179/1000</f>
        <v>6963.8391624999995</v>
      </c>
      <c r="N24" s="337">
        <f>'Revised Capital budget No SRV'!J179/1000</f>
        <v>7141.0371415625004</v>
      </c>
      <c r="O24" s="337">
        <f>'Revised Capital budget No SRV'!K179/1000</f>
        <v>7354.5472301015634</v>
      </c>
      <c r="P24" s="337">
        <f>'Revised Capital budget No SRV'!L179/1000</f>
        <v>7504.3763740541017</v>
      </c>
      <c r="Q24" s="337">
        <f>'Revised Capital budget No SRV'!M179/1000</f>
        <v>7699.5316758694544</v>
      </c>
    </row>
    <row r="25" spans="1:17" s="221" customFormat="1" ht="15" x14ac:dyDescent="0.25">
      <c r="A25" s="221" t="s">
        <v>335</v>
      </c>
      <c r="B25" s="337"/>
      <c r="C25" s="337"/>
      <c r="D25" s="337"/>
      <c r="E25" s="337"/>
      <c r="G25" s="337"/>
      <c r="H25" s="337">
        <f>'Revised Capital budget No SRV'!D180/1000</f>
        <v>1686.5450000000001</v>
      </c>
      <c r="I25" s="337">
        <f>'Revised Capital budget No SRV'!E180/1000</f>
        <v>1796.6877999999999</v>
      </c>
      <c r="J25" s="337">
        <f>'Revised Capital budget No SRV'!F180/1000</f>
        <v>1849.9013950000001</v>
      </c>
      <c r="K25" s="337">
        <f>'Revised Capital budget No SRV'!G180/1000</f>
        <v>1851.8494048749997</v>
      </c>
      <c r="L25" s="337">
        <f>'Revised Capital budget No SRV'!H180/1000</f>
        <v>1821.87</v>
      </c>
      <c r="M25" s="337">
        <f>'Revised Capital budget No SRV'!I180/1000</f>
        <v>1877.645</v>
      </c>
      <c r="N25" s="337">
        <f>'Revised Capital budget No SRV'!J180/1000</f>
        <v>1884.05125</v>
      </c>
      <c r="O25" s="337">
        <f>'Revised Capital budget No SRV'!K180/1000</f>
        <v>1890.61765625</v>
      </c>
      <c r="P25" s="337">
        <f>'Revised Capital budget No SRV'!L180/1000</f>
        <v>1897.3482226562501</v>
      </c>
      <c r="Q25" s="337">
        <f>'Revised Capital budget No SRV'!M180/1000</f>
        <v>1929.2470532226562</v>
      </c>
    </row>
    <row r="26" spans="1:17" s="221" customFormat="1" ht="15.75" thickBot="1" x14ac:dyDescent="0.3">
      <c r="B26" s="369">
        <f t="shared" ref="B26:H26" si="19">SUM(B24:B25)</f>
        <v>0</v>
      </c>
      <c r="C26" s="369">
        <f t="shared" si="19"/>
        <v>0</v>
      </c>
      <c r="D26" s="369">
        <f t="shared" si="19"/>
        <v>0</v>
      </c>
      <c r="E26" s="369">
        <f t="shared" si="19"/>
        <v>0</v>
      </c>
      <c r="F26" s="369">
        <f t="shared" si="19"/>
        <v>0</v>
      </c>
      <c r="G26" s="369">
        <f t="shared" si="19"/>
        <v>6862</v>
      </c>
      <c r="H26" s="369">
        <f t="shared" si="19"/>
        <v>8236.1360000000004</v>
      </c>
      <c r="I26" s="369">
        <f t="shared" ref="I26:P26" si="20">SUM(I24:I25)</f>
        <v>12599.570299999999</v>
      </c>
      <c r="J26" s="369">
        <f t="shared" si="20"/>
        <v>8360.277395000001</v>
      </c>
      <c r="K26" s="369">
        <f t="shared" si="20"/>
        <v>8506.4374048749996</v>
      </c>
      <c r="L26" s="369">
        <f t="shared" si="20"/>
        <v>8691.8165000000008</v>
      </c>
      <c r="M26" s="369">
        <f t="shared" si="20"/>
        <v>8841.484162499999</v>
      </c>
      <c r="N26" s="369">
        <f t="shared" si="20"/>
        <v>9025.0883915625</v>
      </c>
      <c r="O26" s="369">
        <f t="shared" si="20"/>
        <v>9245.1648863515638</v>
      </c>
      <c r="P26" s="369">
        <f t="shared" si="20"/>
        <v>9401.7245967103518</v>
      </c>
      <c r="Q26" s="369">
        <f t="shared" ref="Q26" si="21">SUM(Q24:Q25)</f>
        <v>9628.7787290921115</v>
      </c>
    </row>
    <row r="27" spans="1:17" s="221" customFormat="1" ht="15" x14ac:dyDescent="0.25"/>
    <row r="28" spans="1:17" s="221" customFormat="1" ht="15" x14ac:dyDescent="0.25">
      <c r="A28" s="366" t="s">
        <v>616</v>
      </c>
      <c r="B28" s="366"/>
      <c r="C28" s="367" t="e">
        <f t="shared" ref="C28:E28" si="22">C24/C19</f>
        <v>#DIV/0!</v>
      </c>
      <c r="D28" s="367" t="e">
        <f t="shared" si="22"/>
        <v>#DIV/0!</v>
      </c>
      <c r="E28" s="367" t="e">
        <f t="shared" si="22"/>
        <v>#DIV/0!</v>
      </c>
      <c r="F28" s="367">
        <f>H24/F19</f>
        <v>1.1662377136752138</v>
      </c>
      <c r="G28" s="367">
        <f t="shared" ref="G28:P28" si="23">G24/G19</f>
        <v>0.99370124897617762</v>
      </c>
      <c r="H28" s="367">
        <f t="shared" si="23"/>
        <v>1.0673975727330196</v>
      </c>
      <c r="I28" s="367">
        <f t="shared" si="23"/>
        <v>1.7178832309325391</v>
      </c>
      <c r="J28" s="367">
        <f t="shared" si="23"/>
        <v>1.0104694978281377</v>
      </c>
      <c r="K28" s="367">
        <f t="shared" si="23"/>
        <v>1.0075306198855547</v>
      </c>
      <c r="L28" s="367">
        <f t="shared" si="23"/>
        <v>1.0147675493667618</v>
      </c>
      <c r="M28" s="367">
        <f t="shared" si="23"/>
        <v>1.0035478443809174</v>
      </c>
      <c r="N28" s="367">
        <f t="shared" si="23"/>
        <v>1.0039839656613063</v>
      </c>
      <c r="O28" s="367">
        <f t="shared" si="23"/>
        <v>1.0087825493138745</v>
      </c>
      <c r="P28" s="367">
        <f t="shared" si="23"/>
        <v>1.0042280819063754</v>
      </c>
      <c r="Q28" s="367">
        <f t="shared" ref="Q28:Q29" si="24">Q24/Q19</f>
        <v>1.005213236758292</v>
      </c>
    </row>
    <row r="29" spans="1:17" ht="15" x14ac:dyDescent="0.25">
      <c r="A29" t="s">
        <v>1518</v>
      </c>
      <c r="H29" s="200">
        <f>H25/H20</f>
        <v>1.13234409451145</v>
      </c>
      <c r="I29" s="200">
        <f t="shared" ref="I29:P29" si="25">I25/I20</f>
        <v>1.1778829590849837</v>
      </c>
      <c r="J29" s="200">
        <f t="shared" si="25"/>
        <v>1.1842030562494368</v>
      </c>
      <c r="K29" s="200">
        <f t="shared" si="25"/>
        <v>1.1575217473226562</v>
      </c>
      <c r="L29" s="200">
        <f t="shared" si="25"/>
        <v>1.1110075546143028</v>
      </c>
      <c r="M29" s="200">
        <f t="shared" si="25"/>
        <v>1.1170927860017177</v>
      </c>
      <c r="N29" s="200">
        <f t="shared" si="25"/>
        <v>1.0935650176905014</v>
      </c>
      <c r="O29" s="200">
        <f t="shared" si="25"/>
        <v>1.0706110973868761</v>
      </c>
      <c r="P29" s="200">
        <f t="shared" si="25"/>
        <v>1.0482170287979733</v>
      </c>
      <c r="Q29" s="200">
        <f t="shared" si="24"/>
        <v>1.0398438943714672</v>
      </c>
    </row>
    <row r="30" spans="1:17" ht="15" x14ac:dyDescent="0.25">
      <c r="A30" s="373" t="s">
        <v>1519</v>
      </c>
      <c r="B30" s="373"/>
      <c r="C30" s="373"/>
      <c r="D30" s="373"/>
      <c r="E30" s="373"/>
      <c r="F30" s="373"/>
      <c r="G30" s="373"/>
      <c r="H30" s="1425">
        <f>H25-H20</f>
        <v>197.11699999999996</v>
      </c>
      <c r="I30" s="1425">
        <f t="shared" ref="I30:Q30" si="26">I25-I20</f>
        <v>271.33438000000001</v>
      </c>
      <c r="J30" s="1425">
        <f t="shared" si="26"/>
        <v>287.75258510000026</v>
      </c>
      <c r="K30" s="1425">
        <f t="shared" si="26"/>
        <v>252.00956673949963</v>
      </c>
      <c r="L30" s="1425">
        <f t="shared" si="26"/>
        <v>182.03416591111272</v>
      </c>
      <c r="M30" s="1425">
        <f t="shared" si="26"/>
        <v>196.81327005889102</v>
      </c>
      <c r="N30" s="1425">
        <f t="shared" si="26"/>
        <v>161.1987268103635</v>
      </c>
      <c r="O30" s="1425">
        <f t="shared" si="26"/>
        <v>124.69381998062272</v>
      </c>
      <c r="P30" s="1425">
        <f t="shared" si="26"/>
        <v>87.276290480138641</v>
      </c>
      <c r="Q30" s="1425">
        <f t="shared" si="26"/>
        <v>73.923322742142091</v>
      </c>
    </row>
    <row r="31" spans="1:17" s="221" customFormat="1" ht="15" x14ac:dyDescent="0.25">
      <c r="A31" s="373"/>
      <c r="B31" s="373"/>
      <c r="C31" s="373"/>
      <c r="D31" s="373"/>
      <c r="E31" s="373"/>
      <c r="F31" s="373"/>
      <c r="G31" s="373"/>
      <c r="H31" s="1425"/>
      <c r="I31" s="1425"/>
      <c r="J31" s="1425"/>
      <c r="K31" s="1425"/>
      <c r="L31" s="1425"/>
      <c r="M31" s="1425"/>
      <c r="N31" s="1425"/>
      <c r="O31" s="1425"/>
      <c r="P31" s="1425"/>
      <c r="Q31" s="1425"/>
    </row>
    <row r="32" spans="1:17" ht="23.25" x14ac:dyDescent="0.35">
      <c r="A32" s="902" t="s">
        <v>1267</v>
      </c>
    </row>
    <row r="33" spans="1:17" s="221" customFormat="1" ht="15" x14ac:dyDescent="0.25">
      <c r="A33" s="339" t="s">
        <v>584</v>
      </c>
      <c r="G33" s="778">
        <f>(G34-F34)/F34</f>
        <v>3.1329494799405645E-2</v>
      </c>
      <c r="H33" s="778">
        <f>(H34-G34)/G34</f>
        <v>3.5157810339441938E-3</v>
      </c>
      <c r="I33" s="778">
        <f t="shared" ref="I33:K33" si="27">(I34-H34)/H34</f>
        <v>8.1942500269193461E-2</v>
      </c>
      <c r="J33" s="778">
        <f t="shared" si="27"/>
        <v>2.0023553609341785E-2</v>
      </c>
      <c r="K33" s="778">
        <f t="shared" si="27"/>
        <v>1.9300049207108549E-2</v>
      </c>
    </row>
    <row r="34" spans="1:17" s="221" customFormat="1" ht="15" x14ac:dyDescent="0.25">
      <c r="A34" s="221" t="s">
        <v>612</v>
      </c>
      <c r="B34" s="337"/>
      <c r="C34" s="337"/>
      <c r="D34" s="337"/>
      <c r="E34" s="337"/>
      <c r="F34" s="337">
        <f>1438+1196</f>
        <v>2634</v>
      </c>
      <c r="G34" s="337">
        <f>F34/F36*('Water  Fund  Inc Exp Statement '!F27+'Sewer  Fund  Inc Exp Statem'!F27)</f>
        <v>2716.5218893016345</v>
      </c>
      <c r="H34" s="337">
        <f>G34/G36*('Water  Fund  Inc Exp Statement '!G27+'Sewer  Fund  Inc Exp Statem'!G27)</f>
        <v>2726.0725854383354</v>
      </c>
      <c r="I34" s="337">
        <f>H34/H36*('Water  Fund  Inc Exp Statement '!H27+'Sewer  Fund  Inc Exp Statem'!H27)</f>
        <v>2949.4537890044571</v>
      </c>
      <c r="J34" s="337">
        <f>I34/I36*('Water  Fund  Inc Exp Statement '!I27+'Sewer  Fund  Inc Exp Statem'!I27)</f>
        <v>3008.5123350668641</v>
      </c>
      <c r="K34" s="337">
        <f>J34/J36*('Water  Fund  Inc Exp Statement '!J27+'Sewer  Fund  Inc Exp Statem'!J27)</f>
        <v>3066.5767711738476</v>
      </c>
      <c r="L34" s="337">
        <f>K34/K36*('Water  Fund  Inc Exp Statement '!K27+'Sewer  Fund  Inc Exp Statem'!K27)</f>
        <v>3143.2411904531932</v>
      </c>
      <c r="M34" s="337">
        <f>L34/L36*('Water  Fund  Inc Exp Statement '!L27+'Sewer  Fund  Inc Exp Statem'!L27)</f>
        <v>3221.822220214523</v>
      </c>
      <c r="N34" s="337">
        <f>M34/M36*('Water  Fund  Inc Exp Statement '!M27+'Sewer  Fund  Inc Exp Statem'!M27)</f>
        <v>3302.3677757198857</v>
      </c>
      <c r="O34" s="337">
        <f>N34/N36*('Water  Fund  Inc Exp Statement '!N27+'Sewer  Fund  Inc Exp Statem'!N27)</f>
        <v>3384.9269701128824</v>
      </c>
      <c r="P34" s="337">
        <f>O34/O36*('Water  Fund  Inc Exp Statement '!O27+'Sewer  Fund  Inc Exp Statem'!O27)</f>
        <v>3469.550144365704</v>
      </c>
      <c r="Q34" s="337">
        <f>P34/P36*('Water  Fund  Inc Exp Statement '!P27+'Sewer  Fund  Inc Exp Statem'!P27)</f>
        <v>3556.2888979748463</v>
      </c>
    </row>
    <row r="35" spans="1:17" s="221" customFormat="1" ht="15" x14ac:dyDescent="0.25">
      <c r="A35" s="221" t="s">
        <v>613</v>
      </c>
      <c r="B35" s="337"/>
      <c r="C35" s="337"/>
      <c r="D35" s="337">
        <f>'GF &amp; FF  Inc Exp Statement'!D61-D34</f>
        <v>0</v>
      </c>
      <c r="E35" s="337">
        <f>'GF &amp; FF  Inc Exp Statement'!E61-E34</f>
        <v>0</v>
      </c>
      <c r="F35" s="337">
        <f>'Water  Fund  Inc Exp Statement '!E27+'Sewer  Fund  Inc Exp Statem'!E27-F34</f>
        <v>58</v>
      </c>
      <c r="G35" s="337">
        <f>'Water  Fund  Inc Exp Statement '!F27+'Sewer  Fund  Inc Exp Statem'!F27-G34</f>
        <v>59.817110698365468</v>
      </c>
      <c r="H35" s="337">
        <f>'Water  Fund  Inc Exp Statement '!G27+'Sewer  Fund  Inc Exp Statem'!G27-H34</f>
        <v>60.0274145616645</v>
      </c>
      <c r="I35" s="337">
        <f>'Water  Fund  Inc Exp Statement '!H27+'Sewer  Fund  Inc Exp Statem'!H27-I34</f>
        <v>64.94621099554297</v>
      </c>
      <c r="J35" s="337">
        <f>'Water  Fund  Inc Exp Statement '!I27+'Sewer  Fund  Inc Exp Statem'!I27-J34</f>
        <v>66.246664933135889</v>
      </c>
      <c r="K35" s="337">
        <f>'Water  Fund  Inc Exp Statement '!J27+'Sewer  Fund  Inc Exp Statem'!J27-K34</f>
        <v>67.525228826152215</v>
      </c>
      <c r="L35" s="337">
        <f>'Water  Fund  Inc Exp Statement '!K27+'Sewer  Fund  Inc Exp Statem'!K27-L34</f>
        <v>69.213359546806259</v>
      </c>
      <c r="M35" s="337">
        <f>'Water  Fund  Inc Exp Statement '!L27+'Sewer  Fund  Inc Exp Statem'!L27-M34</f>
        <v>70.943693535476541</v>
      </c>
      <c r="N35" s="337">
        <f>'Water  Fund  Inc Exp Statement '!M27+'Sewer  Fund  Inc Exp Statem'!M27-N34</f>
        <v>72.717285873863602</v>
      </c>
      <c r="O35" s="337">
        <f>'Water  Fund  Inc Exp Statement '!N27+'Sewer  Fund  Inc Exp Statem'!N27-O34</f>
        <v>74.53521802071009</v>
      </c>
      <c r="P35" s="337">
        <f>'Water  Fund  Inc Exp Statement '!O27+'Sewer  Fund  Inc Exp Statem'!O27-P34</f>
        <v>76.39859847122807</v>
      </c>
      <c r="Q35" s="337">
        <f>'Water  Fund  Inc Exp Statement '!P27+'Sewer  Fund  Inc Exp Statem'!P27-Q34</f>
        <v>78.308563433008658</v>
      </c>
    </row>
    <row r="36" spans="1:17" s="221" customFormat="1" ht="15.75" thickBot="1" x14ac:dyDescent="0.3">
      <c r="A36" s="202" t="s">
        <v>614</v>
      </c>
      <c r="B36" s="368">
        <f>SUM(B34:B35)</f>
        <v>0</v>
      </c>
      <c r="C36" s="368">
        <f t="shared" ref="C36:P36" si="28">SUM(C34:C35)</f>
        <v>0</v>
      </c>
      <c r="D36" s="368">
        <f t="shared" si="28"/>
        <v>0</v>
      </c>
      <c r="E36" s="368">
        <f t="shared" si="28"/>
        <v>0</v>
      </c>
      <c r="F36" s="368">
        <f t="shared" si="28"/>
        <v>2692</v>
      </c>
      <c r="G36" s="368">
        <f t="shared" si="28"/>
        <v>2776.3389999999999</v>
      </c>
      <c r="H36" s="368">
        <f t="shared" si="28"/>
        <v>2786.1</v>
      </c>
      <c r="I36" s="368">
        <f t="shared" si="28"/>
        <v>3014.4</v>
      </c>
      <c r="J36" s="368">
        <f t="shared" si="28"/>
        <v>3074.759</v>
      </c>
      <c r="K36" s="368">
        <f t="shared" si="28"/>
        <v>3134.1019999999999</v>
      </c>
      <c r="L36" s="368">
        <f t="shared" si="28"/>
        <v>3212.4545499999995</v>
      </c>
      <c r="M36" s="368">
        <f t="shared" si="28"/>
        <v>3292.7659137499995</v>
      </c>
      <c r="N36" s="368">
        <f t="shared" si="28"/>
        <v>3375.0850615937493</v>
      </c>
      <c r="O36" s="368">
        <f t="shared" si="28"/>
        <v>3459.4621881335925</v>
      </c>
      <c r="P36" s="368">
        <f t="shared" si="28"/>
        <v>3545.9487428369321</v>
      </c>
      <c r="Q36" s="368">
        <f t="shared" ref="Q36" si="29">SUM(Q34:Q35)</f>
        <v>3634.597461407855</v>
      </c>
    </row>
    <row r="37" spans="1:17" s="221" customFormat="1" ht="15" x14ac:dyDescent="0.25">
      <c r="B37" s="337"/>
      <c r="C37" s="337"/>
      <c r="D37" s="337"/>
      <c r="E37" s="337"/>
      <c r="F37" s="337"/>
      <c r="G37" s="337"/>
      <c r="H37" s="337"/>
      <c r="I37" s="337"/>
      <c r="J37" s="337"/>
      <c r="K37" s="337"/>
      <c r="L37" s="337"/>
      <c r="M37" s="337"/>
      <c r="N37" s="337"/>
      <c r="O37" s="337"/>
      <c r="P37" s="337"/>
      <c r="Q37" s="337"/>
    </row>
    <row r="38" spans="1:17" s="221" customFormat="1" ht="15" x14ac:dyDescent="0.25">
      <c r="B38" s="337"/>
      <c r="C38" s="337"/>
      <c r="D38" s="337"/>
      <c r="E38" s="337"/>
      <c r="F38" s="337"/>
      <c r="G38" s="337"/>
      <c r="H38" s="337"/>
      <c r="I38" s="337"/>
      <c r="J38" s="337"/>
      <c r="K38" s="337"/>
      <c r="L38" s="337"/>
      <c r="M38" s="337"/>
      <c r="N38" s="337"/>
      <c r="O38" s="337"/>
      <c r="P38" s="337"/>
      <c r="Q38" s="337"/>
    </row>
    <row r="39" spans="1:17" s="221" customFormat="1" ht="15" x14ac:dyDescent="0.25">
      <c r="A39" s="221" t="s">
        <v>615</v>
      </c>
      <c r="B39" s="337"/>
      <c r="C39" s="337"/>
      <c r="D39" s="337">
        <f>D34*0.4472</f>
        <v>0</v>
      </c>
      <c r="E39" s="337"/>
      <c r="F39" s="337"/>
      <c r="G39" s="337"/>
      <c r="H39" s="337"/>
      <c r="I39" s="337"/>
      <c r="J39" s="337"/>
      <c r="K39" s="337"/>
      <c r="L39" s="337"/>
      <c r="M39" s="337"/>
      <c r="N39" s="337"/>
      <c r="O39" s="337"/>
      <c r="P39" s="337"/>
      <c r="Q39" s="337"/>
    </row>
    <row r="40" spans="1:17" s="221" customFormat="1" ht="15" x14ac:dyDescent="0.25">
      <c r="A40" s="221" t="s">
        <v>335</v>
      </c>
      <c r="B40" s="337"/>
      <c r="C40" s="337"/>
      <c r="D40" s="337"/>
      <c r="E40" s="337"/>
      <c r="F40" s="337"/>
      <c r="G40" s="337"/>
      <c r="H40" s="337"/>
      <c r="I40" s="337"/>
      <c r="J40" s="337"/>
      <c r="K40" s="337"/>
      <c r="L40" s="337"/>
      <c r="M40" s="337"/>
      <c r="N40" s="337"/>
      <c r="O40" s="337"/>
      <c r="P40" s="337"/>
      <c r="Q40" s="337"/>
    </row>
    <row r="41" spans="1:17" s="221" customFormat="1" ht="15.75" thickBot="1" x14ac:dyDescent="0.3">
      <c r="B41" s="369">
        <f t="shared" ref="B41:E41" si="30">SUM(B39:B40)</f>
        <v>0</v>
      </c>
      <c r="C41" s="369">
        <f t="shared" si="30"/>
        <v>0</v>
      </c>
      <c r="D41" s="369">
        <f t="shared" si="30"/>
        <v>0</v>
      </c>
      <c r="E41" s="369">
        <f t="shared" si="30"/>
        <v>0</v>
      </c>
      <c r="F41" s="369">
        <f>SUM(F39:F40)</f>
        <v>0</v>
      </c>
      <c r="G41" s="369">
        <f t="shared" ref="G41:P41" si="31">SUM(G39:G40)</f>
        <v>0</v>
      </c>
      <c r="H41" s="369">
        <f t="shared" si="31"/>
        <v>0</v>
      </c>
      <c r="I41" s="369">
        <f t="shared" si="31"/>
        <v>0</v>
      </c>
      <c r="J41" s="369">
        <f t="shared" si="31"/>
        <v>0</v>
      </c>
      <c r="K41" s="369">
        <f t="shared" si="31"/>
        <v>0</v>
      </c>
      <c r="L41" s="369">
        <f t="shared" si="31"/>
        <v>0</v>
      </c>
      <c r="M41" s="369">
        <f t="shared" si="31"/>
        <v>0</v>
      </c>
      <c r="N41" s="369">
        <f t="shared" si="31"/>
        <v>0</v>
      </c>
      <c r="O41" s="369">
        <f t="shared" si="31"/>
        <v>0</v>
      </c>
      <c r="P41" s="369">
        <f t="shared" si="31"/>
        <v>0</v>
      </c>
      <c r="Q41" s="369">
        <f t="shared" ref="Q41" si="32">SUM(Q39:Q40)</f>
        <v>0</v>
      </c>
    </row>
    <row r="42" spans="1:17" s="221" customFormat="1" ht="15" x14ac:dyDescent="0.25"/>
    <row r="43" spans="1:17" s="221" customFormat="1" ht="15" x14ac:dyDescent="0.25">
      <c r="A43" s="366" t="s">
        <v>616</v>
      </c>
      <c r="B43" s="366"/>
      <c r="C43" s="367" t="e">
        <f t="shared" ref="C43:E43" si="33">C39/C34</f>
        <v>#DIV/0!</v>
      </c>
      <c r="D43" s="367" t="e">
        <f t="shared" si="33"/>
        <v>#DIV/0!</v>
      </c>
      <c r="E43" s="367" t="e">
        <f t="shared" si="33"/>
        <v>#DIV/0!</v>
      </c>
      <c r="F43" s="367">
        <f>F39/F34</f>
        <v>0</v>
      </c>
      <c r="G43" s="367">
        <f t="shared" ref="G43:P43" si="34">G39/G34</f>
        <v>0</v>
      </c>
      <c r="H43" s="367">
        <f t="shared" si="34"/>
        <v>0</v>
      </c>
      <c r="I43" s="367">
        <f t="shared" si="34"/>
        <v>0</v>
      </c>
      <c r="J43" s="367">
        <f t="shared" si="34"/>
        <v>0</v>
      </c>
      <c r="K43" s="367">
        <f t="shared" si="34"/>
        <v>0</v>
      </c>
      <c r="L43" s="367">
        <f t="shared" si="34"/>
        <v>0</v>
      </c>
      <c r="M43" s="367">
        <f t="shared" si="34"/>
        <v>0</v>
      </c>
      <c r="N43" s="367">
        <f t="shared" si="34"/>
        <v>0</v>
      </c>
      <c r="O43" s="367">
        <f t="shared" si="34"/>
        <v>0</v>
      </c>
      <c r="P43" s="367">
        <f t="shared" si="34"/>
        <v>0</v>
      </c>
      <c r="Q43" s="367">
        <f t="shared" ref="Q43" si="35">Q39/Q34</f>
        <v>0</v>
      </c>
    </row>
    <row r="46" spans="1:17" ht="33.75" x14ac:dyDescent="0.5">
      <c r="A46" s="930" t="s">
        <v>1292</v>
      </c>
    </row>
    <row r="47" spans="1:17" s="152" customFormat="1" ht="15" x14ac:dyDescent="0.25">
      <c r="A47" s="212"/>
      <c r="B47" s="213" t="s">
        <v>69</v>
      </c>
      <c r="C47" s="213" t="s">
        <v>69</v>
      </c>
      <c r="D47" s="213" t="s">
        <v>69</v>
      </c>
      <c r="E47" s="213" t="s">
        <v>69</v>
      </c>
      <c r="F47" s="213" t="s">
        <v>69</v>
      </c>
      <c r="G47" s="213" t="s">
        <v>71</v>
      </c>
      <c r="H47" s="213" t="s">
        <v>71</v>
      </c>
      <c r="I47" s="213" t="s">
        <v>71</v>
      </c>
      <c r="J47" s="213" t="s">
        <v>71</v>
      </c>
      <c r="K47" s="213" t="s">
        <v>71</v>
      </c>
      <c r="L47" s="213" t="s">
        <v>71</v>
      </c>
      <c r="M47" s="213" t="s">
        <v>71</v>
      </c>
      <c r="N47" s="213" t="s">
        <v>71</v>
      </c>
      <c r="O47" s="213" t="s">
        <v>71</v>
      </c>
      <c r="P47" s="213" t="s">
        <v>71</v>
      </c>
      <c r="Q47" s="213" t="s">
        <v>71</v>
      </c>
    </row>
    <row r="48" spans="1:17" s="152" customFormat="1" ht="15" x14ac:dyDescent="0.25">
      <c r="A48" s="212" t="s">
        <v>73</v>
      </c>
      <c r="B48" s="213" t="s">
        <v>60</v>
      </c>
      <c r="C48" s="151" t="s">
        <v>68</v>
      </c>
      <c r="D48" s="151" t="s">
        <v>0</v>
      </c>
      <c r="E48" s="151" t="s">
        <v>1</v>
      </c>
      <c r="F48" s="151" t="s">
        <v>2</v>
      </c>
      <c r="G48" s="151" t="s">
        <v>3</v>
      </c>
      <c r="H48" s="151" t="s">
        <v>4</v>
      </c>
      <c r="I48" s="151" t="s">
        <v>5</v>
      </c>
      <c r="J48" s="151" t="s">
        <v>6</v>
      </c>
      <c r="K48" s="151" t="s">
        <v>7</v>
      </c>
      <c r="L48" s="151" t="s">
        <v>8</v>
      </c>
      <c r="M48" s="151" t="s">
        <v>9</v>
      </c>
      <c r="N48" s="151" t="s">
        <v>514</v>
      </c>
      <c r="O48" s="151" t="s">
        <v>515</v>
      </c>
      <c r="P48" s="151" t="s">
        <v>904</v>
      </c>
      <c r="Q48" s="151" t="s">
        <v>1046</v>
      </c>
    </row>
    <row r="49" spans="1:17" s="221" customFormat="1" ht="26.25" x14ac:dyDescent="0.4">
      <c r="A49" s="901" t="s">
        <v>1276</v>
      </c>
      <c r="D49" s="338"/>
    </row>
    <row r="50" spans="1:17" s="221" customFormat="1" ht="15" x14ac:dyDescent="0.25">
      <c r="A50" s="339" t="s">
        <v>584</v>
      </c>
    </row>
    <row r="51" spans="1:17" s="221" customFormat="1" ht="15" x14ac:dyDescent="0.25">
      <c r="A51" s="221" t="s">
        <v>612</v>
      </c>
      <c r="B51" s="337"/>
      <c r="C51" s="337"/>
      <c r="D51" s="337"/>
      <c r="E51" s="337"/>
      <c r="F51" s="337">
        <f>F64+F78</f>
        <v>8250</v>
      </c>
      <c r="G51" s="337">
        <f t="shared" ref="G51:Q52" si="36">G64+G78</f>
        <v>9622.0178893016346</v>
      </c>
      <c r="H51" s="337">
        <f t="shared" si="36"/>
        <v>8862.1095854383348</v>
      </c>
      <c r="I51" s="337">
        <f t="shared" si="36"/>
        <v>9179.5740890044563</v>
      </c>
      <c r="J51" s="337">
        <f t="shared" si="36"/>
        <v>9518.455042566864</v>
      </c>
      <c r="K51" s="337">
        <f t="shared" si="36"/>
        <v>10093.704721361348</v>
      </c>
      <c r="L51" s="337">
        <f t="shared" si="36"/>
        <v>10346.04733939538</v>
      </c>
      <c r="M51" s="337">
        <f t="shared" si="36"/>
        <v>10604.698522880264</v>
      </c>
      <c r="N51" s="337">
        <f t="shared" si="36"/>
        <v>10869.815985952269</v>
      </c>
      <c r="O51" s="337">
        <f t="shared" si="36"/>
        <v>11141.561385601075</v>
      </c>
      <c r="P51" s="337">
        <f t="shared" si="36"/>
        <v>11420.100420241102</v>
      </c>
      <c r="Q51" s="337">
        <f t="shared" si="36"/>
        <v>11705.602930747129</v>
      </c>
    </row>
    <row r="52" spans="1:17" s="221" customFormat="1" ht="15" x14ac:dyDescent="0.25">
      <c r="A52" s="221" t="s">
        <v>613</v>
      </c>
      <c r="B52" s="337"/>
      <c r="C52" s="337"/>
      <c r="D52" s="337"/>
      <c r="E52" s="337"/>
      <c r="F52" s="337">
        <f>F65+F79</f>
        <v>1624</v>
      </c>
      <c r="G52" s="337">
        <f t="shared" ref="G52:P52" si="37">G65+G79</f>
        <v>1664.9671106983653</v>
      </c>
      <c r="H52" s="337">
        <f t="shared" si="37"/>
        <v>1549.4554145616646</v>
      </c>
      <c r="I52" s="337">
        <f t="shared" si="37"/>
        <v>1591.609910995543</v>
      </c>
      <c r="J52" s="337">
        <f t="shared" si="37"/>
        <v>1631.0769574331359</v>
      </c>
      <c r="K52" s="337">
        <f t="shared" si="37"/>
        <v>1671.476278638652</v>
      </c>
      <c r="L52" s="337">
        <f t="shared" si="37"/>
        <v>1713.2631856046185</v>
      </c>
      <c r="M52" s="337">
        <f t="shared" si="37"/>
        <v>1756.0947652447339</v>
      </c>
      <c r="N52" s="337">
        <f t="shared" si="37"/>
        <v>1799.9971343758523</v>
      </c>
      <c r="O52" s="337">
        <f t="shared" si="37"/>
        <v>1844.9970627352484</v>
      </c>
      <c r="P52" s="337">
        <f t="shared" si="37"/>
        <v>1891.1219893036296</v>
      </c>
      <c r="Q52" s="337">
        <f t="shared" si="36"/>
        <v>1938.4000390362201</v>
      </c>
    </row>
    <row r="53" spans="1:17" s="221" customFormat="1" ht="15.75" thickBot="1" x14ac:dyDescent="0.3">
      <c r="A53" s="202" t="s">
        <v>614</v>
      </c>
      <c r="B53" s="368">
        <f>SUM(B51:B52)</f>
        <v>0</v>
      </c>
      <c r="C53" s="368">
        <f t="shared" ref="C53:Q53" si="38">SUM(C51:C52)</f>
        <v>0</v>
      </c>
      <c r="D53" s="368">
        <f t="shared" si="38"/>
        <v>0</v>
      </c>
      <c r="E53" s="368">
        <f t="shared" si="38"/>
        <v>0</v>
      </c>
      <c r="F53" s="368">
        <f t="shared" si="38"/>
        <v>9874</v>
      </c>
      <c r="G53" s="368">
        <f t="shared" si="38"/>
        <v>11286.985000000001</v>
      </c>
      <c r="H53" s="368">
        <f t="shared" si="38"/>
        <v>10411.564999999999</v>
      </c>
      <c r="I53" s="368">
        <f t="shared" si="38"/>
        <v>10771.183999999999</v>
      </c>
      <c r="J53" s="368">
        <f t="shared" si="38"/>
        <v>11149.531999999999</v>
      </c>
      <c r="K53" s="368">
        <f t="shared" si="38"/>
        <v>11765.181</v>
      </c>
      <c r="L53" s="368">
        <f t="shared" si="38"/>
        <v>12059.310524999999</v>
      </c>
      <c r="M53" s="368">
        <f t="shared" si="38"/>
        <v>12360.793288124998</v>
      </c>
      <c r="N53" s="368">
        <f t="shared" si="38"/>
        <v>12669.813120328121</v>
      </c>
      <c r="O53" s="368">
        <f t="shared" si="38"/>
        <v>12986.558448336324</v>
      </c>
      <c r="P53" s="368">
        <f t="shared" si="38"/>
        <v>13311.222409544731</v>
      </c>
      <c r="Q53" s="368">
        <f t="shared" si="38"/>
        <v>13644.002969783349</v>
      </c>
    </row>
    <row r="54" spans="1:17" s="221" customFormat="1" ht="15" x14ac:dyDescent="0.25">
      <c r="B54" s="337"/>
      <c r="C54" s="337"/>
      <c r="D54" s="337"/>
      <c r="E54" s="337"/>
      <c r="F54" s="337"/>
      <c r="G54" s="337"/>
      <c r="H54" s="337"/>
      <c r="I54" s="337"/>
      <c r="J54" s="337"/>
      <c r="K54" s="337"/>
      <c r="L54" s="337"/>
      <c r="M54" s="337"/>
      <c r="N54" s="337"/>
      <c r="O54" s="337"/>
      <c r="P54" s="337"/>
      <c r="Q54" s="337"/>
    </row>
    <row r="55" spans="1:17" s="221" customFormat="1" ht="15" x14ac:dyDescent="0.25">
      <c r="B55" s="337"/>
      <c r="C55" s="337"/>
      <c r="D55" s="337"/>
      <c r="E55" s="337"/>
      <c r="F55" s="337"/>
      <c r="G55" s="337"/>
      <c r="H55" s="337"/>
      <c r="I55" s="337"/>
      <c r="J55" s="337"/>
      <c r="K55" s="337"/>
      <c r="L55" s="337"/>
      <c r="M55" s="337"/>
      <c r="N55" s="337"/>
      <c r="O55" s="337"/>
      <c r="P55" s="337"/>
      <c r="Q55" s="337"/>
    </row>
    <row r="56" spans="1:17" s="221" customFormat="1" ht="15" x14ac:dyDescent="0.25">
      <c r="A56" s="221" t="s">
        <v>615</v>
      </c>
      <c r="B56" s="337"/>
      <c r="C56" s="337"/>
      <c r="D56" s="337">
        <f>D51*0.4472</f>
        <v>0</v>
      </c>
      <c r="E56" s="337"/>
      <c r="F56" s="337">
        <f>F69+F83</f>
        <v>0</v>
      </c>
      <c r="G56" s="337">
        <f t="shared" ref="G56:Q57" si="39">G69+G83</f>
        <v>6862</v>
      </c>
      <c r="H56" s="337">
        <f t="shared" si="39"/>
        <v>6093.326</v>
      </c>
      <c r="I56" s="337">
        <f t="shared" si="39"/>
        <v>10469.0535</v>
      </c>
      <c r="J56" s="337">
        <f t="shared" si="39"/>
        <v>7109.5190000000002</v>
      </c>
      <c r="K56" s="337">
        <f t="shared" si="39"/>
        <v>7132.6670000000004</v>
      </c>
      <c r="L56" s="337">
        <f t="shared" si="39"/>
        <v>7221.0257000000001</v>
      </c>
      <c r="M56" s="337">
        <f t="shared" si="39"/>
        <v>7369.9183674999995</v>
      </c>
      <c r="N56" s="337">
        <f t="shared" si="39"/>
        <v>7933.9763516875</v>
      </c>
      <c r="O56" s="337">
        <f t="shared" si="39"/>
        <v>7761.2036454796871</v>
      </c>
      <c r="P56" s="337">
        <f t="shared" si="39"/>
        <v>8078.604338816679</v>
      </c>
      <c r="Q56" s="337">
        <f t="shared" si="39"/>
        <v>8196.1826210310974</v>
      </c>
    </row>
    <row r="57" spans="1:17" s="221" customFormat="1" ht="15" x14ac:dyDescent="0.25">
      <c r="A57" s="221" t="s">
        <v>335</v>
      </c>
      <c r="B57" s="337"/>
      <c r="C57" s="337"/>
      <c r="D57" s="337"/>
      <c r="E57" s="337"/>
      <c r="F57" s="337">
        <f>F70+F84</f>
        <v>0</v>
      </c>
      <c r="G57" s="337">
        <f t="shared" ref="G57:P57" si="40">G70+G84</f>
        <v>0</v>
      </c>
      <c r="H57" s="337">
        <f t="shared" si="40"/>
        <v>1734.672</v>
      </c>
      <c r="I57" s="337">
        <f t="shared" si="40"/>
        <v>1795.5137999999997</v>
      </c>
      <c r="J57" s="337">
        <f t="shared" si="40"/>
        <v>1830.759395</v>
      </c>
      <c r="K57" s="337">
        <f t="shared" si="40"/>
        <v>1784.2684048749998</v>
      </c>
      <c r="L57" s="337">
        <f t="shared" si="40"/>
        <v>1760.5397399968747</v>
      </c>
      <c r="M57" s="337">
        <f t="shared" si="40"/>
        <v>1787.4678584967965</v>
      </c>
      <c r="N57" s="337">
        <f t="shared" si="40"/>
        <v>1865.0691799592162</v>
      </c>
      <c r="O57" s="337">
        <f t="shared" si="40"/>
        <v>1893.3605344581968</v>
      </c>
      <c r="P57" s="337">
        <f t="shared" si="40"/>
        <v>1872.3591728196513</v>
      </c>
      <c r="Q57" s="337">
        <f t="shared" si="39"/>
        <v>1952.0827771401425</v>
      </c>
    </row>
    <row r="58" spans="1:17" s="221" customFormat="1" ht="15.75" thickBot="1" x14ac:dyDescent="0.3">
      <c r="B58" s="369">
        <f t="shared" ref="B58:E58" si="41">SUM(B56:B57)</f>
        <v>0</v>
      </c>
      <c r="C58" s="369">
        <f t="shared" si="41"/>
        <v>0</v>
      </c>
      <c r="D58" s="369">
        <f t="shared" si="41"/>
        <v>0</v>
      </c>
      <c r="E58" s="369">
        <f t="shared" si="41"/>
        <v>0</v>
      </c>
      <c r="F58" s="369">
        <f>SUM(F56:F57)</f>
        <v>0</v>
      </c>
      <c r="G58" s="369">
        <f t="shared" ref="G58:Q58" si="42">SUM(G56:G57)</f>
        <v>6862</v>
      </c>
      <c r="H58" s="369">
        <f t="shared" si="42"/>
        <v>7827.9979999999996</v>
      </c>
      <c r="I58" s="369">
        <f t="shared" si="42"/>
        <v>12264.567299999999</v>
      </c>
      <c r="J58" s="369">
        <f t="shared" si="42"/>
        <v>8940.2783950000012</v>
      </c>
      <c r="K58" s="369">
        <f t="shared" si="42"/>
        <v>8916.9354048749992</v>
      </c>
      <c r="L58" s="369">
        <f t="shared" si="42"/>
        <v>8981.5654399968753</v>
      </c>
      <c r="M58" s="369">
        <f t="shared" si="42"/>
        <v>9157.3862259967955</v>
      </c>
      <c r="N58" s="369">
        <f t="shared" si="42"/>
        <v>9799.045531646716</v>
      </c>
      <c r="O58" s="369">
        <f t="shared" si="42"/>
        <v>9654.5641799378845</v>
      </c>
      <c r="P58" s="369">
        <f t="shared" si="42"/>
        <v>9950.9635116363297</v>
      </c>
      <c r="Q58" s="369">
        <f t="shared" si="42"/>
        <v>10148.265398171239</v>
      </c>
    </row>
    <row r="59" spans="1:17" s="221" customFormat="1" ht="15" x14ac:dyDescent="0.25"/>
    <row r="60" spans="1:17" s="221" customFormat="1" ht="15" x14ac:dyDescent="0.25">
      <c r="A60" s="366" t="s">
        <v>616</v>
      </c>
      <c r="B60" s="366"/>
      <c r="C60" s="367" t="e">
        <f t="shared" ref="C60:E60" si="43">C56/C51</f>
        <v>#DIV/0!</v>
      </c>
      <c r="D60" s="367" t="e">
        <f t="shared" si="43"/>
        <v>#DIV/0!</v>
      </c>
      <c r="E60" s="367" t="e">
        <f t="shared" si="43"/>
        <v>#DIV/0!</v>
      </c>
      <c r="F60" s="367">
        <f>F56/F51</f>
        <v>0</v>
      </c>
      <c r="G60" s="367">
        <f t="shared" ref="G60:Q60" si="44">G56/G51</f>
        <v>0.71315602183920312</v>
      </c>
      <c r="H60" s="367">
        <f t="shared" si="44"/>
        <v>0.68757059944419696</v>
      </c>
      <c r="I60" s="367">
        <f t="shared" si="44"/>
        <v>1.1404726840802033</v>
      </c>
      <c r="J60" s="367">
        <f t="shared" si="44"/>
        <v>0.74691942843728132</v>
      </c>
      <c r="K60" s="367">
        <f t="shared" si="44"/>
        <v>0.70664510176378637</v>
      </c>
      <c r="L60" s="367">
        <f t="shared" si="44"/>
        <v>0.69795018939300491</v>
      </c>
      <c r="M60" s="367">
        <f t="shared" si="44"/>
        <v>0.6949672686685967</v>
      </c>
      <c r="N60" s="367">
        <f t="shared" si="44"/>
        <v>0.72990898483847977</v>
      </c>
      <c r="O60" s="367">
        <f t="shared" si="44"/>
        <v>0.69659928055595222</v>
      </c>
      <c r="P60" s="367">
        <f t="shared" si="44"/>
        <v>0.70740221552676352</v>
      </c>
      <c r="Q60" s="367">
        <f t="shared" si="44"/>
        <v>0.70019311858786604</v>
      </c>
    </row>
    <row r="61" spans="1:17" s="221" customFormat="1" ht="15" x14ac:dyDescent="0.25">
      <c r="A61" s="221" t="s">
        <v>1643</v>
      </c>
      <c r="G61" s="200">
        <f>G58/G53</f>
        <v>0.60795686359111845</v>
      </c>
      <c r="H61" s="200">
        <f t="shared" ref="H61:Q61" si="45">H58/H53</f>
        <v>0.75185603701268744</v>
      </c>
      <c r="I61" s="200">
        <f t="shared" si="45"/>
        <v>1.1386461599764706</v>
      </c>
      <c r="J61" s="200">
        <f t="shared" si="45"/>
        <v>0.80185234635857383</v>
      </c>
      <c r="K61" s="200">
        <f t="shared" si="45"/>
        <v>0.75790890126339738</v>
      </c>
      <c r="L61" s="200">
        <f t="shared" si="45"/>
        <v>0.74478266575666241</v>
      </c>
      <c r="M61" s="200">
        <f t="shared" si="45"/>
        <v>0.74084130464298659</v>
      </c>
      <c r="N61" s="200">
        <f t="shared" si="45"/>
        <v>0.77341673776739506</v>
      </c>
      <c r="O61" s="200">
        <f t="shared" si="45"/>
        <v>0.74342746142837457</v>
      </c>
      <c r="P61" s="200">
        <f t="shared" si="45"/>
        <v>0.74756195978673246</v>
      </c>
      <c r="Q61" s="200">
        <f t="shared" si="45"/>
        <v>0.74378944512443057</v>
      </c>
    </row>
    <row r="62" spans="1:17" s="221" customFormat="1" ht="26.25" x14ac:dyDescent="0.4">
      <c r="A62" s="901" t="s">
        <v>1268</v>
      </c>
    </row>
    <row r="63" spans="1:17" s="221" customFormat="1" ht="15" x14ac:dyDescent="0.25">
      <c r="A63" s="339" t="s">
        <v>584</v>
      </c>
    </row>
    <row r="64" spans="1:17" s="221" customFormat="1" ht="15" x14ac:dyDescent="0.25">
      <c r="A64" s="221" t="s">
        <v>612</v>
      </c>
      <c r="B64" s="337"/>
      <c r="C64" s="337"/>
      <c r="D64" s="337"/>
      <c r="E64" s="337"/>
      <c r="F64" s="337">
        <f>'GF &amp; FF  Inc Exp Statement'!E102-F65</f>
        <v>5616</v>
      </c>
      <c r="G64" s="337">
        <f>'GF &amp; FF  Inc Exp Statement'!F102-G65</f>
        <v>6905.496000000001</v>
      </c>
      <c r="H64" s="337">
        <f>'GF &amp; FF  Inc Exp Statement'!G102-H65</f>
        <v>6136.0370000000003</v>
      </c>
      <c r="I64" s="337">
        <f>'GF &amp; FF  Inc Exp Statement'!H102-I65</f>
        <v>6230.1202999999996</v>
      </c>
      <c r="J64" s="337">
        <f>'GF &amp; FF  Inc Exp Statement'!I102-J65</f>
        <v>6509.9427075000003</v>
      </c>
      <c r="K64" s="337">
        <f>'GF &amp; FF  Inc Exp Statement'!J102-K65</f>
        <v>7027.1279501874997</v>
      </c>
      <c r="L64" s="337">
        <f>'GF &amp; FF  Inc Exp Statement'!K102-L65</f>
        <v>7202.8061489421862</v>
      </c>
      <c r="M64" s="337">
        <f>'GF &amp; FF  Inc Exp Statement'!L102-M65</f>
        <v>7382.8763026657416</v>
      </c>
      <c r="N64" s="337">
        <f>'GF &amp; FF  Inc Exp Statement'!M102-N65</f>
        <v>7567.4482102323836</v>
      </c>
      <c r="O64" s="337">
        <f>'GF &amp; FF  Inc Exp Statement'!N102-O65</f>
        <v>7756.6344154881936</v>
      </c>
      <c r="P64" s="337">
        <f>'GF &amp; FF  Inc Exp Statement'!O102-P65</f>
        <v>7950.5502758753973</v>
      </c>
      <c r="Q64" s="337">
        <f>'GF &amp; FF  Inc Exp Statement'!P102-Q65</f>
        <v>8149.3140327722822</v>
      </c>
    </row>
    <row r="65" spans="1:17" s="221" customFormat="1" ht="15" x14ac:dyDescent="0.25">
      <c r="A65" s="221" t="s">
        <v>613</v>
      </c>
      <c r="B65" s="337"/>
      <c r="C65" s="337"/>
      <c r="D65" s="337"/>
      <c r="E65" s="337"/>
      <c r="F65" s="337">
        <f>1160+166+92+125+23</f>
        <v>1566</v>
      </c>
      <c r="G65" s="337">
        <f>F65*1.025</f>
        <v>1605.1499999999999</v>
      </c>
      <c r="H65" s="337">
        <f>-'Revised Capital Budget Incl SRV'!D54/1000</f>
        <v>1489.4280000000001</v>
      </c>
      <c r="I65" s="337">
        <f t="shared" ref="I65:Q65" si="46">H65*1.025</f>
        <v>1526.6637000000001</v>
      </c>
      <c r="J65" s="337">
        <f t="shared" si="46"/>
        <v>1564.8302925</v>
      </c>
      <c r="K65" s="337">
        <f t="shared" si="46"/>
        <v>1603.9510498124998</v>
      </c>
      <c r="L65" s="337">
        <f t="shared" si="46"/>
        <v>1644.0498260578122</v>
      </c>
      <c r="M65" s="337">
        <f t="shared" si="46"/>
        <v>1685.1510717092574</v>
      </c>
      <c r="N65" s="337">
        <f t="shared" si="46"/>
        <v>1727.2798485019887</v>
      </c>
      <c r="O65" s="337">
        <f t="shared" si="46"/>
        <v>1770.4618447145383</v>
      </c>
      <c r="P65" s="337">
        <f t="shared" si="46"/>
        <v>1814.7233908324015</v>
      </c>
      <c r="Q65" s="337">
        <f t="shared" si="46"/>
        <v>1860.0914756032114</v>
      </c>
    </row>
    <row r="66" spans="1:17" s="221" customFormat="1" ht="15.75" thickBot="1" x14ac:dyDescent="0.3">
      <c r="A66" s="202" t="s">
        <v>614</v>
      </c>
      <c r="B66" s="368">
        <f>SUM(B64:B65)</f>
        <v>0</v>
      </c>
      <c r="C66" s="368">
        <f t="shared" ref="C66:Q66" si="47">SUM(C64:C65)</f>
        <v>0</v>
      </c>
      <c r="D66" s="368">
        <f t="shared" si="47"/>
        <v>0</v>
      </c>
      <c r="E66" s="368">
        <f t="shared" si="47"/>
        <v>0</v>
      </c>
      <c r="F66" s="368">
        <f t="shared" si="47"/>
        <v>7182</v>
      </c>
      <c r="G66" s="368">
        <f t="shared" si="47"/>
        <v>8510.6460000000006</v>
      </c>
      <c r="H66" s="368">
        <f t="shared" si="47"/>
        <v>7625.4650000000001</v>
      </c>
      <c r="I66" s="368">
        <f t="shared" si="47"/>
        <v>7756.7839999999997</v>
      </c>
      <c r="J66" s="368">
        <f t="shared" si="47"/>
        <v>8074.7730000000001</v>
      </c>
      <c r="K66" s="368">
        <f t="shared" si="47"/>
        <v>8631.0789999999997</v>
      </c>
      <c r="L66" s="368">
        <f t="shared" si="47"/>
        <v>8846.8559749999986</v>
      </c>
      <c r="M66" s="368">
        <f t="shared" si="47"/>
        <v>9068.0273743749985</v>
      </c>
      <c r="N66" s="368">
        <f t="shared" si="47"/>
        <v>9294.7280587343721</v>
      </c>
      <c r="O66" s="368">
        <f t="shared" si="47"/>
        <v>9527.0962602027321</v>
      </c>
      <c r="P66" s="368">
        <f t="shared" si="47"/>
        <v>9765.2736667077988</v>
      </c>
      <c r="Q66" s="368">
        <f t="shared" si="47"/>
        <v>10009.405508375494</v>
      </c>
    </row>
    <row r="67" spans="1:17" s="221" customFormat="1" ht="30.75" customHeight="1" x14ac:dyDescent="0.25">
      <c r="A67" s="1557" t="s">
        <v>1611</v>
      </c>
      <c r="B67" s="1557"/>
      <c r="C67" s="1557"/>
      <c r="D67" s="1557"/>
      <c r="E67" s="1557"/>
      <c r="F67" s="1557"/>
      <c r="G67" s="337"/>
      <c r="H67" s="337">
        <f>H66+'Revised Capital Budget Incl SRV'!D56/1000</f>
        <v>269.6869999999999</v>
      </c>
      <c r="I67" s="337">
        <f>I66+'Revised Capital Budget Incl SRV'!E56/1000</f>
        <v>275.93782999999985</v>
      </c>
      <c r="J67" s="337">
        <f>J66+'Revised Capital Budget Incl SRV'!F56/1000</f>
        <v>280.5283463500009</v>
      </c>
      <c r="K67" s="337">
        <f>K66+'Revised Capital Budget Incl SRV'!G56/1000</f>
        <v>288.88377202075208</v>
      </c>
      <c r="L67" s="337">
        <f>L66+'Revised Capital Budget Incl SRV'!H56/1000</f>
        <v>296.10586632126979</v>
      </c>
      <c r="M67" s="337">
        <f>M66+'Revised Capital Budget Incl SRV'!I56/1000</f>
        <v>303.50851297930421</v>
      </c>
      <c r="N67" s="337">
        <f>N66+'Revised Capital Budget Incl SRV'!J56/1000</f>
        <v>311.09622580378527</v>
      </c>
      <c r="O67" s="337">
        <f>O66+'Revised Capital Budget Incl SRV'!K56/1000</f>
        <v>318.8736314488815</v>
      </c>
      <c r="P67" s="337">
        <f>P66+'Revised Capital Budget Incl SRV'!L56/1000</f>
        <v>326.84547223510162</v>
      </c>
      <c r="Q67" s="337">
        <f>Q66+'Revised Capital Budget Incl SRV'!M56/1000</f>
        <v>335.01660904098026</v>
      </c>
    </row>
    <row r="68" spans="1:17" s="221" customFormat="1" ht="15" x14ac:dyDescent="0.25">
      <c r="B68" s="337"/>
      <c r="C68" s="337"/>
      <c r="D68" s="337"/>
      <c r="E68" s="337"/>
      <c r="F68" s="337"/>
      <c r="G68" s="337"/>
      <c r="H68" s="337"/>
      <c r="I68" s="337"/>
      <c r="J68" s="337"/>
      <c r="K68" s="337"/>
      <c r="L68" s="337"/>
      <c r="M68" s="337"/>
      <c r="N68" s="337"/>
      <c r="O68" s="337"/>
      <c r="P68" s="337"/>
      <c r="Q68" s="337"/>
    </row>
    <row r="69" spans="1:17" s="221" customFormat="1" ht="15" x14ac:dyDescent="0.25">
      <c r="A69" s="221" t="s">
        <v>615</v>
      </c>
      <c r="B69" s="337"/>
      <c r="C69" s="337"/>
      <c r="D69" s="337"/>
      <c r="E69" s="337"/>
      <c r="G69" s="337">
        <f>G11</f>
        <v>6862</v>
      </c>
      <c r="H69" s="337">
        <f>'Revised Capital Budget Incl SRV'!D193/1000</f>
        <v>6093.326</v>
      </c>
      <c r="I69" s="337">
        <f>'Revised Capital Budget Incl SRV'!E193/1000</f>
        <v>10469.0535</v>
      </c>
      <c r="J69" s="337">
        <f>'Revised Capital Budget Incl SRV'!F193/1000</f>
        <v>7109.5190000000002</v>
      </c>
      <c r="K69" s="337">
        <f>'Revised Capital Budget Incl SRV'!G193/1000</f>
        <v>7132.6670000000004</v>
      </c>
      <c r="L69" s="337">
        <f>'Revised Capital Budget Incl SRV'!H193/1000</f>
        <v>7221.0257000000001</v>
      </c>
      <c r="M69" s="337">
        <f>'Revised Capital Budget Incl SRV'!I193/1000</f>
        <v>7369.9183674999995</v>
      </c>
      <c r="N69" s="337">
        <f>'Revised Capital Budget Incl SRV'!J193/1000</f>
        <v>7933.9763516875</v>
      </c>
      <c r="O69" s="337">
        <f>'Revised Capital Budget Incl SRV'!K193/1000</f>
        <v>7761.2036454796871</v>
      </c>
      <c r="P69" s="337">
        <f>'Revised Capital Budget Incl SRV'!L193/1000</f>
        <v>8078.604338816679</v>
      </c>
      <c r="Q69" s="337">
        <f>'Revised Capital Budget Incl SRV'!M193/1000</f>
        <v>8196.1826210310974</v>
      </c>
    </row>
    <row r="70" spans="1:17" s="221" customFormat="1" ht="15" x14ac:dyDescent="0.25">
      <c r="A70" s="221" t="s">
        <v>335</v>
      </c>
      <c r="B70" s="337"/>
      <c r="C70" s="337"/>
      <c r="D70" s="337"/>
      <c r="E70" s="337"/>
      <c r="G70" s="337"/>
      <c r="H70" s="337">
        <f>'Revised Capital Budget Incl SRV'!D194/1000</f>
        <v>1734.672</v>
      </c>
      <c r="I70" s="337">
        <f>'Revised Capital Budget Incl SRV'!E194/1000</f>
        <v>1795.5137999999997</v>
      </c>
      <c r="J70" s="337">
        <f>'Revised Capital Budget Incl SRV'!F194/1000</f>
        <v>1830.759395</v>
      </c>
      <c r="K70" s="337">
        <f>'Revised Capital Budget Incl SRV'!G194/1000</f>
        <v>1784.2684048749998</v>
      </c>
      <c r="L70" s="337">
        <f>'Revised Capital Budget Incl SRV'!H194/1000</f>
        <v>1760.5397399968747</v>
      </c>
      <c r="M70" s="337">
        <f>'Revised Capital Budget Incl SRV'!I194/1000</f>
        <v>1787.4678584967965</v>
      </c>
      <c r="N70" s="337">
        <f>'Revised Capital Budget Incl SRV'!J194/1000</f>
        <v>1865.0691799592162</v>
      </c>
      <c r="O70" s="337">
        <f>'Revised Capital Budget Incl SRV'!K194/1000</f>
        <v>1893.3605344581968</v>
      </c>
      <c r="P70" s="337">
        <f>'Revised Capital Budget Incl SRV'!L194/1000</f>
        <v>1872.3591728196513</v>
      </c>
      <c r="Q70" s="337">
        <f>'Revised Capital Budget Incl SRV'!M194/1000</f>
        <v>1952.0827771401425</v>
      </c>
    </row>
    <row r="71" spans="1:17" s="221" customFormat="1" ht="15.75" thickBot="1" x14ac:dyDescent="0.3">
      <c r="B71" s="369">
        <f t="shared" ref="B71:H71" si="48">SUM(B69:B70)</f>
        <v>0</v>
      </c>
      <c r="C71" s="369">
        <f t="shared" si="48"/>
        <v>0</v>
      </c>
      <c r="D71" s="369">
        <f t="shared" si="48"/>
        <v>0</v>
      </c>
      <c r="E71" s="369">
        <f t="shared" si="48"/>
        <v>0</v>
      </c>
      <c r="F71" s="369">
        <f t="shared" si="48"/>
        <v>0</v>
      </c>
      <c r="G71" s="369">
        <f t="shared" si="48"/>
        <v>6862</v>
      </c>
      <c r="H71" s="369">
        <f t="shared" si="48"/>
        <v>7827.9979999999996</v>
      </c>
      <c r="I71" s="369">
        <f t="shared" ref="I71:Q71" si="49">SUM(I69:I70)</f>
        <v>12264.567299999999</v>
      </c>
      <c r="J71" s="369">
        <f t="shared" si="49"/>
        <v>8940.2783950000012</v>
      </c>
      <c r="K71" s="369">
        <f t="shared" si="49"/>
        <v>8916.9354048749992</v>
      </c>
      <c r="L71" s="369">
        <f t="shared" si="49"/>
        <v>8981.5654399968753</v>
      </c>
      <c r="M71" s="369">
        <f t="shared" si="49"/>
        <v>9157.3862259967955</v>
      </c>
      <c r="N71" s="369">
        <f t="shared" si="49"/>
        <v>9799.045531646716</v>
      </c>
      <c r="O71" s="369">
        <f t="shared" si="49"/>
        <v>9654.5641799378845</v>
      </c>
      <c r="P71" s="369">
        <f t="shared" si="49"/>
        <v>9950.9635116363297</v>
      </c>
      <c r="Q71" s="369">
        <f t="shared" si="49"/>
        <v>10148.265398171239</v>
      </c>
    </row>
    <row r="72" spans="1:17" s="221" customFormat="1" ht="15" x14ac:dyDescent="0.25"/>
    <row r="73" spans="1:17" s="221" customFormat="1" ht="15" x14ac:dyDescent="0.25">
      <c r="A73" s="366" t="s">
        <v>616</v>
      </c>
      <c r="B73" s="366"/>
      <c r="C73" s="367" t="e">
        <f t="shared" ref="C73:E73" si="50">C69/C64</f>
        <v>#DIV/0!</v>
      </c>
      <c r="D73" s="367" t="e">
        <f t="shared" si="50"/>
        <v>#DIV/0!</v>
      </c>
      <c r="E73" s="367" t="e">
        <f t="shared" si="50"/>
        <v>#DIV/0!</v>
      </c>
      <c r="F73" s="367">
        <f>H69/F64</f>
        <v>1.0849939458689459</v>
      </c>
      <c r="G73" s="367">
        <f t="shared" ref="G73:Q73" si="51">G69/G64</f>
        <v>0.99370124897617762</v>
      </c>
      <c r="H73" s="367">
        <f t="shared" si="51"/>
        <v>0.99303931837438397</v>
      </c>
      <c r="I73" s="367">
        <f t="shared" si="51"/>
        <v>1.6803934749060947</v>
      </c>
      <c r="J73" s="367">
        <f t="shared" si="51"/>
        <v>1.0921016235379826</v>
      </c>
      <c r="K73" s="367">
        <f t="shared" si="51"/>
        <v>1.0150188029249823</v>
      </c>
      <c r="L73" s="367">
        <f t="shared" si="51"/>
        <v>1.0025295073449241</v>
      </c>
      <c r="M73" s="367">
        <f t="shared" si="51"/>
        <v>0.99824486627778619</v>
      </c>
      <c r="N73" s="367">
        <f t="shared" si="51"/>
        <v>1.0484348397600545</v>
      </c>
      <c r="O73" s="367">
        <f t="shared" si="51"/>
        <v>1.0005890737846779</v>
      </c>
      <c r="P73" s="367">
        <f t="shared" si="51"/>
        <v>1.016106314468552</v>
      </c>
      <c r="Q73" s="367">
        <f t="shared" si="51"/>
        <v>1.0057512310938483</v>
      </c>
    </row>
    <row r="74" spans="1:17" s="221" customFormat="1" ht="15" x14ac:dyDescent="0.25">
      <c r="A74" s="221" t="s">
        <v>1643</v>
      </c>
      <c r="G74" s="200">
        <f>G71/G66</f>
        <v>0.80628427031273531</v>
      </c>
      <c r="H74" s="200">
        <f t="shared" ref="H74:Q74" si="52">H71/H66</f>
        <v>1.0265600851882475</v>
      </c>
      <c r="I74" s="200">
        <f t="shared" si="52"/>
        <v>1.5811407536937987</v>
      </c>
      <c r="J74" s="200">
        <f t="shared" si="52"/>
        <v>1.1071863438142473</v>
      </c>
      <c r="K74" s="200">
        <f t="shared" si="52"/>
        <v>1.0331194286224237</v>
      </c>
      <c r="L74" s="200">
        <f t="shared" si="52"/>
        <v>1.0152268179088195</v>
      </c>
      <c r="M74" s="200">
        <f t="shared" si="52"/>
        <v>1.0098542767828771</v>
      </c>
      <c r="N74" s="200">
        <f t="shared" si="52"/>
        <v>1.0542584430362576</v>
      </c>
      <c r="O74" s="200">
        <f t="shared" si="52"/>
        <v>1.0133795142038839</v>
      </c>
      <c r="P74" s="200">
        <f t="shared" si="52"/>
        <v>1.0190153242260473</v>
      </c>
      <c r="Q74" s="200">
        <f t="shared" si="52"/>
        <v>1.0138729407735108</v>
      </c>
    </row>
    <row r="75" spans="1:17" s="221" customFormat="1" ht="15" x14ac:dyDescent="0.25"/>
    <row r="76" spans="1:17" s="221" customFormat="1" ht="23.25" x14ac:dyDescent="0.35">
      <c r="A76" s="902" t="s">
        <v>1269</v>
      </c>
    </row>
    <row r="77" spans="1:17" s="221" customFormat="1" ht="15" x14ac:dyDescent="0.25">
      <c r="A77" s="339" t="s">
        <v>584</v>
      </c>
    </row>
    <row r="78" spans="1:17" s="221" customFormat="1" ht="15" x14ac:dyDescent="0.25">
      <c r="A78" s="221" t="s">
        <v>612</v>
      </c>
      <c r="B78" s="337"/>
      <c r="C78" s="337"/>
      <c r="D78" s="337"/>
      <c r="E78" s="337"/>
      <c r="F78" s="337">
        <f>1438+1196</f>
        <v>2634</v>
      </c>
      <c r="G78" s="337">
        <f>F78/F80*('Water  Fund  Inc Exp Statement '!F97+'Sewer  Fund  Inc Exp Statem'!F97)</f>
        <v>2716.5218893016345</v>
      </c>
      <c r="H78" s="337">
        <f>G78/G80*('Water  Fund  Inc Exp Statement '!G97+'Sewer  Fund  Inc Exp Statem'!G97)</f>
        <v>2726.0725854383354</v>
      </c>
      <c r="I78" s="337">
        <f>H78/H80*('Water  Fund  Inc Exp Statement '!H97+'Sewer  Fund  Inc Exp Statem'!H97)</f>
        <v>2949.4537890044571</v>
      </c>
      <c r="J78" s="337">
        <f>I78/I80*('Water  Fund  Inc Exp Statement '!I97+'Sewer  Fund  Inc Exp Statem'!I97)</f>
        <v>3008.5123350668641</v>
      </c>
      <c r="K78" s="337">
        <f>J78/J80*('Water  Fund  Inc Exp Statement '!J97+'Sewer  Fund  Inc Exp Statem'!J97)</f>
        <v>3066.5767711738476</v>
      </c>
      <c r="L78" s="337">
        <f>K78/K80*('Water  Fund  Inc Exp Statement '!K97+'Sewer  Fund  Inc Exp Statem'!K97)</f>
        <v>3143.2411904531932</v>
      </c>
      <c r="M78" s="337">
        <f>L78/L80*('Water  Fund  Inc Exp Statement '!L97+'Sewer  Fund  Inc Exp Statem'!L97)</f>
        <v>3221.822220214523</v>
      </c>
      <c r="N78" s="337">
        <f>M78/M80*('Water  Fund  Inc Exp Statement '!M97+'Sewer  Fund  Inc Exp Statem'!M97)</f>
        <v>3302.3677757198857</v>
      </c>
      <c r="O78" s="337">
        <f>N78/N80*('Water  Fund  Inc Exp Statement '!N97+'Sewer  Fund  Inc Exp Statem'!N97)</f>
        <v>3384.9269701128824</v>
      </c>
      <c r="P78" s="337">
        <f>O78/O80*('Water  Fund  Inc Exp Statement '!O97+'Sewer  Fund  Inc Exp Statem'!O97)</f>
        <v>3469.550144365704</v>
      </c>
      <c r="Q78" s="337">
        <f>P78/P80*('Water  Fund  Inc Exp Statement '!P97+'Sewer  Fund  Inc Exp Statem'!P97)</f>
        <v>3556.2888979748463</v>
      </c>
    </row>
    <row r="79" spans="1:17" s="221" customFormat="1" ht="15" x14ac:dyDescent="0.25">
      <c r="A79" s="221" t="s">
        <v>613</v>
      </c>
      <c r="B79" s="337"/>
      <c r="C79" s="337"/>
      <c r="D79" s="337">
        <f>'GF &amp; FF  Inc Exp Statement'!D112-D78</f>
        <v>0</v>
      </c>
      <c r="E79" s="337">
        <f>'GF &amp; FF  Inc Exp Statement'!E112-E78</f>
        <v>0</v>
      </c>
      <c r="F79" s="337">
        <f>'Water  Fund  Inc Exp Statement '!E97+'Sewer  Fund  Inc Exp Statem'!E97-F78</f>
        <v>58</v>
      </c>
      <c r="G79" s="337">
        <f>'Water  Fund  Inc Exp Statement '!F97+'Sewer  Fund  Inc Exp Statem'!F97-G78</f>
        <v>59.817110698365468</v>
      </c>
      <c r="H79" s="337">
        <f>'Water  Fund  Inc Exp Statement '!G97+'Sewer  Fund  Inc Exp Statem'!G97-H78</f>
        <v>60.0274145616645</v>
      </c>
      <c r="I79" s="337">
        <f>'Water  Fund  Inc Exp Statement '!H97+'Sewer  Fund  Inc Exp Statem'!H97-I78</f>
        <v>64.94621099554297</v>
      </c>
      <c r="J79" s="337">
        <f>'Water  Fund  Inc Exp Statement '!I97+'Sewer  Fund  Inc Exp Statem'!I97-J78</f>
        <v>66.246664933135889</v>
      </c>
      <c r="K79" s="337">
        <f>'Water  Fund  Inc Exp Statement '!J97+'Sewer  Fund  Inc Exp Statem'!J97-K78</f>
        <v>67.525228826152215</v>
      </c>
      <c r="L79" s="337">
        <f>'Water  Fund  Inc Exp Statement '!K97+'Sewer  Fund  Inc Exp Statem'!K97-L78</f>
        <v>69.213359546806259</v>
      </c>
      <c r="M79" s="337">
        <f>'Water  Fund  Inc Exp Statement '!L97+'Sewer  Fund  Inc Exp Statem'!L97-M78</f>
        <v>70.943693535476541</v>
      </c>
      <c r="N79" s="337">
        <f>'Water  Fund  Inc Exp Statement '!M97+'Sewer  Fund  Inc Exp Statem'!M97-N78</f>
        <v>72.717285873863602</v>
      </c>
      <c r="O79" s="337">
        <f>'Water  Fund  Inc Exp Statement '!N97+'Sewer  Fund  Inc Exp Statem'!N97-O78</f>
        <v>74.53521802071009</v>
      </c>
      <c r="P79" s="337">
        <f>'Water  Fund  Inc Exp Statement '!O97+'Sewer  Fund  Inc Exp Statem'!O97-P78</f>
        <v>76.39859847122807</v>
      </c>
      <c r="Q79" s="337">
        <f>'Water  Fund  Inc Exp Statement '!P97+'Sewer  Fund  Inc Exp Statem'!P97-Q78</f>
        <v>78.308563433008658</v>
      </c>
    </row>
    <row r="80" spans="1:17" s="221" customFormat="1" ht="15.75" thickBot="1" x14ac:dyDescent="0.3">
      <c r="A80" s="202" t="s">
        <v>614</v>
      </c>
      <c r="B80" s="368">
        <f>SUM(B78:B79)</f>
        <v>0</v>
      </c>
      <c r="C80" s="368">
        <f t="shared" ref="C80:Q80" si="53">SUM(C78:C79)</f>
        <v>0</v>
      </c>
      <c r="D80" s="368">
        <f t="shared" si="53"/>
        <v>0</v>
      </c>
      <c r="E80" s="368">
        <f t="shared" si="53"/>
        <v>0</v>
      </c>
      <c r="F80" s="368">
        <f t="shared" si="53"/>
        <v>2692</v>
      </c>
      <c r="G80" s="368">
        <f t="shared" si="53"/>
        <v>2776.3389999999999</v>
      </c>
      <c r="H80" s="368">
        <f t="shared" si="53"/>
        <v>2786.1</v>
      </c>
      <c r="I80" s="368">
        <f t="shared" si="53"/>
        <v>3014.4</v>
      </c>
      <c r="J80" s="368">
        <f t="shared" si="53"/>
        <v>3074.759</v>
      </c>
      <c r="K80" s="368">
        <f t="shared" si="53"/>
        <v>3134.1019999999999</v>
      </c>
      <c r="L80" s="368">
        <f t="shared" si="53"/>
        <v>3212.4545499999995</v>
      </c>
      <c r="M80" s="368">
        <f t="shared" si="53"/>
        <v>3292.7659137499995</v>
      </c>
      <c r="N80" s="368">
        <f t="shared" si="53"/>
        <v>3375.0850615937493</v>
      </c>
      <c r="O80" s="368">
        <f t="shared" si="53"/>
        <v>3459.4621881335925</v>
      </c>
      <c r="P80" s="368">
        <f t="shared" si="53"/>
        <v>3545.9487428369321</v>
      </c>
      <c r="Q80" s="368">
        <f t="shared" si="53"/>
        <v>3634.597461407855</v>
      </c>
    </row>
    <row r="81" spans="1:17" s="221" customFormat="1" ht="15" x14ac:dyDescent="0.25">
      <c r="B81" s="337"/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337"/>
      <c r="O81" s="337"/>
      <c r="P81" s="337"/>
      <c r="Q81" s="337"/>
    </row>
    <row r="82" spans="1:17" s="221" customFormat="1" ht="15" x14ac:dyDescent="0.25">
      <c r="B82" s="337"/>
      <c r="C82" s="337"/>
      <c r="D82" s="337"/>
      <c r="E82" s="337"/>
      <c r="F82" s="337"/>
      <c r="G82" s="337"/>
      <c r="H82" s="337"/>
      <c r="I82" s="337"/>
      <c r="J82" s="337"/>
      <c r="K82" s="337"/>
      <c r="L82" s="337"/>
      <c r="M82" s="337"/>
      <c r="N82" s="337"/>
      <c r="O82" s="337"/>
      <c r="P82" s="337"/>
      <c r="Q82" s="337"/>
    </row>
    <row r="83" spans="1:17" s="221" customFormat="1" ht="15" x14ac:dyDescent="0.25">
      <c r="A83" s="221" t="s">
        <v>615</v>
      </c>
      <c r="B83" s="337"/>
      <c r="C83" s="337"/>
      <c r="D83" s="337">
        <f>D78*0.4472</f>
        <v>0</v>
      </c>
      <c r="E83" s="337"/>
      <c r="F83" s="337">
        <f>F39</f>
        <v>0</v>
      </c>
      <c r="G83" s="337">
        <f t="shared" ref="G83:Q83" si="54">G39</f>
        <v>0</v>
      </c>
      <c r="H83" s="337">
        <f t="shared" si="54"/>
        <v>0</v>
      </c>
      <c r="I83" s="337">
        <f t="shared" si="54"/>
        <v>0</v>
      </c>
      <c r="J83" s="337">
        <f t="shared" si="54"/>
        <v>0</v>
      </c>
      <c r="K83" s="337">
        <f t="shared" si="54"/>
        <v>0</v>
      </c>
      <c r="L83" s="337">
        <f t="shared" si="54"/>
        <v>0</v>
      </c>
      <c r="M83" s="337">
        <f t="shared" si="54"/>
        <v>0</v>
      </c>
      <c r="N83" s="337">
        <f t="shared" si="54"/>
        <v>0</v>
      </c>
      <c r="O83" s="337">
        <f t="shared" si="54"/>
        <v>0</v>
      </c>
      <c r="P83" s="337">
        <f t="shared" si="54"/>
        <v>0</v>
      </c>
      <c r="Q83" s="337">
        <f t="shared" si="54"/>
        <v>0</v>
      </c>
    </row>
    <row r="84" spans="1:17" s="221" customFormat="1" ht="15" x14ac:dyDescent="0.25">
      <c r="A84" s="221" t="s">
        <v>335</v>
      </c>
      <c r="B84" s="337"/>
      <c r="C84" s="337"/>
      <c r="D84" s="337"/>
      <c r="E84" s="337"/>
      <c r="F84" s="337">
        <f>F40</f>
        <v>0</v>
      </c>
      <c r="G84" s="337">
        <f t="shared" ref="G84:Q84" si="55">G40</f>
        <v>0</v>
      </c>
      <c r="H84" s="337">
        <f t="shared" si="55"/>
        <v>0</v>
      </c>
      <c r="I84" s="337">
        <f t="shared" si="55"/>
        <v>0</v>
      </c>
      <c r="J84" s="337">
        <f t="shared" si="55"/>
        <v>0</v>
      </c>
      <c r="K84" s="337">
        <f t="shared" si="55"/>
        <v>0</v>
      </c>
      <c r="L84" s="337">
        <f t="shared" si="55"/>
        <v>0</v>
      </c>
      <c r="M84" s="337">
        <f t="shared" si="55"/>
        <v>0</v>
      </c>
      <c r="N84" s="337">
        <f t="shared" si="55"/>
        <v>0</v>
      </c>
      <c r="O84" s="337">
        <f t="shared" si="55"/>
        <v>0</v>
      </c>
      <c r="P84" s="337">
        <f t="shared" si="55"/>
        <v>0</v>
      </c>
      <c r="Q84" s="337">
        <f t="shared" si="55"/>
        <v>0</v>
      </c>
    </row>
    <row r="85" spans="1:17" s="221" customFormat="1" ht="15.75" thickBot="1" x14ac:dyDescent="0.3">
      <c r="B85" s="369">
        <f t="shared" ref="B85:E85" si="56">SUM(B83:B84)</f>
        <v>0</v>
      </c>
      <c r="C85" s="369">
        <f t="shared" si="56"/>
        <v>0</v>
      </c>
      <c r="D85" s="369">
        <f t="shared" si="56"/>
        <v>0</v>
      </c>
      <c r="E85" s="369">
        <f t="shared" si="56"/>
        <v>0</v>
      </c>
      <c r="F85" s="369">
        <f>SUM(F83:F84)</f>
        <v>0</v>
      </c>
      <c r="G85" s="369">
        <f t="shared" ref="G85:Q85" si="57">SUM(G83:G84)</f>
        <v>0</v>
      </c>
      <c r="H85" s="369">
        <f t="shared" si="57"/>
        <v>0</v>
      </c>
      <c r="I85" s="369">
        <f t="shared" si="57"/>
        <v>0</v>
      </c>
      <c r="J85" s="369">
        <f t="shared" si="57"/>
        <v>0</v>
      </c>
      <c r="K85" s="369">
        <f t="shared" si="57"/>
        <v>0</v>
      </c>
      <c r="L85" s="369">
        <f t="shared" si="57"/>
        <v>0</v>
      </c>
      <c r="M85" s="369">
        <f t="shared" si="57"/>
        <v>0</v>
      </c>
      <c r="N85" s="369">
        <f t="shared" si="57"/>
        <v>0</v>
      </c>
      <c r="O85" s="369">
        <f t="shared" si="57"/>
        <v>0</v>
      </c>
      <c r="P85" s="369">
        <f t="shared" si="57"/>
        <v>0</v>
      </c>
      <c r="Q85" s="369">
        <f t="shared" si="57"/>
        <v>0</v>
      </c>
    </row>
    <row r="86" spans="1:17" s="221" customFormat="1" ht="15" x14ac:dyDescent="0.25"/>
    <row r="87" spans="1:17" s="221" customFormat="1" ht="15" x14ac:dyDescent="0.25">
      <c r="A87" s="366" t="s">
        <v>616</v>
      </c>
      <c r="B87" s="366"/>
      <c r="C87" s="367" t="e">
        <f t="shared" ref="C87:E87" si="58">C83/C78</f>
        <v>#DIV/0!</v>
      </c>
      <c r="D87" s="367" t="e">
        <f t="shared" si="58"/>
        <v>#DIV/0!</v>
      </c>
      <c r="E87" s="367" t="e">
        <f t="shared" si="58"/>
        <v>#DIV/0!</v>
      </c>
      <c r="F87" s="367">
        <f>F83/F78</f>
        <v>0</v>
      </c>
      <c r="G87" s="367">
        <f t="shared" ref="G87:Q87" si="59">G83/G78</f>
        <v>0</v>
      </c>
      <c r="H87" s="367">
        <f t="shared" si="59"/>
        <v>0</v>
      </c>
      <c r="I87" s="367">
        <f t="shared" si="59"/>
        <v>0</v>
      </c>
      <c r="J87" s="367">
        <f t="shared" si="59"/>
        <v>0</v>
      </c>
      <c r="K87" s="367">
        <f t="shared" si="59"/>
        <v>0</v>
      </c>
      <c r="L87" s="367">
        <f t="shared" si="59"/>
        <v>0</v>
      </c>
      <c r="M87" s="367">
        <f t="shared" si="59"/>
        <v>0</v>
      </c>
      <c r="N87" s="367">
        <f t="shared" si="59"/>
        <v>0</v>
      </c>
      <c r="O87" s="367">
        <f t="shared" si="59"/>
        <v>0</v>
      </c>
      <c r="P87" s="367">
        <f t="shared" si="59"/>
        <v>0</v>
      </c>
      <c r="Q87" s="367">
        <f t="shared" si="59"/>
        <v>0</v>
      </c>
    </row>
    <row r="92" spans="1:17" s="221" customFormat="1" ht="33.75" x14ac:dyDescent="0.5">
      <c r="A92" s="931" t="s">
        <v>1295</v>
      </c>
    </row>
    <row r="93" spans="1:17" s="152" customFormat="1" x14ac:dyDescent="0.3">
      <c r="A93" s="212"/>
      <c r="B93" s="213" t="s">
        <v>69</v>
      </c>
      <c r="C93" s="213" t="s">
        <v>69</v>
      </c>
      <c r="D93" s="213" t="s">
        <v>69</v>
      </c>
      <c r="E93" s="213" t="s">
        <v>69</v>
      </c>
      <c r="F93" s="213" t="s">
        <v>69</v>
      </c>
      <c r="G93" s="213" t="s">
        <v>71</v>
      </c>
      <c r="H93" s="213" t="s">
        <v>71</v>
      </c>
      <c r="I93" s="213" t="s">
        <v>71</v>
      </c>
      <c r="J93" s="213" t="s">
        <v>71</v>
      </c>
      <c r="K93" s="213" t="s">
        <v>71</v>
      </c>
      <c r="L93" s="213" t="s">
        <v>71</v>
      </c>
      <c r="M93" s="213" t="s">
        <v>71</v>
      </c>
      <c r="N93" s="213" t="s">
        <v>71</v>
      </c>
      <c r="O93" s="213" t="s">
        <v>71</v>
      </c>
      <c r="P93" s="213" t="s">
        <v>71</v>
      </c>
      <c r="Q93" s="213" t="s">
        <v>71</v>
      </c>
    </row>
    <row r="94" spans="1:17" s="152" customFormat="1" x14ac:dyDescent="0.3">
      <c r="A94" s="212" t="s">
        <v>73</v>
      </c>
      <c r="B94" s="213" t="s">
        <v>60</v>
      </c>
      <c r="C94" s="151" t="s">
        <v>68</v>
      </c>
      <c r="D94" s="151" t="s">
        <v>0</v>
      </c>
      <c r="E94" s="151" t="s">
        <v>1</v>
      </c>
      <c r="F94" s="151" t="s">
        <v>2</v>
      </c>
      <c r="G94" s="151" t="s">
        <v>3</v>
      </c>
      <c r="H94" s="151" t="s">
        <v>4</v>
      </c>
      <c r="I94" s="151" t="s">
        <v>5</v>
      </c>
      <c r="J94" s="151" t="s">
        <v>6</v>
      </c>
      <c r="K94" s="151" t="s">
        <v>7</v>
      </c>
      <c r="L94" s="151" t="s">
        <v>8</v>
      </c>
      <c r="M94" s="151" t="s">
        <v>9</v>
      </c>
      <c r="N94" s="151" t="s">
        <v>514</v>
      </c>
      <c r="O94" s="151" t="s">
        <v>515</v>
      </c>
      <c r="P94" s="151" t="s">
        <v>904</v>
      </c>
      <c r="Q94" s="151" t="s">
        <v>1046</v>
      </c>
    </row>
    <row r="95" spans="1:17" s="221" customFormat="1" ht="25.8" x14ac:dyDescent="0.5">
      <c r="A95" s="901" t="s">
        <v>1296</v>
      </c>
      <c r="D95" s="338"/>
    </row>
    <row r="96" spans="1:17" s="221" customFormat="1" x14ac:dyDescent="0.3">
      <c r="A96" s="339" t="s">
        <v>584</v>
      </c>
    </row>
    <row r="97" spans="1:17" s="221" customFormat="1" x14ac:dyDescent="0.3">
      <c r="A97" s="221" t="s">
        <v>612</v>
      </c>
      <c r="B97" s="337"/>
      <c r="C97" s="337"/>
      <c r="D97" s="337"/>
      <c r="E97" s="337"/>
      <c r="F97" s="337">
        <f>F110+F124</f>
        <v>8250</v>
      </c>
      <c r="G97" s="337">
        <f t="shared" ref="G97:Q97" si="60">G110+G124</f>
        <v>9622.0178893016346</v>
      </c>
      <c r="H97" s="337">
        <f t="shared" si="60"/>
        <v>8862.1095854383348</v>
      </c>
      <c r="I97" s="337">
        <f t="shared" si="60"/>
        <v>9179.5740890044563</v>
      </c>
      <c r="J97" s="337">
        <f t="shared" si="60"/>
        <v>9518.455042566864</v>
      </c>
      <c r="K97" s="337">
        <f t="shared" si="60"/>
        <v>10093.704721361348</v>
      </c>
      <c r="L97" s="337">
        <f t="shared" si="60"/>
        <v>10346.04733939538</v>
      </c>
      <c r="M97" s="337">
        <f t="shared" si="60"/>
        <v>10604.698522880264</v>
      </c>
      <c r="N97" s="337">
        <f t="shared" si="60"/>
        <v>10869.815985952269</v>
      </c>
      <c r="O97" s="337">
        <f t="shared" si="60"/>
        <v>11141.561385601075</v>
      </c>
      <c r="P97" s="337">
        <f t="shared" si="60"/>
        <v>11420.100420241102</v>
      </c>
      <c r="Q97" s="337">
        <f t="shared" si="60"/>
        <v>11705.602930747129</v>
      </c>
    </row>
    <row r="98" spans="1:17" s="221" customFormat="1" x14ac:dyDescent="0.3">
      <c r="A98" s="221" t="s">
        <v>613</v>
      </c>
      <c r="B98" s="337"/>
      <c r="C98" s="337"/>
      <c r="D98" s="337"/>
      <c r="E98" s="337"/>
      <c r="F98" s="337">
        <f>F111+F125</f>
        <v>1624</v>
      </c>
      <c r="G98" s="337">
        <f t="shared" ref="G98:Q98" si="61">G111+G125</f>
        <v>1664.9671106983653</v>
      </c>
      <c r="H98" s="337">
        <f t="shared" si="61"/>
        <v>1549.4554145616646</v>
      </c>
      <c r="I98" s="337">
        <f t="shared" si="61"/>
        <v>1591.609910995543</v>
      </c>
      <c r="J98" s="337">
        <f t="shared" si="61"/>
        <v>1631.0769574331359</v>
      </c>
      <c r="K98" s="337">
        <f t="shared" si="61"/>
        <v>1671.476278638652</v>
      </c>
      <c r="L98" s="337">
        <f t="shared" si="61"/>
        <v>1713.2631856046185</v>
      </c>
      <c r="M98" s="337">
        <f t="shared" si="61"/>
        <v>1756.0947652447339</v>
      </c>
      <c r="N98" s="337">
        <f t="shared" si="61"/>
        <v>1799.9971343758523</v>
      </c>
      <c r="O98" s="337">
        <f t="shared" si="61"/>
        <v>1844.9970627352484</v>
      </c>
      <c r="P98" s="337">
        <f t="shared" si="61"/>
        <v>1891.1219893036296</v>
      </c>
      <c r="Q98" s="337">
        <f t="shared" si="61"/>
        <v>1938.4000390362201</v>
      </c>
    </row>
    <row r="99" spans="1:17" s="221" customFormat="1" ht="15" thickBot="1" x14ac:dyDescent="0.35">
      <c r="A99" s="202" t="s">
        <v>614</v>
      </c>
      <c r="B99" s="368">
        <f>SUM(B97:B98)</f>
        <v>0</v>
      </c>
      <c r="C99" s="368">
        <f t="shared" ref="C99:Q99" si="62">SUM(C97:C98)</f>
        <v>0</v>
      </c>
      <c r="D99" s="368">
        <f t="shared" si="62"/>
        <v>0</v>
      </c>
      <c r="E99" s="368">
        <f t="shared" si="62"/>
        <v>0</v>
      </c>
      <c r="F99" s="368">
        <f t="shared" si="62"/>
        <v>9874</v>
      </c>
      <c r="G99" s="368">
        <f t="shared" si="62"/>
        <v>11286.985000000001</v>
      </c>
      <c r="H99" s="368">
        <f t="shared" si="62"/>
        <v>10411.564999999999</v>
      </c>
      <c r="I99" s="368">
        <f t="shared" si="62"/>
        <v>10771.183999999999</v>
      </c>
      <c r="J99" s="368">
        <f t="shared" si="62"/>
        <v>11149.531999999999</v>
      </c>
      <c r="K99" s="368">
        <f t="shared" si="62"/>
        <v>11765.181</v>
      </c>
      <c r="L99" s="368">
        <f t="shared" si="62"/>
        <v>12059.310524999999</v>
      </c>
      <c r="M99" s="368">
        <f t="shared" si="62"/>
        <v>12360.793288124998</v>
      </c>
      <c r="N99" s="368">
        <f t="shared" si="62"/>
        <v>12669.813120328121</v>
      </c>
      <c r="O99" s="368">
        <f t="shared" si="62"/>
        <v>12986.558448336324</v>
      </c>
      <c r="P99" s="368">
        <f t="shared" si="62"/>
        <v>13311.222409544731</v>
      </c>
      <c r="Q99" s="368">
        <f t="shared" si="62"/>
        <v>13644.002969783349</v>
      </c>
    </row>
    <row r="100" spans="1:17" s="221" customFormat="1" x14ac:dyDescent="0.3">
      <c r="B100" s="337"/>
      <c r="C100" s="337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</row>
    <row r="101" spans="1:17" s="221" customFormat="1" x14ac:dyDescent="0.3">
      <c r="B101" s="337"/>
      <c r="C101" s="337"/>
      <c r="D101" s="337"/>
      <c r="E101" s="337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</row>
    <row r="102" spans="1:17" s="221" customFormat="1" x14ac:dyDescent="0.3">
      <c r="A102" s="221" t="s">
        <v>615</v>
      </c>
      <c r="B102" s="337"/>
      <c r="C102" s="337"/>
      <c r="D102" s="337">
        <f>D97*0.4472</f>
        <v>0</v>
      </c>
      <c r="E102" s="337"/>
      <c r="F102" s="337">
        <f>F115+F129</f>
        <v>0</v>
      </c>
      <c r="G102" s="337">
        <f t="shared" ref="G102:Q102" si="63">G115+G129</f>
        <v>6862</v>
      </c>
      <c r="H102" s="337">
        <f t="shared" si="63"/>
        <v>6093.326</v>
      </c>
      <c r="I102" s="337">
        <f t="shared" si="63"/>
        <v>10469.0535</v>
      </c>
      <c r="J102" s="337">
        <f t="shared" si="63"/>
        <v>7109.5190000000002</v>
      </c>
      <c r="K102" s="337">
        <f t="shared" si="63"/>
        <v>7132.6670000000004</v>
      </c>
      <c r="L102" s="337">
        <f t="shared" si="63"/>
        <v>7221.0257000000001</v>
      </c>
      <c r="M102" s="337">
        <f t="shared" si="63"/>
        <v>7369.9183674999995</v>
      </c>
      <c r="N102" s="337">
        <f t="shared" si="63"/>
        <v>7933.9763516875</v>
      </c>
      <c r="O102" s="337">
        <f t="shared" si="63"/>
        <v>7761.2036454796871</v>
      </c>
      <c r="P102" s="337">
        <f t="shared" si="63"/>
        <v>8078.604338816679</v>
      </c>
      <c r="Q102" s="337">
        <f t="shared" si="63"/>
        <v>8196.1826210310974</v>
      </c>
    </row>
    <row r="103" spans="1:17" s="221" customFormat="1" x14ac:dyDescent="0.3">
      <c r="A103" s="221" t="s">
        <v>335</v>
      </c>
      <c r="B103" s="337"/>
      <c r="C103" s="337"/>
      <c r="D103" s="337"/>
      <c r="E103" s="337"/>
      <c r="F103" s="337">
        <f>F116+F130</f>
        <v>0</v>
      </c>
      <c r="G103" s="337">
        <f t="shared" ref="G103:Q103" si="64">G116+G130</f>
        <v>0</v>
      </c>
      <c r="H103" s="337">
        <f t="shared" si="64"/>
        <v>1734.672</v>
      </c>
      <c r="I103" s="337">
        <f t="shared" si="64"/>
        <v>1795.5137999999997</v>
      </c>
      <c r="J103" s="337">
        <f t="shared" si="64"/>
        <v>1830.759395</v>
      </c>
      <c r="K103" s="337">
        <f t="shared" si="64"/>
        <v>1784.2684048749998</v>
      </c>
      <c r="L103" s="337">
        <f t="shared" si="64"/>
        <v>1760.5397399968747</v>
      </c>
      <c r="M103" s="337">
        <f t="shared" si="64"/>
        <v>1787.4678584967965</v>
      </c>
      <c r="N103" s="337">
        <f t="shared" si="64"/>
        <v>1865.0691799592162</v>
      </c>
      <c r="O103" s="337">
        <f t="shared" si="64"/>
        <v>1893.3605344581968</v>
      </c>
      <c r="P103" s="337">
        <f t="shared" si="64"/>
        <v>1872.3591728196513</v>
      </c>
      <c r="Q103" s="337">
        <f t="shared" si="64"/>
        <v>1952.0827771401425</v>
      </c>
    </row>
    <row r="104" spans="1:17" s="221" customFormat="1" ht="15" thickBot="1" x14ac:dyDescent="0.35">
      <c r="B104" s="369">
        <f t="shared" ref="B104:E104" si="65">SUM(B102:B103)</f>
        <v>0</v>
      </c>
      <c r="C104" s="369">
        <f t="shared" si="65"/>
        <v>0</v>
      </c>
      <c r="D104" s="369">
        <f t="shared" si="65"/>
        <v>0</v>
      </c>
      <c r="E104" s="369">
        <f t="shared" si="65"/>
        <v>0</v>
      </c>
      <c r="F104" s="369">
        <f>SUM(F102:F103)</f>
        <v>0</v>
      </c>
      <c r="G104" s="369">
        <f t="shared" ref="G104:Q104" si="66">SUM(G102:G103)</f>
        <v>6862</v>
      </c>
      <c r="H104" s="369">
        <f t="shared" si="66"/>
        <v>7827.9979999999996</v>
      </c>
      <c r="I104" s="369">
        <f t="shared" si="66"/>
        <v>12264.567299999999</v>
      </c>
      <c r="J104" s="369">
        <f t="shared" si="66"/>
        <v>8940.2783950000012</v>
      </c>
      <c r="K104" s="369">
        <f t="shared" si="66"/>
        <v>8916.9354048749992</v>
      </c>
      <c r="L104" s="369">
        <f t="shared" si="66"/>
        <v>8981.5654399968753</v>
      </c>
      <c r="M104" s="369">
        <f t="shared" si="66"/>
        <v>9157.3862259967955</v>
      </c>
      <c r="N104" s="369">
        <f t="shared" si="66"/>
        <v>9799.045531646716</v>
      </c>
      <c r="O104" s="369">
        <f t="shared" si="66"/>
        <v>9654.5641799378845</v>
      </c>
      <c r="P104" s="369">
        <f t="shared" si="66"/>
        <v>9950.9635116363297</v>
      </c>
      <c r="Q104" s="369">
        <f t="shared" si="66"/>
        <v>10148.265398171239</v>
      </c>
    </row>
    <row r="105" spans="1:17" s="221" customFormat="1" x14ac:dyDescent="0.3"/>
    <row r="106" spans="1:17" s="221" customFormat="1" x14ac:dyDescent="0.3">
      <c r="A106" s="366" t="s">
        <v>616</v>
      </c>
      <c r="B106" s="366"/>
      <c r="C106" s="367" t="e">
        <f t="shared" ref="C106:E106" si="67">C102/C97</f>
        <v>#DIV/0!</v>
      </c>
      <c r="D106" s="367" t="e">
        <f t="shared" si="67"/>
        <v>#DIV/0!</v>
      </c>
      <c r="E106" s="367" t="e">
        <f t="shared" si="67"/>
        <v>#DIV/0!</v>
      </c>
      <c r="F106" s="367">
        <f>F102/F97</f>
        <v>0</v>
      </c>
      <c r="G106" s="367">
        <f t="shared" ref="G106:Q106" si="68">G102/G97</f>
        <v>0.71315602183920312</v>
      </c>
      <c r="H106" s="367">
        <f t="shared" si="68"/>
        <v>0.68757059944419696</v>
      </c>
      <c r="I106" s="367">
        <f t="shared" si="68"/>
        <v>1.1404726840802033</v>
      </c>
      <c r="J106" s="367">
        <f t="shared" si="68"/>
        <v>0.74691942843728132</v>
      </c>
      <c r="K106" s="367">
        <f t="shared" si="68"/>
        <v>0.70664510176378637</v>
      </c>
      <c r="L106" s="367">
        <f t="shared" si="68"/>
        <v>0.69795018939300491</v>
      </c>
      <c r="M106" s="367">
        <f t="shared" si="68"/>
        <v>0.6949672686685967</v>
      </c>
      <c r="N106" s="367">
        <f t="shared" si="68"/>
        <v>0.72990898483847977</v>
      </c>
      <c r="O106" s="367">
        <f t="shared" si="68"/>
        <v>0.69659928055595222</v>
      </c>
      <c r="P106" s="367">
        <f t="shared" si="68"/>
        <v>0.70740221552676352</v>
      </c>
      <c r="Q106" s="367">
        <f t="shared" si="68"/>
        <v>0.70019311858786604</v>
      </c>
    </row>
    <row r="107" spans="1:17" s="221" customFormat="1" x14ac:dyDescent="0.3"/>
    <row r="108" spans="1:17" s="221" customFormat="1" ht="25.8" x14ac:dyDescent="0.5">
      <c r="A108" s="901" t="s">
        <v>1294</v>
      </c>
    </row>
    <row r="109" spans="1:17" s="221" customFormat="1" x14ac:dyDescent="0.3">
      <c r="A109" s="339" t="s">
        <v>584</v>
      </c>
    </row>
    <row r="110" spans="1:17" s="221" customFormat="1" x14ac:dyDescent="0.3">
      <c r="A110" s="221" t="s">
        <v>612</v>
      </c>
      <c r="B110" s="337"/>
      <c r="C110" s="337"/>
      <c r="D110" s="337"/>
      <c r="E110" s="337"/>
      <c r="F110" s="337">
        <f>'GF &amp; FF  Inc Exp Statement'!E171-F111</f>
        <v>5616</v>
      </c>
      <c r="G110" s="337">
        <f>'GF &amp; FF  Inc Exp Statement'!F171-G111</f>
        <v>6905.496000000001</v>
      </c>
      <c r="H110" s="337">
        <f>'GF &amp; FF  Inc Exp Statement'!G171-H111</f>
        <v>6136.0370000000003</v>
      </c>
      <c r="I110" s="337">
        <f>'GF &amp; FF  Inc Exp Statement'!H171-I111</f>
        <v>6230.1202999999996</v>
      </c>
      <c r="J110" s="337">
        <f>'GF &amp; FF  Inc Exp Statement'!I171-J111</f>
        <v>6509.9427075000003</v>
      </c>
      <c r="K110" s="337">
        <f>'GF &amp; FF  Inc Exp Statement'!J171-K111</f>
        <v>7027.1279501874997</v>
      </c>
      <c r="L110" s="337">
        <f>'GF &amp; FF  Inc Exp Statement'!K171-L111</f>
        <v>7202.8061489421862</v>
      </c>
      <c r="M110" s="337">
        <f>'GF &amp; FF  Inc Exp Statement'!L171-M111</f>
        <v>7382.8763026657416</v>
      </c>
      <c r="N110" s="337">
        <f>'GF &amp; FF  Inc Exp Statement'!M171-N111</f>
        <v>7567.4482102323836</v>
      </c>
      <c r="O110" s="337">
        <f>'GF &amp; FF  Inc Exp Statement'!N171-O111</f>
        <v>7756.6344154881936</v>
      </c>
      <c r="P110" s="337">
        <f>'GF &amp; FF  Inc Exp Statement'!O171-P111</f>
        <v>7950.5502758753973</v>
      </c>
      <c r="Q110" s="337">
        <f>'GF &amp; FF  Inc Exp Statement'!P171-Q111</f>
        <v>8149.3140327722822</v>
      </c>
    </row>
    <row r="111" spans="1:17" s="221" customFormat="1" x14ac:dyDescent="0.3">
      <c r="A111" s="221" t="s">
        <v>613</v>
      </c>
      <c r="B111" s="337"/>
      <c r="C111" s="337"/>
      <c r="D111" s="337"/>
      <c r="E111" s="337"/>
      <c r="F111" s="337">
        <f>1160+166+92+125+23</f>
        <v>1566</v>
      </c>
      <c r="G111" s="337">
        <f>F111*1.025</f>
        <v>1605.1499999999999</v>
      </c>
      <c r="H111" s="337">
        <f>H65</f>
        <v>1489.4280000000001</v>
      </c>
      <c r="I111" s="337">
        <f t="shared" ref="I111:Q111" si="69">I65</f>
        <v>1526.6637000000001</v>
      </c>
      <c r="J111" s="337">
        <f t="shared" si="69"/>
        <v>1564.8302925</v>
      </c>
      <c r="K111" s="337">
        <f t="shared" si="69"/>
        <v>1603.9510498124998</v>
      </c>
      <c r="L111" s="337">
        <f t="shared" si="69"/>
        <v>1644.0498260578122</v>
      </c>
      <c r="M111" s="337">
        <f t="shared" si="69"/>
        <v>1685.1510717092574</v>
      </c>
      <c r="N111" s="337">
        <f t="shared" si="69"/>
        <v>1727.2798485019887</v>
      </c>
      <c r="O111" s="337">
        <f t="shared" si="69"/>
        <v>1770.4618447145383</v>
      </c>
      <c r="P111" s="337">
        <f t="shared" si="69"/>
        <v>1814.7233908324015</v>
      </c>
      <c r="Q111" s="337">
        <f t="shared" si="69"/>
        <v>1860.0914756032114</v>
      </c>
    </row>
    <row r="112" spans="1:17" s="221" customFormat="1" ht="15" thickBot="1" x14ac:dyDescent="0.35">
      <c r="A112" s="202" t="s">
        <v>614</v>
      </c>
      <c r="B112" s="368">
        <f>SUM(B110:B111)</f>
        <v>0</v>
      </c>
      <c r="C112" s="368">
        <f t="shared" ref="C112:Q112" si="70">SUM(C110:C111)</f>
        <v>0</v>
      </c>
      <c r="D112" s="368">
        <f t="shared" si="70"/>
        <v>0</v>
      </c>
      <c r="E112" s="368">
        <f t="shared" si="70"/>
        <v>0</v>
      </c>
      <c r="F112" s="368">
        <f t="shared" si="70"/>
        <v>7182</v>
      </c>
      <c r="G112" s="368">
        <f t="shared" si="70"/>
        <v>8510.6460000000006</v>
      </c>
      <c r="H112" s="368">
        <f t="shared" si="70"/>
        <v>7625.4650000000001</v>
      </c>
      <c r="I112" s="368">
        <f t="shared" si="70"/>
        <v>7756.7839999999997</v>
      </c>
      <c r="J112" s="368">
        <f t="shared" si="70"/>
        <v>8074.7730000000001</v>
      </c>
      <c r="K112" s="368">
        <f t="shared" si="70"/>
        <v>8631.0789999999997</v>
      </c>
      <c r="L112" s="368">
        <f t="shared" si="70"/>
        <v>8846.8559749999986</v>
      </c>
      <c r="M112" s="368">
        <f t="shared" si="70"/>
        <v>9068.0273743749985</v>
      </c>
      <c r="N112" s="368">
        <f t="shared" si="70"/>
        <v>9294.7280587343721</v>
      </c>
      <c r="O112" s="368">
        <f t="shared" si="70"/>
        <v>9527.0962602027321</v>
      </c>
      <c r="P112" s="368">
        <f t="shared" si="70"/>
        <v>9765.2736667077988</v>
      </c>
      <c r="Q112" s="368">
        <f t="shared" si="70"/>
        <v>10009.405508375494</v>
      </c>
    </row>
    <row r="113" spans="1:17" s="221" customFormat="1" x14ac:dyDescent="0.3">
      <c r="B113" s="337"/>
      <c r="C113" s="337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</row>
    <row r="114" spans="1:17" s="221" customFormat="1" x14ac:dyDescent="0.3">
      <c r="B114" s="337"/>
      <c r="C114" s="337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</row>
    <row r="115" spans="1:17" s="337" customFormat="1" x14ac:dyDescent="0.3">
      <c r="A115" s="337" t="s">
        <v>615</v>
      </c>
      <c r="F115" s="337">
        <f>F69</f>
        <v>0</v>
      </c>
      <c r="G115" s="337">
        <f t="shared" ref="G115:Q115" si="71">G69</f>
        <v>6862</v>
      </c>
      <c r="H115" s="337">
        <f t="shared" si="71"/>
        <v>6093.326</v>
      </c>
      <c r="I115" s="337">
        <f t="shared" si="71"/>
        <v>10469.0535</v>
      </c>
      <c r="J115" s="337">
        <f t="shared" si="71"/>
        <v>7109.5190000000002</v>
      </c>
      <c r="K115" s="337">
        <f t="shared" si="71"/>
        <v>7132.6670000000004</v>
      </c>
      <c r="L115" s="337">
        <f t="shared" si="71"/>
        <v>7221.0257000000001</v>
      </c>
      <c r="M115" s="337">
        <f t="shared" si="71"/>
        <v>7369.9183674999995</v>
      </c>
      <c r="N115" s="337">
        <f t="shared" si="71"/>
        <v>7933.9763516875</v>
      </c>
      <c r="O115" s="337">
        <f t="shared" si="71"/>
        <v>7761.2036454796871</v>
      </c>
      <c r="P115" s="337">
        <f t="shared" si="71"/>
        <v>8078.604338816679</v>
      </c>
      <c r="Q115" s="337">
        <f t="shared" si="71"/>
        <v>8196.1826210310974</v>
      </c>
    </row>
    <row r="116" spans="1:17" s="337" customFormat="1" x14ac:dyDescent="0.3">
      <c r="A116" s="337" t="s">
        <v>335</v>
      </c>
      <c r="F116" s="337">
        <f>F70</f>
        <v>0</v>
      </c>
      <c r="G116" s="337">
        <f t="shared" ref="G116:Q116" si="72">G70</f>
        <v>0</v>
      </c>
      <c r="H116" s="337">
        <f t="shared" si="72"/>
        <v>1734.672</v>
      </c>
      <c r="I116" s="337">
        <f t="shared" si="72"/>
        <v>1795.5137999999997</v>
      </c>
      <c r="J116" s="337">
        <f t="shared" si="72"/>
        <v>1830.759395</v>
      </c>
      <c r="K116" s="337">
        <f t="shared" si="72"/>
        <v>1784.2684048749998</v>
      </c>
      <c r="L116" s="337">
        <f t="shared" si="72"/>
        <v>1760.5397399968747</v>
      </c>
      <c r="M116" s="337">
        <f t="shared" si="72"/>
        <v>1787.4678584967965</v>
      </c>
      <c r="N116" s="337">
        <f t="shared" si="72"/>
        <v>1865.0691799592162</v>
      </c>
      <c r="O116" s="337">
        <f t="shared" si="72"/>
        <v>1893.3605344581968</v>
      </c>
      <c r="P116" s="337">
        <f t="shared" si="72"/>
        <v>1872.3591728196513</v>
      </c>
      <c r="Q116" s="337">
        <f t="shared" si="72"/>
        <v>1952.0827771401425</v>
      </c>
    </row>
    <row r="117" spans="1:17" s="221" customFormat="1" ht="15" thickBot="1" x14ac:dyDescent="0.35">
      <c r="B117" s="369">
        <f t="shared" ref="B117:H117" si="73">SUM(B115:B116)</f>
        <v>0</v>
      </c>
      <c r="C117" s="369">
        <f t="shared" si="73"/>
        <v>0</v>
      </c>
      <c r="D117" s="369">
        <f t="shared" si="73"/>
        <v>0</v>
      </c>
      <c r="E117" s="369">
        <f t="shared" si="73"/>
        <v>0</v>
      </c>
      <c r="F117" s="369">
        <f t="shared" si="73"/>
        <v>0</v>
      </c>
      <c r="G117" s="369">
        <f t="shared" si="73"/>
        <v>6862</v>
      </c>
      <c r="H117" s="369">
        <f t="shared" si="73"/>
        <v>7827.9979999999996</v>
      </c>
      <c r="I117" s="369">
        <f t="shared" ref="I117:Q117" si="74">SUM(I115:I116)</f>
        <v>12264.567299999999</v>
      </c>
      <c r="J117" s="369">
        <f t="shared" si="74"/>
        <v>8940.2783950000012</v>
      </c>
      <c r="K117" s="369">
        <f t="shared" si="74"/>
        <v>8916.9354048749992</v>
      </c>
      <c r="L117" s="369">
        <f t="shared" si="74"/>
        <v>8981.5654399968753</v>
      </c>
      <c r="M117" s="369">
        <f t="shared" si="74"/>
        <v>9157.3862259967955</v>
      </c>
      <c r="N117" s="369">
        <f t="shared" si="74"/>
        <v>9799.045531646716</v>
      </c>
      <c r="O117" s="369">
        <f t="shared" si="74"/>
        <v>9654.5641799378845</v>
      </c>
      <c r="P117" s="369">
        <f t="shared" si="74"/>
        <v>9950.9635116363297</v>
      </c>
      <c r="Q117" s="369">
        <f t="shared" si="74"/>
        <v>10148.265398171239</v>
      </c>
    </row>
    <row r="118" spans="1:17" s="221" customFormat="1" x14ac:dyDescent="0.3"/>
    <row r="119" spans="1:17" s="221" customFormat="1" x14ac:dyDescent="0.3">
      <c r="A119" s="366" t="s">
        <v>616</v>
      </c>
      <c r="B119" s="366"/>
      <c r="C119" s="367" t="e">
        <f t="shared" ref="C119:E119" si="75">C115/C110</f>
        <v>#DIV/0!</v>
      </c>
      <c r="D119" s="367" t="e">
        <f t="shared" si="75"/>
        <v>#DIV/0!</v>
      </c>
      <c r="E119" s="367" t="e">
        <f t="shared" si="75"/>
        <v>#DIV/0!</v>
      </c>
      <c r="F119" s="367">
        <f>H115/F110</f>
        <v>1.0849939458689459</v>
      </c>
      <c r="G119" s="367">
        <f t="shared" ref="G119:Q119" si="76">G115/G110</f>
        <v>0.99370124897617762</v>
      </c>
      <c r="H119" s="367">
        <f t="shared" si="76"/>
        <v>0.99303931837438397</v>
      </c>
      <c r="I119" s="367">
        <f t="shared" si="76"/>
        <v>1.6803934749060947</v>
      </c>
      <c r="J119" s="367">
        <f t="shared" si="76"/>
        <v>1.0921016235379826</v>
      </c>
      <c r="K119" s="367">
        <f t="shared" si="76"/>
        <v>1.0150188029249823</v>
      </c>
      <c r="L119" s="367">
        <f t="shared" si="76"/>
        <v>1.0025295073449241</v>
      </c>
      <c r="M119" s="367">
        <f t="shared" si="76"/>
        <v>0.99824486627778619</v>
      </c>
      <c r="N119" s="367">
        <f t="shared" si="76"/>
        <v>1.0484348397600545</v>
      </c>
      <c r="O119" s="367">
        <f t="shared" si="76"/>
        <v>1.0005890737846779</v>
      </c>
      <c r="P119" s="367">
        <f t="shared" si="76"/>
        <v>1.016106314468552</v>
      </c>
      <c r="Q119" s="367">
        <f t="shared" si="76"/>
        <v>1.0057512310938483</v>
      </c>
    </row>
    <row r="120" spans="1:17" s="221" customFormat="1" x14ac:dyDescent="0.3"/>
    <row r="121" spans="1:17" s="221" customFormat="1" x14ac:dyDescent="0.3"/>
    <row r="122" spans="1:17" s="221" customFormat="1" ht="23.4" x14ac:dyDescent="0.45">
      <c r="A122" s="902" t="s">
        <v>1293</v>
      </c>
    </row>
    <row r="123" spans="1:17" s="221" customFormat="1" x14ac:dyDescent="0.3">
      <c r="A123" s="339" t="s">
        <v>584</v>
      </c>
    </row>
    <row r="124" spans="1:17" s="221" customFormat="1" x14ac:dyDescent="0.3">
      <c r="A124" s="221" t="s">
        <v>612</v>
      </c>
      <c r="B124" s="337"/>
      <c r="C124" s="337"/>
      <c r="D124" s="337"/>
      <c r="E124" s="337"/>
      <c r="F124" s="337">
        <f>1438+1196</f>
        <v>2634</v>
      </c>
      <c r="G124" s="337">
        <f>F124/F126*('Water  Fund  Inc Exp Statement '!F165+'Sewer  Fund  Inc Exp Statem'!F165)</f>
        <v>2716.5218893016345</v>
      </c>
      <c r="H124" s="337">
        <f>G124/G126*('Water  Fund  Inc Exp Statement '!G165+'Sewer  Fund  Inc Exp Statem'!G165)</f>
        <v>2726.0725854383354</v>
      </c>
      <c r="I124" s="337">
        <f>H124/H126*('Water  Fund  Inc Exp Statement '!H165+'Sewer  Fund  Inc Exp Statem'!H165)</f>
        <v>2949.4537890044571</v>
      </c>
      <c r="J124" s="337">
        <f>I124/I126*('Water  Fund  Inc Exp Statement '!I165+'Sewer  Fund  Inc Exp Statem'!I165)</f>
        <v>3008.5123350668641</v>
      </c>
      <c r="K124" s="337">
        <f>J124/J126*('Water  Fund  Inc Exp Statement '!J165+'Sewer  Fund  Inc Exp Statem'!J165)</f>
        <v>3066.5767711738476</v>
      </c>
      <c r="L124" s="337">
        <f>K124/K126*('Water  Fund  Inc Exp Statement '!K165+'Sewer  Fund  Inc Exp Statem'!K165)</f>
        <v>3143.2411904531932</v>
      </c>
      <c r="M124" s="337">
        <f>L124/L126*('Water  Fund  Inc Exp Statement '!L165+'Sewer  Fund  Inc Exp Statem'!L165)</f>
        <v>3221.822220214523</v>
      </c>
      <c r="N124" s="337">
        <f>M124/M126*('Water  Fund  Inc Exp Statement '!M165+'Sewer  Fund  Inc Exp Statem'!M165)</f>
        <v>3302.3677757198857</v>
      </c>
      <c r="O124" s="337">
        <f>N124/N126*('Water  Fund  Inc Exp Statement '!N165+'Sewer  Fund  Inc Exp Statem'!N165)</f>
        <v>3384.9269701128824</v>
      </c>
      <c r="P124" s="337">
        <f>O124/O126*('Water  Fund  Inc Exp Statement '!O165+'Sewer  Fund  Inc Exp Statem'!O165)</f>
        <v>3469.550144365704</v>
      </c>
      <c r="Q124" s="337">
        <f>P124/P126*('Water  Fund  Inc Exp Statement '!P165+'Sewer  Fund  Inc Exp Statem'!P165)</f>
        <v>3556.2888979748463</v>
      </c>
    </row>
    <row r="125" spans="1:17" s="221" customFormat="1" x14ac:dyDescent="0.3">
      <c r="A125" s="221" t="s">
        <v>613</v>
      </c>
      <c r="B125" s="337"/>
      <c r="C125" s="337"/>
      <c r="D125" s="337">
        <f>'GF &amp; FF  Inc Exp Statement'!D160-D124</f>
        <v>0</v>
      </c>
      <c r="E125" s="337">
        <f>'GF &amp; FF  Inc Exp Statement'!E160-E124</f>
        <v>0</v>
      </c>
      <c r="F125" s="337">
        <f>'Water  Fund  Inc Exp Statement '!E165+'Sewer  Fund  Inc Exp Statem'!E165-F124</f>
        <v>58</v>
      </c>
      <c r="G125" s="337">
        <f>'Water  Fund  Inc Exp Statement '!F165+'Sewer  Fund  Inc Exp Statem'!F165-G124</f>
        <v>59.817110698365468</v>
      </c>
      <c r="H125" s="337">
        <f>'Water  Fund  Inc Exp Statement '!G165+'Sewer  Fund  Inc Exp Statem'!G165-H124</f>
        <v>60.0274145616645</v>
      </c>
      <c r="I125" s="337">
        <f>'Water  Fund  Inc Exp Statement '!H165+'Sewer  Fund  Inc Exp Statem'!H165-I124</f>
        <v>64.94621099554297</v>
      </c>
      <c r="J125" s="337">
        <f>'Water  Fund  Inc Exp Statement '!I165+'Sewer  Fund  Inc Exp Statem'!I165-J124</f>
        <v>66.246664933135889</v>
      </c>
      <c r="K125" s="337">
        <f>'Water  Fund  Inc Exp Statement '!J165+'Sewer  Fund  Inc Exp Statem'!J165-K124</f>
        <v>67.525228826152215</v>
      </c>
      <c r="L125" s="337">
        <f>'Water  Fund  Inc Exp Statement '!K165+'Sewer  Fund  Inc Exp Statem'!K165-L124</f>
        <v>69.213359546806259</v>
      </c>
      <c r="M125" s="337">
        <f>'Water  Fund  Inc Exp Statement '!L165+'Sewer  Fund  Inc Exp Statem'!L165-M124</f>
        <v>70.943693535476541</v>
      </c>
      <c r="N125" s="337">
        <f>'Water  Fund  Inc Exp Statement '!M165+'Sewer  Fund  Inc Exp Statem'!M165-N124</f>
        <v>72.717285873863602</v>
      </c>
      <c r="O125" s="337">
        <f>'Water  Fund  Inc Exp Statement '!N165+'Sewer  Fund  Inc Exp Statem'!N165-O124</f>
        <v>74.53521802071009</v>
      </c>
      <c r="P125" s="337">
        <f>'Water  Fund  Inc Exp Statement '!O165+'Sewer  Fund  Inc Exp Statem'!O165-P124</f>
        <v>76.39859847122807</v>
      </c>
      <c r="Q125" s="337">
        <f>'Water  Fund  Inc Exp Statement '!P165+'Sewer  Fund  Inc Exp Statem'!P165-Q124</f>
        <v>78.308563433008658</v>
      </c>
    </row>
    <row r="126" spans="1:17" s="221" customFormat="1" ht="15" thickBot="1" x14ac:dyDescent="0.35">
      <c r="A126" s="202" t="s">
        <v>614</v>
      </c>
      <c r="B126" s="368">
        <f>SUM(B124:B125)</f>
        <v>0</v>
      </c>
      <c r="C126" s="368">
        <f t="shared" ref="C126:Q126" si="77">SUM(C124:C125)</f>
        <v>0</v>
      </c>
      <c r="D126" s="368">
        <f t="shared" si="77"/>
        <v>0</v>
      </c>
      <c r="E126" s="368">
        <f t="shared" si="77"/>
        <v>0</v>
      </c>
      <c r="F126" s="368">
        <f t="shared" si="77"/>
        <v>2692</v>
      </c>
      <c r="G126" s="368">
        <f t="shared" si="77"/>
        <v>2776.3389999999999</v>
      </c>
      <c r="H126" s="368">
        <f t="shared" si="77"/>
        <v>2786.1</v>
      </c>
      <c r="I126" s="368">
        <f t="shared" si="77"/>
        <v>3014.4</v>
      </c>
      <c r="J126" s="368">
        <f t="shared" si="77"/>
        <v>3074.759</v>
      </c>
      <c r="K126" s="368">
        <f t="shared" si="77"/>
        <v>3134.1019999999999</v>
      </c>
      <c r="L126" s="368">
        <f t="shared" si="77"/>
        <v>3212.4545499999995</v>
      </c>
      <c r="M126" s="368">
        <f t="shared" si="77"/>
        <v>3292.7659137499995</v>
      </c>
      <c r="N126" s="368">
        <f t="shared" si="77"/>
        <v>3375.0850615937493</v>
      </c>
      <c r="O126" s="368">
        <f t="shared" si="77"/>
        <v>3459.4621881335925</v>
      </c>
      <c r="P126" s="368">
        <f t="shared" si="77"/>
        <v>3545.9487428369321</v>
      </c>
      <c r="Q126" s="368">
        <f t="shared" si="77"/>
        <v>3634.597461407855</v>
      </c>
    </row>
    <row r="127" spans="1:17" s="221" customFormat="1" x14ac:dyDescent="0.3">
      <c r="B127" s="337"/>
      <c r="C127" s="337"/>
      <c r="D127" s="337"/>
      <c r="E127" s="337"/>
      <c r="F127" s="337"/>
      <c r="G127" s="337"/>
      <c r="H127" s="337"/>
      <c r="I127" s="337"/>
      <c r="J127" s="337"/>
      <c r="K127" s="337"/>
      <c r="L127" s="337"/>
      <c r="M127" s="337"/>
      <c r="N127" s="337"/>
      <c r="O127" s="337"/>
      <c r="P127" s="337"/>
      <c r="Q127" s="337"/>
    </row>
    <row r="128" spans="1:17" s="221" customFormat="1" x14ac:dyDescent="0.3">
      <c r="B128" s="337"/>
      <c r="C128" s="337"/>
      <c r="D128" s="337"/>
      <c r="E128" s="337"/>
      <c r="F128" s="337"/>
      <c r="G128" s="337"/>
      <c r="H128" s="337"/>
      <c r="I128" s="337"/>
      <c r="J128" s="337"/>
      <c r="K128" s="337"/>
      <c r="L128" s="337"/>
      <c r="M128" s="337"/>
      <c r="N128" s="337"/>
      <c r="O128" s="337"/>
      <c r="P128" s="337"/>
      <c r="Q128" s="337"/>
    </row>
    <row r="129" spans="1:17" s="221" customFormat="1" x14ac:dyDescent="0.3">
      <c r="A129" s="221" t="s">
        <v>615</v>
      </c>
      <c r="B129" s="337"/>
      <c r="C129" s="337"/>
      <c r="D129" s="337">
        <f>D124*0.4472</f>
        <v>0</v>
      </c>
      <c r="E129" s="337"/>
      <c r="F129" s="337">
        <f>F83</f>
        <v>0</v>
      </c>
      <c r="G129" s="337">
        <f t="shared" ref="G129:P129" si="78">G83</f>
        <v>0</v>
      </c>
      <c r="H129" s="337">
        <f t="shared" si="78"/>
        <v>0</v>
      </c>
      <c r="I129" s="337">
        <f t="shared" si="78"/>
        <v>0</v>
      </c>
      <c r="J129" s="337">
        <f t="shared" si="78"/>
        <v>0</v>
      </c>
      <c r="K129" s="337">
        <f t="shared" si="78"/>
        <v>0</v>
      </c>
      <c r="L129" s="337">
        <f t="shared" si="78"/>
        <v>0</v>
      </c>
      <c r="M129" s="337">
        <f t="shared" si="78"/>
        <v>0</v>
      </c>
      <c r="N129" s="337">
        <f t="shared" si="78"/>
        <v>0</v>
      </c>
      <c r="O129" s="337">
        <f t="shared" si="78"/>
        <v>0</v>
      </c>
      <c r="P129" s="337">
        <f t="shared" si="78"/>
        <v>0</v>
      </c>
      <c r="Q129" s="337">
        <f t="shared" ref="Q129" si="79">Q83</f>
        <v>0</v>
      </c>
    </row>
    <row r="130" spans="1:17" s="221" customFormat="1" x14ac:dyDescent="0.3">
      <c r="A130" s="221" t="s">
        <v>335</v>
      </c>
      <c r="B130" s="337"/>
      <c r="C130" s="337"/>
      <c r="D130" s="337"/>
      <c r="E130" s="337"/>
      <c r="F130" s="337">
        <f>F84</f>
        <v>0</v>
      </c>
      <c r="G130" s="337">
        <f t="shared" ref="G130:P130" si="80">G84</f>
        <v>0</v>
      </c>
      <c r="H130" s="337">
        <f t="shared" si="80"/>
        <v>0</v>
      </c>
      <c r="I130" s="337">
        <f t="shared" si="80"/>
        <v>0</v>
      </c>
      <c r="J130" s="337">
        <f t="shared" si="80"/>
        <v>0</v>
      </c>
      <c r="K130" s="337">
        <f t="shared" si="80"/>
        <v>0</v>
      </c>
      <c r="L130" s="337">
        <f t="shared" si="80"/>
        <v>0</v>
      </c>
      <c r="M130" s="337">
        <f t="shared" si="80"/>
        <v>0</v>
      </c>
      <c r="N130" s="337">
        <f t="shared" si="80"/>
        <v>0</v>
      </c>
      <c r="O130" s="337">
        <f t="shared" si="80"/>
        <v>0</v>
      </c>
      <c r="P130" s="337">
        <f t="shared" si="80"/>
        <v>0</v>
      </c>
      <c r="Q130" s="337">
        <f t="shared" ref="Q130" si="81">Q84</f>
        <v>0</v>
      </c>
    </row>
    <row r="131" spans="1:17" s="221" customFormat="1" ht="15" thickBot="1" x14ac:dyDescent="0.35">
      <c r="B131" s="369">
        <f t="shared" ref="B131:E131" si="82">SUM(B129:B130)</f>
        <v>0</v>
      </c>
      <c r="C131" s="369">
        <f t="shared" si="82"/>
        <v>0</v>
      </c>
      <c r="D131" s="369">
        <f t="shared" si="82"/>
        <v>0</v>
      </c>
      <c r="E131" s="369">
        <f t="shared" si="82"/>
        <v>0</v>
      </c>
      <c r="F131" s="369">
        <f>SUM(F129:F130)</f>
        <v>0</v>
      </c>
      <c r="G131" s="369">
        <f t="shared" ref="G131:Q131" si="83">SUM(G129:G130)</f>
        <v>0</v>
      </c>
      <c r="H131" s="369">
        <f t="shared" si="83"/>
        <v>0</v>
      </c>
      <c r="I131" s="369">
        <f t="shared" si="83"/>
        <v>0</v>
      </c>
      <c r="J131" s="369">
        <f t="shared" si="83"/>
        <v>0</v>
      </c>
      <c r="K131" s="369">
        <f t="shared" si="83"/>
        <v>0</v>
      </c>
      <c r="L131" s="369">
        <f t="shared" si="83"/>
        <v>0</v>
      </c>
      <c r="M131" s="369">
        <f t="shared" si="83"/>
        <v>0</v>
      </c>
      <c r="N131" s="369">
        <f t="shared" si="83"/>
        <v>0</v>
      </c>
      <c r="O131" s="369">
        <f t="shared" si="83"/>
        <v>0</v>
      </c>
      <c r="P131" s="369">
        <f t="shared" si="83"/>
        <v>0</v>
      </c>
      <c r="Q131" s="369">
        <f t="shared" si="83"/>
        <v>0</v>
      </c>
    </row>
    <row r="132" spans="1:17" s="221" customFormat="1" x14ac:dyDescent="0.3"/>
    <row r="133" spans="1:17" s="221" customFormat="1" x14ac:dyDescent="0.3">
      <c r="A133" s="366" t="s">
        <v>616</v>
      </c>
      <c r="B133" s="366"/>
      <c r="C133" s="367" t="e">
        <f t="shared" ref="C133:E133" si="84">C129/C124</f>
        <v>#DIV/0!</v>
      </c>
      <c r="D133" s="367" t="e">
        <f t="shared" si="84"/>
        <v>#DIV/0!</v>
      </c>
      <c r="E133" s="367" t="e">
        <f t="shared" si="84"/>
        <v>#DIV/0!</v>
      </c>
      <c r="F133" s="367">
        <f>F129/F124</f>
        <v>0</v>
      </c>
      <c r="G133" s="367">
        <f t="shared" ref="G133:Q133" si="85">G129/G124</f>
        <v>0</v>
      </c>
      <c r="H133" s="367">
        <f t="shared" si="85"/>
        <v>0</v>
      </c>
      <c r="I133" s="367">
        <f t="shared" si="85"/>
        <v>0</v>
      </c>
      <c r="J133" s="367">
        <f t="shared" si="85"/>
        <v>0</v>
      </c>
      <c r="K133" s="367">
        <f t="shared" si="85"/>
        <v>0</v>
      </c>
      <c r="L133" s="367">
        <f t="shared" si="85"/>
        <v>0</v>
      </c>
      <c r="M133" s="367">
        <f t="shared" si="85"/>
        <v>0</v>
      </c>
      <c r="N133" s="367">
        <f t="shared" si="85"/>
        <v>0</v>
      </c>
      <c r="O133" s="367">
        <f t="shared" si="85"/>
        <v>0</v>
      </c>
      <c r="P133" s="367">
        <f t="shared" si="85"/>
        <v>0</v>
      </c>
      <c r="Q133" s="367">
        <f t="shared" si="85"/>
        <v>0</v>
      </c>
    </row>
    <row r="134" spans="1:17" s="221" customFormat="1" x14ac:dyDescent="0.3"/>
  </sheetData>
  <mergeCells count="1">
    <mergeCell ref="A67:F67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38"/>
  <sheetViews>
    <sheetView topLeftCell="A2" workbookViewId="0">
      <selection activeCell="K8" sqref="K8"/>
    </sheetView>
  </sheetViews>
  <sheetFormatPr defaultRowHeight="14.4" x14ac:dyDescent="0.3"/>
  <cols>
    <col min="2" max="2" width="36.33203125" customWidth="1"/>
    <col min="4" max="16" width="11.33203125" bestFit="1" customWidth="1"/>
  </cols>
  <sheetData>
    <row r="2" spans="2:31" ht="15.75" thickBot="1" x14ac:dyDescent="0.3"/>
    <row r="3" spans="2:31" s="424" customFormat="1" ht="15" collapsed="1" x14ac:dyDescent="0.25">
      <c r="B3" s="422" t="s">
        <v>873</v>
      </c>
      <c r="C3" s="422"/>
      <c r="D3" s="423" t="str">
        <f>'GF &amp; FF  Inc Exp Statement'!C3</f>
        <v>2013/14</v>
      </c>
      <c r="E3" s="423" t="str">
        <f>'GF &amp; FF  Inc Exp Statement'!D3</f>
        <v>2014/15</v>
      </c>
      <c r="F3" s="423" t="str">
        <f>'GF &amp; FF  Inc Exp Statement'!E3</f>
        <v>2015/16</v>
      </c>
      <c r="G3" s="423" t="str">
        <f>'GF &amp; FF  Inc Exp Statement'!F3</f>
        <v>2016/17</v>
      </c>
      <c r="H3" s="423" t="str">
        <f>'GF &amp; FF  Inc Exp Statement'!G3</f>
        <v>2017/18</v>
      </c>
      <c r="I3" s="423" t="str">
        <f>'GF &amp; FF  Inc Exp Statement'!H3</f>
        <v>2018/19</v>
      </c>
      <c r="J3" s="423" t="str">
        <f>'GF &amp; FF  Inc Exp Statement'!I3</f>
        <v>2019/20</v>
      </c>
      <c r="K3" s="423" t="str">
        <f>'GF &amp; FF  Inc Exp Statement'!J3</f>
        <v>2020/21</v>
      </c>
      <c r="L3" s="423" t="str">
        <f>'GF &amp; FF  Inc Exp Statement'!K3</f>
        <v>2021/22</v>
      </c>
      <c r="M3" s="423" t="str">
        <f>'GF &amp; FF  Inc Exp Statement'!L3</f>
        <v>2022/23</v>
      </c>
      <c r="N3" s="423" t="str">
        <f>'GF &amp; FF  Inc Exp Statement'!M3</f>
        <v>2023/24</v>
      </c>
      <c r="O3" s="423" t="str">
        <f>'GF &amp; FF  Inc Exp Statement'!N3</f>
        <v>2024/25</v>
      </c>
      <c r="P3" s="423" t="str">
        <f>'GF &amp; FF  Inc Exp Statement'!O3</f>
        <v>2025/26</v>
      </c>
    </row>
    <row r="4" spans="2:31" s="424" customFormat="1" ht="15.75" thickBot="1" x14ac:dyDescent="0.3">
      <c r="B4" s="425" t="s">
        <v>874</v>
      </c>
      <c r="C4" s="426"/>
      <c r="D4" s="427" t="s">
        <v>875</v>
      </c>
      <c r="E4" s="427" t="s">
        <v>875</v>
      </c>
      <c r="F4" s="427" t="s">
        <v>875</v>
      </c>
      <c r="G4" s="427" t="s">
        <v>875</v>
      </c>
      <c r="H4" s="427" t="s">
        <v>875</v>
      </c>
      <c r="I4" s="427" t="s">
        <v>875</v>
      </c>
      <c r="J4" s="427" t="s">
        <v>875</v>
      </c>
      <c r="K4" s="427" t="s">
        <v>875</v>
      </c>
      <c r="L4" s="427" t="s">
        <v>875</v>
      </c>
      <c r="M4" s="427" t="s">
        <v>875</v>
      </c>
      <c r="N4" s="427" t="s">
        <v>875</v>
      </c>
      <c r="O4" s="427" t="s">
        <v>875</v>
      </c>
      <c r="P4" s="427" t="s">
        <v>875</v>
      </c>
    </row>
    <row r="5" spans="2:31" s="424" customFormat="1" ht="15" x14ac:dyDescent="0.25">
      <c r="B5" s="428"/>
      <c r="C5" s="428"/>
      <c r="D5" s="429"/>
      <c r="E5" s="429"/>
      <c r="F5" s="429"/>
      <c r="G5" s="429"/>
      <c r="H5" s="429"/>
      <c r="I5" s="430"/>
      <c r="J5" s="430"/>
      <c r="K5" s="430"/>
      <c r="L5" s="430"/>
      <c r="M5" s="430"/>
      <c r="N5" s="430"/>
      <c r="O5" s="430"/>
      <c r="P5" s="430"/>
    </row>
    <row r="6" spans="2:31" s="424" customFormat="1" ht="28.5" customHeight="1" x14ac:dyDescent="0.25">
      <c r="B6" s="431" t="s">
        <v>876</v>
      </c>
      <c r="C6" s="431"/>
      <c r="D6" s="432" t="e">
        <f t="shared" ref="D6:P6" si="0">D8/D9</f>
        <v>#DIV/0!</v>
      </c>
      <c r="E6" s="432" t="e">
        <f>E8/E9</f>
        <v>#DIV/0!</v>
      </c>
      <c r="F6" s="432">
        <f>F8/F9</f>
        <v>-8.1708334620970977E-2</v>
      </c>
      <c r="G6" s="432">
        <f t="shared" si="0"/>
        <v>7.8428465057202713E-4</v>
      </c>
      <c r="H6" s="432">
        <f t="shared" si="0"/>
        <v>2.3702042510421958E-2</v>
      </c>
      <c r="I6" s="432">
        <f t="shared" si="0"/>
        <v>2.8579223667614104E-2</v>
      </c>
      <c r="J6" s="432">
        <f t="shared" si="0"/>
        <v>2.796051586121328E-2</v>
      </c>
      <c r="K6" s="432">
        <f t="shared" si="0"/>
        <v>3.8874022081274171E-3</v>
      </c>
      <c r="L6" s="432">
        <f t="shared" si="0"/>
        <v>1.040716953876664E-3</v>
      </c>
      <c r="M6" s="432">
        <f t="shared" si="0"/>
        <v>2.8126118431104244E-3</v>
      </c>
      <c r="N6" s="432">
        <f t="shared" si="0"/>
        <v>3.8090893608540106E-3</v>
      </c>
      <c r="O6" s="432">
        <f t="shared" si="0"/>
        <v>4.0397995147764586E-3</v>
      </c>
      <c r="P6" s="432">
        <f t="shared" si="0"/>
        <v>4.6800528767775122E-3</v>
      </c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</row>
    <row r="7" spans="2:31" s="424" customFormat="1" ht="34.5" customHeight="1" x14ac:dyDescent="0.25">
      <c r="B7" s="431" t="s">
        <v>877</v>
      </c>
      <c r="C7" s="431"/>
      <c r="D7" s="434"/>
      <c r="E7" s="434"/>
      <c r="F7" s="435">
        <f>IF(ISERR(AVERAGE(SUM(D8,E8,F8)/SUM(D9,E9,F9))),"",AVERAGE(SUM(D8,E8,F8)/SUM(D9,E9,F9)))</f>
        <v>-8.1708334620970977E-2</v>
      </c>
      <c r="G7" s="435">
        <f>IF(ISERR(AVERAGE(SUM(E8,F8,G8)/SUM(E9,F9,G9))),"",AVERAGE(SUM(E8,F8,G8)/SUM(E9,F9,G9)))</f>
        <v>-3.7020032936216085E-2</v>
      </c>
      <c r="H7" s="435">
        <f>IF(ISERR(AVERAGE(SUM(F8,G8,H8)/SUM(F9,G9,H9))),"",AVERAGE(SUM(F8,G8,H8)/SUM(F9,G9,H9)))</f>
        <v>-1.5300827181440064E-2</v>
      </c>
      <c r="I7" s="435">
        <f t="shared" ref="I7:P7" si="1">IF(ISERR(AVERAGE(SUM(G8,H8,I8)/SUM(G9,H9,I9))),"",AVERAGE(SUM(G8,H8,I8)/SUM(G9,H9,I9)))</f>
        <v>1.7936962171444845E-2</v>
      </c>
      <c r="J7" s="435">
        <f t="shared" si="1"/>
        <v>2.6791067883172412E-2</v>
      </c>
      <c r="K7" s="435">
        <f t="shared" si="1"/>
        <v>1.9830041171664738E-2</v>
      </c>
      <c r="L7" s="435">
        <f t="shared" si="1"/>
        <v>1.070585846118597E-2</v>
      </c>
      <c r="M7" s="435">
        <f t="shared" si="1"/>
        <v>2.5739496963452925E-3</v>
      </c>
      <c r="N7" s="435">
        <f t="shared" si="1"/>
        <v>2.575580579372465E-3</v>
      </c>
      <c r="O7" s="435">
        <f t="shared" si="1"/>
        <v>3.5630547894766888E-3</v>
      </c>
      <c r="P7" s="435">
        <f t="shared" si="1"/>
        <v>4.1828433354658993E-3</v>
      </c>
      <c r="Q7" s="433"/>
      <c r="R7" s="433"/>
      <c r="S7" s="433"/>
      <c r="T7" s="433"/>
      <c r="U7" s="433"/>
      <c r="V7" s="433"/>
      <c r="W7" s="433"/>
      <c r="X7" s="433"/>
      <c r="Y7" s="433"/>
      <c r="Z7" s="433"/>
      <c r="AA7" s="433"/>
      <c r="AB7" s="433"/>
      <c r="AC7" s="433"/>
      <c r="AD7" s="433"/>
      <c r="AE7" s="433"/>
    </row>
    <row r="8" spans="2:31" s="433" customFormat="1" ht="51.75" customHeight="1" x14ac:dyDescent="0.25">
      <c r="B8" s="436" t="s">
        <v>878</v>
      </c>
      <c r="C8" s="436"/>
      <c r="D8" s="437">
        <f>'GF &amp; FF  Inc Exp Statement'!C94-'GF &amp; FF  Inc Exp Statement'!C92-'GF &amp; FF  Inc Exp Statement'!C89-'GF &amp; FF  Inc Exp Statement'!C106</f>
        <v>0</v>
      </c>
      <c r="E8" s="437">
        <f>'GF &amp; FF  Inc Exp Statement'!D94-'GF &amp; FF  Inc Exp Statement'!D92-'GF &amp; FF  Inc Exp Statement'!D89-'GF &amp; FF  Inc Exp Statement'!D106</f>
        <v>0</v>
      </c>
      <c r="F8" s="437">
        <f>'GF &amp; FF  Inc Exp Statement'!E94-'GF &amp; FF  Inc Exp Statement'!E92-'GF &amp; FF  Inc Exp Statement'!E89-'GF &amp; FF  Inc Exp Statement'!E106</f>
        <v>-2644</v>
      </c>
      <c r="G8" s="437">
        <f>'GF &amp; FF  Inc Exp Statement'!F94-'GF &amp; FF  Inc Exp Statement'!F92-'GF &amp; FF  Inc Exp Statement'!F89-'GF &amp; FF  Inc Exp Statement'!F106</f>
        <v>30.000000000014552</v>
      </c>
      <c r="H8" s="437">
        <f>'GF &amp; FF  Inc Exp Statement'!G94-'GF &amp; FF  Inc Exp Statement'!G92-'GF &amp; FF  Inc Exp Statement'!G89-'GF &amp; FF  Inc Exp Statement'!G106</f>
        <v>931.96999999999389</v>
      </c>
      <c r="I8" s="437">
        <f>'GF &amp; FF  Inc Exp Statement'!H94-'GF &amp; FF  Inc Exp Statement'!H92-'GF &amp; FF  Inc Exp Statement'!H89-'GF &amp; FF  Inc Exp Statement'!H106</f>
        <v>1153.2109999999957</v>
      </c>
      <c r="J8" s="437">
        <f>'GF &amp; FF  Inc Exp Statement'!I94-'GF &amp; FF  Inc Exp Statement'!I92-'GF &amp; FF  Inc Exp Statement'!I89-'GF &amp; FF  Inc Exp Statement'!I106</f>
        <v>1178.8809999999939</v>
      </c>
      <c r="K8" s="437">
        <f>'GF &amp; FF  Inc Exp Statement'!J94-'GF &amp; FF  Inc Exp Statement'!J92-'GF &amp; FF  Inc Exp Statement'!J89-'GF &amp; FF  Inc Exp Statement'!J106</f>
        <v>169.67176000000472</v>
      </c>
      <c r="L8" s="437">
        <f>'GF &amp; FF  Inc Exp Statement'!K94-'GF &amp; FF  Inc Exp Statement'!K92-'GF &amp; FF  Inc Exp Statement'!K89-'GF &amp; FF  Inc Exp Statement'!K106</f>
        <v>46.289923922355229</v>
      </c>
      <c r="M8" s="437">
        <f>'GF &amp; FF  Inc Exp Statement'!L94-'GF &amp; FF  Inc Exp Statement'!L92-'GF &amp; FF  Inc Exp Statement'!L89-'GF &amp; FF  Inc Exp Statement'!L106</f>
        <v>128.08760903483926</v>
      </c>
      <c r="N8" s="437">
        <f>'GF &amp; FF  Inc Exp Statement'!M94-'GF &amp; FF  Inc Exp Statement'!M92-'GF &amp; FF  Inc Exp Statement'!M89-'GF &amp; FF  Inc Exp Statement'!M106</f>
        <v>177.48193121594522</v>
      </c>
      <c r="O8" s="437">
        <f>'GF &amp; FF  Inc Exp Statement'!N94-'GF &amp; FF  Inc Exp Statement'!N92-'GF &amp; FF  Inc Exp Statement'!N89-'GF &amp; FF  Inc Exp Statement'!N106</f>
        <v>192.45246492984006</v>
      </c>
      <c r="P8" s="437">
        <f>'GF &amp; FF  Inc Exp Statement'!O94-'GF &amp; FF  Inc Exp Statement'!O92-'GF &amp; FF  Inc Exp Statement'!O89-'GF &amp; FF  Inc Exp Statement'!O106</f>
        <v>228.06153992289182</v>
      </c>
      <c r="Q8" s="424"/>
      <c r="R8" s="424"/>
      <c r="S8" s="424"/>
      <c r="T8" s="424"/>
      <c r="U8" s="424"/>
      <c r="V8" s="424"/>
      <c r="W8" s="424"/>
      <c r="X8" s="424"/>
      <c r="Y8" s="424"/>
      <c r="Z8" s="424"/>
      <c r="AA8" s="424"/>
      <c r="AB8" s="424"/>
      <c r="AC8" s="424"/>
      <c r="AD8" s="424"/>
      <c r="AE8" s="424"/>
    </row>
    <row r="9" spans="2:31" s="433" customFormat="1" ht="30" customHeight="1" x14ac:dyDescent="0.25">
      <c r="B9" s="436" t="s">
        <v>879</v>
      </c>
      <c r="C9" s="436"/>
      <c r="D9" s="437">
        <f>'GF &amp; FF  Inc Exp Statement'!C94-'GF &amp; FF  Inc Exp Statement'!C92-'GF &amp; FF  Inc Exp Statement'!C89</f>
        <v>0</v>
      </c>
      <c r="E9" s="437">
        <f>'GF &amp; FF  Inc Exp Statement'!D94-'GF &amp; FF  Inc Exp Statement'!D92-'GF &amp; FF  Inc Exp Statement'!D89</f>
        <v>0</v>
      </c>
      <c r="F9" s="437">
        <f>'GF &amp; FF  Inc Exp Statement'!E94-'GF &amp; FF  Inc Exp Statement'!E92-'GF &amp; FF  Inc Exp Statement'!E89</f>
        <v>32359</v>
      </c>
      <c r="G9" s="437">
        <f>'GF &amp; FF  Inc Exp Statement'!F94-'GF &amp; FF  Inc Exp Statement'!F92-'GF &amp; FF  Inc Exp Statement'!F89</f>
        <v>38251.418000000005</v>
      </c>
      <c r="H9" s="437">
        <f>'GF &amp; FF  Inc Exp Statement'!G94-'GF &amp; FF  Inc Exp Statement'!G92-'GF &amp; FF  Inc Exp Statement'!G89</f>
        <v>39320.239999999998</v>
      </c>
      <c r="I9" s="437">
        <f>'GF &amp; FF  Inc Exp Statement'!H94-'GF &amp; FF  Inc Exp Statement'!H92-'GF &amp; FF  Inc Exp Statement'!H89</f>
        <v>40351.375999999997</v>
      </c>
      <c r="J9" s="437">
        <f>'GF &amp; FF  Inc Exp Statement'!I94-'GF &amp; FF  Inc Exp Statement'!I92-'GF &amp; FF  Inc Exp Statement'!I89</f>
        <v>42162.347999999998</v>
      </c>
      <c r="K9" s="437">
        <f>'GF &amp; FF  Inc Exp Statement'!J94-'GF &amp; FF  Inc Exp Statement'!J92-'GF &amp; FF  Inc Exp Statement'!J89</f>
        <v>43646.566760000002</v>
      </c>
      <c r="L9" s="437">
        <f>'GF &amp; FF  Inc Exp Statement'!K94-'GF &amp; FF  Inc Exp Statement'!K92-'GF &amp; FF  Inc Exp Statement'!K89</f>
        <v>44478.879439722354</v>
      </c>
      <c r="M9" s="437">
        <f>'GF &amp; FF  Inc Exp Statement'!L94-'GF &amp; FF  Inc Exp Statement'!L92-'GF &amp; FF  Inc Exp Statement'!L89</f>
        <v>45540.450008625841</v>
      </c>
      <c r="N9" s="437">
        <f>'GF &amp; FF  Inc Exp Statement'!M94-'GF &amp; FF  Inc Exp Statement'!M92-'GF &amp; FF  Inc Exp Statement'!M89</f>
        <v>46594.320689854641</v>
      </c>
      <c r="O9" s="437">
        <f>'GF &amp; FF  Inc Exp Statement'!N94-'GF &amp; FF  Inc Exp Statement'!N92-'GF &amp; FF  Inc Exp Statement'!N89</f>
        <v>47639.112838620502</v>
      </c>
      <c r="P9" s="437">
        <f>'GF &amp; FF  Inc Exp Statement'!O94-'GF &amp; FF  Inc Exp Statement'!O92-'GF &amp; FF  Inc Exp Statement'!O89</f>
        <v>48730.547694137465</v>
      </c>
      <c r="Q9" s="424"/>
      <c r="R9" s="424"/>
      <c r="S9" s="424"/>
      <c r="T9" s="424"/>
      <c r="U9" s="424"/>
      <c r="V9" s="424"/>
      <c r="W9" s="424"/>
      <c r="X9" s="424"/>
      <c r="Y9" s="424"/>
      <c r="Z9" s="424"/>
      <c r="AA9" s="424"/>
      <c r="AB9" s="424"/>
      <c r="AC9" s="424"/>
      <c r="AD9" s="424"/>
      <c r="AE9" s="424"/>
    </row>
    <row r="10" spans="2:31" s="424" customFormat="1" ht="53.25" customHeight="1" x14ac:dyDescent="0.25">
      <c r="B10" s="431" t="s">
        <v>880</v>
      </c>
      <c r="C10" s="431"/>
      <c r="D10" s="438" t="e">
        <f t="shared" ref="D10:P10" si="2">D12/D13</f>
        <v>#REF!</v>
      </c>
      <c r="E10" s="438" t="e">
        <f t="shared" si="2"/>
        <v>#REF!</v>
      </c>
      <c r="F10" s="438" t="e">
        <f t="shared" si="2"/>
        <v>#REF!</v>
      </c>
      <c r="G10" s="438" t="e">
        <f t="shared" si="2"/>
        <v>#REF!</v>
      </c>
      <c r="H10" s="438" t="e">
        <f t="shared" si="2"/>
        <v>#REF!</v>
      </c>
      <c r="I10" s="438" t="e">
        <f t="shared" si="2"/>
        <v>#REF!</v>
      </c>
      <c r="J10" s="438" t="e">
        <f t="shared" si="2"/>
        <v>#REF!</v>
      </c>
      <c r="K10" s="438" t="e">
        <f t="shared" si="2"/>
        <v>#REF!</v>
      </c>
      <c r="L10" s="438" t="e">
        <f t="shared" si="2"/>
        <v>#REF!</v>
      </c>
      <c r="M10" s="438" t="e">
        <f t="shared" si="2"/>
        <v>#REF!</v>
      </c>
      <c r="N10" s="438" t="e">
        <f t="shared" si="2"/>
        <v>#REF!</v>
      </c>
      <c r="O10" s="438" t="e">
        <f t="shared" si="2"/>
        <v>#REF!</v>
      </c>
      <c r="P10" s="438" t="e">
        <f t="shared" si="2"/>
        <v>#REF!</v>
      </c>
      <c r="Q10" s="433"/>
      <c r="R10" s="433"/>
      <c r="S10" s="433"/>
      <c r="T10" s="433"/>
      <c r="U10" s="433"/>
      <c r="V10" s="433"/>
      <c r="W10" s="433"/>
      <c r="X10" s="433"/>
      <c r="Y10" s="433"/>
      <c r="Z10" s="433"/>
      <c r="AA10" s="433"/>
      <c r="AB10" s="433"/>
      <c r="AC10" s="433"/>
      <c r="AD10" s="433"/>
      <c r="AE10" s="433"/>
    </row>
    <row r="11" spans="2:31" s="424" customFormat="1" ht="15.75" x14ac:dyDescent="0.25">
      <c r="B11" s="431"/>
      <c r="C11" s="431"/>
      <c r="D11" s="438"/>
      <c r="E11" s="438"/>
      <c r="F11" s="439" t="str">
        <f>IF(ISERR(AVERAGE(SUM(D12,E12,F12)/SUM(D13,E13,F13))),"",AVERAGE(SUM(D12,E12,F12)/SUM(D13,E13,F13)))</f>
        <v/>
      </c>
      <c r="G11" s="439" t="str">
        <f>IF(ISERR(AVERAGE(SUM(E12,F12,G12)/SUM(E13,F13,G13))),"",AVERAGE(SUM(E12,F12,G12)/SUM(E13,F13,G13)))</f>
        <v/>
      </c>
      <c r="H11" s="439" t="str">
        <f>IF(ISERR(AVERAGE(SUM(F12,G12,H12)/SUM(F13,G13,H13))),"",AVERAGE(SUM(F12,G12,H12)/SUM(F13,G13,H13)))</f>
        <v/>
      </c>
      <c r="I11" s="439" t="str">
        <f t="shared" ref="I11:P11" si="3">IF(ISERR(AVERAGE(SUM(G12,H12,I12)/SUM(G13,H13,I13))),"",AVERAGE(SUM(G12,H12,I12)/SUM(G13,H13,I13)))</f>
        <v/>
      </c>
      <c r="J11" s="439" t="str">
        <f t="shared" si="3"/>
        <v/>
      </c>
      <c r="K11" s="439" t="str">
        <f t="shared" si="3"/>
        <v/>
      </c>
      <c r="L11" s="439" t="str">
        <f t="shared" si="3"/>
        <v/>
      </c>
      <c r="M11" s="439" t="str">
        <f t="shared" si="3"/>
        <v/>
      </c>
      <c r="N11" s="439" t="str">
        <f t="shared" si="3"/>
        <v/>
      </c>
      <c r="O11" s="439" t="str">
        <f t="shared" si="3"/>
        <v/>
      </c>
      <c r="P11" s="439" t="str">
        <f t="shared" si="3"/>
        <v/>
      </c>
      <c r="Q11" s="433"/>
      <c r="R11" s="433"/>
      <c r="S11" s="433"/>
      <c r="T11" s="433"/>
      <c r="U11" s="433"/>
      <c r="V11" s="433"/>
      <c r="W11" s="433"/>
      <c r="X11" s="433"/>
      <c r="Y11" s="433"/>
      <c r="Z11" s="433"/>
      <c r="AA11" s="433"/>
      <c r="AB11" s="433"/>
      <c r="AC11" s="433"/>
      <c r="AD11" s="433"/>
      <c r="AE11" s="433"/>
    </row>
    <row r="12" spans="2:31" s="433" customFormat="1" ht="16.5" customHeight="1" x14ac:dyDescent="0.25">
      <c r="B12" s="436" t="s">
        <v>881</v>
      </c>
      <c r="C12" s="436"/>
      <c r="D12" s="437" t="e">
        <f>#REF!-#REF!-#REF!-#REF!</f>
        <v>#REF!</v>
      </c>
      <c r="E12" s="437" t="e">
        <f>#REF!-#REF!-#REF!-#REF!</f>
        <v>#REF!</v>
      </c>
      <c r="F12" s="437" t="e">
        <f t="shared" ref="F12" si="4">#REF!-#REF!-#REF!-#REF!</f>
        <v>#REF!</v>
      </c>
      <c r="G12" s="437" t="e">
        <f t="shared" ref="G12" si="5">#REF!-#REF!-#REF!-#REF!</f>
        <v>#REF!</v>
      </c>
      <c r="H12" s="437" t="e">
        <f t="shared" ref="H12" si="6">#REF!-#REF!-#REF!-#REF!</f>
        <v>#REF!</v>
      </c>
      <c r="I12" s="437" t="e">
        <f t="shared" ref="I12" si="7">#REF!-#REF!-#REF!-#REF!</f>
        <v>#REF!</v>
      </c>
      <c r="J12" s="437" t="e">
        <f t="shared" ref="J12" si="8">#REF!-#REF!-#REF!-#REF!</f>
        <v>#REF!</v>
      </c>
      <c r="K12" s="437" t="e">
        <f t="shared" ref="K12" si="9">#REF!-#REF!-#REF!-#REF!</f>
        <v>#REF!</v>
      </c>
      <c r="L12" s="437" t="e">
        <f t="shared" ref="L12" si="10">#REF!-#REF!-#REF!-#REF!</f>
        <v>#REF!</v>
      </c>
      <c r="M12" s="437" t="e">
        <f t="shared" ref="M12" si="11">#REF!-#REF!-#REF!-#REF!</f>
        <v>#REF!</v>
      </c>
      <c r="N12" s="437" t="e">
        <f t="shared" ref="N12" si="12">#REF!-#REF!-#REF!-#REF!</f>
        <v>#REF!</v>
      </c>
      <c r="O12" s="437" t="e">
        <f t="shared" ref="O12" si="13">#REF!-#REF!-#REF!-#REF!</f>
        <v>#REF!</v>
      </c>
      <c r="P12" s="437" t="e">
        <f t="shared" ref="P12" si="14">#REF!-#REF!-#REF!-#REF!</f>
        <v>#REF!</v>
      </c>
      <c r="Q12" s="424"/>
      <c r="R12" s="424"/>
      <c r="S12" s="424"/>
      <c r="T12" s="424"/>
      <c r="U12" s="424"/>
      <c r="V12" s="424"/>
      <c r="W12" s="424"/>
      <c r="X12" s="424"/>
      <c r="Y12" s="424"/>
      <c r="Z12" s="424"/>
      <c r="AA12" s="424"/>
      <c r="AB12" s="424"/>
      <c r="AC12" s="424"/>
      <c r="AD12" s="424"/>
      <c r="AE12" s="424"/>
    </row>
    <row r="13" spans="2:31" s="433" customFormat="1" ht="32.25" customHeight="1" x14ac:dyDescent="0.25">
      <c r="B13" s="436" t="s">
        <v>882</v>
      </c>
      <c r="C13" s="436"/>
      <c r="D13" s="437" t="e">
        <f>#REF!-#REF!</f>
        <v>#REF!</v>
      </c>
      <c r="E13" s="437" t="e">
        <f>#REF!-#REF!</f>
        <v>#REF!</v>
      </c>
      <c r="F13" s="437" t="e">
        <f t="shared" ref="F13" si="15">#REF!-#REF!</f>
        <v>#REF!</v>
      </c>
      <c r="G13" s="437" t="e">
        <f t="shared" ref="G13" si="16">#REF!-#REF!</f>
        <v>#REF!</v>
      </c>
      <c r="H13" s="437" t="e">
        <f t="shared" ref="H13" si="17">#REF!-#REF!</f>
        <v>#REF!</v>
      </c>
      <c r="I13" s="437" t="e">
        <f t="shared" ref="I13" si="18">#REF!-#REF!</f>
        <v>#REF!</v>
      </c>
      <c r="J13" s="437" t="e">
        <f t="shared" ref="J13" si="19">#REF!-#REF!</f>
        <v>#REF!</v>
      </c>
      <c r="K13" s="437" t="e">
        <f t="shared" ref="K13" si="20">#REF!-#REF!</f>
        <v>#REF!</v>
      </c>
      <c r="L13" s="437" t="e">
        <f t="shared" ref="L13" si="21">#REF!-#REF!</f>
        <v>#REF!</v>
      </c>
      <c r="M13" s="437" t="e">
        <f t="shared" ref="M13" si="22">#REF!-#REF!</f>
        <v>#REF!</v>
      </c>
      <c r="N13" s="437" t="e">
        <f t="shared" ref="N13" si="23">#REF!-#REF!</f>
        <v>#REF!</v>
      </c>
      <c r="O13" s="437" t="e">
        <f t="shared" ref="O13" si="24">#REF!-#REF!</f>
        <v>#REF!</v>
      </c>
      <c r="P13" s="437" t="e">
        <f t="shared" ref="P13" si="25">#REF!-#REF!</f>
        <v>#REF!</v>
      </c>
      <c r="Q13" s="424"/>
      <c r="R13" s="424"/>
      <c r="S13" s="424"/>
      <c r="T13" s="424"/>
      <c r="U13" s="424"/>
      <c r="V13" s="424"/>
      <c r="W13" s="424"/>
      <c r="X13" s="424"/>
      <c r="Y13" s="424"/>
      <c r="Z13" s="424"/>
      <c r="AA13" s="424"/>
      <c r="AB13" s="424"/>
      <c r="AC13" s="424"/>
      <c r="AD13" s="424"/>
      <c r="AE13" s="424"/>
    </row>
    <row r="14" spans="2:31" s="424" customFormat="1" ht="30" customHeight="1" x14ac:dyDescent="0.25">
      <c r="B14" s="431" t="s">
        <v>883</v>
      </c>
      <c r="C14" s="431"/>
      <c r="D14" s="440" t="e">
        <f t="shared" ref="D14:P14" si="26">D16/D17</f>
        <v>#REF!</v>
      </c>
      <c r="E14" s="440" t="e">
        <f t="shared" si="26"/>
        <v>#REF!</v>
      </c>
      <c r="F14" s="440" t="e">
        <f t="shared" si="26"/>
        <v>#REF!</v>
      </c>
      <c r="G14" s="440" t="e">
        <f t="shared" si="26"/>
        <v>#REF!</v>
      </c>
      <c r="H14" s="440" t="e">
        <f t="shared" si="26"/>
        <v>#REF!</v>
      </c>
      <c r="I14" s="440" t="e">
        <f t="shared" si="26"/>
        <v>#REF!</v>
      </c>
      <c r="J14" s="440" t="e">
        <f t="shared" si="26"/>
        <v>#REF!</v>
      </c>
      <c r="K14" s="440" t="e">
        <f t="shared" si="26"/>
        <v>#REF!</v>
      </c>
      <c r="L14" s="440" t="e">
        <f t="shared" si="26"/>
        <v>#REF!</v>
      </c>
      <c r="M14" s="440" t="e">
        <f t="shared" si="26"/>
        <v>#REF!</v>
      </c>
      <c r="N14" s="440" t="e">
        <f t="shared" si="26"/>
        <v>#REF!</v>
      </c>
      <c r="O14" s="440" t="e">
        <f t="shared" si="26"/>
        <v>#REF!</v>
      </c>
      <c r="P14" s="440" t="e">
        <f t="shared" si="26"/>
        <v>#REF!</v>
      </c>
    </row>
    <row r="15" spans="2:31" s="424" customFormat="1" ht="30" customHeight="1" x14ac:dyDescent="0.25">
      <c r="B15" s="431" t="s">
        <v>884</v>
      </c>
      <c r="C15" s="431"/>
      <c r="D15" s="441"/>
      <c r="E15" s="441"/>
      <c r="F15" s="439" t="str">
        <f>IF(ISERR(AVERAGE(SUM(D16,E16,F16)/SUM(D17,E17,F17))),"",AVERAGE(SUM(D16,E16,F16)/SUM(D17,E17,F17)))</f>
        <v/>
      </c>
      <c r="G15" s="439" t="str">
        <f>IF(ISERR(AVERAGE(SUM(E16,F16,G16)/SUM(E17,F17,G17))),"",AVERAGE(SUM(E16,F16,G16)/SUM(E17,F17,G17)))</f>
        <v/>
      </c>
      <c r="H15" s="439" t="str">
        <f>IF(ISERR(AVERAGE(SUM(F16,G16,H16)/SUM(F17,G17,H17))),"",AVERAGE(SUM(F16,G16,H16)/SUM(F17,G17,H17)))</f>
        <v/>
      </c>
      <c r="I15" s="439" t="str">
        <f t="shared" ref="I15:P15" si="27">IF(ISERR(AVERAGE(SUM(G16,H16,I16)/SUM(G17,H17,I17))),"",AVERAGE(SUM(G16,H16,I16)/SUM(G17,H17,I17)))</f>
        <v/>
      </c>
      <c r="J15" s="439" t="str">
        <f>IF(ISERR(AVERAGE(SUM(H16,I16,J16)/SUM(H17,I17,J17))),"",AVERAGE(SUM(H16,I16,J16)/SUM(H17,I17,J17)))</f>
        <v/>
      </c>
      <c r="K15" s="439" t="str">
        <f t="shared" si="27"/>
        <v/>
      </c>
      <c r="L15" s="439" t="str">
        <f t="shared" si="27"/>
        <v/>
      </c>
      <c r="M15" s="439" t="str">
        <f t="shared" si="27"/>
        <v/>
      </c>
      <c r="N15" s="439" t="str">
        <f t="shared" si="27"/>
        <v/>
      </c>
      <c r="O15" s="439" t="str">
        <f t="shared" si="27"/>
        <v/>
      </c>
      <c r="P15" s="439" t="str">
        <f t="shared" si="27"/>
        <v/>
      </c>
      <c r="Q15" s="433"/>
      <c r="R15" s="433"/>
      <c r="S15" s="433"/>
      <c r="T15" s="433"/>
      <c r="U15" s="433"/>
      <c r="V15" s="433"/>
      <c r="W15" s="433"/>
      <c r="X15" s="433"/>
      <c r="Y15" s="433"/>
      <c r="Z15" s="433"/>
      <c r="AA15" s="433"/>
      <c r="AB15" s="433"/>
      <c r="AC15" s="433"/>
      <c r="AD15" s="433"/>
      <c r="AE15" s="433"/>
    </row>
    <row r="16" spans="2:31" s="424" customFormat="1" ht="15" x14ac:dyDescent="0.25">
      <c r="B16" s="442" t="s">
        <v>885</v>
      </c>
      <c r="C16" s="442"/>
      <c r="D16" s="437" t="e">
        <f>D18+D19</f>
        <v>#REF!</v>
      </c>
      <c r="E16" s="437" t="e">
        <f>E18+E19</f>
        <v>#REF!</v>
      </c>
      <c r="F16" s="437" t="e">
        <f t="shared" ref="F16:P16" si="28">F18+F19</f>
        <v>#REF!</v>
      </c>
      <c r="G16" s="437" t="e">
        <f t="shared" si="28"/>
        <v>#REF!</v>
      </c>
      <c r="H16" s="437" t="e">
        <f t="shared" si="28"/>
        <v>#REF!</v>
      </c>
      <c r="I16" s="437" t="e">
        <f t="shared" si="28"/>
        <v>#REF!</v>
      </c>
      <c r="J16" s="437" t="e">
        <f>J18+J19</f>
        <v>#REF!</v>
      </c>
      <c r="K16" s="437" t="e">
        <f t="shared" si="28"/>
        <v>#REF!</v>
      </c>
      <c r="L16" s="437" t="e">
        <f t="shared" si="28"/>
        <v>#REF!</v>
      </c>
      <c r="M16" s="437" t="e">
        <f t="shared" si="28"/>
        <v>#REF!</v>
      </c>
      <c r="N16" s="437" t="e">
        <f t="shared" si="28"/>
        <v>#REF!</v>
      </c>
      <c r="O16" s="437" t="e">
        <f t="shared" si="28"/>
        <v>#REF!</v>
      </c>
      <c r="P16" s="437" t="e">
        <f t="shared" si="28"/>
        <v>#REF!</v>
      </c>
      <c r="Q16" s="433"/>
      <c r="R16" s="433"/>
      <c r="S16" s="433"/>
      <c r="T16" s="433"/>
      <c r="U16" s="433"/>
      <c r="V16" s="433"/>
      <c r="W16" s="433"/>
      <c r="X16" s="433"/>
      <c r="Y16" s="433"/>
      <c r="Z16" s="433"/>
      <c r="AA16" s="433"/>
      <c r="AB16" s="433"/>
      <c r="AC16" s="433"/>
      <c r="AD16" s="433"/>
      <c r="AE16" s="433"/>
    </row>
    <row r="17" spans="2:31" s="433" customFormat="1" ht="29.25" customHeight="1" x14ac:dyDescent="0.25">
      <c r="B17" s="436" t="s">
        <v>879</v>
      </c>
      <c r="C17" s="436"/>
      <c r="D17" s="437" t="e">
        <f>#REF!-#REF!-#REF!</f>
        <v>#REF!</v>
      </c>
      <c r="E17" s="437" t="e">
        <f>#REF!-#REF!-#REF!</f>
        <v>#REF!</v>
      </c>
      <c r="F17" s="437" t="e">
        <f t="shared" ref="F17" si="29">#REF!-#REF!-#REF!</f>
        <v>#REF!</v>
      </c>
      <c r="G17" s="437" t="e">
        <f t="shared" ref="G17" si="30">#REF!-#REF!-#REF!</f>
        <v>#REF!</v>
      </c>
      <c r="H17" s="437" t="e">
        <f t="shared" ref="H17" si="31">#REF!-#REF!-#REF!</f>
        <v>#REF!</v>
      </c>
      <c r="I17" s="437" t="e">
        <f t="shared" ref="I17" si="32">#REF!-#REF!-#REF!</f>
        <v>#REF!</v>
      </c>
      <c r="J17" s="437" t="e">
        <f t="shared" ref="J17" si="33">#REF!-#REF!-#REF!</f>
        <v>#REF!</v>
      </c>
      <c r="K17" s="437" t="e">
        <f t="shared" ref="K17" si="34">#REF!-#REF!-#REF!</f>
        <v>#REF!</v>
      </c>
      <c r="L17" s="437" t="e">
        <f t="shared" ref="L17" si="35">#REF!-#REF!-#REF!</f>
        <v>#REF!</v>
      </c>
      <c r="M17" s="437" t="e">
        <f t="shared" ref="M17" si="36">#REF!-#REF!-#REF!</f>
        <v>#REF!</v>
      </c>
      <c r="N17" s="437" t="e">
        <f t="shared" ref="N17" si="37">#REF!-#REF!-#REF!</f>
        <v>#REF!</v>
      </c>
      <c r="O17" s="437" t="e">
        <f t="shared" ref="O17" si="38">#REF!-#REF!-#REF!</f>
        <v>#REF!</v>
      </c>
      <c r="P17" s="437" t="e">
        <f t="shared" ref="P17" si="39">#REF!-#REF!-#REF!</f>
        <v>#REF!</v>
      </c>
    </row>
    <row r="18" spans="2:31" s="433" customFormat="1" ht="31.5" customHeight="1" x14ac:dyDescent="0.25">
      <c r="B18" s="436" t="s">
        <v>886</v>
      </c>
      <c r="C18" s="436"/>
      <c r="D18" s="437" t="e">
        <f t="shared" ref="D18" si="40">#REF!</f>
        <v>#REF!</v>
      </c>
      <c r="E18" s="437" t="e">
        <f t="shared" ref="E18" si="41">#REF!</f>
        <v>#REF!</v>
      </c>
      <c r="F18" s="437" t="e">
        <f t="shared" ref="F18" si="42">#REF!</f>
        <v>#REF!</v>
      </c>
      <c r="G18" s="437" t="e">
        <f t="shared" ref="G18" si="43">#REF!</f>
        <v>#REF!</v>
      </c>
      <c r="H18" s="437" t="e">
        <f t="shared" ref="H18" si="44">#REF!</f>
        <v>#REF!</v>
      </c>
      <c r="I18" s="437" t="e">
        <f t="shared" ref="I18" si="45">#REF!</f>
        <v>#REF!</v>
      </c>
      <c r="J18" s="437" t="e">
        <f t="shared" ref="J18" si="46">#REF!</f>
        <v>#REF!</v>
      </c>
      <c r="K18" s="437" t="e">
        <f t="shared" ref="K18" si="47">#REF!</f>
        <v>#REF!</v>
      </c>
      <c r="L18" s="437" t="e">
        <f t="shared" ref="L18" si="48">#REF!</f>
        <v>#REF!</v>
      </c>
      <c r="M18" s="437" t="e">
        <f t="shared" ref="M18" si="49">#REF!</f>
        <v>#REF!</v>
      </c>
      <c r="N18" s="437" t="e">
        <f t="shared" ref="N18" si="50">#REF!</f>
        <v>#REF!</v>
      </c>
      <c r="O18" s="437" t="e">
        <f t="shared" ref="O18" si="51">#REF!</f>
        <v>#REF!</v>
      </c>
      <c r="P18" s="437" t="e">
        <f t="shared" ref="P18" si="52">#REF!</f>
        <v>#REF!</v>
      </c>
    </row>
    <row r="19" spans="2:31" s="433" customFormat="1" ht="34.5" customHeight="1" x14ac:dyDescent="0.25">
      <c r="B19" s="436" t="s">
        <v>887</v>
      </c>
      <c r="C19" s="436"/>
      <c r="D19" s="437" t="e">
        <f>#REF!</f>
        <v>#REF!</v>
      </c>
      <c r="E19" s="437" t="e">
        <f>#REF!</f>
        <v>#REF!</v>
      </c>
      <c r="F19" s="437" t="e">
        <f t="shared" ref="F19" si="53">#REF!</f>
        <v>#REF!</v>
      </c>
      <c r="G19" s="437" t="e">
        <f t="shared" ref="G19" si="54">#REF!</f>
        <v>#REF!</v>
      </c>
      <c r="H19" s="437" t="e">
        <f t="shared" ref="H19" si="55">#REF!</f>
        <v>#REF!</v>
      </c>
      <c r="I19" s="437" t="e">
        <f t="shared" ref="I19" si="56">#REF!</f>
        <v>#REF!</v>
      </c>
      <c r="J19" s="437" t="e">
        <f t="shared" ref="J19" si="57">#REF!</f>
        <v>#REF!</v>
      </c>
      <c r="K19" s="437" t="e">
        <f t="shared" ref="K19" si="58">#REF!</f>
        <v>#REF!</v>
      </c>
      <c r="L19" s="437" t="e">
        <f t="shared" ref="L19" si="59">#REF!</f>
        <v>#REF!</v>
      </c>
      <c r="M19" s="437" t="e">
        <f t="shared" ref="M19" si="60">#REF!</f>
        <v>#REF!</v>
      </c>
      <c r="N19" s="437" t="e">
        <f t="shared" ref="N19" si="61">#REF!</f>
        <v>#REF!</v>
      </c>
      <c r="O19" s="437" t="e">
        <f t="shared" ref="O19" si="62">#REF!</f>
        <v>#REF!</v>
      </c>
      <c r="P19" s="437" t="e">
        <f t="shared" ref="P19" si="63">#REF!</f>
        <v>#REF!</v>
      </c>
      <c r="Q19" s="424"/>
      <c r="R19" s="424"/>
      <c r="S19" s="424"/>
      <c r="T19" s="424"/>
      <c r="U19" s="424"/>
      <c r="V19" s="424"/>
      <c r="W19" s="424"/>
      <c r="X19" s="424"/>
      <c r="Y19" s="424"/>
      <c r="Z19" s="424"/>
      <c r="AA19" s="424"/>
      <c r="AB19" s="424"/>
      <c r="AC19" s="424"/>
      <c r="AD19" s="424"/>
      <c r="AE19" s="424"/>
    </row>
    <row r="20" spans="2:31" s="433" customFormat="1" thickBot="1" x14ac:dyDescent="0.3">
      <c r="B20" s="436"/>
      <c r="C20" s="436"/>
      <c r="D20" s="437"/>
      <c r="E20" s="437"/>
      <c r="F20" s="437"/>
      <c r="G20" s="437"/>
      <c r="H20" s="437"/>
      <c r="I20" s="437"/>
      <c r="J20" s="437"/>
      <c r="K20" s="437"/>
      <c r="L20" s="437"/>
      <c r="M20" s="437"/>
      <c r="N20" s="437"/>
      <c r="O20" s="437"/>
      <c r="P20" s="437"/>
      <c r="Q20" s="424"/>
      <c r="R20" s="424"/>
      <c r="S20" s="424"/>
      <c r="T20" s="424"/>
      <c r="U20" s="424"/>
      <c r="V20" s="424"/>
      <c r="W20" s="424"/>
      <c r="X20" s="424"/>
      <c r="Y20" s="424"/>
      <c r="Z20" s="424"/>
      <c r="AA20" s="424"/>
      <c r="AB20" s="424"/>
      <c r="AC20" s="424"/>
      <c r="AD20" s="424"/>
      <c r="AE20" s="424"/>
    </row>
    <row r="21" spans="2:31" s="424" customFormat="1" ht="55.2" x14ac:dyDescent="0.25">
      <c r="B21" s="443" t="s">
        <v>888</v>
      </c>
      <c r="C21" s="444"/>
      <c r="D21" s="445" t="e">
        <f>D32/D23*1000</f>
        <v>#REF!</v>
      </c>
      <c r="E21" s="445" t="e">
        <f>E32/E23*1000</f>
        <v>#REF!</v>
      </c>
      <c r="F21" s="445" t="e">
        <f>F32/F23*1000</f>
        <v>#REF!</v>
      </c>
      <c r="G21" s="445" t="e">
        <f t="shared" ref="G21:P21" si="64">G32/G23*1000</f>
        <v>#REF!</v>
      </c>
      <c r="H21" s="445" t="e">
        <f t="shared" si="64"/>
        <v>#REF!</v>
      </c>
      <c r="I21" s="445" t="e">
        <f t="shared" si="64"/>
        <v>#REF!</v>
      </c>
      <c r="J21" s="445" t="e">
        <f t="shared" si="64"/>
        <v>#REF!</v>
      </c>
      <c r="K21" s="445" t="e">
        <f t="shared" si="64"/>
        <v>#REF!</v>
      </c>
      <c r="L21" s="445" t="e">
        <f t="shared" si="64"/>
        <v>#REF!</v>
      </c>
      <c r="M21" s="445" t="e">
        <f t="shared" si="64"/>
        <v>#REF!</v>
      </c>
      <c r="N21" s="445" t="e">
        <f t="shared" si="64"/>
        <v>#REF!</v>
      </c>
      <c r="O21" s="445" t="e">
        <f t="shared" si="64"/>
        <v>#REF!</v>
      </c>
      <c r="P21" s="445" t="e">
        <f t="shared" si="64"/>
        <v>#REF!</v>
      </c>
    </row>
    <row r="22" spans="2:31" s="424" customFormat="1" ht="35.25" hidden="1" customHeight="1" x14ac:dyDescent="0.25">
      <c r="B22" s="443" t="s">
        <v>889</v>
      </c>
      <c r="C22" s="446"/>
      <c r="D22" s="447"/>
      <c r="E22" s="447"/>
      <c r="F22" s="448" t="str">
        <f>IF(ISERR(AVERAGE(SUM(D21,E21,F21)/3)),"",AVERAGE(SUM(D21,E21,F21)/3))</f>
        <v/>
      </c>
      <c r="G22" s="448" t="str">
        <f>IF(ISERR(AVERAGE(SUM(E21,F21,G21)/3)),"",AVERAGE(SUM(E21,F21,G21)/3))</f>
        <v/>
      </c>
      <c r="H22" s="448" t="str">
        <f>IF(ISERR(AVERAGE(SUM(F21,G21,H21)/3)),"",AVERAGE(SUM(F21,G21,H21)/3))</f>
        <v/>
      </c>
      <c r="I22" s="448" t="str">
        <f t="shared" ref="I22:P22" si="65">IF(ISERR(AVERAGE(SUM(G21,H21,I21)/3)),"",AVERAGE(SUM(G21,H21,I21)/3))</f>
        <v/>
      </c>
      <c r="J22" s="448" t="str">
        <f t="shared" si="65"/>
        <v/>
      </c>
      <c r="K22" s="448" t="str">
        <f t="shared" si="65"/>
        <v/>
      </c>
      <c r="L22" s="448" t="str">
        <f t="shared" si="65"/>
        <v/>
      </c>
      <c r="M22" s="448" t="str">
        <f t="shared" si="65"/>
        <v/>
      </c>
      <c r="N22" s="448" t="str">
        <f t="shared" si="65"/>
        <v/>
      </c>
      <c r="O22" s="448" t="str">
        <f t="shared" si="65"/>
        <v/>
      </c>
      <c r="P22" s="448" t="str">
        <f t="shared" si="65"/>
        <v/>
      </c>
    </row>
    <row r="23" spans="2:31" s="424" customFormat="1" ht="13.8" x14ac:dyDescent="0.25">
      <c r="B23" s="449" t="s">
        <v>890</v>
      </c>
      <c r="C23" s="449"/>
      <c r="D23" s="450" t="e">
        <f>#REF!</f>
        <v>#REF!</v>
      </c>
      <c r="E23" s="450" t="e">
        <f>#REF!</f>
        <v>#REF!</v>
      </c>
      <c r="F23" s="450" t="e">
        <f t="shared" ref="F23" si="66">#REF!</f>
        <v>#REF!</v>
      </c>
      <c r="G23" s="450" t="e">
        <f t="shared" ref="G23" si="67">#REF!</f>
        <v>#REF!</v>
      </c>
      <c r="H23" s="450" t="e">
        <f t="shared" ref="H23" si="68">#REF!</f>
        <v>#REF!</v>
      </c>
      <c r="I23" s="450" t="e">
        <f t="shared" ref="I23" si="69">#REF!</f>
        <v>#REF!</v>
      </c>
      <c r="J23" s="450" t="e">
        <f t="shared" ref="J23" si="70">#REF!</f>
        <v>#REF!</v>
      </c>
      <c r="K23" s="450" t="e">
        <f t="shared" ref="K23" si="71">#REF!</f>
        <v>#REF!</v>
      </c>
      <c r="L23" s="450" t="e">
        <f t="shared" ref="L23" si="72">#REF!</f>
        <v>#REF!</v>
      </c>
      <c r="M23" s="450" t="e">
        <f t="shared" ref="M23" si="73">#REF!</f>
        <v>#REF!</v>
      </c>
      <c r="N23" s="450" t="e">
        <f t="shared" ref="N23" si="74">#REF!</f>
        <v>#REF!</v>
      </c>
      <c r="O23" s="450" t="e">
        <f t="shared" ref="O23" si="75">#REF!</f>
        <v>#REF!</v>
      </c>
      <c r="P23" s="450" t="e">
        <f t="shared" ref="P23" si="76">#REF!</f>
        <v>#REF!</v>
      </c>
    </row>
    <row r="24" spans="2:31" s="424" customFormat="1" ht="35.25" customHeight="1" thickBot="1" x14ac:dyDescent="0.3">
      <c r="B24" s="451" t="s">
        <v>891</v>
      </c>
      <c r="C24" s="449"/>
      <c r="D24" s="450" t="e">
        <f>D32</f>
        <v>#REF!</v>
      </c>
      <c r="E24" s="450" t="e">
        <f>E32</f>
        <v>#REF!</v>
      </c>
      <c r="F24" s="450" t="e">
        <f t="shared" ref="F24:P24" si="77">F32</f>
        <v>#REF!</v>
      </c>
      <c r="G24" s="450" t="e">
        <f t="shared" si="77"/>
        <v>#REF!</v>
      </c>
      <c r="H24" s="450" t="e">
        <f t="shared" si="77"/>
        <v>#REF!</v>
      </c>
      <c r="I24" s="450" t="e">
        <f t="shared" si="77"/>
        <v>#REF!</v>
      </c>
      <c r="J24" s="450" t="e">
        <f t="shared" si="77"/>
        <v>#REF!</v>
      </c>
      <c r="K24" s="450" t="e">
        <f t="shared" si="77"/>
        <v>#REF!</v>
      </c>
      <c r="L24" s="450" t="e">
        <f t="shared" si="77"/>
        <v>#REF!</v>
      </c>
      <c r="M24" s="450" t="e">
        <f t="shared" si="77"/>
        <v>#REF!</v>
      </c>
      <c r="N24" s="450" t="e">
        <f t="shared" si="77"/>
        <v>#REF!</v>
      </c>
      <c r="O24" s="450" t="e">
        <f t="shared" si="77"/>
        <v>#REF!</v>
      </c>
      <c r="P24" s="450" t="e">
        <f t="shared" si="77"/>
        <v>#REF!</v>
      </c>
    </row>
    <row r="25" spans="2:31" s="424" customFormat="1" ht="13.8" x14ac:dyDescent="0.25">
      <c r="B25" s="449" t="s">
        <v>892</v>
      </c>
      <c r="C25" s="452">
        <v>2.3E-2</v>
      </c>
      <c r="D25" s="453">
        <v>0.03</v>
      </c>
      <c r="E25" s="454">
        <f>D25</f>
        <v>0.03</v>
      </c>
      <c r="F25" s="454">
        <f>E25</f>
        <v>0.03</v>
      </c>
      <c r="G25" s="454" t="e">
        <v>#REF!</v>
      </c>
      <c r="H25" s="454">
        <v>2.8000000000000001E-2</v>
      </c>
      <c r="I25" s="454">
        <f>H25</f>
        <v>2.8000000000000001E-2</v>
      </c>
      <c r="J25" s="454">
        <v>2.5000000000000001E-2</v>
      </c>
      <c r="K25" s="454">
        <f t="shared" ref="K25:P25" si="78">J25</f>
        <v>2.5000000000000001E-2</v>
      </c>
      <c r="L25" s="454">
        <f t="shared" si="78"/>
        <v>2.5000000000000001E-2</v>
      </c>
      <c r="M25" s="454">
        <f t="shared" si="78"/>
        <v>2.5000000000000001E-2</v>
      </c>
      <c r="N25" s="454">
        <f t="shared" si="78"/>
        <v>2.5000000000000001E-2</v>
      </c>
      <c r="O25" s="454">
        <f t="shared" si="78"/>
        <v>2.5000000000000001E-2</v>
      </c>
      <c r="P25" s="454">
        <f t="shared" si="78"/>
        <v>2.5000000000000001E-2</v>
      </c>
    </row>
    <row r="26" spans="2:31" s="424" customFormat="1" ht="13.8" x14ac:dyDescent="0.25">
      <c r="B26" s="449" t="s">
        <v>893</v>
      </c>
      <c r="C26" s="452">
        <f>1-C25</f>
        <v>0.97699999999999998</v>
      </c>
      <c r="D26" s="453">
        <f>C26*(1-D25)</f>
        <v>0.94768999999999992</v>
      </c>
      <c r="E26" s="453">
        <f>D26*(1-E25)</f>
        <v>0.91925929999999989</v>
      </c>
      <c r="F26" s="454">
        <f>E26*(1-F25)</f>
        <v>0.89168152099999987</v>
      </c>
      <c r="G26" s="454" t="e">
        <f>F26*(1-G25)</f>
        <v>#REF!</v>
      </c>
      <c r="H26" s="454" t="e">
        <f t="shared" ref="H26:P26" si="79">G26*(1-H25)</f>
        <v>#REF!</v>
      </c>
      <c r="I26" s="454" t="e">
        <f t="shared" si="79"/>
        <v>#REF!</v>
      </c>
      <c r="J26" s="454" t="e">
        <f t="shared" si="79"/>
        <v>#REF!</v>
      </c>
      <c r="K26" s="454" t="e">
        <f t="shared" si="79"/>
        <v>#REF!</v>
      </c>
      <c r="L26" s="454" t="e">
        <f t="shared" si="79"/>
        <v>#REF!</v>
      </c>
      <c r="M26" s="454" t="e">
        <f t="shared" si="79"/>
        <v>#REF!</v>
      </c>
      <c r="N26" s="454" t="e">
        <f t="shared" si="79"/>
        <v>#REF!</v>
      </c>
      <c r="O26" s="454" t="e">
        <f t="shared" si="79"/>
        <v>#REF!</v>
      </c>
      <c r="P26" s="454" t="e">
        <f t="shared" si="79"/>
        <v>#REF!</v>
      </c>
    </row>
    <row r="27" spans="2:31" s="424" customFormat="1" ht="44.25" customHeight="1" x14ac:dyDescent="0.25">
      <c r="B27" s="449" t="s">
        <v>894</v>
      </c>
      <c r="C27" s="449"/>
      <c r="D27" s="450" t="e">
        <f>#REF!</f>
        <v>#REF!</v>
      </c>
      <c r="E27" s="450" t="e">
        <f>#REF!</f>
        <v>#REF!</v>
      </c>
      <c r="F27" s="450" t="e">
        <f t="shared" ref="F27" si="80">#REF!</f>
        <v>#REF!</v>
      </c>
      <c r="G27" s="450" t="e">
        <f t="shared" ref="G27" si="81">#REF!</f>
        <v>#REF!</v>
      </c>
      <c r="H27" s="450" t="e">
        <f t="shared" ref="H27" si="82">#REF!</f>
        <v>#REF!</v>
      </c>
      <c r="I27" s="450" t="e">
        <f t="shared" ref="I27" si="83">#REF!</f>
        <v>#REF!</v>
      </c>
      <c r="J27" s="450" t="e">
        <f t="shared" ref="J27" si="84">#REF!</f>
        <v>#REF!</v>
      </c>
      <c r="K27" s="450" t="e">
        <f t="shared" ref="K27" si="85">#REF!</f>
        <v>#REF!</v>
      </c>
      <c r="L27" s="450" t="e">
        <f t="shared" ref="L27" si="86">#REF!</f>
        <v>#REF!</v>
      </c>
      <c r="M27" s="450" t="e">
        <f t="shared" ref="M27" si="87">#REF!</f>
        <v>#REF!</v>
      </c>
      <c r="N27" s="450" t="e">
        <f t="shared" ref="N27" si="88">#REF!</f>
        <v>#REF!</v>
      </c>
      <c r="O27" s="450" t="e">
        <f t="shared" ref="O27" si="89">#REF!</f>
        <v>#REF!</v>
      </c>
      <c r="P27" s="450" t="e">
        <f t="shared" ref="P27" si="90">#REF!</f>
        <v>#REF!</v>
      </c>
    </row>
    <row r="28" spans="2:31" s="424" customFormat="1" ht="39.75" customHeight="1" x14ac:dyDescent="0.25">
      <c r="B28" s="449" t="s">
        <v>895</v>
      </c>
      <c r="C28" s="449"/>
      <c r="D28" s="450" t="e">
        <f>#REF!</f>
        <v>#REF!</v>
      </c>
      <c r="E28" s="450" t="e">
        <f>#REF!</f>
        <v>#REF!</v>
      </c>
      <c r="F28" s="450" t="e">
        <f t="shared" ref="F28" si="91">#REF!</f>
        <v>#REF!</v>
      </c>
      <c r="G28" s="450" t="e">
        <f t="shared" ref="G28" si="92">#REF!</f>
        <v>#REF!</v>
      </c>
      <c r="H28" s="450" t="e">
        <f t="shared" ref="H28" si="93">#REF!</f>
        <v>#REF!</v>
      </c>
      <c r="I28" s="450" t="e">
        <f t="shared" ref="I28" si="94">#REF!</f>
        <v>#REF!</v>
      </c>
      <c r="J28" s="450" t="e">
        <f t="shared" ref="J28" si="95">#REF!</f>
        <v>#REF!</v>
      </c>
      <c r="K28" s="450" t="e">
        <f t="shared" ref="K28" si="96">#REF!</f>
        <v>#REF!</v>
      </c>
      <c r="L28" s="450" t="e">
        <f t="shared" ref="L28" si="97">#REF!</f>
        <v>#REF!</v>
      </c>
      <c r="M28" s="450" t="e">
        <f t="shared" ref="M28" si="98">#REF!</f>
        <v>#REF!</v>
      </c>
      <c r="N28" s="450" t="e">
        <f t="shared" ref="N28" si="99">#REF!</f>
        <v>#REF!</v>
      </c>
      <c r="O28" s="450" t="e">
        <f t="shared" ref="O28" si="100">#REF!</f>
        <v>#REF!</v>
      </c>
      <c r="P28" s="450" t="e">
        <f t="shared" ref="P28" si="101">#REF!</f>
        <v>#REF!</v>
      </c>
    </row>
    <row r="29" spans="2:31" s="424" customFormat="1" ht="40.5" customHeight="1" x14ac:dyDescent="0.25">
      <c r="B29" s="449" t="s">
        <v>896</v>
      </c>
      <c r="C29" s="449"/>
      <c r="D29" s="450">
        <f>0</f>
        <v>0</v>
      </c>
      <c r="E29" s="450">
        <f>0</f>
        <v>0</v>
      </c>
      <c r="F29" s="450">
        <f>0</f>
        <v>0</v>
      </c>
      <c r="G29" s="450">
        <f>0</f>
        <v>0</v>
      </c>
      <c r="H29" s="450">
        <f>0</f>
        <v>0</v>
      </c>
      <c r="I29" s="450">
        <f>0</f>
        <v>0</v>
      </c>
      <c r="J29" s="450">
        <f>0</f>
        <v>0</v>
      </c>
      <c r="K29" s="450">
        <f>0</f>
        <v>0</v>
      </c>
      <c r="L29" s="450">
        <f>0</f>
        <v>0</v>
      </c>
      <c r="M29" s="450">
        <f>0</f>
        <v>0</v>
      </c>
      <c r="N29" s="450">
        <f>0</f>
        <v>0</v>
      </c>
      <c r="O29" s="450">
        <f>0</f>
        <v>0</v>
      </c>
      <c r="P29" s="450">
        <f>0</f>
        <v>0</v>
      </c>
    </row>
    <row r="30" spans="2:31" s="424" customFormat="1" ht="33" customHeight="1" x14ac:dyDescent="0.25">
      <c r="B30" s="449" t="s">
        <v>897</v>
      </c>
      <c r="C30" s="449"/>
      <c r="D30" s="450">
        <f>0</f>
        <v>0</v>
      </c>
      <c r="E30" s="450">
        <f>0</f>
        <v>0</v>
      </c>
      <c r="F30" s="450">
        <f>0</f>
        <v>0</v>
      </c>
      <c r="G30" s="450">
        <f>0</f>
        <v>0</v>
      </c>
      <c r="H30" s="450">
        <f>0</f>
        <v>0</v>
      </c>
      <c r="I30" s="450">
        <f>0</f>
        <v>0</v>
      </c>
      <c r="J30" s="450">
        <f>0</f>
        <v>0</v>
      </c>
      <c r="K30" s="450">
        <f>0</f>
        <v>0</v>
      </c>
      <c r="L30" s="450">
        <f>0</f>
        <v>0</v>
      </c>
      <c r="M30" s="450">
        <f>0</f>
        <v>0</v>
      </c>
      <c r="N30" s="450">
        <f>0</f>
        <v>0</v>
      </c>
      <c r="O30" s="450">
        <f>0</f>
        <v>0</v>
      </c>
      <c r="P30" s="450">
        <f>0</f>
        <v>0</v>
      </c>
    </row>
    <row r="31" spans="2:31" s="424" customFormat="1" ht="33" customHeight="1" thickBot="1" x14ac:dyDescent="0.3">
      <c r="B31" s="455" t="s">
        <v>898</v>
      </c>
      <c r="C31" s="455"/>
      <c r="D31" s="456" t="e">
        <f>D27-D28-D29-D30</f>
        <v>#REF!</v>
      </c>
      <c r="E31" s="456" t="e">
        <f>E27-E28-E29-E30</f>
        <v>#REF!</v>
      </c>
      <c r="F31" s="456" t="e">
        <f>F27-F28-F29-F30</f>
        <v>#REF!</v>
      </c>
      <c r="G31" s="456" t="e">
        <f t="shared" ref="G31:P31" si="102">G27-G28-G29-G30</f>
        <v>#REF!</v>
      </c>
      <c r="H31" s="456" t="e">
        <f t="shared" si="102"/>
        <v>#REF!</v>
      </c>
      <c r="I31" s="456" t="e">
        <f t="shared" si="102"/>
        <v>#REF!</v>
      </c>
      <c r="J31" s="456" t="e">
        <f t="shared" si="102"/>
        <v>#REF!</v>
      </c>
      <c r="K31" s="456" t="e">
        <f t="shared" si="102"/>
        <v>#REF!</v>
      </c>
      <c r="L31" s="456" t="e">
        <f t="shared" si="102"/>
        <v>#REF!</v>
      </c>
      <c r="M31" s="456" t="e">
        <f t="shared" si="102"/>
        <v>#REF!</v>
      </c>
      <c r="N31" s="456" t="e">
        <f t="shared" si="102"/>
        <v>#REF!</v>
      </c>
      <c r="O31" s="456" t="e">
        <f t="shared" si="102"/>
        <v>#REF!</v>
      </c>
      <c r="P31" s="456" t="e">
        <f t="shared" si="102"/>
        <v>#REF!</v>
      </c>
    </row>
    <row r="32" spans="2:31" s="424" customFormat="1" ht="36" customHeight="1" thickBot="1" x14ac:dyDescent="0.3">
      <c r="B32" s="457" t="s">
        <v>891</v>
      </c>
      <c r="C32" s="457"/>
      <c r="D32" s="458" t="e">
        <f>D31*D26</f>
        <v>#REF!</v>
      </c>
      <c r="E32" s="458" t="e">
        <f t="shared" ref="E32:P32" si="103">E31*E26</f>
        <v>#REF!</v>
      </c>
      <c r="F32" s="458" t="e">
        <f t="shared" si="103"/>
        <v>#REF!</v>
      </c>
      <c r="G32" s="458" t="e">
        <f t="shared" si="103"/>
        <v>#REF!</v>
      </c>
      <c r="H32" s="458" t="e">
        <f t="shared" si="103"/>
        <v>#REF!</v>
      </c>
      <c r="I32" s="458" t="e">
        <f t="shared" si="103"/>
        <v>#REF!</v>
      </c>
      <c r="J32" s="458" t="e">
        <f>J31*J26</f>
        <v>#REF!</v>
      </c>
      <c r="K32" s="458" t="e">
        <f t="shared" si="103"/>
        <v>#REF!</v>
      </c>
      <c r="L32" s="458" t="e">
        <f t="shared" si="103"/>
        <v>#REF!</v>
      </c>
      <c r="M32" s="458" t="e">
        <f t="shared" si="103"/>
        <v>#REF!</v>
      </c>
      <c r="N32" s="458" t="e">
        <f t="shared" si="103"/>
        <v>#REF!</v>
      </c>
      <c r="O32" s="458" t="e">
        <f t="shared" si="103"/>
        <v>#REF!</v>
      </c>
      <c r="P32" s="458" t="e">
        <f t="shared" si="103"/>
        <v>#REF!</v>
      </c>
    </row>
    <row r="33" spans="2:31" s="424" customFormat="1" ht="60" customHeight="1" x14ac:dyDescent="0.25">
      <c r="B33" s="444" t="s">
        <v>899</v>
      </c>
      <c r="C33" s="444"/>
      <c r="D33" s="459" t="e">
        <f t="shared" ref="D33:G33" si="104">D35/D36</f>
        <v>#REF!</v>
      </c>
      <c r="E33" s="459" t="e">
        <f t="shared" si="104"/>
        <v>#REF!</v>
      </c>
      <c r="F33" s="459" t="e">
        <f t="shared" si="104"/>
        <v>#REF!</v>
      </c>
      <c r="G33" s="459" t="e">
        <f t="shared" si="104"/>
        <v>#REF!</v>
      </c>
      <c r="H33" s="459" t="e">
        <f>H35/H36</f>
        <v>#REF!</v>
      </c>
      <c r="I33" s="459" t="e">
        <f t="shared" ref="I33:P33" si="105">I35/I36</f>
        <v>#REF!</v>
      </c>
      <c r="J33" s="459" t="e">
        <f t="shared" si="105"/>
        <v>#REF!</v>
      </c>
      <c r="K33" s="459" t="e">
        <f t="shared" si="105"/>
        <v>#REF!</v>
      </c>
      <c r="L33" s="459" t="e">
        <f t="shared" si="105"/>
        <v>#REF!</v>
      </c>
      <c r="M33" s="459" t="e">
        <f t="shared" si="105"/>
        <v>#REF!</v>
      </c>
      <c r="N33" s="459" t="e">
        <f t="shared" si="105"/>
        <v>#REF!</v>
      </c>
      <c r="O33" s="459" t="e">
        <f t="shared" si="105"/>
        <v>#REF!</v>
      </c>
      <c r="P33" s="459" t="e">
        <f t="shared" si="105"/>
        <v>#REF!</v>
      </c>
      <c r="Q33" s="433"/>
      <c r="R33" s="433"/>
      <c r="S33" s="433"/>
      <c r="T33" s="433"/>
      <c r="U33" s="433"/>
      <c r="V33" s="433"/>
      <c r="W33" s="433"/>
      <c r="X33" s="433"/>
      <c r="Y33" s="433"/>
      <c r="Z33" s="433"/>
      <c r="AA33" s="433"/>
      <c r="AB33" s="433"/>
      <c r="AC33" s="433"/>
      <c r="AD33" s="433"/>
      <c r="AE33" s="433"/>
    </row>
    <row r="34" spans="2:31" s="424" customFormat="1" ht="15.6" x14ac:dyDescent="0.3">
      <c r="B34" s="446"/>
      <c r="C34" s="446"/>
      <c r="D34" s="460"/>
      <c r="E34" s="460"/>
      <c r="F34" s="461" t="str">
        <f>IF(ISERR(AVERAGE(SUM(D35,E35,F35)/SUM(D36,E36,F36))),"",AVERAGE(SUM(D35,E35,F35)/SUM(D36,E36,F36)))</f>
        <v/>
      </c>
      <c r="G34" s="461" t="str">
        <f>IF(ISERR(AVERAGE(SUM(E35,F35,G35)/SUM(E36,F36,G36))),"",AVERAGE(SUM(E35,F35,G35)/SUM(E36,F36,G36)))</f>
        <v/>
      </c>
      <c r="H34" s="461" t="str">
        <f>IF(ISERR(AVERAGE(SUM(F35,G35,H35)/SUM(F36,G36,H36))),"",AVERAGE(SUM(F35,G35,H35)/SUM(F36,G36,H36)))</f>
        <v/>
      </c>
      <c r="I34" s="461" t="str">
        <f t="shared" ref="I34:P34" si="106">IF(ISERR(AVERAGE(SUM(G35,H35,I35)/SUM(G36,H36,I36))),"",AVERAGE(SUM(G35,H35,I35)/SUM(G36,H36,I36)))</f>
        <v/>
      </c>
      <c r="J34" s="461" t="str">
        <f t="shared" si="106"/>
        <v/>
      </c>
      <c r="K34" s="461" t="str">
        <f t="shared" si="106"/>
        <v/>
      </c>
      <c r="L34" s="461" t="str">
        <f t="shared" si="106"/>
        <v/>
      </c>
      <c r="M34" s="461" t="str">
        <f t="shared" si="106"/>
        <v/>
      </c>
      <c r="N34" s="461" t="str">
        <f t="shared" si="106"/>
        <v/>
      </c>
      <c r="O34" s="461" t="str">
        <f t="shared" si="106"/>
        <v/>
      </c>
      <c r="P34" s="461" t="str">
        <f t="shared" si="106"/>
        <v/>
      </c>
      <c r="Q34" s="433"/>
      <c r="R34" s="433"/>
      <c r="S34" s="433"/>
      <c r="T34" s="433"/>
      <c r="U34" s="433"/>
      <c r="V34" s="433"/>
      <c r="W34" s="433"/>
      <c r="X34" s="433"/>
      <c r="Y34" s="433"/>
      <c r="Z34" s="433"/>
      <c r="AA34" s="433"/>
      <c r="AB34" s="433"/>
      <c r="AC34" s="433"/>
      <c r="AD34" s="433"/>
      <c r="AE34" s="433"/>
    </row>
    <row r="35" spans="2:31" s="433" customFormat="1" ht="38.25" customHeight="1" x14ac:dyDescent="0.25">
      <c r="B35" s="449" t="s">
        <v>900</v>
      </c>
      <c r="C35" s="449"/>
      <c r="D35" s="437" t="e">
        <f>#REF!</f>
        <v>#REF!</v>
      </c>
      <c r="E35" s="437" t="e">
        <f>#REF!</f>
        <v>#REF!</v>
      </c>
      <c r="F35" s="437" t="e">
        <f t="shared" ref="F35" si="107">#REF!</f>
        <v>#REF!</v>
      </c>
      <c r="G35" s="437" t="e">
        <f t="shared" ref="G35" si="108">#REF!</f>
        <v>#REF!</v>
      </c>
      <c r="H35" s="437" t="e">
        <f>#REF!</f>
        <v>#REF!</v>
      </c>
      <c r="I35" s="437" t="e">
        <f t="shared" ref="I35" si="109">#REF!</f>
        <v>#REF!</v>
      </c>
      <c r="J35" s="437" t="e">
        <f t="shared" ref="J35" si="110">#REF!</f>
        <v>#REF!</v>
      </c>
      <c r="K35" s="437" t="e">
        <f>#REF!</f>
        <v>#REF!</v>
      </c>
      <c r="L35" s="437" t="e">
        <f t="shared" ref="L35" si="111">#REF!</f>
        <v>#REF!</v>
      </c>
      <c r="M35" s="437" t="e">
        <f t="shared" ref="M35" si="112">#REF!</f>
        <v>#REF!</v>
      </c>
      <c r="N35" s="437" t="e">
        <f t="shared" ref="N35" si="113">#REF!</f>
        <v>#REF!</v>
      </c>
      <c r="O35" s="437" t="e">
        <f t="shared" ref="O35" si="114">#REF!</f>
        <v>#REF!</v>
      </c>
      <c r="P35" s="437" t="e">
        <f t="shared" ref="P35" si="115">#REF!</f>
        <v>#REF!</v>
      </c>
    </row>
    <row r="36" spans="2:31" s="433" customFormat="1" ht="38.25" customHeight="1" thickBot="1" x14ac:dyDescent="0.3">
      <c r="B36" s="451" t="s">
        <v>901</v>
      </c>
      <c r="C36" s="451"/>
      <c r="D36" s="437" t="e">
        <f>#REF!</f>
        <v>#REF!</v>
      </c>
      <c r="E36" s="437" t="e">
        <f>#REF!</f>
        <v>#REF!</v>
      </c>
      <c r="F36" s="437" t="e">
        <f t="shared" ref="F36" si="116">#REF!</f>
        <v>#REF!</v>
      </c>
      <c r="G36" s="437" t="e">
        <f t="shared" ref="G36" si="117">#REF!</f>
        <v>#REF!</v>
      </c>
      <c r="H36" s="437" t="e">
        <f t="shared" ref="H36" si="118">#REF!</f>
        <v>#REF!</v>
      </c>
      <c r="I36" s="437" t="e">
        <f t="shared" ref="I36" si="119">#REF!</f>
        <v>#REF!</v>
      </c>
      <c r="J36" s="437" t="e">
        <f t="shared" ref="J36" si="120">#REF!</f>
        <v>#REF!</v>
      </c>
      <c r="K36" s="437" t="e">
        <f t="shared" ref="K36" si="121">#REF!</f>
        <v>#REF!</v>
      </c>
      <c r="L36" s="437" t="e">
        <f t="shared" ref="L36" si="122">#REF!</f>
        <v>#REF!</v>
      </c>
      <c r="M36" s="437" t="e">
        <f t="shared" ref="M36" si="123">#REF!</f>
        <v>#REF!</v>
      </c>
      <c r="N36" s="437" t="e">
        <f t="shared" ref="N36" si="124">#REF!</f>
        <v>#REF!</v>
      </c>
      <c r="O36" s="437" t="e">
        <f t="shared" ref="O36" si="125">#REF!</f>
        <v>#REF!</v>
      </c>
      <c r="P36" s="437" t="e">
        <f t="shared" ref="P36" si="126">#REF!</f>
        <v>#REF!</v>
      </c>
    </row>
    <row r="37" spans="2:31" s="433" customFormat="1" ht="13.8" x14ac:dyDescent="0.25">
      <c r="B37" s="446" t="s">
        <v>902</v>
      </c>
      <c r="C37" s="449"/>
      <c r="D37" s="462" t="e">
        <f>#REF!/#REF!</f>
        <v>#REF!</v>
      </c>
      <c r="E37" s="462" t="e">
        <f>#REF!/#REF!</f>
        <v>#REF!</v>
      </c>
      <c r="F37" s="462" t="e">
        <f t="shared" ref="F37" si="127">#REF!/#REF!</f>
        <v>#REF!</v>
      </c>
      <c r="G37" s="462" t="e">
        <f t="shared" ref="G37" si="128">#REF!/#REF!</f>
        <v>#REF!</v>
      </c>
      <c r="H37" s="462" t="e">
        <f>#REF!/#REF!</f>
        <v>#REF!</v>
      </c>
      <c r="I37" s="462" t="e">
        <f t="shared" ref="I37" si="129">#REF!/#REF!</f>
        <v>#REF!</v>
      </c>
      <c r="J37" s="462" t="e">
        <f t="shared" ref="J37" si="130">#REF!/#REF!</f>
        <v>#REF!</v>
      </c>
      <c r="K37" s="462" t="e">
        <f t="shared" ref="K37" si="131">#REF!/#REF!</f>
        <v>#REF!</v>
      </c>
      <c r="L37" s="462" t="e">
        <f t="shared" ref="L37" si="132">#REF!/#REF!</f>
        <v>#REF!</v>
      </c>
      <c r="M37" s="462" t="e">
        <f t="shared" ref="M37" si="133">#REF!/#REF!</f>
        <v>#REF!</v>
      </c>
      <c r="N37" s="462" t="e">
        <f t="shared" ref="N37" si="134">#REF!/#REF!</f>
        <v>#REF!</v>
      </c>
      <c r="O37" s="462" t="e">
        <f t="shared" ref="O37" si="135">#REF!/#REF!</f>
        <v>#REF!</v>
      </c>
      <c r="P37" s="462" t="e">
        <f t="shared" ref="P37" si="136">#REF!/#REF!</f>
        <v>#REF!</v>
      </c>
      <c r="Q37" s="424"/>
      <c r="R37" s="424"/>
      <c r="S37" s="424"/>
      <c r="T37" s="424"/>
      <c r="U37" s="424"/>
      <c r="V37" s="424"/>
      <c r="W37" s="424"/>
      <c r="X37" s="424"/>
      <c r="Y37" s="424"/>
      <c r="Z37" s="424"/>
      <c r="AA37" s="424"/>
      <c r="AB37" s="424"/>
      <c r="AC37" s="424"/>
      <c r="AD37" s="424"/>
      <c r="AE37" s="424"/>
    </row>
    <row r="38" spans="2:31" s="433" customFormat="1" thickBot="1" x14ac:dyDescent="0.3">
      <c r="B38" s="463" t="s">
        <v>903</v>
      </c>
      <c r="C38" s="451"/>
      <c r="D38" s="464" t="e">
        <f>#REF!/#REF!</f>
        <v>#REF!</v>
      </c>
      <c r="E38" s="464" t="e">
        <f>#REF!/#REF!</f>
        <v>#REF!</v>
      </c>
      <c r="F38" s="464" t="e">
        <f t="shared" ref="F38" si="137">#REF!/#REF!</f>
        <v>#REF!</v>
      </c>
      <c r="G38" s="464" t="e">
        <f t="shared" ref="G38" si="138">#REF!/#REF!</f>
        <v>#REF!</v>
      </c>
      <c r="H38" s="464" t="e">
        <f>#REF!/#REF!</f>
        <v>#REF!</v>
      </c>
      <c r="I38" s="464" t="e">
        <f t="shared" ref="I38" si="139">#REF!/#REF!</f>
        <v>#REF!</v>
      </c>
      <c r="J38" s="464" t="e">
        <f t="shared" ref="J38" si="140">#REF!/#REF!</f>
        <v>#REF!</v>
      </c>
      <c r="K38" s="464" t="e">
        <f t="shared" ref="K38" si="141">#REF!/#REF!</f>
        <v>#REF!</v>
      </c>
      <c r="L38" s="464" t="e">
        <f t="shared" ref="L38" si="142">#REF!/#REF!</f>
        <v>#REF!</v>
      </c>
      <c r="M38" s="464" t="e">
        <f t="shared" ref="M38" si="143">#REF!/#REF!</f>
        <v>#REF!</v>
      </c>
      <c r="N38" s="464" t="e">
        <f t="shared" ref="N38" si="144">#REF!/#REF!</f>
        <v>#REF!</v>
      </c>
      <c r="O38" s="464" t="e">
        <f t="shared" ref="O38" si="145">#REF!/#REF!</f>
        <v>#REF!</v>
      </c>
      <c r="P38" s="464" t="e">
        <f t="shared" ref="P38" si="146">#REF!/#REF!</f>
        <v>#REF!</v>
      </c>
      <c r="Q38" s="424"/>
      <c r="R38" s="424"/>
      <c r="S38" s="424"/>
      <c r="T38" s="424"/>
      <c r="U38" s="424"/>
      <c r="V38" s="424"/>
      <c r="W38" s="424"/>
      <c r="X38" s="424"/>
      <c r="Y38" s="424"/>
      <c r="Z38" s="424"/>
      <c r="AA38" s="424"/>
      <c r="AB38" s="424"/>
      <c r="AC38" s="424"/>
      <c r="AD38" s="424"/>
      <c r="AE38" s="424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189"/>
  <sheetViews>
    <sheetView topLeftCell="A74" workbookViewId="0">
      <selection activeCell="B77" sqref="B1:B1048576"/>
    </sheetView>
  </sheetViews>
  <sheetFormatPr defaultColWidth="10" defaultRowHeight="13.8" outlineLevelCol="1" x14ac:dyDescent="0.25"/>
  <cols>
    <col min="1" max="1" width="45.44140625" style="825" customWidth="1"/>
    <col min="2" max="2" width="14" style="825" customWidth="1"/>
    <col min="3" max="3" width="8.109375" style="825" hidden="1" customWidth="1" outlineLevel="1"/>
    <col min="4" max="4" width="12.44140625" style="825" bestFit="1" customWidth="1" collapsed="1"/>
    <col min="5" max="7" width="12.44140625" style="825" bestFit="1" customWidth="1"/>
    <col min="8" max="8" width="15.109375" style="826" bestFit="1" customWidth="1"/>
    <col min="9" max="9" width="12.44140625" style="826" bestFit="1" customWidth="1"/>
    <col min="10" max="13" width="12.44140625" style="825" bestFit="1" customWidth="1"/>
    <col min="14" max="256" width="10" style="825"/>
    <col min="257" max="257" width="45.44140625" style="825" customWidth="1"/>
    <col min="258" max="258" width="14" style="825" customWidth="1"/>
    <col min="259" max="259" width="0" style="825" hidden="1" customWidth="1"/>
    <col min="260" max="263" width="12.44140625" style="825" bestFit="1" customWidth="1"/>
    <col min="264" max="264" width="15.109375" style="825" bestFit="1" customWidth="1"/>
    <col min="265" max="269" width="12.44140625" style="825" bestFit="1" customWidth="1"/>
    <col min="270" max="512" width="10" style="825"/>
    <col min="513" max="513" width="45.44140625" style="825" customWidth="1"/>
    <col min="514" max="514" width="14" style="825" customWidth="1"/>
    <col min="515" max="515" width="0" style="825" hidden="1" customWidth="1"/>
    <col min="516" max="519" width="12.44140625" style="825" bestFit="1" customWidth="1"/>
    <col min="520" max="520" width="15.109375" style="825" bestFit="1" customWidth="1"/>
    <col min="521" max="525" width="12.44140625" style="825" bestFit="1" customWidth="1"/>
    <col min="526" max="768" width="10" style="825"/>
    <col min="769" max="769" width="45.44140625" style="825" customWidth="1"/>
    <col min="770" max="770" width="14" style="825" customWidth="1"/>
    <col min="771" max="771" width="0" style="825" hidden="1" customWidth="1"/>
    <col min="772" max="775" width="12.44140625" style="825" bestFit="1" customWidth="1"/>
    <col min="776" max="776" width="15.109375" style="825" bestFit="1" customWidth="1"/>
    <col min="777" max="781" width="12.44140625" style="825" bestFit="1" customWidth="1"/>
    <col min="782" max="1024" width="10" style="825"/>
    <col min="1025" max="1025" width="45.44140625" style="825" customWidth="1"/>
    <col min="1026" max="1026" width="14" style="825" customWidth="1"/>
    <col min="1027" max="1027" width="0" style="825" hidden="1" customWidth="1"/>
    <col min="1028" max="1031" width="12.44140625" style="825" bestFit="1" customWidth="1"/>
    <col min="1032" max="1032" width="15.109375" style="825" bestFit="1" customWidth="1"/>
    <col min="1033" max="1037" width="12.44140625" style="825" bestFit="1" customWidth="1"/>
    <col min="1038" max="1280" width="10" style="825"/>
    <col min="1281" max="1281" width="45.44140625" style="825" customWidth="1"/>
    <col min="1282" max="1282" width="14" style="825" customWidth="1"/>
    <col min="1283" max="1283" width="0" style="825" hidden="1" customWidth="1"/>
    <col min="1284" max="1287" width="12.44140625" style="825" bestFit="1" customWidth="1"/>
    <col min="1288" max="1288" width="15.109375" style="825" bestFit="1" customWidth="1"/>
    <col min="1289" max="1293" width="12.44140625" style="825" bestFit="1" customWidth="1"/>
    <col min="1294" max="1536" width="10" style="825"/>
    <col min="1537" max="1537" width="45.44140625" style="825" customWidth="1"/>
    <col min="1538" max="1538" width="14" style="825" customWidth="1"/>
    <col min="1539" max="1539" width="0" style="825" hidden="1" customWidth="1"/>
    <col min="1540" max="1543" width="12.44140625" style="825" bestFit="1" customWidth="1"/>
    <col min="1544" max="1544" width="15.109375" style="825" bestFit="1" customWidth="1"/>
    <col min="1545" max="1549" width="12.44140625" style="825" bestFit="1" customWidth="1"/>
    <col min="1550" max="1792" width="10" style="825"/>
    <col min="1793" max="1793" width="45.44140625" style="825" customWidth="1"/>
    <col min="1794" max="1794" width="14" style="825" customWidth="1"/>
    <col min="1795" max="1795" width="0" style="825" hidden="1" customWidth="1"/>
    <col min="1796" max="1799" width="12.44140625" style="825" bestFit="1" customWidth="1"/>
    <col min="1800" max="1800" width="15.109375" style="825" bestFit="1" customWidth="1"/>
    <col min="1801" max="1805" width="12.44140625" style="825" bestFit="1" customWidth="1"/>
    <col min="1806" max="2048" width="10" style="825"/>
    <col min="2049" max="2049" width="45.44140625" style="825" customWidth="1"/>
    <col min="2050" max="2050" width="14" style="825" customWidth="1"/>
    <col min="2051" max="2051" width="0" style="825" hidden="1" customWidth="1"/>
    <col min="2052" max="2055" width="12.44140625" style="825" bestFit="1" customWidth="1"/>
    <col min="2056" max="2056" width="15.109375" style="825" bestFit="1" customWidth="1"/>
    <col min="2057" max="2061" width="12.44140625" style="825" bestFit="1" customWidth="1"/>
    <col min="2062" max="2304" width="10" style="825"/>
    <col min="2305" max="2305" width="45.44140625" style="825" customWidth="1"/>
    <col min="2306" max="2306" width="14" style="825" customWidth="1"/>
    <col min="2307" max="2307" width="0" style="825" hidden="1" customWidth="1"/>
    <col min="2308" max="2311" width="12.44140625" style="825" bestFit="1" customWidth="1"/>
    <col min="2312" max="2312" width="15.109375" style="825" bestFit="1" customWidth="1"/>
    <col min="2313" max="2317" width="12.44140625" style="825" bestFit="1" customWidth="1"/>
    <col min="2318" max="2560" width="10" style="825"/>
    <col min="2561" max="2561" width="45.44140625" style="825" customWidth="1"/>
    <col min="2562" max="2562" width="14" style="825" customWidth="1"/>
    <col min="2563" max="2563" width="0" style="825" hidden="1" customWidth="1"/>
    <col min="2564" max="2567" width="12.44140625" style="825" bestFit="1" customWidth="1"/>
    <col min="2568" max="2568" width="15.109375" style="825" bestFit="1" customWidth="1"/>
    <col min="2569" max="2573" width="12.44140625" style="825" bestFit="1" customWidth="1"/>
    <col min="2574" max="2816" width="10" style="825"/>
    <col min="2817" max="2817" width="45.44140625" style="825" customWidth="1"/>
    <col min="2818" max="2818" width="14" style="825" customWidth="1"/>
    <col min="2819" max="2819" width="0" style="825" hidden="1" customWidth="1"/>
    <col min="2820" max="2823" width="12.44140625" style="825" bestFit="1" customWidth="1"/>
    <col min="2824" max="2824" width="15.109375" style="825" bestFit="1" customWidth="1"/>
    <col min="2825" max="2829" width="12.44140625" style="825" bestFit="1" customWidth="1"/>
    <col min="2830" max="3072" width="10" style="825"/>
    <col min="3073" max="3073" width="45.44140625" style="825" customWidth="1"/>
    <col min="3074" max="3074" width="14" style="825" customWidth="1"/>
    <col min="3075" max="3075" width="0" style="825" hidden="1" customWidth="1"/>
    <col min="3076" max="3079" width="12.44140625" style="825" bestFit="1" customWidth="1"/>
    <col min="3080" max="3080" width="15.109375" style="825" bestFit="1" customWidth="1"/>
    <col min="3081" max="3085" width="12.44140625" style="825" bestFit="1" customWidth="1"/>
    <col min="3086" max="3328" width="10" style="825"/>
    <col min="3329" max="3329" width="45.44140625" style="825" customWidth="1"/>
    <col min="3330" max="3330" width="14" style="825" customWidth="1"/>
    <col min="3331" max="3331" width="0" style="825" hidden="1" customWidth="1"/>
    <col min="3332" max="3335" width="12.44140625" style="825" bestFit="1" customWidth="1"/>
    <col min="3336" max="3336" width="15.109375" style="825" bestFit="1" customWidth="1"/>
    <col min="3337" max="3341" width="12.44140625" style="825" bestFit="1" customWidth="1"/>
    <col min="3342" max="3584" width="10" style="825"/>
    <col min="3585" max="3585" width="45.44140625" style="825" customWidth="1"/>
    <col min="3586" max="3586" width="14" style="825" customWidth="1"/>
    <col min="3587" max="3587" width="0" style="825" hidden="1" customWidth="1"/>
    <col min="3588" max="3591" width="12.44140625" style="825" bestFit="1" customWidth="1"/>
    <col min="3592" max="3592" width="15.109375" style="825" bestFit="1" customWidth="1"/>
    <col min="3593" max="3597" width="12.44140625" style="825" bestFit="1" customWidth="1"/>
    <col min="3598" max="3840" width="10" style="825"/>
    <col min="3841" max="3841" width="45.44140625" style="825" customWidth="1"/>
    <col min="3842" max="3842" width="14" style="825" customWidth="1"/>
    <col min="3843" max="3843" width="0" style="825" hidden="1" customWidth="1"/>
    <col min="3844" max="3847" width="12.44140625" style="825" bestFit="1" customWidth="1"/>
    <col min="3848" max="3848" width="15.109375" style="825" bestFit="1" customWidth="1"/>
    <col min="3849" max="3853" width="12.44140625" style="825" bestFit="1" customWidth="1"/>
    <col min="3854" max="4096" width="10" style="825"/>
    <col min="4097" max="4097" width="45.44140625" style="825" customWidth="1"/>
    <col min="4098" max="4098" width="14" style="825" customWidth="1"/>
    <col min="4099" max="4099" width="0" style="825" hidden="1" customWidth="1"/>
    <col min="4100" max="4103" width="12.44140625" style="825" bestFit="1" customWidth="1"/>
    <col min="4104" max="4104" width="15.109375" style="825" bestFit="1" customWidth="1"/>
    <col min="4105" max="4109" width="12.44140625" style="825" bestFit="1" customWidth="1"/>
    <col min="4110" max="4352" width="10" style="825"/>
    <col min="4353" max="4353" width="45.44140625" style="825" customWidth="1"/>
    <col min="4354" max="4354" width="14" style="825" customWidth="1"/>
    <col min="4355" max="4355" width="0" style="825" hidden="1" customWidth="1"/>
    <col min="4356" max="4359" width="12.44140625" style="825" bestFit="1" customWidth="1"/>
    <col min="4360" max="4360" width="15.109375" style="825" bestFit="1" customWidth="1"/>
    <col min="4361" max="4365" width="12.44140625" style="825" bestFit="1" customWidth="1"/>
    <col min="4366" max="4608" width="10" style="825"/>
    <col min="4609" max="4609" width="45.44140625" style="825" customWidth="1"/>
    <col min="4610" max="4610" width="14" style="825" customWidth="1"/>
    <col min="4611" max="4611" width="0" style="825" hidden="1" customWidth="1"/>
    <col min="4612" max="4615" width="12.44140625" style="825" bestFit="1" customWidth="1"/>
    <col min="4616" max="4616" width="15.109375" style="825" bestFit="1" customWidth="1"/>
    <col min="4617" max="4621" width="12.44140625" style="825" bestFit="1" customWidth="1"/>
    <col min="4622" max="4864" width="10" style="825"/>
    <col min="4865" max="4865" width="45.44140625" style="825" customWidth="1"/>
    <col min="4866" max="4866" width="14" style="825" customWidth="1"/>
    <col min="4867" max="4867" width="0" style="825" hidden="1" customWidth="1"/>
    <col min="4868" max="4871" width="12.44140625" style="825" bestFit="1" customWidth="1"/>
    <col min="4872" max="4872" width="15.109375" style="825" bestFit="1" customWidth="1"/>
    <col min="4873" max="4877" width="12.44140625" style="825" bestFit="1" customWidth="1"/>
    <col min="4878" max="5120" width="10" style="825"/>
    <col min="5121" max="5121" width="45.44140625" style="825" customWidth="1"/>
    <col min="5122" max="5122" width="14" style="825" customWidth="1"/>
    <col min="5123" max="5123" width="0" style="825" hidden="1" customWidth="1"/>
    <col min="5124" max="5127" width="12.44140625" style="825" bestFit="1" customWidth="1"/>
    <col min="5128" max="5128" width="15.109375" style="825" bestFit="1" customWidth="1"/>
    <col min="5129" max="5133" width="12.44140625" style="825" bestFit="1" customWidth="1"/>
    <col min="5134" max="5376" width="10" style="825"/>
    <col min="5377" max="5377" width="45.44140625" style="825" customWidth="1"/>
    <col min="5378" max="5378" width="14" style="825" customWidth="1"/>
    <col min="5379" max="5379" width="0" style="825" hidden="1" customWidth="1"/>
    <col min="5380" max="5383" width="12.44140625" style="825" bestFit="1" customWidth="1"/>
    <col min="5384" max="5384" width="15.109375" style="825" bestFit="1" customWidth="1"/>
    <col min="5385" max="5389" width="12.44140625" style="825" bestFit="1" customWidth="1"/>
    <col min="5390" max="5632" width="10" style="825"/>
    <col min="5633" max="5633" width="45.44140625" style="825" customWidth="1"/>
    <col min="5634" max="5634" width="14" style="825" customWidth="1"/>
    <col min="5635" max="5635" width="0" style="825" hidden="1" customWidth="1"/>
    <col min="5636" max="5639" width="12.44140625" style="825" bestFit="1" customWidth="1"/>
    <col min="5640" max="5640" width="15.109375" style="825" bestFit="1" customWidth="1"/>
    <col min="5641" max="5645" width="12.44140625" style="825" bestFit="1" customWidth="1"/>
    <col min="5646" max="5888" width="10" style="825"/>
    <col min="5889" max="5889" width="45.44140625" style="825" customWidth="1"/>
    <col min="5890" max="5890" width="14" style="825" customWidth="1"/>
    <col min="5891" max="5891" width="0" style="825" hidden="1" customWidth="1"/>
    <col min="5892" max="5895" width="12.44140625" style="825" bestFit="1" customWidth="1"/>
    <col min="5896" max="5896" width="15.109375" style="825" bestFit="1" customWidth="1"/>
    <col min="5897" max="5901" width="12.44140625" style="825" bestFit="1" customWidth="1"/>
    <col min="5902" max="6144" width="10" style="825"/>
    <col min="6145" max="6145" width="45.44140625" style="825" customWidth="1"/>
    <col min="6146" max="6146" width="14" style="825" customWidth="1"/>
    <col min="6147" max="6147" width="0" style="825" hidden="1" customWidth="1"/>
    <col min="6148" max="6151" width="12.44140625" style="825" bestFit="1" customWidth="1"/>
    <col min="6152" max="6152" width="15.109375" style="825" bestFit="1" customWidth="1"/>
    <col min="6153" max="6157" width="12.44140625" style="825" bestFit="1" customWidth="1"/>
    <col min="6158" max="6400" width="10" style="825"/>
    <col min="6401" max="6401" width="45.44140625" style="825" customWidth="1"/>
    <col min="6402" max="6402" width="14" style="825" customWidth="1"/>
    <col min="6403" max="6403" width="0" style="825" hidden="1" customWidth="1"/>
    <col min="6404" max="6407" width="12.44140625" style="825" bestFit="1" customWidth="1"/>
    <col min="6408" max="6408" width="15.109375" style="825" bestFit="1" customWidth="1"/>
    <col min="6409" max="6413" width="12.44140625" style="825" bestFit="1" customWidth="1"/>
    <col min="6414" max="6656" width="10" style="825"/>
    <col min="6657" max="6657" width="45.44140625" style="825" customWidth="1"/>
    <col min="6658" max="6658" width="14" style="825" customWidth="1"/>
    <col min="6659" max="6659" width="0" style="825" hidden="1" customWidth="1"/>
    <col min="6660" max="6663" width="12.44140625" style="825" bestFit="1" customWidth="1"/>
    <col min="6664" max="6664" width="15.109375" style="825" bestFit="1" customWidth="1"/>
    <col min="6665" max="6669" width="12.44140625" style="825" bestFit="1" customWidth="1"/>
    <col min="6670" max="6912" width="10" style="825"/>
    <col min="6913" max="6913" width="45.44140625" style="825" customWidth="1"/>
    <col min="6914" max="6914" width="14" style="825" customWidth="1"/>
    <col min="6915" max="6915" width="0" style="825" hidden="1" customWidth="1"/>
    <col min="6916" max="6919" width="12.44140625" style="825" bestFit="1" customWidth="1"/>
    <col min="6920" max="6920" width="15.109375" style="825" bestFit="1" customWidth="1"/>
    <col min="6921" max="6925" width="12.44140625" style="825" bestFit="1" customWidth="1"/>
    <col min="6926" max="7168" width="10" style="825"/>
    <col min="7169" max="7169" width="45.44140625" style="825" customWidth="1"/>
    <col min="7170" max="7170" width="14" style="825" customWidth="1"/>
    <col min="7171" max="7171" width="0" style="825" hidden="1" customWidth="1"/>
    <col min="7172" max="7175" width="12.44140625" style="825" bestFit="1" customWidth="1"/>
    <col min="7176" max="7176" width="15.109375" style="825" bestFit="1" customWidth="1"/>
    <col min="7177" max="7181" width="12.44140625" style="825" bestFit="1" customWidth="1"/>
    <col min="7182" max="7424" width="10" style="825"/>
    <col min="7425" max="7425" width="45.44140625" style="825" customWidth="1"/>
    <col min="7426" max="7426" width="14" style="825" customWidth="1"/>
    <col min="7427" max="7427" width="0" style="825" hidden="1" customWidth="1"/>
    <col min="7428" max="7431" width="12.44140625" style="825" bestFit="1" customWidth="1"/>
    <col min="7432" max="7432" width="15.109375" style="825" bestFit="1" customWidth="1"/>
    <col min="7433" max="7437" width="12.44140625" style="825" bestFit="1" customWidth="1"/>
    <col min="7438" max="7680" width="10" style="825"/>
    <col min="7681" max="7681" width="45.44140625" style="825" customWidth="1"/>
    <col min="7682" max="7682" width="14" style="825" customWidth="1"/>
    <col min="7683" max="7683" width="0" style="825" hidden="1" customWidth="1"/>
    <col min="7684" max="7687" width="12.44140625" style="825" bestFit="1" customWidth="1"/>
    <col min="7688" max="7688" width="15.109375" style="825" bestFit="1" customWidth="1"/>
    <col min="7689" max="7693" width="12.44140625" style="825" bestFit="1" customWidth="1"/>
    <col min="7694" max="7936" width="10" style="825"/>
    <col min="7937" max="7937" width="45.44140625" style="825" customWidth="1"/>
    <col min="7938" max="7938" width="14" style="825" customWidth="1"/>
    <col min="7939" max="7939" width="0" style="825" hidden="1" customWidth="1"/>
    <col min="7940" max="7943" width="12.44140625" style="825" bestFit="1" customWidth="1"/>
    <col min="7944" max="7944" width="15.109375" style="825" bestFit="1" customWidth="1"/>
    <col min="7945" max="7949" width="12.44140625" style="825" bestFit="1" customWidth="1"/>
    <col min="7950" max="8192" width="10" style="825"/>
    <col min="8193" max="8193" width="45.44140625" style="825" customWidth="1"/>
    <col min="8194" max="8194" width="14" style="825" customWidth="1"/>
    <col min="8195" max="8195" width="0" style="825" hidden="1" customWidth="1"/>
    <col min="8196" max="8199" width="12.44140625" style="825" bestFit="1" customWidth="1"/>
    <col min="8200" max="8200" width="15.109375" style="825" bestFit="1" customWidth="1"/>
    <col min="8201" max="8205" width="12.44140625" style="825" bestFit="1" customWidth="1"/>
    <col min="8206" max="8448" width="10" style="825"/>
    <col min="8449" max="8449" width="45.44140625" style="825" customWidth="1"/>
    <col min="8450" max="8450" width="14" style="825" customWidth="1"/>
    <col min="8451" max="8451" width="0" style="825" hidden="1" customWidth="1"/>
    <col min="8452" max="8455" width="12.44140625" style="825" bestFit="1" customWidth="1"/>
    <col min="8456" max="8456" width="15.109375" style="825" bestFit="1" customWidth="1"/>
    <col min="8457" max="8461" width="12.44140625" style="825" bestFit="1" customWidth="1"/>
    <col min="8462" max="8704" width="10" style="825"/>
    <col min="8705" max="8705" width="45.44140625" style="825" customWidth="1"/>
    <col min="8706" max="8706" width="14" style="825" customWidth="1"/>
    <col min="8707" max="8707" width="0" style="825" hidden="1" customWidth="1"/>
    <col min="8708" max="8711" width="12.44140625" style="825" bestFit="1" customWidth="1"/>
    <col min="8712" max="8712" width="15.109375" style="825" bestFit="1" customWidth="1"/>
    <col min="8713" max="8717" width="12.44140625" style="825" bestFit="1" customWidth="1"/>
    <col min="8718" max="8960" width="10" style="825"/>
    <col min="8961" max="8961" width="45.44140625" style="825" customWidth="1"/>
    <col min="8962" max="8962" width="14" style="825" customWidth="1"/>
    <col min="8963" max="8963" width="0" style="825" hidden="1" customWidth="1"/>
    <col min="8964" max="8967" width="12.44140625" style="825" bestFit="1" customWidth="1"/>
    <col min="8968" max="8968" width="15.109375" style="825" bestFit="1" customWidth="1"/>
    <col min="8969" max="8973" width="12.44140625" style="825" bestFit="1" customWidth="1"/>
    <col min="8974" max="9216" width="10" style="825"/>
    <col min="9217" max="9217" width="45.44140625" style="825" customWidth="1"/>
    <col min="9218" max="9218" width="14" style="825" customWidth="1"/>
    <col min="9219" max="9219" width="0" style="825" hidden="1" customWidth="1"/>
    <col min="9220" max="9223" width="12.44140625" style="825" bestFit="1" customWidth="1"/>
    <col min="9224" max="9224" width="15.109375" style="825" bestFit="1" customWidth="1"/>
    <col min="9225" max="9229" width="12.44140625" style="825" bestFit="1" customWidth="1"/>
    <col min="9230" max="9472" width="10" style="825"/>
    <col min="9473" max="9473" width="45.44140625" style="825" customWidth="1"/>
    <col min="9474" max="9474" width="14" style="825" customWidth="1"/>
    <col min="9475" max="9475" width="0" style="825" hidden="1" customWidth="1"/>
    <col min="9476" max="9479" width="12.44140625" style="825" bestFit="1" customWidth="1"/>
    <col min="9480" max="9480" width="15.109375" style="825" bestFit="1" customWidth="1"/>
    <col min="9481" max="9485" width="12.44140625" style="825" bestFit="1" customWidth="1"/>
    <col min="9486" max="9728" width="10" style="825"/>
    <col min="9729" max="9729" width="45.44140625" style="825" customWidth="1"/>
    <col min="9730" max="9730" width="14" style="825" customWidth="1"/>
    <col min="9731" max="9731" width="0" style="825" hidden="1" customWidth="1"/>
    <col min="9732" max="9735" width="12.44140625" style="825" bestFit="1" customWidth="1"/>
    <col min="9736" max="9736" width="15.109375" style="825" bestFit="1" customWidth="1"/>
    <col min="9737" max="9741" width="12.44140625" style="825" bestFit="1" customWidth="1"/>
    <col min="9742" max="9984" width="10" style="825"/>
    <col min="9985" max="9985" width="45.44140625" style="825" customWidth="1"/>
    <col min="9986" max="9986" width="14" style="825" customWidth="1"/>
    <col min="9987" max="9987" width="0" style="825" hidden="1" customWidth="1"/>
    <col min="9988" max="9991" width="12.44140625" style="825" bestFit="1" customWidth="1"/>
    <col min="9992" max="9992" width="15.109375" style="825" bestFit="1" customWidth="1"/>
    <col min="9993" max="9997" width="12.44140625" style="825" bestFit="1" customWidth="1"/>
    <col min="9998" max="10240" width="10" style="825"/>
    <col min="10241" max="10241" width="45.44140625" style="825" customWidth="1"/>
    <col min="10242" max="10242" width="14" style="825" customWidth="1"/>
    <col min="10243" max="10243" width="0" style="825" hidden="1" customWidth="1"/>
    <col min="10244" max="10247" width="12.44140625" style="825" bestFit="1" customWidth="1"/>
    <col min="10248" max="10248" width="15.109375" style="825" bestFit="1" customWidth="1"/>
    <col min="10249" max="10253" width="12.44140625" style="825" bestFit="1" customWidth="1"/>
    <col min="10254" max="10496" width="10" style="825"/>
    <col min="10497" max="10497" width="45.44140625" style="825" customWidth="1"/>
    <col min="10498" max="10498" width="14" style="825" customWidth="1"/>
    <col min="10499" max="10499" width="0" style="825" hidden="1" customWidth="1"/>
    <col min="10500" max="10503" width="12.44140625" style="825" bestFit="1" customWidth="1"/>
    <col min="10504" max="10504" width="15.109375" style="825" bestFit="1" customWidth="1"/>
    <col min="10505" max="10509" width="12.44140625" style="825" bestFit="1" customWidth="1"/>
    <col min="10510" max="10752" width="10" style="825"/>
    <col min="10753" max="10753" width="45.44140625" style="825" customWidth="1"/>
    <col min="10754" max="10754" width="14" style="825" customWidth="1"/>
    <col min="10755" max="10755" width="0" style="825" hidden="1" customWidth="1"/>
    <col min="10756" max="10759" width="12.44140625" style="825" bestFit="1" customWidth="1"/>
    <col min="10760" max="10760" width="15.109375" style="825" bestFit="1" customWidth="1"/>
    <col min="10761" max="10765" width="12.44140625" style="825" bestFit="1" customWidth="1"/>
    <col min="10766" max="11008" width="10" style="825"/>
    <col min="11009" max="11009" width="45.44140625" style="825" customWidth="1"/>
    <col min="11010" max="11010" width="14" style="825" customWidth="1"/>
    <col min="11011" max="11011" width="0" style="825" hidden="1" customWidth="1"/>
    <col min="11012" max="11015" width="12.44140625" style="825" bestFit="1" customWidth="1"/>
    <col min="11016" max="11016" width="15.109375" style="825" bestFit="1" customWidth="1"/>
    <col min="11017" max="11021" width="12.44140625" style="825" bestFit="1" customWidth="1"/>
    <col min="11022" max="11264" width="10" style="825"/>
    <col min="11265" max="11265" width="45.44140625" style="825" customWidth="1"/>
    <col min="11266" max="11266" width="14" style="825" customWidth="1"/>
    <col min="11267" max="11267" width="0" style="825" hidden="1" customWidth="1"/>
    <col min="11268" max="11271" width="12.44140625" style="825" bestFit="1" customWidth="1"/>
    <col min="11272" max="11272" width="15.109375" style="825" bestFit="1" customWidth="1"/>
    <col min="11273" max="11277" width="12.44140625" style="825" bestFit="1" customWidth="1"/>
    <col min="11278" max="11520" width="10" style="825"/>
    <col min="11521" max="11521" width="45.44140625" style="825" customWidth="1"/>
    <col min="11522" max="11522" width="14" style="825" customWidth="1"/>
    <col min="11523" max="11523" width="0" style="825" hidden="1" customWidth="1"/>
    <col min="11524" max="11527" width="12.44140625" style="825" bestFit="1" customWidth="1"/>
    <col min="11528" max="11528" width="15.109375" style="825" bestFit="1" customWidth="1"/>
    <col min="11529" max="11533" width="12.44140625" style="825" bestFit="1" customWidth="1"/>
    <col min="11534" max="11776" width="10" style="825"/>
    <col min="11777" max="11777" width="45.44140625" style="825" customWidth="1"/>
    <col min="11778" max="11778" width="14" style="825" customWidth="1"/>
    <col min="11779" max="11779" width="0" style="825" hidden="1" customWidth="1"/>
    <col min="11780" max="11783" width="12.44140625" style="825" bestFit="1" customWidth="1"/>
    <col min="11784" max="11784" width="15.109375" style="825" bestFit="1" customWidth="1"/>
    <col min="11785" max="11789" width="12.44140625" style="825" bestFit="1" customWidth="1"/>
    <col min="11790" max="12032" width="10" style="825"/>
    <col min="12033" max="12033" width="45.44140625" style="825" customWidth="1"/>
    <col min="12034" max="12034" width="14" style="825" customWidth="1"/>
    <col min="12035" max="12035" width="0" style="825" hidden="1" customWidth="1"/>
    <col min="12036" max="12039" width="12.44140625" style="825" bestFit="1" customWidth="1"/>
    <col min="12040" max="12040" width="15.109375" style="825" bestFit="1" customWidth="1"/>
    <col min="12041" max="12045" width="12.44140625" style="825" bestFit="1" customWidth="1"/>
    <col min="12046" max="12288" width="10" style="825"/>
    <col min="12289" max="12289" width="45.44140625" style="825" customWidth="1"/>
    <col min="12290" max="12290" width="14" style="825" customWidth="1"/>
    <col min="12291" max="12291" width="0" style="825" hidden="1" customWidth="1"/>
    <col min="12292" max="12295" width="12.44140625" style="825" bestFit="1" customWidth="1"/>
    <col min="12296" max="12296" width="15.109375" style="825" bestFit="1" customWidth="1"/>
    <col min="12297" max="12301" width="12.44140625" style="825" bestFit="1" customWidth="1"/>
    <col min="12302" max="12544" width="10" style="825"/>
    <col min="12545" max="12545" width="45.44140625" style="825" customWidth="1"/>
    <col min="12546" max="12546" width="14" style="825" customWidth="1"/>
    <col min="12547" max="12547" width="0" style="825" hidden="1" customWidth="1"/>
    <col min="12548" max="12551" width="12.44140625" style="825" bestFit="1" customWidth="1"/>
    <col min="12552" max="12552" width="15.109375" style="825" bestFit="1" customWidth="1"/>
    <col min="12553" max="12557" width="12.44140625" style="825" bestFit="1" customWidth="1"/>
    <col min="12558" max="12800" width="10" style="825"/>
    <col min="12801" max="12801" width="45.44140625" style="825" customWidth="1"/>
    <col min="12802" max="12802" width="14" style="825" customWidth="1"/>
    <col min="12803" max="12803" width="0" style="825" hidden="1" customWidth="1"/>
    <col min="12804" max="12807" width="12.44140625" style="825" bestFit="1" customWidth="1"/>
    <col min="12808" max="12808" width="15.109375" style="825" bestFit="1" customWidth="1"/>
    <col min="12809" max="12813" width="12.44140625" style="825" bestFit="1" customWidth="1"/>
    <col min="12814" max="13056" width="10" style="825"/>
    <col min="13057" max="13057" width="45.44140625" style="825" customWidth="1"/>
    <col min="13058" max="13058" width="14" style="825" customWidth="1"/>
    <col min="13059" max="13059" width="0" style="825" hidden="1" customWidth="1"/>
    <col min="13060" max="13063" width="12.44140625" style="825" bestFit="1" customWidth="1"/>
    <col min="13064" max="13064" width="15.109375" style="825" bestFit="1" customWidth="1"/>
    <col min="13065" max="13069" width="12.44140625" style="825" bestFit="1" customWidth="1"/>
    <col min="13070" max="13312" width="10" style="825"/>
    <col min="13313" max="13313" width="45.44140625" style="825" customWidth="1"/>
    <col min="13314" max="13314" width="14" style="825" customWidth="1"/>
    <col min="13315" max="13315" width="0" style="825" hidden="1" customWidth="1"/>
    <col min="13316" max="13319" width="12.44140625" style="825" bestFit="1" customWidth="1"/>
    <col min="13320" max="13320" width="15.109375" style="825" bestFit="1" customWidth="1"/>
    <col min="13321" max="13325" width="12.44140625" style="825" bestFit="1" customWidth="1"/>
    <col min="13326" max="13568" width="10" style="825"/>
    <col min="13569" max="13569" width="45.44140625" style="825" customWidth="1"/>
    <col min="13570" max="13570" width="14" style="825" customWidth="1"/>
    <col min="13571" max="13571" width="0" style="825" hidden="1" customWidth="1"/>
    <col min="13572" max="13575" width="12.44140625" style="825" bestFit="1" customWidth="1"/>
    <col min="13576" max="13576" width="15.109375" style="825" bestFit="1" customWidth="1"/>
    <col min="13577" max="13581" width="12.44140625" style="825" bestFit="1" customWidth="1"/>
    <col min="13582" max="13824" width="10" style="825"/>
    <col min="13825" max="13825" width="45.44140625" style="825" customWidth="1"/>
    <col min="13826" max="13826" width="14" style="825" customWidth="1"/>
    <col min="13827" max="13827" width="0" style="825" hidden="1" customWidth="1"/>
    <col min="13828" max="13831" width="12.44140625" style="825" bestFit="1" customWidth="1"/>
    <col min="13832" max="13832" width="15.109375" style="825" bestFit="1" customWidth="1"/>
    <col min="13833" max="13837" width="12.44140625" style="825" bestFit="1" customWidth="1"/>
    <col min="13838" max="14080" width="10" style="825"/>
    <col min="14081" max="14081" width="45.44140625" style="825" customWidth="1"/>
    <col min="14082" max="14082" width="14" style="825" customWidth="1"/>
    <col min="14083" max="14083" width="0" style="825" hidden="1" customWidth="1"/>
    <col min="14084" max="14087" width="12.44140625" style="825" bestFit="1" customWidth="1"/>
    <col min="14088" max="14088" width="15.109375" style="825" bestFit="1" customWidth="1"/>
    <col min="14089" max="14093" width="12.44140625" style="825" bestFit="1" customWidth="1"/>
    <col min="14094" max="14336" width="10" style="825"/>
    <col min="14337" max="14337" width="45.44140625" style="825" customWidth="1"/>
    <col min="14338" max="14338" width="14" style="825" customWidth="1"/>
    <col min="14339" max="14339" width="0" style="825" hidden="1" customWidth="1"/>
    <col min="14340" max="14343" width="12.44140625" style="825" bestFit="1" customWidth="1"/>
    <col min="14344" max="14344" width="15.109375" style="825" bestFit="1" customWidth="1"/>
    <col min="14345" max="14349" width="12.44140625" style="825" bestFit="1" customWidth="1"/>
    <col min="14350" max="14592" width="10" style="825"/>
    <col min="14593" max="14593" width="45.44140625" style="825" customWidth="1"/>
    <col min="14594" max="14594" width="14" style="825" customWidth="1"/>
    <col min="14595" max="14595" width="0" style="825" hidden="1" customWidth="1"/>
    <col min="14596" max="14599" width="12.44140625" style="825" bestFit="1" customWidth="1"/>
    <col min="14600" max="14600" width="15.109375" style="825" bestFit="1" customWidth="1"/>
    <col min="14601" max="14605" width="12.44140625" style="825" bestFit="1" customWidth="1"/>
    <col min="14606" max="14848" width="10" style="825"/>
    <col min="14849" max="14849" width="45.44140625" style="825" customWidth="1"/>
    <col min="14850" max="14850" width="14" style="825" customWidth="1"/>
    <col min="14851" max="14851" width="0" style="825" hidden="1" customWidth="1"/>
    <col min="14852" max="14855" width="12.44140625" style="825" bestFit="1" customWidth="1"/>
    <col min="14856" max="14856" width="15.109375" style="825" bestFit="1" customWidth="1"/>
    <col min="14857" max="14861" width="12.44140625" style="825" bestFit="1" customWidth="1"/>
    <col min="14862" max="15104" width="10" style="825"/>
    <col min="15105" max="15105" width="45.44140625" style="825" customWidth="1"/>
    <col min="15106" max="15106" width="14" style="825" customWidth="1"/>
    <col min="15107" max="15107" width="0" style="825" hidden="1" customWidth="1"/>
    <col min="15108" max="15111" width="12.44140625" style="825" bestFit="1" customWidth="1"/>
    <col min="15112" max="15112" width="15.109375" style="825" bestFit="1" customWidth="1"/>
    <col min="15113" max="15117" width="12.44140625" style="825" bestFit="1" customWidth="1"/>
    <col min="15118" max="15360" width="10" style="825"/>
    <col min="15361" max="15361" width="45.44140625" style="825" customWidth="1"/>
    <col min="15362" max="15362" width="14" style="825" customWidth="1"/>
    <col min="15363" max="15363" width="0" style="825" hidden="1" customWidth="1"/>
    <col min="15364" max="15367" width="12.44140625" style="825" bestFit="1" customWidth="1"/>
    <col min="15368" max="15368" width="15.109375" style="825" bestFit="1" customWidth="1"/>
    <col min="15369" max="15373" width="12.44140625" style="825" bestFit="1" customWidth="1"/>
    <col min="15374" max="15616" width="10" style="825"/>
    <col min="15617" max="15617" width="45.44140625" style="825" customWidth="1"/>
    <col min="15618" max="15618" width="14" style="825" customWidth="1"/>
    <col min="15619" max="15619" width="0" style="825" hidden="1" customWidth="1"/>
    <col min="15620" max="15623" width="12.44140625" style="825" bestFit="1" customWidth="1"/>
    <col min="15624" max="15624" width="15.109375" style="825" bestFit="1" customWidth="1"/>
    <col min="15625" max="15629" width="12.44140625" style="825" bestFit="1" customWidth="1"/>
    <col min="15630" max="15872" width="10" style="825"/>
    <col min="15873" max="15873" width="45.44140625" style="825" customWidth="1"/>
    <col min="15874" max="15874" width="14" style="825" customWidth="1"/>
    <col min="15875" max="15875" width="0" style="825" hidden="1" customWidth="1"/>
    <col min="15876" max="15879" width="12.44140625" style="825" bestFit="1" customWidth="1"/>
    <col min="15880" max="15880" width="15.109375" style="825" bestFit="1" customWidth="1"/>
    <col min="15881" max="15885" width="12.44140625" style="825" bestFit="1" customWidth="1"/>
    <col min="15886" max="16128" width="10" style="825"/>
    <col min="16129" max="16129" width="45.44140625" style="825" customWidth="1"/>
    <col min="16130" max="16130" width="14" style="825" customWidth="1"/>
    <col min="16131" max="16131" width="0" style="825" hidden="1" customWidth="1"/>
    <col min="16132" max="16135" width="12.44140625" style="825" bestFit="1" customWidth="1"/>
    <col min="16136" max="16136" width="15.109375" style="825" bestFit="1" customWidth="1"/>
    <col min="16137" max="16141" width="12.44140625" style="825" bestFit="1" customWidth="1"/>
    <col min="16142" max="16384" width="10" style="825"/>
  </cols>
  <sheetData>
    <row r="1" spans="1:15" s="842" customFormat="1" ht="14.25" x14ac:dyDescent="0.2">
      <c r="A1" s="1446" t="str">
        <f>header</f>
        <v>Muswellbrook Shire Council Capital Budget 2017/18 - 2020/21</v>
      </c>
      <c r="B1" s="1447"/>
      <c r="C1" s="1447"/>
      <c r="D1" s="1447"/>
      <c r="E1" s="1447"/>
      <c r="F1" s="1447"/>
      <c r="G1" s="1447"/>
      <c r="H1" s="1447"/>
      <c r="I1" s="1447"/>
      <c r="J1" s="1447"/>
      <c r="K1" s="825"/>
    </row>
    <row r="2" spans="1:15" s="842" customFormat="1" ht="14.25" x14ac:dyDescent="0.2">
      <c r="A2" s="1447"/>
      <c r="B2" s="1447" t="s">
        <v>1522</v>
      </c>
      <c r="C2" s="1447"/>
      <c r="D2" s="1447"/>
      <c r="E2" s="1447"/>
      <c r="F2" s="1447"/>
      <c r="J2" s="847"/>
      <c r="K2" s="825"/>
    </row>
    <row r="3" spans="1:15" s="842" customFormat="1" ht="14.25" x14ac:dyDescent="0.2">
      <c r="A3" s="1448"/>
      <c r="B3" s="1448"/>
      <c r="C3" s="1448"/>
      <c r="D3" s="1449"/>
      <c r="E3" s="1449"/>
      <c r="F3" s="1449"/>
      <c r="J3" s="847"/>
      <c r="K3" s="825"/>
    </row>
    <row r="4" spans="1:15" s="842" customFormat="1" ht="14.25" x14ac:dyDescent="0.2">
      <c r="A4" s="1447" t="s">
        <v>1326</v>
      </c>
      <c r="B4" s="1447"/>
      <c r="C4" s="1447"/>
      <c r="D4" s="1447"/>
      <c r="E4" s="1447"/>
      <c r="F4" s="1447"/>
      <c r="G4" s="1447"/>
      <c r="H4" s="825"/>
    </row>
    <row r="5" spans="1:15" s="842" customFormat="1" ht="14.25" x14ac:dyDescent="0.2">
      <c r="G5" s="847"/>
      <c r="H5" s="825"/>
    </row>
    <row r="6" spans="1:15" s="842" customFormat="1" ht="36.75" customHeight="1" x14ac:dyDescent="0.25">
      <c r="A6" s="842" t="s">
        <v>1091</v>
      </c>
      <c r="B6" s="1450" t="s">
        <v>1093</v>
      </c>
      <c r="C6" s="1450" t="s">
        <v>1094</v>
      </c>
      <c r="D6" s="1450" t="s">
        <v>1095</v>
      </c>
      <c r="E6" s="1450" t="s">
        <v>1096</v>
      </c>
      <c r="F6" s="1451" t="s">
        <v>1097</v>
      </c>
      <c r="G6" s="1451" t="s">
        <v>1098</v>
      </c>
      <c r="H6" s="1352" t="s">
        <v>8</v>
      </c>
      <c r="I6" s="1352" t="s">
        <v>9</v>
      </c>
      <c r="J6" s="1352" t="s">
        <v>514</v>
      </c>
      <c r="K6" s="1352" t="s">
        <v>515</v>
      </c>
      <c r="L6" s="1352" t="s">
        <v>904</v>
      </c>
      <c r="M6" s="1352" t="s">
        <v>1046</v>
      </c>
      <c r="N6" s="1352" t="s">
        <v>1424</v>
      </c>
      <c r="O6" s="1352" t="s">
        <v>1425</v>
      </c>
    </row>
    <row r="7" spans="1:15" s="842" customFormat="1" ht="14.25" x14ac:dyDescent="0.2">
      <c r="A7" s="844" t="s">
        <v>931</v>
      </c>
      <c r="B7" s="1452">
        <v>97875</v>
      </c>
      <c r="C7" s="1452">
        <v>0</v>
      </c>
      <c r="D7" s="1452">
        <v>-511373</v>
      </c>
      <c r="E7" s="843">
        <v>-669087</v>
      </c>
      <c r="F7" s="1453">
        <v>-930155</v>
      </c>
      <c r="G7" s="843">
        <v>-819399</v>
      </c>
      <c r="H7" s="825"/>
    </row>
    <row r="8" spans="1:15" s="842" customFormat="1" ht="14.25" x14ac:dyDescent="0.2">
      <c r="A8" s="844" t="s">
        <v>244</v>
      </c>
      <c r="B8" s="1452">
        <v>-1554007</v>
      </c>
      <c r="C8" s="1452">
        <v>0</v>
      </c>
      <c r="D8" s="1452">
        <v>-1981967</v>
      </c>
      <c r="E8" s="1452">
        <v>-2036746.01</v>
      </c>
      <c r="F8" s="1452">
        <v>-2093168.3903000001</v>
      </c>
      <c r="G8" s="1454">
        <v>-2151283.4420090001</v>
      </c>
      <c r="H8" s="1326">
        <f>G8*(1+'LTFP Assumptions'!$H$10)</f>
        <v>-2205065.5280592251</v>
      </c>
      <c r="I8" s="1326">
        <f>H8*(1+'LTFP Assumptions'!$H10)</f>
        <v>-2260192.1662607053</v>
      </c>
      <c r="J8" s="1326">
        <f>I8*(1+'LTFP Assumptions'!$H10)</f>
        <v>-2316696.9704172229</v>
      </c>
      <c r="K8" s="1326">
        <f>J8*(1+'LTFP Assumptions'!$H10)</f>
        <v>-2374614.3946776534</v>
      </c>
      <c r="L8" s="1326">
        <f>K8*(1+'LTFP Assumptions'!$H10)</f>
        <v>-2433979.7545445948</v>
      </c>
      <c r="M8" s="1326">
        <f>L8*(1+'LTFP Assumptions'!$H10)</f>
        <v>-2494829.2484082095</v>
      </c>
    </row>
    <row r="9" spans="1:15" s="842" customFormat="1" ht="14.25" x14ac:dyDescent="0.2">
      <c r="A9" s="844" t="s">
        <v>1085</v>
      </c>
      <c r="B9" s="1453">
        <v>-1266000</v>
      </c>
      <c r="C9" s="1453">
        <v>0</v>
      </c>
      <c r="D9" s="1453">
        <v>-1741000</v>
      </c>
      <c r="E9" s="1453">
        <v>-1741000</v>
      </c>
      <c r="F9" s="1453">
        <v>-1741000</v>
      </c>
      <c r="G9" s="843">
        <v>-1741000</v>
      </c>
      <c r="H9" s="1326">
        <f>G9*(1+'LTFP Assumptions'!$H10)</f>
        <v>-1784524.9999999998</v>
      </c>
      <c r="I9" s="1326">
        <f>H9*(1+'LTFP Assumptions'!$H10)</f>
        <v>-1829138.1249999995</v>
      </c>
      <c r="J9" s="1326">
        <f>I9*(1+'LTFP Assumptions'!$H10)</f>
        <v>-1874866.5781249993</v>
      </c>
      <c r="K9" s="1326">
        <f>J9*(1+'LTFP Assumptions'!$H10)</f>
        <v>-1921738.2425781242</v>
      </c>
      <c r="L9" s="1326">
        <f>K9*(1+'LTFP Assumptions'!$H10)</f>
        <v>-1969781.698642577</v>
      </c>
      <c r="M9" s="1326">
        <f>L9*(1+'LTFP Assumptions'!$H10)</f>
        <v>-2019026.2411086413</v>
      </c>
    </row>
    <row r="10" spans="1:15" s="842" customFormat="1" ht="14.25" x14ac:dyDescent="0.2">
      <c r="A10" s="844" t="s">
        <v>1086</v>
      </c>
      <c r="B10" s="1453">
        <v>-78000</v>
      </c>
      <c r="C10" s="1453">
        <v>0</v>
      </c>
      <c r="D10" s="1453">
        <v>-65000</v>
      </c>
      <c r="E10" s="1453">
        <v>-66625</v>
      </c>
      <c r="F10" s="1453">
        <v>-68290.625</v>
      </c>
      <c r="G10" s="843">
        <v>-69997.890625</v>
      </c>
      <c r="H10" s="1326">
        <f>G10*(1+'LTFP Assumptions'!$H10)</f>
        <v>-71747.837890625</v>
      </c>
      <c r="I10" s="1326">
        <f>H10*(1+'LTFP Assumptions'!$H10)</f>
        <v>-73541.533837890616</v>
      </c>
      <c r="J10" s="1326">
        <f>I10*(1+'LTFP Assumptions'!$H10)</f>
        <v>-75380.072183837881</v>
      </c>
      <c r="K10" s="1326">
        <f>J10*(1+'LTFP Assumptions'!$H10)</f>
        <v>-77264.573988433825</v>
      </c>
      <c r="L10" s="1326">
        <f>K10*(1+'LTFP Assumptions'!$H10)</f>
        <v>-79196.188338144668</v>
      </c>
      <c r="M10" s="1326">
        <f>L10*(1+'LTFP Assumptions'!$H10)</f>
        <v>-81176.093046598282</v>
      </c>
    </row>
    <row r="11" spans="1:15" s="842" customFormat="1" ht="14.25" x14ac:dyDescent="0.2">
      <c r="A11" s="844" t="s">
        <v>584</v>
      </c>
      <c r="B11" s="1453">
        <v>-8510646</v>
      </c>
      <c r="C11" s="1453">
        <v>0</v>
      </c>
      <c r="D11" s="1453">
        <v>-7355778</v>
      </c>
      <c r="E11" s="1453">
        <v>-7537786.1699999999</v>
      </c>
      <c r="F11" s="1453">
        <v>-7724288.6536499988</v>
      </c>
      <c r="G11" s="843">
        <v>-7915435.2279792484</v>
      </c>
      <c r="H11" s="1326">
        <f>H53</f>
        <v>-8113510.7336787283</v>
      </c>
      <c r="I11" s="1326">
        <f t="shared" ref="I11:M11" si="0">I53</f>
        <v>-8316348.5020206952</v>
      </c>
      <c r="J11" s="1326">
        <f t="shared" si="0"/>
        <v>-8524257.2145712115</v>
      </c>
      <c r="K11" s="1326">
        <f t="shared" si="0"/>
        <v>-8737363.6449354906</v>
      </c>
      <c r="L11" s="1326">
        <f t="shared" si="0"/>
        <v>-8955797.7360588778</v>
      </c>
      <c r="M11" s="1326">
        <f t="shared" si="0"/>
        <v>-9179692.6794603486</v>
      </c>
    </row>
    <row r="12" spans="1:15" s="842" customFormat="1" ht="14.25" x14ac:dyDescent="0.2">
      <c r="A12" s="844" t="s">
        <v>22</v>
      </c>
      <c r="B12" s="1453">
        <v>-2262938</v>
      </c>
      <c r="C12" s="1453">
        <v>0</v>
      </c>
      <c r="D12" s="1453">
        <v>-2200000</v>
      </c>
      <c r="E12" s="1453">
        <v>-8000000</v>
      </c>
      <c r="F12" s="1453">
        <v>-2000000</v>
      </c>
      <c r="G12" s="843">
        <v>-2000000</v>
      </c>
      <c r="H12" s="1326">
        <f>G12*(1+'LTFP Assumptions'!$H$13)</f>
        <v>-2040000</v>
      </c>
      <c r="I12" s="1326">
        <f>H12*(1+'LTFP Assumptions'!$H13)</f>
        <v>-2080800</v>
      </c>
      <c r="J12" s="1326">
        <f>I12*(1+'LTFP Assumptions'!$H13)</f>
        <v>-2122416</v>
      </c>
      <c r="K12" s="1326">
        <f>J12*(1+'LTFP Assumptions'!$H13)</f>
        <v>-2164864.3199999998</v>
      </c>
      <c r="L12" s="1326">
        <f>K12*(1+'LTFP Assumptions'!$H13)</f>
        <v>-2208161.6063999999</v>
      </c>
      <c r="M12" s="1326">
        <f>L12*(1+'LTFP Assumptions'!$H13)</f>
        <v>-2252324.8385279998</v>
      </c>
    </row>
    <row r="13" spans="1:15" s="842" customFormat="1" ht="14.25" x14ac:dyDescent="0.2">
      <c r="A13" s="844" t="s">
        <v>1099</v>
      </c>
      <c r="B13" s="1453">
        <v>0</v>
      </c>
      <c r="C13" s="1453">
        <v>0</v>
      </c>
      <c r="D13" s="1453">
        <v>0</v>
      </c>
      <c r="E13" s="1453">
        <v>0</v>
      </c>
      <c r="F13" s="1453">
        <v>0</v>
      </c>
      <c r="G13" s="843">
        <v>0</v>
      </c>
      <c r="H13" s="1326">
        <f>G13</f>
        <v>0</v>
      </c>
      <c r="I13" s="1326">
        <f t="shared" ref="I13:M13" si="1">H13</f>
        <v>0</v>
      </c>
      <c r="J13" s="1326">
        <f t="shared" si="1"/>
        <v>0</v>
      </c>
      <c r="K13" s="1326">
        <f t="shared" si="1"/>
        <v>0</v>
      </c>
      <c r="L13" s="1326">
        <f t="shared" si="1"/>
        <v>0</v>
      </c>
      <c r="M13" s="1326">
        <f t="shared" si="1"/>
        <v>0</v>
      </c>
    </row>
    <row r="14" spans="1:15" s="842" customFormat="1" ht="14.25" x14ac:dyDescent="0.2">
      <c r="A14" s="844" t="s">
        <v>950</v>
      </c>
      <c r="B14" s="1453">
        <v>-70000</v>
      </c>
      <c r="C14" s="1453">
        <v>0</v>
      </c>
      <c r="D14" s="1453">
        <v>-70000</v>
      </c>
      <c r="E14" s="1453">
        <v>-70000</v>
      </c>
      <c r="F14" s="1453">
        <v>-70000</v>
      </c>
      <c r="G14" s="843">
        <v>-70000</v>
      </c>
      <c r="H14" s="1326">
        <f>G14*(1+'LTFP Assumptions'!$H13)</f>
        <v>-71400</v>
      </c>
      <c r="I14" s="1326">
        <f>H14*(1+'LTFP Assumptions'!$H13)</f>
        <v>-72828</v>
      </c>
      <c r="J14" s="1326">
        <f>I14*(1+'LTFP Assumptions'!$H13)</f>
        <v>-74284.56</v>
      </c>
      <c r="K14" s="1326">
        <f>J14*(1+'LTFP Assumptions'!$H13)</f>
        <v>-75770.251199999999</v>
      </c>
      <c r="L14" s="1326">
        <f>K14*(1+'LTFP Assumptions'!$H13)</f>
        <v>-77285.656224000006</v>
      </c>
      <c r="M14" s="1326">
        <f>L14*(1+'LTFP Assumptions'!$H13)</f>
        <v>-78831.369348480002</v>
      </c>
    </row>
    <row r="15" spans="1:15" s="842" customFormat="1" ht="14.25" x14ac:dyDescent="0.2">
      <c r="B15" s="847"/>
      <c r="C15" s="847"/>
      <c r="D15" s="957"/>
      <c r="E15" s="957"/>
      <c r="F15" s="1455" t="s">
        <v>516</v>
      </c>
      <c r="G15" s="847"/>
      <c r="H15" s="825"/>
      <c r="I15" s="825"/>
      <c r="J15" s="825"/>
      <c r="K15" s="825"/>
      <c r="L15" s="825"/>
      <c r="M15" s="825"/>
    </row>
    <row r="16" spans="1:15" s="842" customFormat="1" ht="14.25" x14ac:dyDescent="0.2">
      <c r="A16" s="1456" t="s">
        <v>1100</v>
      </c>
      <c r="B16" s="1457">
        <f>SUM(B7:B14)</f>
        <v>-13643716</v>
      </c>
      <c r="C16" s="1457">
        <f>SUM(C7:C14)</f>
        <v>0</v>
      </c>
      <c r="D16" s="1457">
        <f>SUM(D7:D14)</f>
        <v>-13925118</v>
      </c>
      <c r="E16" s="1457">
        <f>SUM(E7:E14)</f>
        <v>-20121244.18</v>
      </c>
      <c r="F16" s="1457">
        <f>SUM(F7:F15)</f>
        <v>-14626902.668949999</v>
      </c>
      <c r="G16" s="1458">
        <f>SUM(G7:G15)</f>
        <v>-14767115.560613248</v>
      </c>
      <c r="H16" s="1458">
        <f>SUM(H7:H15)</f>
        <v>-14286249.099628579</v>
      </c>
      <c r="I16" s="1458">
        <f t="shared" ref="I16:M16" si="2">SUM(I7:I15)</f>
        <v>-14632848.327119291</v>
      </c>
      <c r="J16" s="1458">
        <f t="shared" si="2"/>
        <v>-14987901.395297272</v>
      </c>
      <c r="K16" s="1458">
        <f t="shared" si="2"/>
        <v>-15351615.427379703</v>
      </c>
      <c r="L16" s="1458">
        <f t="shared" si="2"/>
        <v>-15724202.640208192</v>
      </c>
      <c r="M16" s="1458">
        <f t="shared" si="2"/>
        <v>-16105880.469900277</v>
      </c>
    </row>
    <row r="17" spans="1:14" s="842" customFormat="1" ht="14.25" x14ac:dyDescent="0.2">
      <c r="B17" s="847"/>
      <c r="C17" s="847"/>
      <c r="D17" s="957"/>
      <c r="E17" s="957"/>
      <c r="F17" s="957"/>
      <c r="G17" s="847"/>
      <c r="H17" s="825"/>
    </row>
    <row r="18" spans="1:14" s="842" customFormat="1" ht="76.5" x14ac:dyDescent="0.2">
      <c r="A18" s="842" t="s">
        <v>30</v>
      </c>
      <c r="B18" s="1450" t="s">
        <v>1093</v>
      </c>
      <c r="C18" s="1450" t="s">
        <v>1094</v>
      </c>
      <c r="D18" s="1459" t="s">
        <v>1095</v>
      </c>
      <c r="E18" s="1459" t="s">
        <v>1096</v>
      </c>
      <c r="F18" s="1460" t="s">
        <v>1097</v>
      </c>
      <c r="G18" s="1460" t="s">
        <v>1098</v>
      </c>
      <c r="H18" s="825"/>
    </row>
    <row r="19" spans="1:14" s="842" customFormat="1" ht="14.25" x14ac:dyDescent="0.2">
      <c r="A19" s="844" t="s">
        <v>1101</v>
      </c>
      <c r="B19" s="1461">
        <v>11320422</v>
      </c>
      <c r="C19" s="1461">
        <v>0</v>
      </c>
      <c r="D19" s="1461">
        <v>11158994</v>
      </c>
      <c r="E19" s="1461">
        <v>17347594.800000001</v>
      </c>
      <c r="F19" s="1461">
        <v>11909422.395</v>
      </c>
      <c r="G19" s="1462">
        <v>11945785.404874999</v>
      </c>
      <c r="H19" s="826">
        <f>H188</f>
        <v>12366523</v>
      </c>
      <c r="I19" s="826">
        <f t="shared" ref="I19:M19" si="3">I188</f>
        <v>12565683.324999999</v>
      </c>
      <c r="J19" s="826">
        <f t="shared" si="3"/>
        <v>12769017.533124998</v>
      </c>
      <c r="K19" s="826">
        <f t="shared" si="3"/>
        <v>13299067.256453127</v>
      </c>
      <c r="L19" s="826">
        <f t="shared" si="3"/>
        <v>13605849.526064452</v>
      </c>
      <c r="M19" s="826">
        <f t="shared" si="3"/>
        <v>13658381.781680064</v>
      </c>
    </row>
    <row r="20" spans="1:14" s="842" customFormat="1" ht="14.25" x14ac:dyDescent="0.2">
      <c r="A20" s="844" t="s">
        <v>1083</v>
      </c>
      <c r="B20" s="1453">
        <v>570287</v>
      </c>
      <c r="C20" s="1453">
        <v>0</v>
      </c>
      <c r="D20" s="1453">
        <v>621839</v>
      </c>
      <c r="E20" s="1453">
        <v>555486</v>
      </c>
      <c r="F20" s="1453">
        <v>422659</v>
      </c>
      <c r="G20" s="843">
        <v>446925</v>
      </c>
      <c r="H20" s="826">
        <f>H26*1000</f>
        <v>474000</v>
      </c>
      <c r="I20" s="826">
        <f t="shared" ref="I20:M20" si="4">I26*1000</f>
        <v>501000</v>
      </c>
      <c r="J20" s="826">
        <f t="shared" si="4"/>
        <v>232000</v>
      </c>
      <c r="K20" s="826">
        <f t="shared" si="4"/>
        <v>145000</v>
      </c>
      <c r="L20" s="826">
        <f t="shared" si="4"/>
        <v>152000</v>
      </c>
      <c r="M20" s="826">
        <f t="shared" si="4"/>
        <v>160000</v>
      </c>
    </row>
    <row r="21" spans="1:14" s="842" customFormat="1" ht="14.25" x14ac:dyDescent="0.2">
      <c r="A21" s="1463" t="s">
        <v>1089</v>
      </c>
      <c r="B21" s="1453">
        <v>1723007</v>
      </c>
      <c r="C21" s="1453">
        <v>0</v>
      </c>
      <c r="D21" s="1453">
        <v>2144285</v>
      </c>
      <c r="E21" s="1453">
        <v>2218163.0099999998</v>
      </c>
      <c r="F21" s="1453">
        <v>2294821.3903000001</v>
      </c>
      <c r="G21" s="843">
        <v>2374405.4420090001</v>
      </c>
      <c r="H21" s="1326">
        <f>G21*(1+'LTFP Assumptions'!$H$10)</f>
        <v>2433765.5780592249</v>
      </c>
      <c r="I21" s="1326">
        <f>H21*(1+'LTFP Assumptions'!$H$10)</f>
        <v>2494609.7175107053</v>
      </c>
      <c r="J21" s="1326">
        <f>I21*(1+'LTFP Assumptions'!$H$10)</f>
        <v>2556974.9604484728</v>
      </c>
      <c r="K21" s="1326">
        <f>J21*(1+'LTFP Assumptions'!$H$10)</f>
        <v>2620899.3344596843</v>
      </c>
      <c r="L21" s="1326">
        <f>K21*(1+'LTFP Assumptions'!$H$10)</f>
        <v>2686421.8178211763</v>
      </c>
      <c r="M21" s="1326">
        <f>L21*(1+'LTFP Assumptions'!$H$10)</f>
        <v>2753582.3632667055</v>
      </c>
    </row>
    <row r="22" spans="1:14" s="842" customFormat="1" ht="14.25" x14ac:dyDescent="0.2">
      <c r="B22" s="847"/>
      <c r="C22" s="847"/>
      <c r="D22" s="957"/>
      <c r="E22" s="957"/>
      <c r="F22" s="957"/>
      <c r="G22" s="847"/>
      <c r="H22" s="825"/>
    </row>
    <row r="23" spans="1:14" s="842" customFormat="1" ht="14.25" x14ac:dyDescent="0.2">
      <c r="A23" s="1456" t="s">
        <v>910</v>
      </c>
      <c r="B23" s="1457">
        <f>SUM(B19:B21)</f>
        <v>13613716</v>
      </c>
      <c r="C23" s="1457">
        <f>SUM(C19:C21)</f>
        <v>0</v>
      </c>
      <c r="D23" s="1457">
        <f t="shared" ref="D23:M23" si="5">SUM(D19:D21)</f>
        <v>13925118</v>
      </c>
      <c r="E23" s="1457">
        <f t="shared" si="5"/>
        <v>20121243.810000002</v>
      </c>
      <c r="F23" s="1457">
        <f>SUM(F19:F21)</f>
        <v>14626902.7853</v>
      </c>
      <c r="G23" s="1458">
        <f t="shared" si="5"/>
        <v>14767115.846883999</v>
      </c>
      <c r="H23" s="1458">
        <f t="shared" si="5"/>
        <v>15274288.578059224</v>
      </c>
      <c r="I23" s="1458">
        <f t="shared" si="5"/>
        <v>15561293.042510705</v>
      </c>
      <c r="J23" s="1458">
        <f t="shared" si="5"/>
        <v>15557992.493573472</v>
      </c>
      <c r="K23" s="1458">
        <f t="shared" si="5"/>
        <v>16064966.590912811</v>
      </c>
      <c r="L23" s="1458">
        <f t="shared" si="5"/>
        <v>16444271.343885629</v>
      </c>
      <c r="M23" s="1458">
        <f t="shared" si="5"/>
        <v>16571964.144946769</v>
      </c>
    </row>
    <row r="24" spans="1:14" s="842" customFormat="1" ht="14.25" x14ac:dyDescent="0.2">
      <c r="B24" s="847"/>
      <c r="C24" s="847"/>
      <c r="D24" s="957"/>
      <c r="E24" s="957"/>
      <c r="F24" s="957"/>
      <c r="G24" s="847"/>
      <c r="H24" s="825"/>
    </row>
    <row r="25" spans="1:14" s="842" customFormat="1" ht="14.25" x14ac:dyDescent="0.2">
      <c r="B25" s="1464">
        <f>B23+B16</f>
        <v>-30000</v>
      </c>
      <c r="C25" s="825"/>
      <c r="D25" s="1464">
        <f>C23+C16</f>
        <v>0</v>
      </c>
      <c r="E25" s="1464">
        <f>D23+D16</f>
        <v>0</v>
      </c>
      <c r="F25" s="1464">
        <f>E23+E16</f>
        <v>-0.36999999731779099</v>
      </c>
      <c r="G25" s="1464">
        <f>F23+F16</f>
        <v>0.11635000072419643</v>
      </c>
      <c r="H25" s="1465">
        <f>G23+G16</f>
        <v>0.2862707506865263</v>
      </c>
    </row>
    <row r="26" spans="1:14" ht="14.25" x14ac:dyDescent="0.2">
      <c r="H26" s="826">
        <v>474</v>
      </c>
      <c r="I26" s="826">
        <v>501</v>
      </c>
      <c r="J26" s="825">
        <v>232</v>
      </c>
      <c r="K26" s="825">
        <v>145</v>
      </c>
      <c r="L26" s="825">
        <v>152</v>
      </c>
      <c r="M26" s="825">
        <v>160</v>
      </c>
    </row>
    <row r="28" spans="1:14" ht="14.25" x14ac:dyDescent="0.2">
      <c r="A28" s="825" t="s">
        <v>1523</v>
      </c>
    </row>
    <row r="29" spans="1:14" ht="15" x14ac:dyDescent="0.2">
      <c r="D29" s="1466" t="s">
        <v>4</v>
      </c>
      <c r="E29" s="1466" t="s">
        <v>5</v>
      </c>
      <c r="F29" s="1466" t="s">
        <v>6</v>
      </c>
      <c r="G29" s="1466" t="s">
        <v>7</v>
      </c>
      <c r="H29" s="1467" t="s">
        <v>8</v>
      </c>
      <c r="I29" s="1467" t="s">
        <v>9</v>
      </c>
      <c r="J29" s="1466" t="s">
        <v>514</v>
      </c>
      <c r="K29" s="1466" t="s">
        <v>515</v>
      </c>
      <c r="L29" s="1466" t="s">
        <v>904</v>
      </c>
      <c r="M29" s="1466" t="s">
        <v>1046</v>
      </c>
      <c r="N29" s="825" t="s">
        <v>516</v>
      </c>
    </row>
    <row r="30" spans="1:14" ht="14.25" x14ac:dyDescent="0.2">
      <c r="A30" s="1468" t="s">
        <v>1524</v>
      </c>
      <c r="B30" s="1469"/>
      <c r="C30" s="1469"/>
      <c r="D30" s="1470">
        <v>-5130000</v>
      </c>
      <c r="E30" s="1470">
        <v>-5258250</v>
      </c>
      <c r="F30" s="1470">
        <v>-5389706.2499999991</v>
      </c>
      <c r="G30" s="1470">
        <v>-5524444.9062499981</v>
      </c>
      <c r="H30" s="840">
        <f t="shared" ref="H30:M33" si="6">G30*1.025</f>
        <v>-5662556.0289062476</v>
      </c>
      <c r="I30" s="840">
        <f t="shared" si="6"/>
        <v>-5804119.929628903</v>
      </c>
      <c r="J30" s="840">
        <f t="shared" si="6"/>
        <v>-5949222.9278696254</v>
      </c>
      <c r="K30" s="840">
        <f t="shared" si="6"/>
        <v>-6097953.5010663653</v>
      </c>
      <c r="L30" s="840">
        <f t="shared" si="6"/>
        <v>-6250402.3385930238</v>
      </c>
      <c r="M30" s="840">
        <f t="shared" si="6"/>
        <v>-6406662.397057849</v>
      </c>
    </row>
    <row r="31" spans="1:14" ht="14.25" x14ac:dyDescent="0.2">
      <c r="A31" s="1468" t="s">
        <v>909</v>
      </c>
      <c r="B31" s="1468"/>
      <c r="C31" s="1468"/>
      <c r="D31" s="840">
        <v>-551500</v>
      </c>
      <c r="E31" s="840">
        <v>-564769</v>
      </c>
      <c r="F31" s="840">
        <v>-578354</v>
      </c>
      <c r="G31" s="1471">
        <v>-592274</v>
      </c>
      <c r="H31" s="840">
        <f t="shared" si="6"/>
        <v>-607080.85</v>
      </c>
      <c r="I31" s="840">
        <f t="shared" si="6"/>
        <v>-622257.87124999997</v>
      </c>
      <c r="J31" s="840">
        <f t="shared" si="6"/>
        <v>-637814.31803124992</v>
      </c>
      <c r="K31" s="840">
        <f t="shared" si="6"/>
        <v>-653759.67598203116</v>
      </c>
      <c r="L31" s="840">
        <f t="shared" si="6"/>
        <v>-670103.66788158193</v>
      </c>
      <c r="M31" s="840">
        <f t="shared" si="6"/>
        <v>-686856.25957862136</v>
      </c>
    </row>
    <row r="32" spans="1:14" ht="14.25" x14ac:dyDescent="0.2">
      <c r="A32" s="1468" t="s">
        <v>1525</v>
      </c>
      <c r="B32" s="1469"/>
      <c r="C32" s="1469"/>
      <c r="D32" s="1470">
        <v>-60950</v>
      </c>
      <c r="E32" s="1470">
        <v>-62473.749999999993</v>
      </c>
      <c r="F32" s="1470">
        <v>-64035.593749999985</v>
      </c>
      <c r="G32" s="1470">
        <v>-65636.483593749974</v>
      </c>
      <c r="H32" s="840">
        <f t="shared" si="6"/>
        <v>-67277.395683593713</v>
      </c>
      <c r="I32" s="840">
        <f t="shared" si="6"/>
        <v>-68959.330575683547</v>
      </c>
      <c r="J32" s="840">
        <f t="shared" si="6"/>
        <v>-70683.313840075629</v>
      </c>
      <c r="K32" s="840">
        <f t="shared" si="6"/>
        <v>-72450.396686077511</v>
      </c>
      <c r="L32" s="840">
        <f t="shared" si="6"/>
        <v>-74261.656603229436</v>
      </c>
      <c r="M32" s="840">
        <f t="shared" si="6"/>
        <v>-76118.19801831017</v>
      </c>
    </row>
    <row r="33" spans="1:13" ht="14.25" x14ac:dyDescent="0.2">
      <c r="A33" s="1468" t="s">
        <v>1196</v>
      </c>
      <c r="B33" s="1468"/>
      <c r="C33" s="1468"/>
      <c r="D33" s="840">
        <v>-123900</v>
      </c>
      <c r="E33" s="840">
        <v>-126997</v>
      </c>
      <c r="F33" s="840">
        <v>-130171</v>
      </c>
      <c r="G33" s="1471">
        <v>-133425</v>
      </c>
      <c r="H33" s="840">
        <f t="shared" si="6"/>
        <v>-136760.625</v>
      </c>
      <c r="I33" s="840">
        <f t="shared" si="6"/>
        <v>-140179.640625</v>
      </c>
      <c r="J33" s="1471">
        <f t="shared" si="6"/>
        <v>-143684.13164062498</v>
      </c>
      <c r="K33" s="840">
        <f t="shared" si="6"/>
        <v>-147276.23493164059</v>
      </c>
      <c r="L33" s="840">
        <f t="shared" si="6"/>
        <v>-150958.14080493158</v>
      </c>
      <c r="M33" s="840">
        <f t="shared" si="6"/>
        <v>-154732.09432505484</v>
      </c>
    </row>
    <row r="34" spans="1:13" ht="14.25" x14ac:dyDescent="0.2">
      <c r="A34" s="1472"/>
      <c r="B34" s="1472"/>
      <c r="C34" s="1472"/>
      <c r="D34" s="1473"/>
      <c r="E34" s="1473"/>
      <c r="F34" s="1473"/>
      <c r="G34" s="1473"/>
      <c r="J34" s="826"/>
      <c r="K34" s="826"/>
      <c r="L34" s="826"/>
      <c r="M34" s="826"/>
    </row>
    <row r="35" spans="1:13" ht="14.25" x14ac:dyDescent="0.2">
      <c r="A35" s="1472" t="s">
        <v>1526</v>
      </c>
      <c r="B35" s="1472"/>
      <c r="C35" s="1472"/>
      <c r="D35" s="1473">
        <f t="shared" ref="D35:M35" si="7">SUM(D30:D34)</f>
        <v>-5866350</v>
      </c>
      <c r="E35" s="1473">
        <f t="shared" si="7"/>
        <v>-6012489.75</v>
      </c>
      <c r="F35" s="1473">
        <f t="shared" si="7"/>
        <v>-6162266.8437499991</v>
      </c>
      <c r="G35" s="1473">
        <f t="shared" si="7"/>
        <v>-6315780.389843748</v>
      </c>
      <c r="H35" s="1473">
        <f t="shared" si="7"/>
        <v>-6473674.8995898413</v>
      </c>
      <c r="I35" s="1473">
        <f t="shared" si="7"/>
        <v>-6635516.7720795861</v>
      </c>
      <c r="J35" s="1473">
        <f t="shared" si="7"/>
        <v>-6801404.6913815755</v>
      </c>
      <c r="K35" s="1473">
        <f t="shared" si="7"/>
        <v>-6971439.8086661138</v>
      </c>
      <c r="L35" s="1473">
        <f t="shared" si="7"/>
        <v>-7145725.8038827665</v>
      </c>
      <c r="M35" s="1473">
        <f t="shared" si="7"/>
        <v>-7324368.948979835</v>
      </c>
    </row>
    <row r="36" spans="1:13" ht="14.25" x14ac:dyDescent="0.2">
      <c r="A36" s="1472"/>
      <c r="B36" s="1472"/>
      <c r="C36" s="1472"/>
      <c r="D36" s="1473"/>
      <c r="E36" s="1473"/>
      <c r="F36" s="1473"/>
      <c r="G36" s="1473"/>
    </row>
    <row r="37" spans="1:13" ht="14.25" x14ac:dyDescent="0.2">
      <c r="A37" s="1468" t="s">
        <v>1527</v>
      </c>
      <c r="B37" s="1469"/>
      <c r="C37" s="1469"/>
      <c r="D37" s="1470">
        <v>-743672</v>
      </c>
      <c r="E37" s="1470">
        <v>-762263.79999999993</v>
      </c>
      <c r="F37" s="1470">
        <v>-781320.3949999999</v>
      </c>
      <c r="G37" s="1470">
        <v>-800853.40487499977</v>
      </c>
      <c r="H37" s="840">
        <f t="shared" ref="H37:M49" si="8">G37*1.025</f>
        <v>-820874.7399968747</v>
      </c>
      <c r="I37" s="840">
        <f t="shared" si="8"/>
        <v>-841396.60849679646</v>
      </c>
      <c r="J37" s="840">
        <f t="shared" si="8"/>
        <v>-862431.52370921627</v>
      </c>
      <c r="K37" s="840">
        <f t="shared" si="8"/>
        <v>-883992.31180194661</v>
      </c>
      <c r="L37" s="840">
        <f t="shared" si="8"/>
        <v>-906092.11959699518</v>
      </c>
      <c r="M37" s="840">
        <f t="shared" si="8"/>
        <v>-928744.42258691997</v>
      </c>
    </row>
    <row r="38" spans="1:13" ht="14.25" x14ac:dyDescent="0.2">
      <c r="A38" s="1468" t="s">
        <v>1528</v>
      </c>
      <c r="B38" s="1468"/>
      <c r="C38" s="1468"/>
      <c r="D38" s="840">
        <v>-20200</v>
      </c>
      <c r="E38" s="840">
        <f>D38*1.025</f>
        <v>-20705</v>
      </c>
      <c r="F38" s="840">
        <f>E38*1.025</f>
        <v>-21222.624999999996</v>
      </c>
      <c r="G38" s="1471">
        <f>F38*1.025</f>
        <v>-21753.190624999996</v>
      </c>
      <c r="H38" s="840">
        <f t="shared" si="8"/>
        <v>-22297.020390624995</v>
      </c>
      <c r="I38" s="840">
        <f t="shared" si="8"/>
        <v>-22854.445900390619</v>
      </c>
      <c r="J38" s="1471">
        <f t="shared" si="8"/>
        <v>-23425.807047900384</v>
      </c>
      <c r="K38" s="840">
        <f t="shared" si="8"/>
        <v>-24011.452224097891</v>
      </c>
      <c r="L38" s="840">
        <f t="shared" si="8"/>
        <v>-24611.738529700335</v>
      </c>
      <c r="M38" s="840">
        <f t="shared" si="8"/>
        <v>-25227.031992942841</v>
      </c>
    </row>
    <row r="39" spans="1:13" ht="14.25" x14ac:dyDescent="0.2">
      <c r="A39" s="1474" t="s">
        <v>1529</v>
      </c>
      <c r="B39" s="1474"/>
      <c r="C39" s="1474"/>
      <c r="D39" s="840">
        <v>-7500</v>
      </c>
      <c r="E39" s="840">
        <f t="shared" ref="E39:G40" si="9">D39*1.02</f>
        <v>-7650</v>
      </c>
      <c r="F39" s="840">
        <f t="shared" si="9"/>
        <v>-7803</v>
      </c>
      <c r="G39" s="1471">
        <f t="shared" si="9"/>
        <v>-7959.06</v>
      </c>
      <c r="H39" s="840">
        <f t="shared" si="8"/>
        <v>-8158.0364999999993</v>
      </c>
      <c r="I39" s="840">
        <f t="shared" si="8"/>
        <v>-8361.9874124999988</v>
      </c>
      <c r="J39" s="1471">
        <f t="shared" si="8"/>
        <v>-8571.0370978124974</v>
      </c>
      <c r="K39" s="840">
        <f t="shared" si="8"/>
        <v>-8785.3130252578085</v>
      </c>
      <c r="L39" s="840">
        <f t="shared" si="8"/>
        <v>-9004.9458508892531</v>
      </c>
      <c r="M39" s="840">
        <f t="shared" si="8"/>
        <v>-9230.069497161483</v>
      </c>
    </row>
    <row r="40" spans="1:13" ht="14.25" x14ac:dyDescent="0.2">
      <c r="A40" s="1468" t="s">
        <v>1530</v>
      </c>
      <c r="B40" s="1468"/>
      <c r="C40" s="1468"/>
      <c r="D40" s="840">
        <v>-11000</v>
      </c>
      <c r="E40" s="840">
        <f t="shared" si="9"/>
        <v>-11220</v>
      </c>
      <c r="F40" s="840">
        <f t="shared" si="9"/>
        <v>-11444.4</v>
      </c>
      <c r="G40" s="1471">
        <f t="shared" si="9"/>
        <v>-11673.288</v>
      </c>
      <c r="H40" s="840">
        <f t="shared" si="8"/>
        <v>-11965.120199999999</v>
      </c>
      <c r="I40" s="840">
        <f t="shared" si="8"/>
        <v>-12264.248204999998</v>
      </c>
      <c r="J40" s="1471">
        <f t="shared" si="8"/>
        <v>-12570.854410124997</v>
      </c>
      <c r="K40" s="840">
        <f t="shared" si="8"/>
        <v>-12885.125770378121</v>
      </c>
      <c r="L40" s="840">
        <f t="shared" si="8"/>
        <v>-13207.253914637573</v>
      </c>
      <c r="M40" s="840">
        <f t="shared" si="8"/>
        <v>-13537.435262503512</v>
      </c>
    </row>
    <row r="41" spans="1:13" ht="14.25" x14ac:dyDescent="0.2">
      <c r="A41" s="1475" t="s">
        <v>1531</v>
      </c>
      <c r="B41" s="1475"/>
      <c r="C41" s="1475"/>
      <c r="D41" s="840">
        <v>-24800</v>
      </c>
      <c r="E41" s="840">
        <f>D41*1.025+1</f>
        <v>-25418.999999999996</v>
      </c>
      <c r="F41" s="840">
        <f>E41*1.025+1</f>
        <v>-26053.474999999995</v>
      </c>
      <c r="G41" s="1471">
        <f>F41*1.025+1</f>
        <v>-26703.811874999992</v>
      </c>
      <c r="H41" s="840">
        <f t="shared" si="8"/>
        <v>-27371.407171874991</v>
      </c>
      <c r="I41" s="840">
        <f t="shared" si="8"/>
        <v>-28055.692351171863</v>
      </c>
      <c r="J41" s="1476">
        <f t="shared" si="8"/>
        <v>-28757.084659951157</v>
      </c>
      <c r="K41" s="840">
        <f t="shared" si="8"/>
        <v>-29476.011776449934</v>
      </c>
      <c r="L41" s="840">
        <f t="shared" si="8"/>
        <v>-30212.912070861181</v>
      </c>
      <c r="M41" s="840">
        <f t="shared" si="8"/>
        <v>-30968.234872632707</v>
      </c>
    </row>
    <row r="42" spans="1:13" ht="14.25" x14ac:dyDescent="0.2">
      <c r="A42" s="1474" t="s">
        <v>1532</v>
      </c>
      <c r="B42" s="1477"/>
      <c r="C42" s="1477"/>
      <c r="D42" s="837">
        <v>-231500</v>
      </c>
      <c r="E42" s="840">
        <f>D42*1.02</f>
        <v>-236130</v>
      </c>
      <c r="F42" s="840">
        <f>E42*1.02+1</f>
        <v>-240851.6</v>
      </c>
      <c r="G42" s="1471">
        <f>F42*1.02+1</f>
        <v>-245667.63200000001</v>
      </c>
      <c r="H42" s="840">
        <f t="shared" si="8"/>
        <v>-251809.32279999999</v>
      </c>
      <c r="I42" s="1471">
        <f t="shared" si="8"/>
        <v>-258104.55586999998</v>
      </c>
      <c r="J42" s="840">
        <f t="shared" si="8"/>
        <v>-264557.16976674995</v>
      </c>
      <c r="K42" s="840">
        <f t="shared" si="8"/>
        <v>-271171.0990109187</v>
      </c>
      <c r="L42" s="840">
        <f t="shared" si="8"/>
        <v>-277950.37648619164</v>
      </c>
      <c r="M42" s="840">
        <f t="shared" si="8"/>
        <v>-284899.13589834643</v>
      </c>
    </row>
    <row r="43" spans="1:13" ht="14.25" x14ac:dyDescent="0.2">
      <c r="A43" s="1468" t="s">
        <v>1533</v>
      </c>
      <c r="B43" s="1468"/>
      <c r="C43" s="1468"/>
      <c r="D43" s="840">
        <v>-14000</v>
      </c>
      <c r="E43" s="840">
        <f>D43*1.025</f>
        <v>-14349.999999999998</v>
      </c>
      <c r="F43" s="840">
        <f>E43*1.025+1</f>
        <v>-14707.749999999996</v>
      </c>
      <c r="G43" s="1471">
        <f>F43*1.025-1</f>
        <v>-15076.443749999995</v>
      </c>
      <c r="H43" s="840">
        <f t="shared" si="8"/>
        <v>-15453.354843749994</v>
      </c>
      <c r="I43" s="1471">
        <f t="shared" si="8"/>
        <v>-15839.688714843742</v>
      </c>
      <c r="J43" s="840">
        <f t="shared" si="8"/>
        <v>-16235.680932714833</v>
      </c>
      <c r="K43" s="840">
        <f t="shared" si="8"/>
        <v>-16641.572956032702</v>
      </c>
      <c r="L43" s="840">
        <f t="shared" si="8"/>
        <v>-17057.612279933517</v>
      </c>
      <c r="M43" s="840">
        <f t="shared" si="8"/>
        <v>-17484.052586931855</v>
      </c>
    </row>
    <row r="44" spans="1:13" ht="14.25" x14ac:dyDescent="0.2">
      <c r="A44" s="1468" t="s">
        <v>1534</v>
      </c>
      <c r="B44" s="1468"/>
      <c r="C44" s="1468"/>
      <c r="D44" s="840">
        <v>-5600</v>
      </c>
      <c r="E44" s="840">
        <f>D44*1.025</f>
        <v>-5739.9999999999991</v>
      </c>
      <c r="F44" s="840">
        <f>E44*1.025+1</f>
        <v>-5882.4999999999982</v>
      </c>
      <c r="G44" s="1471">
        <v>-6030</v>
      </c>
      <c r="H44" s="840">
        <f t="shared" si="8"/>
        <v>-6180.7499999999991</v>
      </c>
      <c r="I44" s="1471">
        <f t="shared" si="8"/>
        <v>-6335.2687499999984</v>
      </c>
      <c r="J44" s="840">
        <f t="shared" si="8"/>
        <v>-6493.6504687499973</v>
      </c>
      <c r="K44" s="840">
        <f t="shared" si="8"/>
        <v>-6655.9917304687469</v>
      </c>
      <c r="L44" s="840">
        <f t="shared" si="8"/>
        <v>-6822.3915237304655</v>
      </c>
      <c r="M44" s="840">
        <f t="shared" si="8"/>
        <v>-6992.9513118237264</v>
      </c>
    </row>
    <row r="45" spans="1:13" ht="14.25" x14ac:dyDescent="0.2">
      <c r="A45" s="1468" t="s">
        <v>1535</v>
      </c>
      <c r="B45" s="1468"/>
      <c r="C45" s="1468"/>
      <c r="D45" s="840">
        <v>-229000</v>
      </c>
      <c r="E45" s="840">
        <f>D45*1.025</f>
        <v>-234724.99999999997</v>
      </c>
      <c r="F45" s="840">
        <f>E45*1.025+1</f>
        <v>-240592.12499999994</v>
      </c>
      <c r="G45" s="1471">
        <f>F45*1.025</f>
        <v>-246606.92812499992</v>
      </c>
      <c r="H45" s="840">
        <f t="shared" si="8"/>
        <v>-252772.1013281249</v>
      </c>
      <c r="I45" s="1471">
        <f t="shared" si="8"/>
        <v>-259091.403861328</v>
      </c>
      <c r="J45" s="840">
        <f t="shared" si="8"/>
        <v>-265568.68895786116</v>
      </c>
      <c r="K45" s="840">
        <f t="shared" si="8"/>
        <v>-272207.90618180769</v>
      </c>
      <c r="L45" s="840">
        <f t="shared" si="8"/>
        <v>-279013.10383635288</v>
      </c>
      <c r="M45" s="840">
        <f t="shared" si="8"/>
        <v>-285988.43143226166</v>
      </c>
    </row>
    <row r="46" spans="1:13" ht="14.25" x14ac:dyDescent="0.2">
      <c r="A46" s="1474" t="s">
        <v>1216</v>
      </c>
      <c r="B46" s="1474"/>
      <c r="C46" s="1474"/>
      <c r="D46" s="840">
        <v>-160500</v>
      </c>
      <c r="E46" s="840">
        <f>D46*1.025+1</f>
        <v>-164511.5</v>
      </c>
      <c r="F46" s="840">
        <f>E46*1.025</f>
        <v>-168624.28749999998</v>
      </c>
      <c r="G46" s="1471">
        <f>F46*1.025+1</f>
        <v>-172838.89468749997</v>
      </c>
      <c r="H46" s="840">
        <f t="shared" si="8"/>
        <v>-177159.86705468746</v>
      </c>
      <c r="I46" s="1471">
        <f t="shared" si="8"/>
        <v>-181588.86373105465</v>
      </c>
      <c r="J46" s="840">
        <f t="shared" si="8"/>
        <v>-186128.58532433098</v>
      </c>
      <c r="K46" s="840">
        <f t="shared" si="8"/>
        <v>-190781.79995743925</v>
      </c>
      <c r="L46" s="840">
        <f t="shared" si="8"/>
        <v>-195551.34495637522</v>
      </c>
      <c r="M46" s="840">
        <f t="shared" si="8"/>
        <v>-200440.1285802846</v>
      </c>
    </row>
    <row r="47" spans="1:13" ht="14.25" x14ac:dyDescent="0.2">
      <c r="A47" s="1468" t="s">
        <v>1234</v>
      </c>
      <c r="B47" s="1468"/>
      <c r="C47" s="1468"/>
      <c r="D47" s="840">
        <v>-4500</v>
      </c>
      <c r="E47" s="840">
        <f t="shared" ref="E47:G48" si="10">D47*1.02</f>
        <v>-4590</v>
      </c>
      <c r="F47" s="840">
        <f t="shared" si="10"/>
        <v>-4681.8</v>
      </c>
      <c r="G47" s="1471">
        <f t="shared" si="10"/>
        <v>-4775.4360000000006</v>
      </c>
      <c r="H47" s="840">
        <f t="shared" si="8"/>
        <v>-4894.8218999999999</v>
      </c>
      <c r="I47" s="1471">
        <f t="shared" si="8"/>
        <v>-5017.1924474999996</v>
      </c>
      <c r="J47" s="840">
        <f t="shared" si="8"/>
        <v>-5142.6222586874992</v>
      </c>
      <c r="K47" s="840">
        <f t="shared" si="8"/>
        <v>-5271.1878151546862</v>
      </c>
      <c r="L47" s="840">
        <f t="shared" si="8"/>
        <v>-5402.9675105335527</v>
      </c>
      <c r="M47" s="840">
        <f t="shared" si="8"/>
        <v>-5538.0416982968909</v>
      </c>
    </row>
    <row r="48" spans="1:13" ht="14.25" x14ac:dyDescent="0.2">
      <c r="A48" s="1468" t="s">
        <v>1218</v>
      </c>
      <c r="B48" s="1468"/>
      <c r="C48" s="1468"/>
      <c r="D48" s="840">
        <v>-7156</v>
      </c>
      <c r="E48" s="840">
        <f t="shared" si="10"/>
        <v>-7299.12</v>
      </c>
      <c r="F48" s="840">
        <f t="shared" si="10"/>
        <v>-7445.1023999999998</v>
      </c>
      <c r="G48" s="1471">
        <f t="shared" si="10"/>
        <v>-7594.0044479999997</v>
      </c>
      <c r="H48" s="840">
        <f t="shared" si="8"/>
        <v>-7783.8545591999991</v>
      </c>
      <c r="I48" s="1471">
        <f t="shared" si="8"/>
        <v>-7978.4509231799984</v>
      </c>
      <c r="J48" s="840">
        <f t="shared" si="8"/>
        <v>-8177.9121962594973</v>
      </c>
      <c r="K48" s="840">
        <f t="shared" si="8"/>
        <v>-8382.3600011659837</v>
      </c>
      <c r="L48" s="840">
        <f t="shared" si="8"/>
        <v>-8591.9190011951323</v>
      </c>
      <c r="M48" s="840">
        <f t="shared" si="8"/>
        <v>-8806.7169762250105</v>
      </c>
    </row>
    <row r="49" spans="1:13" ht="14.25" x14ac:dyDescent="0.2">
      <c r="A49" s="1468" t="s">
        <v>1536</v>
      </c>
      <c r="B49" s="1468"/>
      <c r="C49" s="1468"/>
      <c r="D49" s="840">
        <v>-30000</v>
      </c>
      <c r="E49" s="840">
        <f>D49*1.025</f>
        <v>-30749.999999999996</v>
      </c>
      <c r="F49" s="840">
        <f>E49*1.025-1</f>
        <v>-31519.749999999993</v>
      </c>
      <c r="G49" s="1471">
        <f>F49*1.025</f>
        <v>-32307.743749999991</v>
      </c>
      <c r="H49" s="840">
        <f t="shared" si="8"/>
        <v>-33115.437343749989</v>
      </c>
      <c r="I49" s="1471">
        <f t="shared" si="8"/>
        <v>-33943.323277343734</v>
      </c>
      <c r="J49" s="840">
        <f t="shared" si="8"/>
        <v>-34791.906359277324</v>
      </c>
      <c r="K49" s="840">
        <f t="shared" si="8"/>
        <v>-35661.704018259254</v>
      </c>
      <c r="L49" s="840">
        <f t="shared" si="8"/>
        <v>-36553.246618715733</v>
      </c>
      <c r="M49" s="840">
        <f t="shared" si="8"/>
        <v>-37467.077784183624</v>
      </c>
    </row>
    <row r="51" spans="1:13" ht="14.25" x14ac:dyDescent="0.2">
      <c r="A51" s="1478" t="s">
        <v>1537</v>
      </c>
      <c r="B51" s="1478"/>
      <c r="C51" s="1478"/>
      <c r="D51" s="840">
        <f>SUM(D37:D50)</f>
        <v>-1489428</v>
      </c>
      <c r="E51" s="840">
        <f t="shared" ref="E51:M51" si="11">SUM(E37:E50)</f>
        <v>-1525353.42</v>
      </c>
      <c r="F51" s="840">
        <f t="shared" si="11"/>
        <v>-1562148.8098999998</v>
      </c>
      <c r="G51" s="840">
        <f t="shared" si="11"/>
        <v>-1599839.8381355</v>
      </c>
      <c r="H51" s="840">
        <f t="shared" si="11"/>
        <v>-1639835.8340888871</v>
      </c>
      <c r="I51" s="840">
        <f t="shared" si="11"/>
        <v>-1680831.729941109</v>
      </c>
      <c r="J51" s="840">
        <f t="shared" si="11"/>
        <v>-1722852.5231896364</v>
      </c>
      <c r="K51" s="840">
        <f t="shared" si="11"/>
        <v>-1765923.8362693773</v>
      </c>
      <c r="L51" s="840">
        <f t="shared" si="11"/>
        <v>-1810071.9321761115</v>
      </c>
      <c r="M51" s="840">
        <f t="shared" si="11"/>
        <v>-1855323.730480514</v>
      </c>
    </row>
    <row r="53" spans="1:13" ht="14.25" x14ac:dyDescent="0.2">
      <c r="A53" s="1478" t="s">
        <v>1538</v>
      </c>
      <c r="B53" s="1478"/>
      <c r="C53" s="1478"/>
      <c r="D53" s="840">
        <f>D35+D51</f>
        <v>-7355778</v>
      </c>
      <c r="E53" s="840">
        <f t="shared" ref="E53:M53" si="12">E35+E51</f>
        <v>-7537843.1699999999</v>
      </c>
      <c r="F53" s="840">
        <f t="shared" si="12"/>
        <v>-7724415.6536499988</v>
      </c>
      <c r="G53" s="840">
        <f t="shared" si="12"/>
        <v>-7915620.2279792484</v>
      </c>
      <c r="H53" s="840">
        <f t="shared" si="12"/>
        <v>-8113510.7336787283</v>
      </c>
      <c r="I53" s="840">
        <f t="shared" si="12"/>
        <v>-8316348.5020206952</v>
      </c>
      <c r="J53" s="840">
        <f t="shared" si="12"/>
        <v>-8524257.2145712115</v>
      </c>
      <c r="K53" s="840">
        <f t="shared" si="12"/>
        <v>-8737363.6449354906</v>
      </c>
      <c r="L53" s="840">
        <f t="shared" si="12"/>
        <v>-8955797.7360588778</v>
      </c>
      <c r="M53" s="840">
        <f t="shared" si="12"/>
        <v>-9179692.6794603486</v>
      </c>
    </row>
    <row r="54" spans="1:13" ht="14.25" x14ac:dyDescent="0.2">
      <c r="A54" s="1483" t="s">
        <v>1556</v>
      </c>
      <c r="B54" s="1483"/>
      <c r="C54" s="1483"/>
      <c r="D54" s="1484">
        <f>-D53-'Gen Fund  Inc Exp Statement'!G28*1000</f>
        <v>0</v>
      </c>
      <c r="E54" s="1484">
        <f>-E53-'Gen Fund  Inc Exp Statement'!H28*1000</f>
        <v>57.169999999925494</v>
      </c>
      <c r="F54" s="1484">
        <f>-F53-'Gen Fund  Inc Exp Statement'!I28*1000</f>
        <v>126.65364999882877</v>
      </c>
      <c r="G54" s="1484">
        <f>-G53-'Gen Fund  Inc Exp Statement'!J28*1000</f>
        <v>185.2279792483896</v>
      </c>
      <c r="H54" s="1484">
        <f>-H53-'Gen Fund  Inc Exp Statement'!K28*1000</f>
        <v>189.85867872927338</v>
      </c>
      <c r="I54" s="1484">
        <f>-I53-'Gen Fund  Inc Exp Statement'!L28*1000</f>
        <v>194.60514569561929</v>
      </c>
      <c r="J54" s="1484">
        <f>-J53-'Gen Fund  Inc Exp Statement'!M28*1000</f>
        <v>199.47027433849871</v>
      </c>
      <c r="K54" s="1484">
        <f>-K53-'Gen Fund  Inc Exp Statement'!N28*1000</f>
        <v>204.45703119598329</v>
      </c>
      <c r="L54" s="1484">
        <f>-L53-'Gen Fund  Inc Exp Statement'!O28*1000</f>
        <v>209.56845697574317</v>
      </c>
      <c r="M54" s="1484">
        <f>-M53-'Gen Fund  Inc Exp Statement'!P28*1000</f>
        <v>214.80766839906573</v>
      </c>
    </row>
    <row r="56" spans="1:13" ht="14.25" x14ac:dyDescent="0.2">
      <c r="A56" s="825" t="s">
        <v>1539</v>
      </c>
    </row>
    <row r="57" spans="1:13" ht="14.25" x14ac:dyDescent="0.2">
      <c r="A57" s="825" t="s">
        <v>1032</v>
      </c>
      <c r="D57" s="825" t="s">
        <v>516</v>
      </c>
      <c r="E57" s="825" t="s">
        <v>516</v>
      </c>
      <c r="F57" s="825" t="s">
        <v>516</v>
      </c>
    </row>
    <row r="58" spans="1:13" ht="14.25" x14ac:dyDescent="0.2">
      <c r="A58" s="825" t="s">
        <v>1121</v>
      </c>
      <c r="D58" s="826">
        <v>70000</v>
      </c>
      <c r="E58" s="826">
        <v>70000</v>
      </c>
      <c r="F58" s="826">
        <v>70000</v>
      </c>
      <c r="G58" s="826">
        <v>70000</v>
      </c>
      <c r="H58" s="826">
        <v>70000</v>
      </c>
      <c r="I58" s="826">
        <f>H58*1.02</f>
        <v>71400</v>
      </c>
      <c r="J58" s="826">
        <f>I58*1.02</f>
        <v>72828</v>
      </c>
      <c r="K58" s="826">
        <f>J58*1.02</f>
        <v>74284.56</v>
      </c>
      <c r="L58" s="826">
        <f>K58*1.02</f>
        <v>75770.251199999999</v>
      </c>
      <c r="M58" s="826">
        <f>L58*1.02</f>
        <v>77285.656224000006</v>
      </c>
    </row>
    <row r="59" spans="1:13" ht="14.25" x14ac:dyDescent="0.2">
      <c r="A59" s="825" t="s">
        <v>1122</v>
      </c>
      <c r="D59" s="826">
        <v>1117000</v>
      </c>
      <c r="E59" s="826">
        <v>1117000</v>
      </c>
      <c r="F59" s="826">
        <v>1130000</v>
      </c>
      <c r="G59" s="826">
        <v>1143000</v>
      </c>
      <c r="H59" s="826">
        <v>1243000</v>
      </c>
      <c r="I59" s="826">
        <v>1243000</v>
      </c>
      <c r="J59" s="826">
        <v>1276000</v>
      </c>
      <c r="K59" s="826">
        <v>1300000</v>
      </c>
      <c r="L59" s="826">
        <v>1350000</v>
      </c>
      <c r="M59" s="826">
        <v>1400000</v>
      </c>
    </row>
    <row r="60" spans="1:13" ht="14.25" x14ac:dyDescent="0.2">
      <c r="A60" s="825" t="s">
        <v>1123</v>
      </c>
      <c r="D60" s="826">
        <v>512000</v>
      </c>
      <c r="E60" s="826">
        <v>500000</v>
      </c>
      <c r="F60" s="826">
        <v>510000</v>
      </c>
      <c r="G60" s="826">
        <v>525000</v>
      </c>
      <c r="H60" s="826">
        <v>625000</v>
      </c>
      <c r="I60" s="826">
        <v>625000</v>
      </c>
      <c r="J60" s="826">
        <v>625000</v>
      </c>
      <c r="K60" s="826">
        <v>650000</v>
      </c>
      <c r="L60" s="826">
        <v>675000</v>
      </c>
      <c r="M60" s="826">
        <v>675000</v>
      </c>
    </row>
    <row r="61" spans="1:13" ht="14.25" x14ac:dyDescent="0.2">
      <c r="A61" s="825" t="s">
        <v>1124</v>
      </c>
      <c r="D61" s="826">
        <v>400000</v>
      </c>
      <c r="E61" s="826">
        <v>400000</v>
      </c>
      <c r="F61" s="826">
        <v>420000</v>
      </c>
      <c r="G61" s="826">
        <v>420000</v>
      </c>
      <c r="H61" s="826">
        <v>420000</v>
      </c>
      <c r="I61" s="826">
        <v>420000</v>
      </c>
      <c r="J61" s="826">
        <v>420000</v>
      </c>
      <c r="K61" s="826">
        <v>500000</v>
      </c>
      <c r="L61" s="826">
        <v>500000</v>
      </c>
      <c r="M61" s="826">
        <v>500000</v>
      </c>
    </row>
    <row r="62" spans="1:13" ht="14.25" x14ac:dyDescent="0.2">
      <c r="A62" s="825" t="s">
        <v>1125</v>
      </c>
      <c r="D62" s="826">
        <v>250000</v>
      </c>
      <c r="E62" s="826">
        <v>255000</v>
      </c>
      <c r="F62" s="826">
        <v>280000</v>
      </c>
      <c r="G62" s="826">
        <v>300000</v>
      </c>
      <c r="H62" s="826">
        <v>300000</v>
      </c>
      <c r="I62" s="826">
        <v>300000</v>
      </c>
      <c r="J62" s="826">
        <v>300000</v>
      </c>
      <c r="K62" s="826">
        <v>350000</v>
      </c>
      <c r="L62" s="826">
        <v>350000</v>
      </c>
      <c r="M62" s="826">
        <v>350000</v>
      </c>
    </row>
    <row r="63" spans="1:13" ht="14.25" x14ac:dyDescent="0.2">
      <c r="A63" s="825" t="s">
        <v>1150</v>
      </c>
      <c r="D63" s="826"/>
      <c r="E63" s="826">
        <v>2500000</v>
      </c>
      <c r="F63" s="826" t="s">
        <v>516</v>
      </c>
      <c r="G63" s="826"/>
      <c r="J63" s="826"/>
      <c r="K63" s="826"/>
      <c r="L63" s="826"/>
      <c r="M63" s="826"/>
    </row>
    <row r="64" spans="1:13" ht="14.25" x14ac:dyDescent="0.2">
      <c r="A64" s="825" t="s">
        <v>1540</v>
      </c>
      <c r="D64" s="826">
        <v>1000000</v>
      </c>
      <c r="E64" s="826">
        <v>1000000</v>
      </c>
      <c r="F64" s="826">
        <v>1000000</v>
      </c>
      <c r="G64" s="826">
        <v>1000000</v>
      </c>
      <c r="H64" s="826">
        <v>1000000</v>
      </c>
      <c r="I64" s="826">
        <v>1000000</v>
      </c>
      <c r="J64" s="826">
        <v>1000000</v>
      </c>
      <c r="K64" s="826">
        <v>1000000</v>
      </c>
      <c r="L64" s="826">
        <v>1000000</v>
      </c>
      <c r="M64" s="826">
        <v>1000000</v>
      </c>
    </row>
    <row r="65" spans="1:13" ht="14.25" x14ac:dyDescent="0.2">
      <c r="A65" s="825" t="s">
        <v>1541</v>
      </c>
      <c r="D65" s="826">
        <v>750000</v>
      </c>
      <c r="E65" s="826">
        <v>750000</v>
      </c>
      <c r="F65" s="826">
        <v>750000</v>
      </c>
      <c r="G65" s="826">
        <v>750000</v>
      </c>
      <c r="H65" s="826">
        <v>1500000</v>
      </c>
      <c r="I65" s="826">
        <v>1500000</v>
      </c>
      <c r="J65" s="826">
        <v>1500000</v>
      </c>
      <c r="K65" s="826">
        <v>1500000</v>
      </c>
      <c r="L65" s="826">
        <v>1500000</v>
      </c>
      <c r="M65" s="826">
        <v>1500000</v>
      </c>
    </row>
    <row r="66" spans="1:13" ht="14.25" x14ac:dyDescent="0.2">
      <c r="A66" s="825" t="s">
        <v>1542</v>
      </c>
      <c r="D66" s="826"/>
      <c r="E66" s="826"/>
      <c r="F66" s="826"/>
      <c r="G66" s="826"/>
      <c r="J66" s="826"/>
      <c r="K66" s="826"/>
      <c r="L66" s="826">
        <v>250000</v>
      </c>
      <c r="M66" s="826">
        <v>350000</v>
      </c>
    </row>
    <row r="67" spans="1:13" ht="14.25" x14ac:dyDescent="0.2">
      <c r="A67" s="825" t="s">
        <v>1126</v>
      </c>
      <c r="D67" s="826">
        <v>492000</v>
      </c>
      <c r="E67" s="826">
        <v>500000</v>
      </c>
      <c r="F67" s="826">
        <v>515000</v>
      </c>
      <c r="G67" s="826">
        <v>530000</v>
      </c>
      <c r="H67" s="826">
        <v>530000</v>
      </c>
      <c r="I67" s="826">
        <v>530000</v>
      </c>
      <c r="J67" s="826">
        <v>570000</v>
      </c>
      <c r="K67" s="826">
        <v>570000</v>
      </c>
      <c r="L67" s="826">
        <v>600000</v>
      </c>
      <c r="M67" s="826">
        <v>600000</v>
      </c>
    </row>
    <row r="68" spans="1:13" ht="14.25" x14ac:dyDescent="0.2">
      <c r="A68" s="825" t="s">
        <v>1127</v>
      </c>
      <c r="D68" s="826">
        <v>403970</v>
      </c>
      <c r="E68" s="826">
        <v>412049</v>
      </c>
      <c r="F68" s="826">
        <v>420290</v>
      </c>
      <c r="G68" s="826">
        <v>428696</v>
      </c>
      <c r="H68" s="826">
        <v>439413</v>
      </c>
      <c r="I68" s="826">
        <f>H68*1.025</f>
        <v>450398.32499999995</v>
      </c>
      <c r="J68" s="826">
        <f>I68*1.025</f>
        <v>461658.2831249999</v>
      </c>
      <c r="K68" s="826">
        <f>J68*1.025</f>
        <v>473199.74020312488</v>
      </c>
      <c r="L68" s="826">
        <f>K68*1.025</f>
        <v>485029.73370820296</v>
      </c>
      <c r="M68" s="826">
        <f>L68*1.025</f>
        <v>497155.47705090797</v>
      </c>
    </row>
    <row r="69" spans="1:13" ht="14.25" x14ac:dyDescent="0.2">
      <c r="A69" s="825" t="s">
        <v>1135</v>
      </c>
      <c r="D69" s="826">
        <v>250000</v>
      </c>
      <c r="E69" s="826">
        <v>250000</v>
      </c>
      <c r="F69" s="826">
        <v>255000</v>
      </c>
      <c r="G69" s="826">
        <v>260000</v>
      </c>
      <c r="H69" s="826">
        <v>260000</v>
      </c>
      <c r="I69" s="826">
        <v>260000</v>
      </c>
      <c r="J69" s="826">
        <v>300000</v>
      </c>
      <c r="K69" s="826">
        <v>300000</v>
      </c>
      <c r="L69" s="826">
        <v>320000</v>
      </c>
      <c r="M69" s="826">
        <v>320000</v>
      </c>
    </row>
    <row r="70" spans="1:13" ht="14.25" x14ac:dyDescent="0.2">
      <c r="A70" s="825" t="s">
        <v>1151</v>
      </c>
      <c r="D70" s="826">
        <v>1000000</v>
      </c>
      <c r="E70" s="826">
        <v>1000000</v>
      </c>
      <c r="F70" s="826">
        <v>1000000</v>
      </c>
      <c r="G70" s="826">
        <v>1000000</v>
      </c>
      <c r="H70" s="826">
        <v>0</v>
      </c>
      <c r="J70" s="826"/>
      <c r="K70" s="826"/>
      <c r="L70" s="826"/>
      <c r="M70" s="826"/>
    </row>
    <row r="71" spans="1:13" ht="14.25" x14ac:dyDescent="0.2">
      <c r="A71" s="825" t="s">
        <v>1128</v>
      </c>
      <c r="D71" s="826">
        <v>200000</v>
      </c>
      <c r="E71" s="826">
        <v>200000</v>
      </c>
      <c r="F71" s="826">
        <v>220000</v>
      </c>
      <c r="G71" s="826">
        <v>230000</v>
      </c>
      <c r="H71" s="826">
        <v>230000</v>
      </c>
      <c r="I71" s="826">
        <v>230000</v>
      </c>
      <c r="J71" s="826">
        <v>230000</v>
      </c>
      <c r="K71" s="826">
        <v>230000</v>
      </c>
      <c r="L71" s="826">
        <v>230000</v>
      </c>
      <c r="M71" s="826">
        <v>230000</v>
      </c>
    </row>
    <row r="72" spans="1:13" ht="14.25" x14ac:dyDescent="0.2">
      <c r="A72" s="825" t="s">
        <v>1129</v>
      </c>
      <c r="D72" s="826">
        <v>125000</v>
      </c>
      <c r="E72" s="826">
        <v>130000</v>
      </c>
      <c r="F72" s="826">
        <v>130000</v>
      </c>
      <c r="G72" s="826">
        <v>130000</v>
      </c>
      <c r="H72" s="826">
        <v>130000</v>
      </c>
      <c r="I72" s="826">
        <v>160000</v>
      </c>
      <c r="J72" s="826">
        <v>180000</v>
      </c>
      <c r="K72" s="826">
        <v>180000</v>
      </c>
      <c r="L72" s="826">
        <v>180000</v>
      </c>
      <c r="M72" s="826">
        <v>180000</v>
      </c>
    </row>
    <row r="73" spans="1:13" ht="14.25" x14ac:dyDescent="0.2">
      <c r="A73" s="825" t="s">
        <v>1130</v>
      </c>
      <c r="D73" s="826">
        <v>156000</v>
      </c>
      <c r="E73" s="826">
        <v>160000</v>
      </c>
      <c r="F73" s="826">
        <v>165000</v>
      </c>
      <c r="G73" s="826">
        <v>165000</v>
      </c>
      <c r="H73" s="826">
        <v>165000</v>
      </c>
      <c r="I73" s="826">
        <v>200000</v>
      </c>
      <c r="J73" s="826">
        <v>220000</v>
      </c>
      <c r="K73" s="826">
        <v>220000</v>
      </c>
      <c r="L73" s="826">
        <v>220000</v>
      </c>
      <c r="M73" s="826">
        <v>220000</v>
      </c>
    </row>
    <row r="74" spans="1:13" ht="14.25" x14ac:dyDescent="0.2">
      <c r="A74" s="825" t="s">
        <v>1131</v>
      </c>
      <c r="D74" s="826">
        <v>103000</v>
      </c>
      <c r="E74" s="826">
        <v>110000</v>
      </c>
      <c r="F74" s="826">
        <v>115000</v>
      </c>
      <c r="G74" s="826">
        <v>120000</v>
      </c>
      <c r="H74" s="826">
        <v>120000</v>
      </c>
      <c r="I74" s="826">
        <v>120000</v>
      </c>
      <c r="J74" s="826">
        <v>140000</v>
      </c>
      <c r="K74" s="826">
        <v>140000</v>
      </c>
      <c r="L74" s="826">
        <v>140000</v>
      </c>
      <c r="M74" s="826">
        <v>140000</v>
      </c>
    </row>
    <row r="75" spans="1:13" ht="14.25" x14ac:dyDescent="0.2">
      <c r="A75" s="825" t="s">
        <v>908</v>
      </c>
      <c r="D75" s="826">
        <v>158000</v>
      </c>
      <c r="E75" s="826">
        <v>158000</v>
      </c>
      <c r="F75" s="826">
        <v>159000</v>
      </c>
      <c r="G75" s="826">
        <v>160000</v>
      </c>
      <c r="H75" s="826">
        <v>160000</v>
      </c>
      <c r="I75" s="826">
        <f>H75*1.025</f>
        <v>164000</v>
      </c>
      <c r="J75" s="826">
        <f>I75*1.025</f>
        <v>168099.99999999997</v>
      </c>
      <c r="K75" s="826">
        <f>J75*1.025</f>
        <v>172302.49999999994</v>
      </c>
      <c r="L75" s="826">
        <f>K75*1.025</f>
        <v>176610.06249999991</v>
      </c>
      <c r="M75" s="826">
        <f>L75*1.025</f>
        <v>181025.31406249991</v>
      </c>
    </row>
    <row r="76" spans="1:13" ht="14.25" x14ac:dyDescent="0.2">
      <c r="A76" s="825" t="s">
        <v>1133</v>
      </c>
      <c r="D76" s="826">
        <v>93606</v>
      </c>
      <c r="E76" s="826">
        <v>94858</v>
      </c>
      <c r="F76" s="826">
        <v>110231</v>
      </c>
      <c r="G76" s="826">
        <v>82240</v>
      </c>
      <c r="H76" s="826">
        <v>82240</v>
      </c>
      <c r="I76" s="826">
        <v>82240</v>
      </c>
      <c r="J76" s="826">
        <v>82240</v>
      </c>
      <c r="K76" s="826">
        <v>82240</v>
      </c>
      <c r="L76" s="826">
        <v>82240</v>
      </c>
      <c r="M76" s="826">
        <v>82240</v>
      </c>
    </row>
    <row r="77" spans="1:13" ht="14.25" x14ac:dyDescent="0.2">
      <c r="A77" s="825" t="s">
        <v>1543</v>
      </c>
      <c r="D77" s="826">
        <v>200000</v>
      </c>
      <c r="E77" s="826"/>
      <c r="F77" s="826"/>
      <c r="G77" s="826"/>
      <c r="J77" s="826"/>
      <c r="K77" s="826"/>
      <c r="L77" s="826"/>
      <c r="M77" s="826"/>
    </row>
    <row r="78" spans="1:13" ht="14.25" x14ac:dyDescent="0.2">
      <c r="A78" s="825" t="s">
        <v>1137</v>
      </c>
      <c r="D78" s="826">
        <v>60000</v>
      </c>
      <c r="E78" s="826">
        <v>3500000</v>
      </c>
      <c r="F78" s="826">
        <v>0</v>
      </c>
      <c r="G78" s="826">
        <v>0</v>
      </c>
      <c r="H78" s="826">
        <v>60000</v>
      </c>
      <c r="I78" s="826">
        <v>70000</v>
      </c>
      <c r="J78" s="826">
        <v>70000</v>
      </c>
      <c r="K78" s="826">
        <v>70000</v>
      </c>
      <c r="L78" s="826">
        <v>100000</v>
      </c>
      <c r="M78" s="826">
        <v>70000</v>
      </c>
    </row>
    <row r="79" spans="1:13" ht="14.25" x14ac:dyDescent="0.2">
      <c r="A79" s="825" t="s">
        <v>1140</v>
      </c>
      <c r="D79" s="826">
        <v>300000</v>
      </c>
      <c r="E79" s="826">
        <v>350000</v>
      </c>
      <c r="F79" s="826">
        <v>375000</v>
      </c>
      <c r="G79" s="826">
        <v>360000</v>
      </c>
      <c r="H79" s="826">
        <v>360000</v>
      </c>
      <c r="I79" s="826">
        <v>360000</v>
      </c>
      <c r="J79" s="826">
        <v>360000</v>
      </c>
      <c r="K79" s="826">
        <v>360000</v>
      </c>
      <c r="L79" s="826">
        <v>360000</v>
      </c>
      <c r="M79" s="826">
        <v>360000</v>
      </c>
    </row>
    <row r="80" spans="1:13" ht="14.25" x14ac:dyDescent="0.2">
      <c r="A80" s="825" t="s">
        <v>1544</v>
      </c>
      <c r="D80" s="826">
        <v>250000</v>
      </c>
      <c r="E80" s="826">
        <v>250000</v>
      </c>
      <c r="F80" s="826">
        <v>250000</v>
      </c>
      <c r="G80" s="826">
        <v>250000</v>
      </c>
      <c r="H80" s="826">
        <v>500000</v>
      </c>
      <c r="I80" s="826">
        <v>500000</v>
      </c>
      <c r="J80" s="826">
        <v>500000</v>
      </c>
      <c r="K80" s="826">
        <v>500000</v>
      </c>
      <c r="L80" s="826">
        <v>500000</v>
      </c>
      <c r="M80" s="826">
        <v>500000</v>
      </c>
    </row>
    <row r="81" spans="1:13" ht="14.25" x14ac:dyDescent="0.2">
      <c r="A81" s="825" t="s">
        <v>1141</v>
      </c>
      <c r="D81" s="826">
        <v>300000</v>
      </c>
      <c r="E81" s="826">
        <v>300000</v>
      </c>
      <c r="F81" s="826">
        <v>300000</v>
      </c>
      <c r="G81" s="826">
        <v>300000</v>
      </c>
      <c r="H81" s="826">
        <v>300000</v>
      </c>
      <c r="I81" s="826">
        <v>300000</v>
      </c>
      <c r="J81" s="826">
        <v>300000</v>
      </c>
      <c r="K81" s="826">
        <v>300000</v>
      </c>
      <c r="L81" s="826">
        <v>300000</v>
      </c>
      <c r="M81" s="826">
        <v>300000</v>
      </c>
    </row>
    <row r="82" spans="1:13" ht="14.25" x14ac:dyDescent="0.2">
      <c r="D82" s="826"/>
      <c r="E82" s="826"/>
      <c r="F82" s="826"/>
      <c r="G82" s="826"/>
    </row>
    <row r="83" spans="1:13" ht="14.25" x14ac:dyDescent="0.2">
      <c r="D83" s="826">
        <f t="shared" ref="D83:M83" si="13">SUM(D58:D82)</f>
        <v>8190576</v>
      </c>
      <c r="E83" s="826">
        <f t="shared" si="13"/>
        <v>14006907</v>
      </c>
      <c r="F83" s="826">
        <f t="shared" si="13"/>
        <v>8174521</v>
      </c>
      <c r="G83" s="826">
        <f t="shared" si="13"/>
        <v>8223936</v>
      </c>
      <c r="H83" s="826">
        <f t="shared" si="13"/>
        <v>8494653</v>
      </c>
      <c r="I83" s="826">
        <f t="shared" si="13"/>
        <v>8586038.3249999993</v>
      </c>
      <c r="J83" s="826">
        <f t="shared" si="13"/>
        <v>8775826.2831250001</v>
      </c>
      <c r="K83" s="826">
        <f t="shared" si="13"/>
        <v>8972026.8002031259</v>
      </c>
      <c r="L83" s="826">
        <f t="shared" si="13"/>
        <v>9394650.0474082027</v>
      </c>
      <c r="M83" s="826">
        <f t="shared" si="13"/>
        <v>9532706.4473374076</v>
      </c>
    </row>
    <row r="84" spans="1:13" ht="14.25" x14ac:dyDescent="0.2">
      <c r="D84" s="826"/>
      <c r="E84" s="826"/>
      <c r="F84" s="826"/>
      <c r="G84" s="826"/>
    </row>
    <row r="85" spans="1:13" ht="15" x14ac:dyDescent="0.25">
      <c r="D85" s="1479" t="s">
        <v>4</v>
      </c>
      <c r="E85" s="1479" t="s">
        <v>5</v>
      </c>
      <c r="F85" s="1479" t="s">
        <v>6</v>
      </c>
      <c r="G85" s="1479" t="s">
        <v>7</v>
      </c>
      <c r="H85" s="1479" t="s">
        <v>8</v>
      </c>
      <c r="I85" s="1479" t="s">
        <v>9</v>
      </c>
      <c r="J85" s="939" t="s">
        <v>514</v>
      </c>
      <c r="K85" s="939" t="s">
        <v>515</v>
      </c>
      <c r="L85" s="939" t="s">
        <v>904</v>
      </c>
      <c r="M85" s="939" t="s">
        <v>1046</v>
      </c>
    </row>
    <row r="86" spans="1:13" ht="18" x14ac:dyDescent="0.25">
      <c r="A86" s="938" t="s">
        <v>1545</v>
      </c>
      <c r="D86" s="826"/>
      <c r="E86" s="826"/>
      <c r="F86" s="826"/>
      <c r="G86" s="826"/>
    </row>
    <row r="87" spans="1:13" ht="14.25" x14ac:dyDescent="0.2">
      <c r="A87" s="825" t="s">
        <v>1032</v>
      </c>
      <c r="D87" s="825" t="s">
        <v>516</v>
      </c>
      <c r="E87" s="825" t="s">
        <v>516</v>
      </c>
      <c r="F87" s="825" t="s">
        <v>516</v>
      </c>
    </row>
    <row r="88" spans="1:13" ht="14.25" x14ac:dyDescent="0.2">
      <c r="A88" s="825" t="s">
        <v>1121</v>
      </c>
      <c r="D88" s="826">
        <v>70000</v>
      </c>
      <c r="E88" s="826">
        <v>70000</v>
      </c>
      <c r="F88" s="826">
        <v>70000</v>
      </c>
      <c r="G88" s="826">
        <v>70000</v>
      </c>
      <c r="H88" s="826">
        <v>70000</v>
      </c>
      <c r="I88" s="826">
        <f>I58</f>
        <v>71400</v>
      </c>
      <c r="J88" s="826">
        <f>J58</f>
        <v>72828</v>
      </c>
      <c r="K88" s="826">
        <f>K58</f>
        <v>74284.56</v>
      </c>
      <c r="L88" s="826">
        <f>L58</f>
        <v>75770.251199999999</v>
      </c>
      <c r="M88" s="826">
        <f>M58</f>
        <v>77285.656224000006</v>
      </c>
    </row>
    <row r="89" spans="1:13" ht="14.25" x14ac:dyDescent="0.2">
      <c r="A89" s="825" t="s">
        <v>1122</v>
      </c>
      <c r="D89" s="826">
        <v>1117000</v>
      </c>
      <c r="E89" s="826">
        <v>1117000</v>
      </c>
      <c r="F89" s="826">
        <v>1130000</v>
      </c>
      <c r="G89" s="826">
        <v>1143000</v>
      </c>
      <c r="H89" s="826">
        <v>1243000</v>
      </c>
      <c r="I89" s="826">
        <f t="shared" ref="I89:L92" si="14">I59</f>
        <v>1243000</v>
      </c>
      <c r="J89" s="826">
        <f t="shared" si="14"/>
        <v>1276000</v>
      </c>
      <c r="K89" s="826">
        <f t="shared" si="14"/>
        <v>1300000</v>
      </c>
      <c r="L89" s="826">
        <f t="shared" si="14"/>
        <v>1350000</v>
      </c>
      <c r="M89" s="826">
        <v>1400000</v>
      </c>
    </row>
    <row r="90" spans="1:13" ht="14.25" x14ac:dyDescent="0.2">
      <c r="A90" s="825" t="s">
        <v>1123</v>
      </c>
      <c r="D90" s="826">
        <v>512000</v>
      </c>
      <c r="E90" s="826">
        <v>500000</v>
      </c>
      <c r="F90" s="826">
        <v>510000</v>
      </c>
      <c r="G90" s="826">
        <v>525000</v>
      </c>
      <c r="H90" s="826">
        <v>625000</v>
      </c>
      <c r="I90" s="826">
        <f t="shared" si="14"/>
        <v>625000</v>
      </c>
      <c r="J90" s="826">
        <f t="shared" si="14"/>
        <v>625000</v>
      </c>
      <c r="K90" s="826">
        <f t="shared" si="14"/>
        <v>650000</v>
      </c>
      <c r="L90" s="826">
        <f t="shared" si="14"/>
        <v>675000</v>
      </c>
      <c r="M90" s="826">
        <f>M60</f>
        <v>675000</v>
      </c>
    </row>
    <row r="91" spans="1:13" ht="14.25" x14ac:dyDescent="0.2">
      <c r="A91" s="825" t="s">
        <v>1124</v>
      </c>
      <c r="D91" s="826">
        <v>400000</v>
      </c>
      <c r="E91" s="826">
        <v>400000</v>
      </c>
      <c r="F91" s="826">
        <v>420000</v>
      </c>
      <c r="G91" s="826">
        <v>420000</v>
      </c>
      <c r="H91" s="826">
        <v>420000</v>
      </c>
      <c r="I91" s="826">
        <f t="shared" si="14"/>
        <v>420000</v>
      </c>
      <c r="J91" s="826">
        <f t="shared" si="14"/>
        <v>420000</v>
      </c>
      <c r="K91" s="826">
        <f t="shared" si="14"/>
        <v>500000</v>
      </c>
      <c r="L91" s="826">
        <f t="shared" si="14"/>
        <v>500000</v>
      </c>
      <c r="M91" s="826">
        <v>520000</v>
      </c>
    </row>
    <row r="92" spans="1:13" ht="14.25" x14ac:dyDescent="0.2">
      <c r="A92" s="825" t="s">
        <v>1125</v>
      </c>
      <c r="D92" s="826">
        <v>250000</v>
      </c>
      <c r="E92" s="826">
        <v>255000</v>
      </c>
      <c r="F92" s="826">
        <v>280000</v>
      </c>
      <c r="G92" s="826">
        <v>300000</v>
      </c>
      <c r="H92" s="826">
        <v>300000</v>
      </c>
      <c r="I92" s="826">
        <f t="shared" si="14"/>
        <v>300000</v>
      </c>
      <c r="J92" s="826">
        <f t="shared" si="14"/>
        <v>300000</v>
      </c>
      <c r="K92" s="826">
        <f t="shared" si="14"/>
        <v>350000</v>
      </c>
      <c r="L92" s="826">
        <f t="shared" si="14"/>
        <v>350000</v>
      </c>
      <c r="M92" s="826">
        <f>M62</f>
        <v>350000</v>
      </c>
    </row>
    <row r="93" spans="1:13" ht="14.25" x14ac:dyDescent="0.2">
      <c r="A93" s="825" t="s">
        <v>1150</v>
      </c>
      <c r="D93" s="826"/>
      <c r="E93" s="826">
        <v>1250000</v>
      </c>
      <c r="F93" s="826" t="s">
        <v>516</v>
      </c>
      <c r="G93" s="826"/>
      <c r="J93" s="826"/>
      <c r="K93" s="826"/>
      <c r="L93" s="826"/>
      <c r="M93" s="826"/>
    </row>
    <row r="94" spans="1:13" ht="14.25" x14ac:dyDescent="0.2">
      <c r="A94" s="825" t="s">
        <v>1540</v>
      </c>
      <c r="D94" s="826">
        <v>500000</v>
      </c>
      <c r="E94" s="826">
        <v>500000</v>
      </c>
      <c r="F94" s="826">
        <v>500000</v>
      </c>
      <c r="G94" s="826">
        <v>500000</v>
      </c>
      <c r="H94" s="826">
        <v>500000</v>
      </c>
      <c r="I94" s="826">
        <f t="shared" ref="I94:M95" si="15">I64/2</f>
        <v>500000</v>
      </c>
      <c r="J94" s="826">
        <f t="shared" si="15"/>
        <v>500000</v>
      </c>
      <c r="K94" s="826">
        <f t="shared" si="15"/>
        <v>500000</v>
      </c>
      <c r="L94" s="826">
        <f t="shared" si="15"/>
        <v>500000</v>
      </c>
      <c r="M94" s="826">
        <f t="shared" si="15"/>
        <v>500000</v>
      </c>
    </row>
    <row r="95" spans="1:13" ht="14.25" x14ac:dyDescent="0.2">
      <c r="A95" s="825" t="s">
        <v>1541</v>
      </c>
      <c r="D95" s="826">
        <v>375000</v>
      </c>
      <c r="E95" s="826">
        <v>375000</v>
      </c>
      <c r="F95" s="826">
        <v>375000</v>
      </c>
      <c r="G95" s="826">
        <v>375000</v>
      </c>
      <c r="H95" s="826">
        <v>750000</v>
      </c>
      <c r="I95" s="826">
        <f t="shared" si="15"/>
        <v>750000</v>
      </c>
      <c r="J95" s="826">
        <f t="shared" si="15"/>
        <v>750000</v>
      </c>
      <c r="K95" s="826">
        <f t="shared" si="15"/>
        <v>750000</v>
      </c>
      <c r="L95" s="826">
        <f t="shared" si="15"/>
        <v>750000</v>
      </c>
      <c r="M95" s="826">
        <f t="shared" si="15"/>
        <v>750000</v>
      </c>
    </row>
    <row r="96" spans="1:13" ht="14.25" x14ac:dyDescent="0.2">
      <c r="A96" s="1483" t="s">
        <v>1612</v>
      </c>
      <c r="B96" s="1483"/>
      <c r="C96" s="1483"/>
      <c r="D96" s="1486">
        <v>300000</v>
      </c>
      <c r="E96" s="1486"/>
      <c r="F96" s="1486">
        <v>300000</v>
      </c>
      <c r="G96" s="1486">
        <v>400000</v>
      </c>
      <c r="H96" s="1486">
        <f>250000+100000</f>
        <v>350000</v>
      </c>
      <c r="I96" s="1486">
        <f>H96*1.02</f>
        <v>357000</v>
      </c>
      <c r="J96" s="1486">
        <f t="shared" ref="J96:M96" si="16">I96*1.02</f>
        <v>364140</v>
      </c>
      <c r="K96" s="1486">
        <f t="shared" si="16"/>
        <v>371422.8</v>
      </c>
      <c r="L96" s="1486">
        <f t="shared" si="16"/>
        <v>378851.25599999999</v>
      </c>
      <c r="M96" s="1486">
        <f t="shared" si="16"/>
        <v>386428.28112</v>
      </c>
    </row>
    <row r="97" spans="1:13" ht="14.25" x14ac:dyDescent="0.2">
      <c r="A97" s="825" t="s">
        <v>1126</v>
      </c>
      <c r="D97" s="826">
        <v>492000</v>
      </c>
      <c r="E97" s="826">
        <v>500000</v>
      </c>
      <c r="F97" s="826">
        <v>515000</v>
      </c>
      <c r="G97" s="826">
        <v>530000</v>
      </c>
      <c r="H97" s="826">
        <v>530000</v>
      </c>
      <c r="I97" s="826">
        <f>I67</f>
        <v>530000</v>
      </c>
      <c r="J97" s="826">
        <f>J67</f>
        <v>570000</v>
      </c>
      <c r="K97" s="826">
        <f>K67</f>
        <v>570000</v>
      </c>
      <c r="L97" s="826">
        <f>L67</f>
        <v>600000</v>
      </c>
      <c r="M97" s="826">
        <f>M67</f>
        <v>600000</v>
      </c>
    </row>
    <row r="98" spans="1:13" ht="14.25" x14ac:dyDescent="0.2">
      <c r="A98" s="825" t="s">
        <v>1127</v>
      </c>
      <c r="D98" s="826">
        <f>403970/2</f>
        <v>201985</v>
      </c>
      <c r="E98" s="826">
        <f>412049/2</f>
        <v>206024.5</v>
      </c>
      <c r="F98" s="826">
        <f>420290/2</f>
        <v>210145</v>
      </c>
      <c r="G98" s="826">
        <f>428696/2</f>
        <v>214348</v>
      </c>
      <c r="H98" s="826">
        <f t="shared" ref="H98:M98" si="17">H68/2</f>
        <v>219706.5</v>
      </c>
      <c r="I98" s="826">
        <f t="shared" si="17"/>
        <v>225199.16249999998</v>
      </c>
      <c r="J98" s="826">
        <f t="shared" si="17"/>
        <v>230829.14156249995</v>
      </c>
      <c r="K98" s="826">
        <f t="shared" si="17"/>
        <v>236599.87010156244</v>
      </c>
      <c r="L98" s="826">
        <f t="shared" si="17"/>
        <v>242514.86685410148</v>
      </c>
      <c r="M98" s="826">
        <f t="shared" si="17"/>
        <v>248577.73852545398</v>
      </c>
    </row>
    <row r="99" spans="1:13" ht="14.25" x14ac:dyDescent="0.2">
      <c r="A99" s="825" t="s">
        <v>1151</v>
      </c>
      <c r="D99" s="826">
        <v>500000</v>
      </c>
      <c r="E99" s="826">
        <v>500000</v>
      </c>
      <c r="F99" s="826">
        <v>500000</v>
      </c>
      <c r="G99" s="826">
        <v>500000</v>
      </c>
      <c r="H99" s="826">
        <v>0</v>
      </c>
      <c r="J99" s="826"/>
      <c r="K99" s="826"/>
      <c r="L99" s="826"/>
      <c r="M99" s="826"/>
    </row>
    <row r="100" spans="1:13" ht="14.25" x14ac:dyDescent="0.2">
      <c r="A100" s="825" t="s">
        <v>1135</v>
      </c>
      <c r="D100" s="826">
        <v>250000</v>
      </c>
      <c r="E100" s="826">
        <v>250000</v>
      </c>
      <c r="F100" s="826">
        <v>255000</v>
      </c>
      <c r="G100" s="826">
        <v>260000</v>
      </c>
      <c r="H100" s="826">
        <v>260000</v>
      </c>
      <c r="I100" s="826">
        <f>I69</f>
        <v>260000</v>
      </c>
      <c r="J100" s="826">
        <f>J69</f>
        <v>300000</v>
      </c>
      <c r="K100" s="826">
        <v>320000</v>
      </c>
      <c r="L100" s="826">
        <f>L69</f>
        <v>320000</v>
      </c>
      <c r="M100" s="826">
        <f>M69</f>
        <v>320000</v>
      </c>
    </row>
    <row r="101" spans="1:13" ht="14.25" x14ac:dyDescent="0.2">
      <c r="A101" s="825" t="s">
        <v>1128</v>
      </c>
      <c r="D101" s="826">
        <v>200000</v>
      </c>
      <c r="E101" s="826">
        <v>200000</v>
      </c>
      <c r="F101" s="826">
        <v>220000</v>
      </c>
      <c r="G101" s="826">
        <v>230000</v>
      </c>
      <c r="H101" s="826">
        <v>230000</v>
      </c>
      <c r="I101" s="826">
        <f>I71</f>
        <v>230000</v>
      </c>
      <c r="J101" s="826">
        <f>J71</f>
        <v>230000</v>
      </c>
      <c r="K101" s="826">
        <f>K71</f>
        <v>230000</v>
      </c>
      <c r="L101" s="826">
        <f>L71</f>
        <v>230000</v>
      </c>
      <c r="M101" s="826">
        <v>250000</v>
      </c>
    </row>
    <row r="102" spans="1:13" ht="14.25" x14ac:dyDescent="0.2">
      <c r="A102" s="825" t="s">
        <v>1129</v>
      </c>
      <c r="D102" s="826">
        <v>100000</v>
      </c>
      <c r="E102" s="826">
        <v>100000</v>
      </c>
      <c r="F102" s="826">
        <v>100000</v>
      </c>
      <c r="G102" s="826">
        <v>100000</v>
      </c>
      <c r="H102" s="826">
        <v>100000</v>
      </c>
      <c r="I102" s="826">
        <f t="shared" ref="I102:L103" si="18">I72*0.75</f>
        <v>120000</v>
      </c>
      <c r="J102" s="826">
        <f t="shared" si="18"/>
        <v>135000</v>
      </c>
      <c r="K102" s="826">
        <f t="shared" si="18"/>
        <v>135000</v>
      </c>
      <c r="L102" s="826">
        <f t="shared" si="18"/>
        <v>135000</v>
      </c>
      <c r="M102" s="826">
        <v>150000</v>
      </c>
    </row>
    <row r="103" spans="1:13" ht="14.25" x14ac:dyDescent="0.2">
      <c r="A103" s="825" t="s">
        <v>1130</v>
      </c>
      <c r="D103" s="826">
        <v>100000</v>
      </c>
      <c r="E103" s="826">
        <v>100000</v>
      </c>
      <c r="F103" s="826">
        <v>100000</v>
      </c>
      <c r="G103" s="826">
        <v>100000</v>
      </c>
      <c r="H103" s="826">
        <v>100000</v>
      </c>
      <c r="I103" s="826">
        <f t="shared" si="18"/>
        <v>150000</v>
      </c>
      <c r="J103" s="826">
        <f t="shared" si="18"/>
        <v>165000</v>
      </c>
      <c r="K103" s="826">
        <f t="shared" si="18"/>
        <v>165000</v>
      </c>
      <c r="L103" s="826">
        <f t="shared" si="18"/>
        <v>165000</v>
      </c>
      <c r="M103" s="826">
        <v>180000</v>
      </c>
    </row>
    <row r="104" spans="1:13" ht="14.25" x14ac:dyDescent="0.2">
      <c r="A104" s="825" t="s">
        <v>1131</v>
      </c>
      <c r="D104" s="826">
        <v>103000</v>
      </c>
      <c r="E104" s="826">
        <v>110000</v>
      </c>
      <c r="F104" s="826">
        <v>115000</v>
      </c>
      <c r="G104" s="826">
        <v>120000</v>
      </c>
      <c r="H104" s="826">
        <v>120000</v>
      </c>
      <c r="I104" s="826">
        <f>I74</f>
        <v>120000</v>
      </c>
      <c r="J104" s="826">
        <f>J74</f>
        <v>140000</v>
      </c>
      <c r="K104" s="826">
        <f>K74</f>
        <v>140000</v>
      </c>
      <c r="L104" s="826">
        <f>L74</f>
        <v>140000</v>
      </c>
      <c r="M104" s="826">
        <f>M74</f>
        <v>140000</v>
      </c>
    </row>
    <row r="105" spans="1:13" x14ac:dyDescent="0.25">
      <c r="A105" s="825" t="s">
        <v>908</v>
      </c>
      <c r="D105" s="826">
        <v>0</v>
      </c>
      <c r="E105" s="826">
        <v>0</v>
      </c>
      <c r="F105" s="826">
        <v>0</v>
      </c>
      <c r="G105" s="826">
        <v>0</v>
      </c>
      <c r="H105" s="826">
        <v>0</v>
      </c>
      <c r="J105" s="826"/>
      <c r="K105" s="826"/>
      <c r="L105" s="826"/>
      <c r="M105" s="826"/>
    </row>
    <row r="106" spans="1:13" x14ac:dyDescent="0.25">
      <c r="A106" s="825" t="s">
        <v>1133</v>
      </c>
      <c r="D106" s="826">
        <v>93606</v>
      </c>
      <c r="E106" s="826">
        <v>94858</v>
      </c>
      <c r="F106" s="826">
        <v>110231</v>
      </c>
      <c r="G106" s="826">
        <v>82240</v>
      </c>
      <c r="H106" s="826">
        <v>82240</v>
      </c>
      <c r="I106" s="826">
        <f>I76</f>
        <v>82240</v>
      </c>
      <c r="J106" s="826">
        <f>J76</f>
        <v>82240</v>
      </c>
      <c r="K106" s="826">
        <f>K76</f>
        <v>82240</v>
      </c>
      <c r="L106" s="826">
        <f>L76</f>
        <v>82240</v>
      </c>
      <c r="M106" s="826">
        <f>M76</f>
        <v>82240</v>
      </c>
    </row>
    <row r="107" spans="1:13" x14ac:dyDescent="0.25">
      <c r="A107" s="825" t="s">
        <v>1543</v>
      </c>
      <c r="D107" s="826">
        <v>200000</v>
      </c>
      <c r="E107" s="826"/>
      <c r="F107" s="826"/>
      <c r="G107" s="826"/>
      <c r="J107" s="826"/>
      <c r="K107" s="826"/>
      <c r="L107" s="826"/>
      <c r="M107" s="826"/>
    </row>
    <row r="108" spans="1:13" x14ac:dyDescent="0.25">
      <c r="A108" s="825" t="s">
        <v>1137</v>
      </c>
      <c r="D108" s="826">
        <v>60000</v>
      </c>
      <c r="E108" s="826">
        <v>3500000</v>
      </c>
      <c r="F108" s="826">
        <v>0</v>
      </c>
      <c r="G108" s="826">
        <v>0</v>
      </c>
      <c r="H108" s="826">
        <v>60000</v>
      </c>
      <c r="I108" s="826">
        <f>I78</f>
        <v>70000</v>
      </c>
      <c r="J108" s="826">
        <f>J78</f>
        <v>70000</v>
      </c>
      <c r="K108" s="826">
        <f>K78</f>
        <v>70000</v>
      </c>
      <c r="L108" s="826">
        <f>L78</f>
        <v>100000</v>
      </c>
      <c r="M108" s="826">
        <f>M78</f>
        <v>70000</v>
      </c>
    </row>
    <row r="109" spans="1:13" x14ac:dyDescent="0.25">
      <c r="A109" s="825" t="s">
        <v>1544</v>
      </c>
      <c r="D109" s="826">
        <v>125000</v>
      </c>
      <c r="E109" s="826">
        <v>125000</v>
      </c>
      <c r="F109" s="826">
        <v>125000</v>
      </c>
      <c r="G109" s="826">
        <v>125000</v>
      </c>
      <c r="H109" s="826">
        <v>250000</v>
      </c>
      <c r="I109" s="826">
        <f>I80/2</f>
        <v>250000</v>
      </c>
      <c r="J109" s="826">
        <f>J80/2</f>
        <v>250000</v>
      </c>
      <c r="K109" s="826">
        <f>K80/2</f>
        <v>250000</v>
      </c>
      <c r="L109" s="826">
        <f>L80/2</f>
        <v>250000</v>
      </c>
      <c r="M109" s="826">
        <f>M80/2</f>
        <v>250000</v>
      </c>
    </row>
    <row r="110" spans="1:13" x14ac:dyDescent="0.25">
      <c r="A110" s="825" t="s">
        <v>1140</v>
      </c>
      <c r="D110" s="826">
        <v>300000</v>
      </c>
      <c r="E110" s="826">
        <v>350000</v>
      </c>
      <c r="F110" s="826">
        <v>375000</v>
      </c>
      <c r="G110" s="826">
        <v>360000</v>
      </c>
      <c r="H110" s="826">
        <v>360000</v>
      </c>
      <c r="I110" s="826">
        <f>I79</f>
        <v>360000</v>
      </c>
      <c r="J110" s="826">
        <f>J79</f>
        <v>360000</v>
      </c>
      <c r="K110" s="826">
        <f>K79</f>
        <v>360000</v>
      </c>
      <c r="L110" s="826">
        <f>L79</f>
        <v>360000</v>
      </c>
      <c r="M110" s="826">
        <v>450000</v>
      </c>
    </row>
    <row r="111" spans="1:13" x14ac:dyDescent="0.25">
      <c r="A111" s="825" t="s">
        <v>1141</v>
      </c>
      <c r="D111" s="826">
        <v>300000</v>
      </c>
      <c r="E111" s="826">
        <v>300000</v>
      </c>
      <c r="F111" s="826">
        <v>300000</v>
      </c>
      <c r="G111" s="826">
        <v>300000</v>
      </c>
      <c r="H111" s="826">
        <v>300000</v>
      </c>
      <c r="I111" s="826">
        <f>I81</f>
        <v>300000</v>
      </c>
      <c r="J111" s="826">
        <f>J81</f>
        <v>300000</v>
      </c>
      <c r="K111" s="826">
        <f>K81</f>
        <v>300000</v>
      </c>
      <c r="L111" s="826">
        <f>L81</f>
        <v>300000</v>
      </c>
      <c r="M111" s="826">
        <f>M81</f>
        <v>300000</v>
      </c>
    </row>
    <row r="112" spans="1:13" x14ac:dyDescent="0.25">
      <c r="D112" s="826"/>
      <c r="E112" s="826"/>
      <c r="F112" s="826"/>
      <c r="G112" s="826"/>
    </row>
    <row r="113" spans="1:13" x14ac:dyDescent="0.25">
      <c r="D113" s="826">
        <f t="shared" ref="D113:M113" si="19">SUM(D88:D112)</f>
        <v>6549591</v>
      </c>
      <c r="E113" s="826">
        <f t="shared" si="19"/>
        <v>10802882.5</v>
      </c>
      <c r="F113" s="826">
        <f t="shared" si="19"/>
        <v>6510376</v>
      </c>
      <c r="G113" s="826">
        <f t="shared" si="19"/>
        <v>6654588</v>
      </c>
      <c r="H113" s="826">
        <f t="shared" si="19"/>
        <v>6869946.5</v>
      </c>
      <c r="I113" s="826">
        <f t="shared" si="19"/>
        <v>6963839.1624999996</v>
      </c>
      <c r="J113" s="826">
        <f t="shared" si="19"/>
        <v>7141037.1415625</v>
      </c>
      <c r="K113" s="826">
        <f t="shared" si="19"/>
        <v>7354547.230101563</v>
      </c>
      <c r="L113" s="826">
        <f t="shared" si="19"/>
        <v>7504376.3740541013</v>
      </c>
      <c r="M113" s="826">
        <f t="shared" si="19"/>
        <v>7699531.6758694546</v>
      </c>
    </row>
    <row r="114" spans="1:13" x14ac:dyDescent="0.25">
      <c r="D114" s="826"/>
      <c r="E114" s="826"/>
      <c r="F114" s="826"/>
      <c r="G114" s="826"/>
    </row>
    <row r="115" spans="1:13" x14ac:dyDescent="0.25">
      <c r="D115" s="826"/>
      <c r="E115" s="826"/>
      <c r="F115" s="826"/>
      <c r="G115" s="826"/>
    </row>
    <row r="116" spans="1:13" x14ac:dyDescent="0.25">
      <c r="D116" s="826"/>
      <c r="E116" s="826"/>
      <c r="F116" s="826"/>
      <c r="G116" s="826"/>
    </row>
    <row r="117" spans="1:13" x14ac:dyDescent="0.25">
      <c r="A117" s="825" t="s">
        <v>1546</v>
      </c>
      <c r="D117" s="826"/>
      <c r="E117" s="826"/>
      <c r="F117" s="826"/>
      <c r="G117" s="826"/>
    </row>
    <row r="118" spans="1:13" x14ac:dyDescent="0.25">
      <c r="A118" s="825" t="s">
        <v>1032</v>
      </c>
      <c r="D118" s="939" t="s">
        <v>4</v>
      </c>
      <c r="E118" s="939" t="s">
        <v>5</v>
      </c>
      <c r="F118" s="939" t="s">
        <v>6</v>
      </c>
      <c r="G118" s="939" t="s">
        <v>7</v>
      </c>
      <c r="H118" s="1479" t="s">
        <v>8</v>
      </c>
      <c r="I118" s="1479" t="s">
        <v>9</v>
      </c>
      <c r="J118" s="939" t="s">
        <v>514</v>
      </c>
      <c r="K118" s="939" t="s">
        <v>515</v>
      </c>
      <c r="L118" s="939" t="s">
        <v>904</v>
      </c>
      <c r="M118" s="939" t="s">
        <v>1046</v>
      </c>
    </row>
    <row r="119" spans="1:13" x14ac:dyDescent="0.25">
      <c r="A119" s="825" t="s">
        <v>1121</v>
      </c>
      <c r="D119" s="826">
        <v>0</v>
      </c>
      <c r="E119" s="826">
        <v>0</v>
      </c>
      <c r="F119" s="826">
        <v>0</v>
      </c>
      <c r="G119" s="826">
        <v>0</v>
      </c>
      <c r="H119" s="826">
        <v>0</v>
      </c>
      <c r="J119" s="826"/>
      <c r="K119" s="826"/>
      <c r="L119" s="826"/>
      <c r="M119" s="826"/>
    </row>
    <row r="120" spans="1:13" x14ac:dyDescent="0.25">
      <c r="A120" s="825" t="s">
        <v>1122</v>
      </c>
      <c r="D120" s="826">
        <v>0</v>
      </c>
      <c r="E120" s="826">
        <v>0</v>
      </c>
      <c r="F120" s="826">
        <v>0</v>
      </c>
      <c r="G120" s="826">
        <v>0</v>
      </c>
      <c r="H120" s="826">
        <v>0</v>
      </c>
      <c r="J120" s="826"/>
      <c r="K120" s="826"/>
      <c r="L120" s="826"/>
      <c r="M120" s="826"/>
    </row>
    <row r="121" spans="1:13" x14ac:dyDescent="0.25">
      <c r="A121" s="825" t="s">
        <v>1123</v>
      </c>
      <c r="D121" s="826">
        <v>0</v>
      </c>
      <c r="E121" s="826">
        <v>0</v>
      </c>
      <c r="F121" s="826">
        <v>0</v>
      </c>
      <c r="G121" s="826">
        <v>0</v>
      </c>
      <c r="H121" s="826">
        <v>0</v>
      </c>
      <c r="J121" s="826"/>
      <c r="K121" s="826"/>
      <c r="L121" s="826"/>
      <c r="M121" s="826"/>
    </row>
    <row r="122" spans="1:13" x14ac:dyDescent="0.25">
      <c r="A122" s="825" t="s">
        <v>1124</v>
      </c>
      <c r="D122" s="826">
        <v>0</v>
      </c>
      <c r="E122" s="826">
        <v>0</v>
      </c>
      <c r="F122" s="826">
        <v>0</v>
      </c>
      <c r="G122" s="826">
        <v>0</v>
      </c>
      <c r="H122" s="826">
        <v>0</v>
      </c>
      <c r="J122" s="826"/>
      <c r="K122" s="826"/>
      <c r="L122" s="826"/>
      <c r="M122" s="826"/>
    </row>
    <row r="123" spans="1:13" x14ac:dyDescent="0.25">
      <c r="A123" s="825" t="s">
        <v>1125</v>
      </c>
      <c r="D123" s="826">
        <v>0</v>
      </c>
      <c r="E123" s="826">
        <v>0</v>
      </c>
      <c r="F123" s="826">
        <v>0</v>
      </c>
      <c r="G123" s="826">
        <v>0</v>
      </c>
      <c r="H123" s="826">
        <v>0</v>
      </c>
      <c r="J123" s="826"/>
      <c r="K123" s="826"/>
      <c r="L123" s="826"/>
      <c r="M123" s="826"/>
    </row>
    <row r="124" spans="1:13" x14ac:dyDescent="0.25">
      <c r="A124" s="825" t="s">
        <v>1150</v>
      </c>
      <c r="D124" s="826"/>
      <c r="E124" s="826">
        <v>1250000</v>
      </c>
      <c r="F124" s="826" t="s">
        <v>516</v>
      </c>
      <c r="G124" s="826"/>
      <c r="J124" s="826"/>
      <c r="K124" s="826"/>
      <c r="L124" s="826"/>
      <c r="M124" s="826"/>
    </row>
    <row r="125" spans="1:13" x14ac:dyDescent="0.25">
      <c r="A125" s="825" t="s">
        <v>1540</v>
      </c>
      <c r="D125" s="826">
        <v>500000</v>
      </c>
      <c r="E125" s="826">
        <v>500000</v>
      </c>
      <c r="F125" s="826">
        <v>500000</v>
      </c>
      <c r="G125" s="826">
        <v>500000</v>
      </c>
      <c r="H125" s="826">
        <v>500000</v>
      </c>
      <c r="I125" s="826">
        <f t="shared" ref="I125:M126" si="20">I64/2</f>
        <v>500000</v>
      </c>
      <c r="J125" s="826">
        <f t="shared" si="20"/>
        <v>500000</v>
      </c>
      <c r="K125" s="826">
        <f t="shared" si="20"/>
        <v>500000</v>
      </c>
      <c r="L125" s="826">
        <f t="shared" si="20"/>
        <v>500000</v>
      </c>
      <c r="M125" s="826">
        <f t="shared" si="20"/>
        <v>500000</v>
      </c>
    </row>
    <row r="126" spans="1:13" x14ac:dyDescent="0.25">
      <c r="A126" s="825" t="s">
        <v>1547</v>
      </c>
      <c r="D126" s="826">
        <v>375000</v>
      </c>
      <c r="E126" s="826">
        <v>375000</v>
      </c>
      <c r="F126" s="826">
        <v>375000</v>
      </c>
      <c r="G126" s="826">
        <v>375000</v>
      </c>
      <c r="H126" s="826">
        <v>750000</v>
      </c>
      <c r="I126" s="826">
        <f t="shared" si="20"/>
        <v>750000</v>
      </c>
      <c r="J126" s="826">
        <f t="shared" si="20"/>
        <v>750000</v>
      </c>
      <c r="K126" s="826">
        <f t="shared" si="20"/>
        <v>750000</v>
      </c>
      <c r="L126" s="826">
        <f t="shared" si="20"/>
        <v>750000</v>
      </c>
      <c r="M126" s="826">
        <f t="shared" si="20"/>
        <v>750000</v>
      </c>
    </row>
    <row r="127" spans="1:13" x14ac:dyDescent="0.25">
      <c r="A127" s="825" t="s">
        <v>1126</v>
      </c>
      <c r="D127" s="826">
        <v>0</v>
      </c>
      <c r="E127" s="826">
        <v>0</v>
      </c>
      <c r="F127" s="826">
        <v>0</v>
      </c>
      <c r="G127" s="826">
        <v>0</v>
      </c>
      <c r="H127" s="826">
        <v>0</v>
      </c>
      <c r="J127" s="826"/>
      <c r="K127" s="826"/>
      <c r="L127" s="826"/>
      <c r="M127" s="826"/>
    </row>
    <row r="128" spans="1:13" x14ac:dyDescent="0.25">
      <c r="A128" s="825" t="s">
        <v>1127</v>
      </c>
      <c r="D128" s="826">
        <f>403970/2</f>
        <v>201985</v>
      </c>
      <c r="E128" s="826">
        <f>412049/2</f>
        <v>206024.5</v>
      </c>
      <c r="F128" s="826">
        <f>420290/2</f>
        <v>210145</v>
      </c>
      <c r="G128" s="826">
        <f>428696/2</f>
        <v>214348</v>
      </c>
      <c r="H128" s="826">
        <f>H98</f>
        <v>219706.5</v>
      </c>
      <c r="I128" s="826">
        <f>I68/2</f>
        <v>225199.16249999998</v>
      </c>
      <c r="J128" s="826">
        <f>J68/2</f>
        <v>230829.14156249995</v>
      </c>
      <c r="K128" s="826">
        <f>K68/2</f>
        <v>236599.87010156244</v>
      </c>
      <c r="L128" s="826">
        <f>L68/2</f>
        <v>242514.86685410148</v>
      </c>
      <c r="M128" s="826">
        <f>M68/2</f>
        <v>248577.73852545398</v>
      </c>
    </row>
    <row r="129" spans="1:13" x14ac:dyDescent="0.25">
      <c r="A129" s="825" t="s">
        <v>1151</v>
      </c>
      <c r="D129" s="826">
        <v>500000</v>
      </c>
      <c r="E129" s="826">
        <v>500000</v>
      </c>
      <c r="F129" s="826">
        <v>500000</v>
      </c>
      <c r="G129" s="826">
        <v>500000</v>
      </c>
      <c r="H129" s="826">
        <v>0</v>
      </c>
      <c r="J129" s="826"/>
      <c r="K129" s="826"/>
      <c r="L129" s="826"/>
      <c r="M129" s="826"/>
    </row>
    <row r="130" spans="1:13" x14ac:dyDescent="0.25">
      <c r="A130" s="825" t="s">
        <v>1128</v>
      </c>
      <c r="D130" s="826">
        <v>0</v>
      </c>
      <c r="E130" s="826">
        <v>0</v>
      </c>
      <c r="F130" s="826">
        <v>0</v>
      </c>
      <c r="G130" s="826">
        <v>0</v>
      </c>
      <c r="H130" s="826">
        <v>0</v>
      </c>
      <c r="J130" s="826"/>
      <c r="K130" s="826"/>
      <c r="L130" s="826"/>
      <c r="M130" s="826"/>
    </row>
    <row r="131" spans="1:13" x14ac:dyDescent="0.25">
      <c r="A131" s="825" t="s">
        <v>1129</v>
      </c>
      <c r="D131" s="826">
        <v>25000</v>
      </c>
      <c r="E131" s="826">
        <v>30000</v>
      </c>
      <c r="F131" s="826">
        <v>30000</v>
      </c>
      <c r="G131" s="826">
        <v>30000</v>
      </c>
      <c r="H131" s="826">
        <v>20000</v>
      </c>
      <c r="I131" s="826">
        <f t="shared" ref="I131:M132" si="21">I72*0.25</f>
        <v>40000</v>
      </c>
      <c r="J131" s="826">
        <f t="shared" si="21"/>
        <v>45000</v>
      </c>
      <c r="K131" s="826">
        <f t="shared" si="21"/>
        <v>45000</v>
      </c>
      <c r="L131" s="826">
        <f t="shared" si="21"/>
        <v>45000</v>
      </c>
      <c r="M131" s="826">
        <f t="shared" si="21"/>
        <v>45000</v>
      </c>
    </row>
    <row r="132" spans="1:13" x14ac:dyDescent="0.25">
      <c r="A132" s="825" t="s">
        <v>1130</v>
      </c>
      <c r="D132" s="826">
        <v>56000</v>
      </c>
      <c r="E132" s="826">
        <v>60000</v>
      </c>
      <c r="F132" s="826">
        <v>65000</v>
      </c>
      <c r="G132" s="826">
        <v>65000</v>
      </c>
      <c r="H132" s="826">
        <v>55000</v>
      </c>
      <c r="I132" s="826">
        <f t="shared" si="21"/>
        <v>50000</v>
      </c>
      <c r="J132" s="826">
        <f t="shared" si="21"/>
        <v>55000</v>
      </c>
      <c r="K132" s="826">
        <f t="shared" si="21"/>
        <v>55000</v>
      </c>
      <c r="L132" s="826">
        <f t="shared" si="21"/>
        <v>55000</v>
      </c>
      <c r="M132" s="826">
        <f t="shared" si="21"/>
        <v>55000</v>
      </c>
    </row>
    <row r="133" spans="1:13" x14ac:dyDescent="0.25">
      <c r="A133" s="825" t="s">
        <v>1548</v>
      </c>
      <c r="D133" s="826"/>
      <c r="E133" s="826"/>
      <c r="F133" s="826"/>
      <c r="G133" s="826"/>
      <c r="J133" s="826"/>
      <c r="K133" s="826"/>
      <c r="L133" s="826">
        <f>L66</f>
        <v>250000</v>
      </c>
      <c r="M133" s="826"/>
    </row>
    <row r="134" spans="1:13" x14ac:dyDescent="0.25">
      <c r="A134" s="825" t="s">
        <v>1131</v>
      </c>
      <c r="D134" s="826">
        <v>0</v>
      </c>
      <c r="E134" s="826">
        <v>0</v>
      </c>
      <c r="F134" s="826">
        <v>0</v>
      </c>
      <c r="G134" s="826">
        <v>0</v>
      </c>
      <c r="H134" s="826">
        <v>0</v>
      </c>
      <c r="J134" s="826"/>
      <c r="K134" s="826"/>
      <c r="L134" s="826"/>
      <c r="M134" s="826"/>
    </row>
    <row r="135" spans="1:13" x14ac:dyDescent="0.25">
      <c r="A135" s="825" t="s">
        <v>908</v>
      </c>
      <c r="D135" s="826">
        <v>158000</v>
      </c>
      <c r="E135" s="826">
        <v>158000</v>
      </c>
      <c r="F135" s="826">
        <v>159000</v>
      </c>
      <c r="G135" s="826">
        <v>160000</v>
      </c>
      <c r="H135" s="826">
        <v>160000</v>
      </c>
      <c r="I135" s="826">
        <f>I75</f>
        <v>164000</v>
      </c>
      <c r="J135" s="826">
        <f>J75</f>
        <v>168099.99999999997</v>
      </c>
      <c r="K135" s="826">
        <f>K75</f>
        <v>172302.49999999994</v>
      </c>
      <c r="L135" s="826">
        <f>L75</f>
        <v>176610.06249999991</v>
      </c>
      <c r="M135" s="826">
        <f>M75</f>
        <v>181025.31406249991</v>
      </c>
    </row>
    <row r="136" spans="1:13" x14ac:dyDescent="0.25">
      <c r="A136" s="825" t="s">
        <v>1133</v>
      </c>
      <c r="D136" s="826">
        <v>0</v>
      </c>
      <c r="E136" s="826">
        <v>0</v>
      </c>
      <c r="F136" s="826">
        <v>0</v>
      </c>
      <c r="G136" s="826">
        <v>0</v>
      </c>
      <c r="H136" s="826">
        <v>0</v>
      </c>
      <c r="J136" s="826"/>
      <c r="K136" s="826"/>
      <c r="L136" s="826"/>
      <c r="M136" s="826"/>
    </row>
    <row r="137" spans="1:13" x14ac:dyDescent="0.25">
      <c r="A137" s="825" t="s">
        <v>1543</v>
      </c>
      <c r="D137" s="826">
        <v>0</v>
      </c>
      <c r="E137" s="826"/>
      <c r="F137" s="826"/>
      <c r="G137" s="826"/>
      <c r="J137" s="826"/>
      <c r="K137" s="826"/>
      <c r="L137" s="826"/>
      <c r="M137" s="826"/>
    </row>
    <row r="138" spans="1:13" x14ac:dyDescent="0.25">
      <c r="A138" s="825" t="s">
        <v>1137</v>
      </c>
      <c r="D138" s="826">
        <v>0</v>
      </c>
      <c r="E138" s="826">
        <v>0</v>
      </c>
      <c r="F138" s="826">
        <v>0</v>
      </c>
      <c r="G138" s="826">
        <v>0</v>
      </c>
      <c r="H138" s="826">
        <v>0</v>
      </c>
      <c r="J138" s="826"/>
      <c r="K138" s="826"/>
      <c r="L138" s="826"/>
      <c r="M138" s="826"/>
    </row>
    <row r="139" spans="1:13" x14ac:dyDescent="0.25">
      <c r="A139" s="825" t="s">
        <v>1544</v>
      </c>
      <c r="D139" s="826">
        <v>125000</v>
      </c>
      <c r="E139" s="826">
        <v>125000</v>
      </c>
      <c r="F139" s="826">
        <v>125000</v>
      </c>
      <c r="G139" s="826">
        <v>125000</v>
      </c>
      <c r="H139" s="826">
        <v>250000</v>
      </c>
      <c r="I139" s="826">
        <f>I80/2</f>
        <v>250000</v>
      </c>
      <c r="J139" s="826">
        <f>J80/2</f>
        <v>250000</v>
      </c>
      <c r="K139" s="826">
        <f>K80/2</f>
        <v>250000</v>
      </c>
      <c r="L139" s="826">
        <f>L80/2</f>
        <v>250000</v>
      </c>
      <c r="M139" s="826">
        <f>M80/2</f>
        <v>250000</v>
      </c>
    </row>
    <row r="140" spans="1:13" x14ac:dyDescent="0.25">
      <c r="A140" s="825" t="s">
        <v>1140</v>
      </c>
      <c r="D140" s="826">
        <v>0</v>
      </c>
      <c r="E140" s="826">
        <v>0</v>
      </c>
      <c r="F140" s="826">
        <v>0</v>
      </c>
      <c r="G140" s="826">
        <v>0</v>
      </c>
      <c r="H140" s="826">
        <v>0</v>
      </c>
      <c r="J140" s="826"/>
      <c r="K140" s="826"/>
      <c r="L140" s="826"/>
      <c r="M140" s="826"/>
    </row>
    <row r="141" spans="1:13" x14ac:dyDescent="0.25">
      <c r="A141" s="825" t="s">
        <v>1141</v>
      </c>
      <c r="D141" s="826">
        <v>0</v>
      </c>
      <c r="E141" s="826">
        <v>0</v>
      </c>
      <c r="F141" s="826">
        <v>0</v>
      </c>
      <c r="G141" s="826">
        <v>0</v>
      </c>
      <c r="H141" s="826">
        <v>0</v>
      </c>
      <c r="J141" s="826"/>
      <c r="K141" s="826"/>
      <c r="L141" s="826"/>
      <c r="M141" s="826"/>
    </row>
    <row r="142" spans="1:13" x14ac:dyDescent="0.25">
      <c r="D142" s="826"/>
      <c r="E142" s="826"/>
      <c r="F142" s="826"/>
      <c r="G142" s="826"/>
      <c r="J142" s="826"/>
      <c r="K142" s="826"/>
      <c r="L142" s="826"/>
      <c r="M142" s="826"/>
    </row>
    <row r="143" spans="1:13" x14ac:dyDescent="0.25">
      <c r="D143" s="826">
        <f t="shared" ref="D143:M143" si="22">SUM(D119:D142)</f>
        <v>1940985</v>
      </c>
      <c r="E143" s="826">
        <f t="shared" si="22"/>
        <v>3204024.5</v>
      </c>
      <c r="F143" s="826">
        <f t="shared" si="22"/>
        <v>1964145</v>
      </c>
      <c r="G143" s="826">
        <f t="shared" si="22"/>
        <v>1969348</v>
      </c>
      <c r="H143" s="826">
        <f t="shared" si="22"/>
        <v>1954706.5</v>
      </c>
      <c r="I143" s="826">
        <f t="shared" si="22"/>
        <v>1979199.1625000001</v>
      </c>
      <c r="J143" s="826">
        <f t="shared" si="22"/>
        <v>1998929.1415625</v>
      </c>
      <c r="K143" s="826">
        <f t="shared" si="22"/>
        <v>2008902.3701015625</v>
      </c>
      <c r="L143" s="826">
        <f t="shared" si="22"/>
        <v>2269124.9293541014</v>
      </c>
      <c r="M143" s="826">
        <f t="shared" si="22"/>
        <v>2029603.0525879539</v>
      </c>
    </row>
    <row r="145" spans="1:13" x14ac:dyDescent="0.25">
      <c r="A145" s="825" t="s">
        <v>1549</v>
      </c>
      <c r="D145" s="826">
        <f t="shared" ref="D145:M145" si="23">D113+D143</f>
        <v>8490576</v>
      </c>
      <c r="E145" s="826">
        <f t="shared" si="23"/>
        <v>14006907</v>
      </c>
      <c r="F145" s="826">
        <f t="shared" si="23"/>
        <v>8474521</v>
      </c>
      <c r="G145" s="826">
        <f t="shared" si="23"/>
        <v>8623936</v>
      </c>
      <c r="H145" s="826">
        <f t="shared" si="23"/>
        <v>8824653</v>
      </c>
      <c r="I145" s="826">
        <f t="shared" si="23"/>
        <v>8943038.3249999993</v>
      </c>
      <c r="J145" s="826">
        <f t="shared" si="23"/>
        <v>9139966.2831250001</v>
      </c>
      <c r="K145" s="826">
        <f t="shared" si="23"/>
        <v>9363449.6002031248</v>
      </c>
      <c r="L145" s="826">
        <f t="shared" si="23"/>
        <v>9773501.3034082018</v>
      </c>
      <c r="M145" s="826">
        <f t="shared" si="23"/>
        <v>9729134.728457408</v>
      </c>
    </row>
    <row r="146" spans="1:13" x14ac:dyDescent="0.25">
      <c r="A146" s="1483" t="s">
        <v>1562</v>
      </c>
      <c r="B146" s="1483"/>
      <c r="C146" s="1483"/>
      <c r="D146" s="1486">
        <f>D145-D83</f>
        <v>300000</v>
      </c>
      <c r="E146" s="1486">
        <f t="shared" ref="E146:M146" si="24">E145-E83</f>
        <v>0</v>
      </c>
      <c r="F146" s="1486">
        <f t="shared" si="24"/>
        <v>300000</v>
      </c>
      <c r="G146" s="1486">
        <f t="shared" si="24"/>
        <v>400000</v>
      </c>
      <c r="H146" s="1486">
        <f t="shared" si="24"/>
        <v>330000</v>
      </c>
      <c r="I146" s="1486">
        <f t="shared" si="24"/>
        <v>357000</v>
      </c>
      <c r="J146" s="1486">
        <f t="shared" si="24"/>
        <v>364140</v>
      </c>
      <c r="K146" s="1486">
        <f t="shared" si="24"/>
        <v>391422.79999999888</v>
      </c>
      <c r="L146" s="1486">
        <f t="shared" si="24"/>
        <v>378851.25599999912</v>
      </c>
      <c r="M146" s="1486">
        <f t="shared" si="24"/>
        <v>196428.28112000041</v>
      </c>
    </row>
    <row r="147" spans="1:13" x14ac:dyDescent="0.25">
      <c r="D147" s="826"/>
      <c r="E147" s="826"/>
      <c r="F147" s="826"/>
      <c r="G147" s="826"/>
    </row>
    <row r="148" spans="1:13" x14ac:dyDescent="0.25">
      <c r="A148" s="825" t="s">
        <v>1550</v>
      </c>
      <c r="D148" s="1480">
        <f t="shared" ref="D148:M148" si="25">D113/D35*-1</f>
        <v>1.1164678207062313</v>
      </c>
      <c r="E148" s="1480">
        <f t="shared" si="25"/>
        <v>1.796740277187167</v>
      </c>
      <c r="F148" s="1480">
        <f t="shared" si="25"/>
        <v>1.0564904385150193</v>
      </c>
      <c r="G148" s="1480">
        <f t="shared" si="25"/>
        <v>1.0536446154304353</v>
      </c>
      <c r="H148" s="1480">
        <f t="shared" si="25"/>
        <v>1.0612127742830066</v>
      </c>
      <c r="I148" s="1480">
        <f t="shared" si="25"/>
        <v>1.0494795509826609</v>
      </c>
      <c r="J148" s="1480">
        <f t="shared" si="25"/>
        <v>1.0499356332393059</v>
      </c>
      <c r="K148" s="1480">
        <f t="shared" si="25"/>
        <v>1.0549538448225879</v>
      </c>
      <c r="L148" s="1480">
        <f t="shared" si="25"/>
        <v>1.0501909225199286</v>
      </c>
      <c r="M148" s="1480">
        <f t="shared" si="25"/>
        <v>1.0512211672436127</v>
      </c>
    </row>
    <row r="149" spans="1:13" x14ac:dyDescent="0.25">
      <c r="D149" s="826"/>
      <c r="E149" s="826"/>
      <c r="F149" s="826"/>
      <c r="G149" s="826"/>
    </row>
    <row r="150" spans="1:13" x14ac:dyDescent="0.25">
      <c r="A150" s="825" t="s">
        <v>1551</v>
      </c>
      <c r="D150" s="826"/>
      <c r="E150" s="826"/>
      <c r="F150" s="826"/>
      <c r="G150" s="826"/>
    </row>
    <row r="151" spans="1:13" x14ac:dyDescent="0.25">
      <c r="A151" s="825" t="s">
        <v>1134</v>
      </c>
      <c r="D151" s="826">
        <v>743672</v>
      </c>
      <c r="E151" s="826">
        <v>762263.79999999993</v>
      </c>
      <c r="F151" s="826">
        <v>781320.3949999999</v>
      </c>
      <c r="G151" s="826">
        <v>800853.40487499977</v>
      </c>
      <c r="H151" s="826">
        <v>820874</v>
      </c>
      <c r="I151" s="826">
        <v>841395</v>
      </c>
      <c r="J151" s="826">
        <v>841395</v>
      </c>
      <c r="K151" s="826">
        <v>841395</v>
      </c>
      <c r="L151" s="826">
        <v>841395</v>
      </c>
      <c r="M151" s="826">
        <v>841395</v>
      </c>
    </row>
    <row r="152" spans="1:13" x14ac:dyDescent="0.25">
      <c r="A152" s="825" t="s">
        <v>1157</v>
      </c>
      <c r="D152" s="826"/>
      <c r="E152" s="826"/>
      <c r="F152" s="826"/>
      <c r="G152" s="826"/>
    </row>
    <row r="153" spans="1:13" x14ac:dyDescent="0.25">
      <c r="A153" s="825" t="s">
        <v>1136</v>
      </c>
      <c r="D153" s="826">
        <v>25000</v>
      </c>
      <c r="E153" s="826">
        <v>25000</v>
      </c>
      <c r="F153" s="826">
        <v>25000</v>
      </c>
      <c r="G153" s="826">
        <v>25000</v>
      </c>
      <c r="H153" s="826">
        <v>25000</v>
      </c>
      <c r="I153" s="826">
        <v>25000</v>
      </c>
      <c r="J153" s="826">
        <v>25000</v>
      </c>
      <c r="K153" s="826">
        <v>25000</v>
      </c>
      <c r="L153" s="826">
        <v>25000</v>
      </c>
      <c r="M153" s="826">
        <v>25000</v>
      </c>
    </row>
    <row r="154" spans="1:13" x14ac:dyDescent="0.25">
      <c r="A154" s="825" t="s">
        <v>1138</v>
      </c>
      <c r="D154" s="826">
        <v>100000</v>
      </c>
      <c r="E154" s="826">
        <v>90000</v>
      </c>
      <c r="F154" s="826">
        <v>90000</v>
      </c>
      <c r="G154" s="826">
        <v>90000</v>
      </c>
      <c r="H154" s="826">
        <v>90000</v>
      </c>
      <c r="I154" s="826">
        <v>90000</v>
      </c>
      <c r="J154" s="826">
        <v>90000</v>
      </c>
      <c r="K154" s="826">
        <v>90000</v>
      </c>
      <c r="L154" s="826">
        <v>90000</v>
      </c>
      <c r="M154" s="826">
        <v>90000</v>
      </c>
    </row>
    <row r="155" spans="1:13" x14ac:dyDescent="0.25">
      <c r="A155" s="825" t="s">
        <v>1139</v>
      </c>
      <c r="D155" s="826">
        <v>75000</v>
      </c>
      <c r="E155" s="826">
        <v>75000</v>
      </c>
      <c r="F155" s="826">
        <v>75000</v>
      </c>
      <c r="G155" s="826">
        <v>80000</v>
      </c>
      <c r="H155" s="826">
        <v>80000</v>
      </c>
      <c r="I155" s="826">
        <v>80000</v>
      </c>
      <c r="J155" s="826">
        <v>80000</v>
      </c>
      <c r="K155" s="826">
        <v>80000</v>
      </c>
      <c r="L155" s="826">
        <v>80000</v>
      </c>
      <c r="M155" s="826">
        <v>80000</v>
      </c>
    </row>
    <row r="156" spans="1:13" x14ac:dyDescent="0.25">
      <c r="A156" s="825" t="s">
        <v>1152</v>
      </c>
      <c r="D156" s="826"/>
      <c r="E156" s="826">
        <v>100000</v>
      </c>
      <c r="F156" s="826">
        <v>100000</v>
      </c>
      <c r="G156" s="826">
        <v>100000</v>
      </c>
      <c r="H156" s="826">
        <v>100000</v>
      </c>
      <c r="I156" s="826">
        <v>100000</v>
      </c>
      <c r="J156" s="826">
        <v>100000</v>
      </c>
      <c r="K156" s="826">
        <v>100000</v>
      </c>
      <c r="L156" s="826">
        <v>100000</v>
      </c>
      <c r="M156" s="826">
        <v>100000</v>
      </c>
    </row>
    <row r="157" spans="1:13" x14ac:dyDescent="0.25">
      <c r="A157" s="825" t="s">
        <v>1158</v>
      </c>
      <c r="D157" s="826"/>
      <c r="E157" s="826"/>
      <c r="F157" s="826"/>
      <c r="G157" s="826"/>
      <c r="J157" s="826"/>
      <c r="K157" s="826"/>
      <c r="L157" s="826"/>
      <c r="M157" s="826"/>
    </row>
    <row r="158" spans="1:13" x14ac:dyDescent="0.25">
      <c r="A158" s="825" t="s">
        <v>1142</v>
      </c>
      <c r="D158" s="826">
        <v>200000</v>
      </c>
      <c r="E158" s="826">
        <v>250000</v>
      </c>
      <c r="F158" s="826">
        <v>250000</v>
      </c>
      <c r="G158" s="826">
        <v>250000</v>
      </c>
      <c r="H158" s="826">
        <v>250000</v>
      </c>
      <c r="I158" s="826">
        <v>250000</v>
      </c>
      <c r="J158" s="826">
        <v>250000</v>
      </c>
      <c r="K158" s="826">
        <v>250000</v>
      </c>
      <c r="L158" s="826">
        <v>250000</v>
      </c>
      <c r="M158" s="826">
        <v>250000</v>
      </c>
    </row>
    <row r="159" spans="1:13" x14ac:dyDescent="0.25">
      <c r="A159" s="825" t="s">
        <v>1153</v>
      </c>
      <c r="D159" s="826">
        <v>25000</v>
      </c>
      <c r="E159" s="826">
        <v>25000</v>
      </c>
      <c r="F159" s="826">
        <v>25000</v>
      </c>
      <c r="G159" s="826">
        <v>25000</v>
      </c>
      <c r="H159" s="826">
        <v>25000</v>
      </c>
      <c r="I159" s="826">
        <v>25000</v>
      </c>
      <c r="J159" s="826">
        <v>25000</v>
      </c>
      <c r="K159" s="826">
        <v>25000</v>
      </c>
      <c r="L159" s="826">
        <v>25000</v>
      </c>
      <c r="M159" s="826">
        <v>25000</v>
      </c>
    </row>
    <row r="160" spans="1:13" x14ac:dyDescent="0.25">
      <c r="A160" s="825" t="s">
        <v>1154</v>
      </c>
      <c r="D160" s="826">
        <v>40000</v>
      </c>
      <c r="E160" s="826">
        <v>40000</v>
      </c>
      <c r="F160" s="826">
        <v>40000</v>
      </c>
      <c r="G160" s="826">
        <v>40000</v>
      </c>
      <c r="H160" s="826">
        <v>40000</v>
      </c>
      <c r="I160" s="826">
        <v>40000</v>
      </c>
      <c r="J160" s="826">
        <v>40000</v>
      </c>
      <c r="K160" s="826">
        <v>40000</v>
      </c>
      <c r="L160" s="826">
        <v>40000</v>
      </c>
      <c r="M160" s="826">
        <v>40000</v>
      </c>
    </row>
    <row r="161" spans="1:13" x14ac:dyDescent="0.25">
      <c r="A161" s="825" t="s">
        <v>1143</v>
      </c>
      <c r="D161" s="826">
        <v>141000</v>
      </c>
      <c r="E161" s="826">
        <v>134424</v>
      </c>
      <c r="F161" s="826">
        <v>153581</v>
      </c>
      <c r="G161" s="826">
        <v>145996</v>
      </c>
      <c r="H161" s="826">
        <v>145996</v>
      </c>
      <c r="I161" s="826">
        <v>150000</v>
      </c>
      <c r="J161" s="826">
        <v>150000</v>
      </c>
      <c r="K161" s="826">
        <v>150000</v>
      </c>
      <c r="L161" s="826">
        <v>150000</v>
      </c>
      <c r="M161" s="826">
        <v>150000</v>
      </c>
    </row>
    <row r="162" spans="1:13" x14ac:dyDescent="0.25">
      <c r="A162" s="825" t="s">
        <v>1155</v>
      </c>
      <c r="D162" s="826"/>
      <c r="E162" s="826" t="s">
        <v>516</v>
      </c>
      <c r="F162" s="826">
        <v>350000</v>
      </c>
      <c r="G162" s="826">
        <v>350000</v>
      </c>
      <c r="H162" s="826">
        <v>350000</v>
      </c>
      <c r="I162" s="826">
        <v>350000</v>
      </c>
      <c r="J162" s="826">
        <v>350000</v>
      </c>
      <c r="K162" s="826">
        <v>500000</v>
      </c>
      <c r="L162" s="826">
        <v>350000</v>
      </c>
      <c r="M162" s="826">
        <v>350000</v>
      </c>
    </row>
    <row r="163" spans="1:13" x14ac:dyDescent="0.25">
      <c r="A163" s="825" t="s">
        <v>1146</v>
      </c>
      <c r="D163" s="826"/>
      <c r="E163" s="826">
        <v>124000</v>
      </c>
      <c r="F163" s="826">
        <v>100000</v>
      </c>
      <c r="G163" s="826">
        <v>100000</v>
      </c>
      <c r="H163" s="826">
        <v>0</v>
      </c>
      <c r="J163" s="826"/>
      <c r="K163" s="826">
        <v>150000</v>
      </c>
      <c r="L163" s="826">
        <v>190000</v>
      </c>
      <c r="M163" s="826">
        <v>230000</v>
      </c>
    </row>
    <row r="164" spans="1:13" x14ac:dyDescent="0.25">
      <c r="A164" s="825" t="s">
        <v>1552</v>
      </c>
      <c r="D164" s="826">
        <v>500000</v>
      </c>
      <c r="E164" s="826">
        <v>500000</v>
      </c>
      <c r="F164" s="826">
        <v>500000</v>
      </c>
      <c r="G164" s="826">
        <v>500000</v>
      </c>
      <c r="H164" s="826">
        <v>500000</v>
      </c>
      <c r="I164" s="826">
        <v>500000</v>
      </c>
      <c r="J164" s="826">
        <v>500000</v>
      </c>
      <c r="K164" s="826">
        <v>500000</v>
      </c>
      <c r="L164" s="826">
        <v>500000</v>
      </c>
      <c r="M164" s="826">
        <v>500000</v>
      </c>
    </row>
    <row r="165" spans="1:13" x14ac:dyDescent="0.25">
      <c r="A165" s="825" t="s">
        <v>1553</v>
      </c>
      <c r="D165" s="826">
        <v>250000</v>
      </c>
      <c r="E165" s="826">
        <v>250000</v>
      </c>
      <c r="F165" s="826">
        <v>250000</v>
      </c>
      <c r="G165" s="826">
        <v>250000</v>
      </c>
      <c r="H165" s="826">
        <v>250000</v>
      </c>
      <c r="I165" s="826">
        <v>250000</v>
      </c>
      <c r="J165" s="826">
        <v>250000</v>
      </c>
      <c r="K165" s="826">
        <v>250000</v>
      </c>
      <c r="L165" s="826">
        <v>250000</v>
      </c>
      <c r="M165" s="826">
        <v>250000</v>
      </c>
    </row>
    <row r="166" spans="1:13" x14ac:dyDescent="0.25">
      <c r="A166" s="825" t="s">
        <v>1145</v>
      </c>
      <c r="D166" s="826">
        <v>400000</v>
      </c>
      <c r="E166" s="826">
        <v>500000</v>
      </c>
      <c r="F166" s="826">
        <v>500000</v>
      </c>
      <c r="G166" s="826">
        <v>500000</v>
      </c>
      <c r="H166" s="826">
        <v>400000</v>
      </c>
      <c r="I166" s="826">
        <v>450000</v>
      </c>
      <c r="J166" s="826">
        <v>450000</v>
      </c>
      <c r="K166" s="826">
        <v>450000</v>
      </c>
      <c r="L166" s="826">
        <v>450000</v>
      </c>
      <c r="M166" s="826">
        <v>450000</v>
      </c>
    </row>
    <row r="167" spans="1:13" x14ac:dyDescent="0.25">
      <c r="A167" s="825" t="s">
        <v>1147</v>
      </c>
      <c r="D167" s="826">
        <v>153746</v>
      </c>
      <c r="E167" s="826">
        <v>150000</v>
      </c>
      <c r="F167" s="826">
        <v>180000</v>
      </c>
      <c r="G167" s="826">
        <v>150000</v>
      </c>
      <c r="H167" s="826">
        <v>150000</v>
      </c>
      <c r="I167" s="826">
        <v>150000</v>
      </c>
      <c r="J167" s="826">
        <v>150000</v>
      </c>
      <c r="K167" s="826">
        <v>150000</v>
      </c>
      <c r="L167" s="826">
        <v>150000</v>
      </c>
      <c r="M167" s="826">
        <v>200000</v>
      </c>
    </row>
    <row r="168" spans="1:13" x14ac:dyDescent="0.25">
      <c r="A168" s="825" t="s">
        <v>1554</v>
      </c>
      <c r="D168" s="826">
        <v>65000</v>
      </c>
      <c r="E168" s="826">
        <v>65000</v>
      </c>
      <c r="F168" s="826">
        <v>65000</v>
      </c>
      <c r="G168" s="826">
        <v>65000</v>
      </c>
      <c r="H168" s="826">
        <v>65000</v>
      </c>
      <c r="I168" s="826">
        <v>65000</v>
      </c>
      <c r="J168" s="826">
        <v>65000</v>
      </c>
      <c r="K168" s="826">
        <v>65000</v>
      </c>
      <c r="L168" s="826">
        <v>65000</v>
      </c>
      <c r="M168" s="826">
        <v>65000</v>
      </c>
    </row>
    <row r="169" spans="1:13" x14ac:dyDescent="0.25">
      <c r="A169" s="825" t="s">
        <v>1148</v>
      </c>
      <c r="D169" s="826">
        <v>250000</v>
      </c>
      <c r="E169" s="826">
        <v>250000</v>
      </c>
      <c r="F169" s="826">
        <v>250000</v>
      </c>
      <c r="G169" s="826">
        <v>250000</v>
      </c>
      <c r="H169" s="826">
        <v>250000</v>
      </c>
      <c r="I169" s="826">
        <f>H169*1.025</f>
        <v>256249.99999999997</v>
      </c>
      <c r="J169" s="826">
        <f>I169*1.025</f>
        <v>262656.24999999994</v>
      </c>
      <c r="K169" s="826">
        <f>J169*1.025</f>
        <v>269222.65624999994</v>
      </c>
      <c r="L169" s="826">
        <f>K169*1.025</f>
        <v>275953.22265624994</v>
      </c>
      <c r="M169" s="826">
        <f>L169*1.025</f>
        <v>282852.05322265619</v>
      </c>
    </row>
    <row r="170" spans="1:13" x14ac:dyDescent="0.25">
      <c r="A170" s="825" t="s">
        <v>516</v>
      </c>
      <c r="D170" s="825" t="s">
        <v>516</v>
      </c>
      <c r="E170" s="825" t="s">
        <v>516</v>
      </c>
      <c r="F170" s="825" t="s">
        <v>516</v>
      </c>
    </row>
    <row r="171" spans="1:13" x14ac:dyDescent="0.25">
      <c r="D171" s="826">
        <f t="shared" ref="D171:M171" si="26">SUM(D151:D170)</f>
        <v>2968418</v>
      </c>
      <c r="E171" s="826">
        <f t="shared" si="26"/>
        <v>3340687.8</v>
      </c>
      <c r="F171" s="826">
        <f t="shared" si="26"/>
        <v>3734901.395</v>
      </c>
      <c r="G171" s="826">
        <f t="shared" si="26"/>
        <v>3721849.404875</v>
      </c>
      <c r="H171" s="826">
        <f t="shared" si="26"/>
        <v>3541870</v>
      </c>
      <c r="I171" s="826">
        <f t="shared" si="26"/>
        <v>3622645</v>
      </c>
      <c r="J171" s="826">
        <f t="shared" si="26"/>
        <v>3629051.25</v>
      </c>
      <c r="K171" s="826">
        <f t="shared" si="26"/>
        <v>3935617.65625</v>
      </c>
      <c r="L171" s="826">
        <f t="shared" si="26"/>
        <v>3832348.22265625</v>
      </c>
      <c r="M171" s="826">
        <f t="shared" si="26"/>
        <v>3929247.0532226563</v>
      </c>
    </row>
    <row r="173" spans="1:13" x14ac:dyDescent="0.25">
      <c r="D173" s="826">
        <f t="shared" ref="D173:M173" si="27">D171+D83</f>
        <v>11158994</v>
      </c>
      <c r="E173" s="826">
        <f t="shared" si="27"/>
        <v>17347594.800000001</v>
      </c>
      <c r="F173" s="826">
        <f t="shared" si="27"/>
        <v>11909422.395</v>
      </c>
      <c r="G173" s="826">
        <f t="shared" si="27"/>
        <v>11945785.404874999</v>
      </c>
      <c r="H173" s="826">
        <f t="shared" si="27"/>
        <v>12036523</v>
      </c>
      <c r="I173" s="826">
        <f t="shared" si="27"/>
        <v>12208683.324999999</v>
      </c>
      <c r="J173" s="826">
        <f t="shared" si="27"/>
        <v>12404877.533125</v>
      </c>
      <c r="K173" s="826">
        <f t="shared" si="27"/>
        <v>12907644.456453126</v>
      </c>
      <c r="L173" s="826">
        <f t="shared" si="27"/>
        <v>13226998.270064453</v>
      </c>
      <c r="M173" s="826">
        <f t="shared" si="27"/>
        <v>13461953.500560064</v>
      </c>
    </row>
    <row r="174" spans="1:13" x14ac:dyDescent="0.25">
      <c r="A174" s="1481" t="s">
        <v>1555</v>
      </c>
      <c r="B174" s="1481"/>
      <c r="C174" s="1481"/>
      <c r="D174" s="1482">
        <f>D173-D19</f>
        <v>0</v>
      </c>
      <c r="E174" s="1482">
        <f t="shared" ref="E174:G174" si="28">E173-E19</f>
        <v>0</v>
      </c>
      <c r="F174" s="1482">
        <f t="shared" si="28"/>
        <v>0</v>
      </c>
      <c r="G174" s="1482">
        <f t="shared" si="28"/>
        <v>0</v>
      </c>
    </row>
    <row r="175" spans="1:13" x14ac:dyDescent="0.25">
      <c r="I175" s="826">
        <v>12209</v>
      </c>
      <c r="J175" s="825">
        <v>12405</v>
      </c>
      <c r="K175" s="825">
        <v>12907000</v>
      </c>
      <c r="L175" s="825">
        <v>13228000</v>
      </c>
      <c r="M175" s="825">
        <v>13462000</v>
      </c>
    </row>
    <row r="178" spans="1:13" x14ac:dyDescent="0.25">
      <c r="A178" s="890" t="s">
        <v>1557</v>
      </c>
    </row>
    <row r="179" spans="1:13" x14ac:dyDescent="0.25">
      <c r="A179" s="825" t="s">
        <v>615</v>
      </c>
      <c r="D179" s="826">
        <f>D113</f>
        <v>6549591</v>
      </c>
      <c r="E179" s="826">
        <f t="shared" ref="E179:L179" si="29">E113</f>
        <v>10802882.5</v>
      </c>
      <c r="F179" s="826">
        <f t="shared" si="29"/>
        <v>6510376</v>
      </c>
      <c r="G179" s="826">
        <f t="shared" si="29"/>
        <v>6654588</v>
      </c>
      <c r="H179" s="826">
        <f t="shared" si="29"/>
        <v>6869946.5</v>
      </c>
      <c r="I179" s="826">
        <f t="shared" si="29"/>
        <v>6963839.1624999996</v>
      </c>
      <c r="J179" s="826">
        <f t="shared" si="29"/>
        <v>7141037.1415625</v>
      </c>
      <c r="K179" s="826">
        <f t="shared" si="29"/>
        <v>7354547.230101563</v>
      </c>
      <c r="L179" s="826">
        <f t="shared" si="29"/>
        <v>7504376.3740541013</v>
      </c>
      <c r="M179" s="826">
        <f t="shared" ref="M179" si="30">M113</f>
        <v>7699531.6758694546</v>
      </c>
    </row>
    <row r="180" spans="1:13" x14ac:dyDescent="0.25">
      <c r="A180" s="825" t="s">
        <v>335</v>
      </c>
      <c r="D180" s="826">
        <f>D151+D158+D161+D169+D155+(D166+D167)/2</f>
        <v>1686545</v>
      </c>
      <c r="E180" s="826">
        <f t="shared" ref="E180:M180" si="31">E151+E158+E161+E169+E155+(E166+E167)/2</f>
        <v>1796687.7999999998</v>
      </c>
      <c r="F180" s="826">
        <f t="shared" si="31"/>
        <v>1849901.395</v>
      </c>
      <c r="G180" s="826">
        <f t="shared" si="31"/>
        <v>1851849.4048749998</v>
      </c>
      <c r="H180" s="826">
        <f t="shared" si="31"/>
        <v>1821870</v>
      </c>
      <c r="I180" s="826">
        <f t="shared" si="31"/>
        <v>1877645</v>
      </c>
      <c r="J180" s="826">
        <f t="shared" si="31"/>
        <v>1884051.25</v>
      </c>
      <c r="K180" s="826">
        <f t="shared" si="31"/>
        <v>1890617.65625</v>
      </c>
      <c r="L180" s="826">
        <f t="shared" si="31"/>
        <v>1897348.22265625</v>
      </c>
      <c r="M180" s="826">
        <f t="shared" si="31"/>
        <v>1929247.0532226563</v>
      </c>
    </row>
    <row r="181" spans="1:13" x14ac:dyDescent="0.25">
      <c r="A181" s="825" t="s">
        <v>1558</v>
      </c>
      <c r="D181" s="1485">
        <f>SUM(D179:D180)</f>
        <v>8236136</v>
      </c>
      <c r="E181" s="1485">
        <f t="shared" ref="E181:M181" si="32">SUM(E179:E180)</f>
        <v>12599570.300000001</v>
      </c>
      <c r="F181" s="1485">
        <f t="shared" si="32"/>
        <v>8360277.3949999996</v>
      </c>
      <c r="G181" s="1485">
        <f t="shared" si="32"/>
        <v>8506437.4048749991</v>
      </c>
      <c r="H181" s="1485">
        <f t="shared" si="32"/>
        <v>8691816.5</v>
      </c>
      <c r="I181" s="1485">
        <f t="shared" si="32"/>
        <v>8841484.1624999996</v>
      </c>
      <c r="J181" s="1485">
        <f t="shared" si="32"/>
        <v>9025088.3915624991</v>
      </c>
      <c r="K181" s="1485">
        <f t="shared" si="32"/>
        <v>9245164.886351563</v>
      </c>
      <c r="L181" s="1485">
        <f t="shared" si="32"/>
        <v>9401724.5967103504</v>
      </c>
      <c r="M181" s="1485">
        <f t="shared" si="32"/>
        <v>9628778.7290921099</v>
      </c>
    </row>
    <row r="182" spans="1:13" x14ac:dyDescent="0.25">
      <c r="H182" s="825"/>
      <c r="I182" s="825"/>
    </row>
    <row r="183" spans="1:13" x14ac:dyDescent="0.25">
      <c r="A183" s="890" t="s">
        <v>1559</v>
      </c>
      <c r="H183" s="825"/>
      <c r="I183" s="825"/>
    </row>
    <row r="184" spans="1:13" x14ac:dyDescent="0.25">
      <c r="A184" s="825" t="s">
        <v>625</v>
      </c>
      <c r="D184" s="826">
        <f>D143</f>
        <v>1940985</v>
      </c>
      <c r="E184" s="826">
        <f t="shared" ref="E184:L184" si="33">E143</f>
        <v>3204024.5</v>
      </c>
      <c r="F184" s="826">
        <f t="shared" si="33"/>
        <v>1964145</v>
      </c>
      <c r="G184" s="826">
        <f t="shared" si="33"/>
        <v>1969348</v>
      </c>
      <c r="H184" s="826">
        <f t="shared" si="33"/>
        <v>1954706.5</v>
      </c>
      <c r="I184" s="826">
        <f t="shared" si="33"/>
        <v>1979199.1625000001</v>
      </c>
      <c r="J184" s="826">
        <f t="shared" si="33"/>
        <v>1998929.1415625</v>
      </c>
      <c r="K184" s="826">
        <f t="shared" si="33"/>
        <v>2008902.3701015625</v>
      </c>
      <c r="L184" s="826">
        <f t="shared" si="33"/>
        <v>2269124.9293541014</v>
      </c>
      <c r="M184" s="826">
        <f t="shared" ref="M184" si="34">M143</f>
        <v>2029603.0525879539</v>
      </c>
    </row>
    <row r="185" spans="1:13" x14ac:dyDescent="0.25">
      <c r="A185" s="825" t="s">
        <v>1560</v>
      </c>
      <c r="D185" s="826">
        <f>D171-D180</f>
        <v>1281873</v>
      </c>
      <c r="E185" s="826">
        <f t="shared" ref="E185:L185" si="35">E171-E180</f>
        <v>1544000</v>
      </c>
      <c r="F185" s="826">
        <f t="shared" si="35"/>
        <v>1885000</v>
      </c>
      <c r="G185" s="826">
        <f t="shared" si="35"/>
        <v>1870000.0000000002</v>
      </c>
      <c r="H185" s="826">
        <f t="shared" si="35"/>
        <v>1720000</v>
      </c>
      <c r="I185" s="826">
        <f t="shared" si="35"/>
        <v>1745000</v>
      </c>
      <c r="J185" s="826">
        <f t="shared" si="35"/>
        <v>1745000</v>
      </c>
      <c r="K185" s="826">
        <f t="shared" si="35"/>
        <v>2045000</v>
      </c>
      <c r="L185" s="826">
        <f t="shared" si="35"/>
        <v>1935000</v>
      </c>
      <c r="M185" s="826">
        <f t="shared" ref="M185" si="36">M171-M180</f>
        <v>2000000</v>
      </c>
    </row>
    <row r="186" spans="1:13" x14ac:dyDescent="0.25">
      <c r="D186" s="1485">
        <f>SUM(D184:D185)</f>
        <v>3222858</v>
      </c>
      <c r="E186" s="1485">
        <f t="shared" ref="E186:M186" si="37">SUM(E184:E185)</f>
        <v>4748024.5</v>
      </c>
      <c r="F186" s="1485">
        <f t="shared" si="37"/>
        <v>3849145</v>
      </c>
      <c r="G186" s="1485">
        <f t="shared" si="37"/>
        <v>3839348</v>
      </c>
      <c r="H186" s="1485">
        <f t="shared" si="37"/>
        <v>3674706.5</v>
      </c>
      <c r="I186" s="1485">
        <f t="shared" si="37"/>
        <v>3724199.1625000001</v>
      </c>
      <c r="J186" s="1485">
        <f t="shared" si="37"/>
        <v>3743929.1415625</v>
      </c>
      <c r="K186" s="1485">
        <f t="shared" si="37"/>
        <v>4053902.3701015627</v>
      </c>
      <c r="L186" s="1485">
        <f t="shared" si="37"/>
        <v>4204124.9293541014</v>
      </c>
      <c r="M186" s="1485">
        <f t="shared" si="37"/>
        <v>4029603.0525879539</v>
      </c>
    </row>
    <row r="187" spans="1:13" x14ac:dyDescent="0.25">
      <c r="H187" s="825"/>
      <c r="I187" s="825"/>
    </row>
    <row r="188" spans="1:13" ht="14.4" thickBot="1" x14ac:dyDescent="0.3">
      <c r="A188" s="890" t="s">
        <v>1561</v>
      </c>
      <c r="D188" s="892">
        <f>D181+D186</f>
        <v>11458994</v>
      </c>
      <c r="E188" s="892">
        <f t="shared" ref="E188:L188" si="38">E181+E186</f>
        <v>17347594.800000001</v>
      </c>
      <c r="F188" s="892">
        <f t="shared" si="38"/>
        <v>12209422.395</v>
      </c>
      <c r="G188" s="892">
        <f t="shared" si="38"/>
        <v>12345785.404874999</v>
      </c>
      <c r="H188" s="892">
        <f t="shared" si="38"/>
        <v>12366523</v>
      </c>
      <c r="I188" s="892">
        <f t="shared" si="38"/>
        <v>12565683.324999999</v>
      </c>
      <c r="J188" s="892">
        <f t="shared" si="38"/>
        <v>12769017.533124998</v>
      </c>
      <c r="K188" s="892">
        <f t="shared" si="38"/>
        <v>13299067.256453127</v>
      </c>
      <c r="L188" s="892">
        <f t="shared" si="38"/>
        <v>13605849.526064452</v>
      </c>
      <c r="M188" s="892">
        <f t="shared" ref="M188" si="39">M181+M186</f>
        <v>13658381.781680064</v>
      </c>
    </row>
    <row r="189" spans="1:13" x14ac:dyDescent="0.25">
      <c r="D189" s="826">
        <f>D188-D173</f>
        <v>300000</v>
      </c>
      <c r="E189" s="826">
        <f t="shared" ref="E189:M189" si="40">E188-E173</f>
        <v>0</v>
      </c>
      <c r="F189" s="826">
        <f t="shared" si="40"/>
        <v>300000</v>
      </c>
      <c r="G189" s="826">
        <f t="shared" si="40"/>
        <v>400000</v>
      </c>
      <c r="H189" s="826">
        <f t="shared" si="40"/>
        <v>330000</v>
      </c>
      <c r="I189" s="826">
        <f t="shared" si="40"/>
        <v>357000</v>
      </c>
      <c r="J189" s="826">
        <f t="shared" si="40"/>
        <v>364139.99999999814</v>
      </c>
      <c r="K189" s="826">
        <f t="shared" si="40"/>
        <v>391422.80000000075</v>
      </c>
      <c r="L189" s="826">
        <f t="shared" si="40"/>
        <v>378851.25599999912</v>
      </c>
      <c r="M189" s="826">
        <f t="shared" si="40"/>
        <v>196428.28112000041</v>
      </c>
    </row>
  </sheetData>
  <pageMargins left="0.25" right="0.25" top="0.75" bottom="0.75" header="0.3" footer="0.3"/>
  <pageSetup paperSize="9" scale="83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N207"/>
  <sheetViews>
    <sheetView topLeftCell="A99" workbookViewId="0">
      <selection activeCell="D107" sqref="D107"/>
    </sheetView>
  </sheetViews>
  <sheetFormatPr defaultRowHeight="13.8" outlineLevelCol="1" x14ac:dyDescent="0.25"/>
  <cols>
    <col min="1" max="1" width="45.109375" style="825" bestFit="1" customWidth="1"/>
    <col min="2" max="2" width="18.6640625" style="825" customWidth="1"/>
    <col min="3" max="3" width="14.6640625" style="825" hidden="1" customWidth="1" outlineLevel="1"/>
    <col min="4" max="4" width="12.44140625" style="847" bestFit="1" customWidth="1" collapsed="1"/>
    <col min="5" max="5" width="13.88671875" style="847" customWidth="1"/>
    <col min="6" max="6" width="13.109375" style="847" bestFit="1" customWidth="1"/>
    <col min="7" max="7" width="14.88671875" style="847" customWidth="1"/>
    <col min="8" max="10" width="15.88671875" style="847" bestFit="1" customWidth="1"/>
    <col min="11" max="13" width="12.44140625" style="847" bestFit="1" customWidth="1"/>
    <col min="14" max="256" width="9.109375" style="842"/>
    <col min="257" max="257" width="45.109375" style="842" bestFit="1" customWidth="1"/>
    <col min="258" max="258" width="18.6640625" style="842" customWidth="1"/>
    <col min="259" max="259" width="0" style="842" hidden="1" customWidth="1"/>
    <col min="260" max="260" width="12.44140625" style="842" bestFit="1" customWidth="1"/>
    <col min="261" max="261" width="13.88671875" style="842" customWidth="1"/>
    <col min="262" max="262" width="13.109375" style="842" bestFit="1" customWidth="1"/>
    <col min="263" max="263" width="14.88671875" style="842" customWidth="1"/>
    <col min="264" max="266" width="15.88671875" style="842" bestFit="1" customWidth="1"/>
    <col min="267" max="269" width="12.44140625" style="842" bestFit="1" customWidth="1"/>
    <col min="270" max="512" width="9.109375" style="842"/>
    <col min="513" max="513" width="45.109375" style="842" bestFit="1" customWidth="1"/>
    <col min="514" max="514" width="18.6640625" style="842" customWidth="1"/>
    <col min="515" max="515" width="0" style="842" hidden="1" customWidth="1"/>
    <col min="516" max="516" width="12.44140625" style="842" bestFit="1" customWidth="1"/>
    <col min="517" max="517" width="13.88671875" style="842" customWidth="1"/>
    <col min="518" max="518" width="13.109375" style="842" bestFit="1" customWidth="1"/>
    <col min="519" max="519" width="14.88671875" style="842" customWidth="1"/>
    <col min="520" max="522" width="15.88671875" style="842" bestFit="1" customWidth="1"/>
    <col min="523" max="525" width="12.44140625" style="842" bestFit="1" customWidth="1"/>
    <col min="526" max="768" width="9.109375" style="842"/>
    <col min="769" max="769" width="45.109375" style="842" bestFit="1" customWidth="1"/>
    <col min="770" max="770" width="18.6640625" style="842" customWidth="1"/>
    <col min="771" max="771" width="0" style="842" hidden="1" customWidth="1"/>
    <col min="772" max="772" width="12.44140625" style="842" bestFit="1" customWidth="1"/>
    <col min="773" max="773" width="13.88671875" style="842" customWidth="1"/>
    <col min="774" max="774" width="13.109375" style="842" bestFit="1" customWidth="1"/>
    <col min="775" max="775" width="14.88671875" style="842" customWidth="1"/>
    <col min="776" max="778" width="15.88671875" style="842" bestFit="1" customWidth="1"/>
    <col min="779" max="781" width="12.44140625" style="842" bestFit="1" customWidth="1"/>
    <col min="782" max="1024" width="9.109375" style="842"/>
    <col min="1025" max="1025" width="45.109375" style="842" bestFit="1" customWidth="1"/>
    <col min="1026" max="1026" width="18.6640625" style="842" customWidth="1"/>
    <col min="1027" max="1027" width="0" style="842" hidden="1" customWidth="1"/>
    <col min="1028" max="1028" width="12.44140625" style="842" bestFit="1" customWidth="1"/>
    <col min="1029" max="1029" width="13.88671875" style="842" customWidth="1"/>
    <col min="1030" max="1030" width="13.109375" style="842" bestFit="1" customWidth="1"/>
    <col min="1031" max="1031" width="14.88671875" style="842" customWidth="1"/>
    <col min="1032" max="1034" width="15.88671875" style="842" bestFit="1" customWidth="1"/>
    <col min="1035" max="1037" width="12.44140625" style="842" bestFit="1" customWidth="1"/>
    <col min="1038" max="1280" width="9.109375" style="842"/>
    <col min="1281" max="1281" width="45.109375" style="842" bestFit="1" customWidth="1"/>
    <col min="1282" max="1282" width="18.6640625" style="842" customWidth="1"/>
    <col min="1283" max="1283" width="0" style="842" hidden="1" customWidth="1"/>
    <col min="1284" max="1284" width="12.44140625" style="842" bestFit="1" customWidth="1"/>
    <col min="1285" max="1285" width="13.88671875" style="842" customWidth="1"/>
    <col min="1286" max="1286" width="13.109375" style="842" bestFit="1" customWidth="1"/>
    <col min="1287" max="1287" width="14.88671875" style="842" customWidth="1"/>
    <col min="1288" max="1290" width="15.88671875" style="842" bestFit="1" customWidth="1"/>
    <col min="1291" max="1293" width="12.44140625" style="842" bestFit="1" customWidth="1"/>
    <col min="1294" max="1536" width="9.109375" style="842"/>
    <col min="1537" max="1537" width="45.109375" style="842" bestFit="1" customWidth="1"/>
    <col min="1538" max="1538" width="18.6640625" style="842" customWidth="1"/>
    <col min="1539" max="1539" width="0" style="842" hidden="1" customWidth="1"/>
    <col min="1540" max="1540" width="12.44140625" style="842" bestFit="1" customWidth="1"/>
    <col min="1541" max="1541" width="13.88671875" style="842" customWidth="1"/>
    <col min="1542" max="1542" width="13.109375" style="842" bestFit="1" customWidth="1"/>
    <col min="1543" max="1543" width="14.88671875" style="842" customWidth="1"/>
    <col min="1544" max="1546" width="15.88671875" style="842" bestFit="1" customWidth="1"/>
    <col min="1547" max="1549" width="12.44140625" style="842" bestFit="1" customWidth="1"/>
    <col min="1550" max="1792" width="9.109375" style="842"/>
    <col min="1793" max="1793" width="45.109375" style="842" bestFit="1" customWidth="1"/>
    <col min="1794" max="1794" width="18.6640625" style="842" customWidth="1"/>
    <col min="1795" max="1795" width="0" style="842" hidden="1" customWidth="1"/>
    <col min="1796" max="1796" width="12.44140625" style="842" bestFit="1" customWidth="1"/>
    <col min="1797" max="1797" width="13.88671875" style="842" customWidth="1"/>
    <col min="1798" max="1798" width="13.109375" style="842" bestFit="1" customWidth="1"/>
    <col min="1799" max="1799" width="14.88671875" style="842" customWidth="1"/>
    <col min="1800" max="1802" width="15.88671875" style="842" bestFit="1" customWidth="1"/>
    <col min="1803" max="1805" width="12.44140625" style="842" bestFit="1" customWidth="1"/>
    <col min="1806" max="2048" width="9.109375" style="842"/>
    <col min="2049" max="2049" width="45.109375" style="842" bestFit="1" customWidth="1"/>
    <col min="2050" max="2050" width="18.6640625" style="842" customWidth="1"/>
    <col min="2051" max="2051" width="0" style="842" hidden="1" customWidth="1"/>
    <col min="2052" max="2052" width="12.44140625" style="842" bestFit="1" customWidth="1"/>
    <col min="2053" max="2053" width="13.88671875" style="842" customWidth="1"/>
    <col min="2054" max="2054" width="13.109375" style="842" bestFit="1" customWidth="1"/>
    <col min="2055" max="2055" width="14.88671875" style="842" customWidth="1"/>
    <col min="2056" max="2058" width="15.88671875" style="842" bestFit="1" customWidth="1"/>
    <col min="2059" max="2061" width="12.44140625" style="842" bestFit="1" customWidth="1"/>
    <col min="2062" max="2304" width="9.109375" style="842"/>
    <col min="2305" max="2305" width="45.109375" style="842" bestFit="1" customWidth="1"/>
    <col min="2306" max="2306" width="18.6640625" style="842" customWidth="1"/>
    <col min="2307" max="2307" width="0" style="842" hidden="1" customWidth="1"/>
    <col min="2308" max="2308" width="12.44140625" style="842" bestFit="1" customWidth="1"/>
    <col min="2309" max="2309" width="13.88671875" style="842" customWidth="1"/>
    <col min="2310" max="2310" width="13.109375" style="842" bestFit="1" customWidth="1"/>
    <col min="2311" max="2311" width="14.88671875" style="842" customWidth="1"/>
    <col min="2312" max="2314" width="15.88671875" style="842" bestFit="1" customWidth="1"/>
    <col min="2315" max="2317" width="12.44140625" style="842" bestFit="1" customWidth="1"/>
    <col min="2318" max="2560" width="9.109375" style="842"/>
    <col min="2561" max="2561" width="45.109375" style="842" bestFit="1" customWidth="1"/>
    <col min="2562" max="2562" width="18.6640625" style="842" customWidth="1"/>
    <col min="2563" max="2563" width="0" style="842" hidden="1" customWidth="1"/>
    <col min="2564" max="2564" width="12.44140625" style="842" bestFit="1" customWidth="1"/>
    <col min="2565" max="2565" width="13.88671875" style="842" customWidth="1"/>
    <col min="2566" max="2566" width="13.109375" style="842" bestFit="1" customWidth="1"/>
    <col min="2567" max="2567" width="14.88671875" style="842" customWidth="1"/>
    <col min="2568" max="2570" width="15.88671875" style="842" bestFit="1" customWidth="1"/>
    <col min="2571" max="2573" width="12.44140625" style="842" bestFit="1" customWidth="1"/>
    <col min="2574" max="2816" width="9.109375" style="842"/>
    <col min="2817" max="2817" width="45.109375" style="842" bestFit="1" customWidth="1"/>
    <col min="2818" max="2818" width="18.6640625" style="842" customWidth="1"/>
    <col min="2819" max="2819" width="0" style="842" hidden="1" customWidth="1"/>
    <col min="2820" max="2820" width="12.44140625" style="842" bestFit="1" customWidth="1"/>
    <col min="2821" max="2821" width="13.88671875" style="842" customWidth="1"/>
    <col min="2822" max="2822" width="13.109375" style="842" bestFit="1" customWidth="1"/>
    <col min="2823" max="2823" width="14.88671875" style="842" customWidth="1"/>
    <col min="2824" max="2826" width="15.88671875" style="842" bestFit="1" customWidth="1"/>
    <col min="2827" max="2829" width="12.44140625" style="842" bestFit="1" customWidth="1"/>
    <col min="2830" max="3072" width="9.109375" style="842"/>
    <col min="3073" max="3073" width="45.109375" style="842" bestFit="1" customWidth="1"/>
    <col min="3074" max="3074" width="18.6640625" style="842" customWidth="1"/>
    <col min="3075" max="3075" width="0" style="842" hidden="1" customWidth="1"/>
    <col min="3076" max="3076" width="12.44140625" style="842" bestFit="1" customWidth="1"/>
    <col min="3077" max="3077" width="13.88671875" style="842" customWidth="1"/>
    <col min="3078" max="3078" width="13.109375" style="842" bestFit="1" customWidth="1"/>
    <col min="3079" max="3079" width="14.88671875" style="842" customWidth="1"/>
    <col min="3080" max="3082" width="15.88671875" style="842" bestFit="1" customWidth="1"/>
    <col min="3083" max="3085" width="12.44140625" style="842" bestFit="1" customWidth="1"/>
    <col min="3086" max="3328" width="9.109375" style="842"/>
    <col min="3329" max="3329" width="45.109375" style="842" bestFit="1" customWidth="1"/>
    <col min="3330" max="3330" width="18.6640625" style="842" customWidth="1"/>
    <col min="3331" max="3331" width="0" style="842" hidden="1" customWidth="1"/>
    <col min="3332" max="3332" width="12.44140625" style="842" bestFit="1" customWidth="1"/>
    <col min="3333" max="3333" width="13.88671875" style="842" customWidth="1"/>
    <col min="3334" max="3334" width="13.109375" style="842" bestFit="1" customWidth="1"/>
    <col min="3335" max="3335" width="14.88671875" style="842" customWidth="1"/>
    <col min="3336" max="3338" width="15.88671875" style="842" bestFit="1" customWidth="1"/>
    <col min="3339" max="3341" width="12.44140625" style="842" bestFit="1" customWidth="1"/>
    <col min="3342" max="3584" width="9.109375" style="842"/>
    <col min="3585" max="3585" width="45.109375" style="842" bestFit="1" customWidth="1"/>
    <col min="3586" max="3586" width="18.6640625" style="842" customWidth="1"/>
    <col min="3587" max="3587" width="0" style="842" hidden="1" customWidth="1"/>
    <col min="3588" max="3588" width="12.44140625" style="842" bestFit="1" customWidth="1"/>
    <col min="3589" max="3589" width="13.88671875" style="842" customWidth="1"/>
    <col min="3590" max="3590" width="13.109375" style="842" bestFit="1" customWidth="1"/>
    <col min="3591" max="3591" width="14.88671875" style="842" customWidth="1"/>
    <col min="3592" max="3594" width="15.88671875" style="842" bestFit="1" customWidth="1"/>
    <col min="3595" max="3597" width="12.44140625" style="842" bestFit="1" customWidth="1"/>
    <col min="3598" max="3840" width="9.109375" style="842"/>
    <col min="3841" max="3841" width="45.109375" style="842" bestFit="1" customWidth="1"/>
    <col min="3842" max="3842" width="18.6640625" style="842" customWidth="1"/>
    <col min="3843" max="3843" width="0" style="842" hidden="1" customWidth="1"/>
    <col min="3844" max="3844" width="12.44140625" style="842" bestFit="1" customWidth="1"/>
    <col min="3845" max="3845" width="13.88671875" style="842" customWidth="1"/>
    <col min="3846" max="3846" width="13.109375" style="842" bestFit="1" customWidth="1"/>
    <col min="3847" max="3847" width="14.88671875" style="842" customWidth="1"/>
    <col min="3848" max="3850" width="15.88671875" style="842" bestFit="1" customWidth="1"/>
    <col min="3851" max="3853" width="12.44140625" style="842" bestFit="1" customWidth="1"/>
    <col min="3854" max="4096" width="9.109375" style="842"/>
    <col min="4097" max="4097" width="45.109375" style="842" bestFit="1" customWidth="1"/>
    <col min="4098" max="4098" width="18.6640625" style="842" customWidth="1"/>
    <col min="4099" max="4099" width="0" style="842" hidden="1" customWidth="1"/>
    <col min="4100" max="4100" width="12.44140625" style="842" bestFit="1" customWidth="1"/>
    <col min="4101" max="4101" width="13.88671875" style="842" customWidth="1"/>
    <col min="4102" max="4102" width="13.109375" style="842" bestFit="1" customWidth="1"/>
    <col min="4103" max="4103" width="14.88671875" style="842" customWidth="1"/>
    <col min="4104" max="4106" width="15.88671875" style="842" bestFit="1" customWidth="1"/>
    <col min="4107" max="4109" width="12.44140625" style="842" bestFit="1" customWidth="1"/>
    <col min="4110" max="4352" width="9.109375" style="842"/>
    <col min="4353" max="4353" width="45.109375" style="842" bestFit="1" customWidth="1"/>
    <col min="4354" max="4354" width="18.6640625" style="842" customWidth="1"/>
    <col min="4355" max="4355" width="0" style="842" hidden="1" customWidth="1"/>
    <col min="4356" max="4356" width="12.44140625" style="842" bestFit="1" customWidth="1"/>
    <col min="4357" max="4357" width="13.88671875" style="842" customWidth="1"/>
    <col min="4358" max="4358" width="13.109375" style="842" bestFit="1" customWidth="1"/>
    <col min="4359" max="4359" width="14.88671875" style="842" customWidth="1"/>
    <col min="4360" max="4362" width="15.88671875" style="842" bestFit="1" customWidth="1"/>
    <col min="4363" max="4365" width="12.44140625" style="842" bestFit="1" customWidth="1"/>
    <col min="4366" max="4608" width="9.109375" style="842"/>
    <col min="4609" max="4609" width="45.109375" style="842" bestFit="1" customWidth="1"/>
    <col min="4610" max="4610" width="18.6640625" style="842" customWidth="1"/>
    <col min="4611" max="4611" width="0" style="842" hidden="1" customWidth="1"/>
    <col min="4612" max="4612" width="12.44140625" style="842" bestFit="1" customWidth="1"/>
    <col min="4613" max="4613" width="13.88671875" style="842" customWidth="1"/>
    <col min="4614" max="4614" width="13.109375" style="842" bestFit="1" customWidth="1"/>
    <col min="4615" max="4615" width="14.88671875" style="842" customWidth="1"/>
    <col min="4616" max="4618" width="15.88671875" style="842" bestFit="1" customWidth="1"/>
    <col min="4619" max="4621" width="12.44140625" style="842" bestFit="1" customWidth="1"/>
    <col min="4622" max="4864" width="9.109375" style="842"/>
    <col min="4865" max="4865" width="45.109375" style="842" bestFit="1" customWidth="1"/>
    <col min="4866" max="4866" width="18.6640625" style="842" customWidth="1"/>
    <col min="4867" max="4867" width="0" style="842" hidden="1" customWidth="1"/>
    <col min="4868" max="4868" width="12.44140625" style="842" bestFit="1" customWidth="1"/>
    <col min="4869" max="4869" width="13.88671875" style="842" customWidth="1"/>
    <col min="4870" max="4870" width="13.109375" style="842" bestFit="1" customWidth="1"/>
    <col min="4871" max="4871" width="14.88671875" style="842" customWidth="1"/>
    <col min="4872" max="4874" width="15.88671875" style="842" bestFit="1" customWidth="1"/>
    <col min="4875" max="4877" width="12.44140625" style="842" bestFit="1" customWidth="1"/>
    <col min="4878" max="5120" width="9.109375" style="842"/>
    <col min="5121" max="5121" width="45.109375" style="842" bestFit="1" customWidth="1"/>
    <col min="5122" max="5122" width="18.6640625" style="842" customWidth="1"/>
    <col min="5123" max="5123" width="0" style="842" hidden="1" customWidth="1"/>
    <col min="5124" max="5124" width="12.44140625" style="842" bestFit="1" customWidth="1"/>
    <col min="5125" max="5125" width="13.88671875" style="842" customWidth="1"/>
    <col min="5126" max="5126" width="13.109375" style="842" bestFit="1" customWidth="1"/>
    <col min="5127" max="5127" width="14.88671875" style="842" customWidth="1"/>
    <col min="5128" max="5130" width="15.88671875" style="842" bestFit="1" customWidth="1"/>
    <col min="5131" max="5133" width="12.44140625" style="842" bestFit="1" customWidth="1"/>
    <col min="5134" max="5376" width="9.109375" style="842"/>
    <col min="5377" max="5377" width="45.109375" style="842" bestFit="1" customWidth="1"/>
    <col min="5378" max="5378" width="18.6640625" style="842" customWidth="1"/>
    <col min="5379" max="5379" width="0" style="842" hidden="1" customWidth="1"/>
    <col min="5380" max="5380" width="12.44140625" style="842" bestFit="1" customWidth="1"/>
    <col min="5381" max="5381" width="13.88671875" style="842" customWidth="1"/>
    <col min="5382" max="5382" width="13.109375" style="842" bestFit="1" customWidth="1"/>
    <col min="5383" max="5383" width="14.88671875" style="842" customWidth="1"/>
    <col min="5384" max="5386" width="15.88671875" style="842" bestFit="1" customWidth="1"/>
    <col min="5387" max="5389" width="12.44140625" style="842" bestFit="1" customWidth="1"/>
    <col min="5390" max="5632" width="9.109375" style="842"/>
    <col min="5633" max="5633" width="45.109375" style="842" bestFit="1" customWidth="1"/>
    <col min="5634" max="5634" width="18.6640625" style="842" customWidth="1"/>
    <col min="5635" max="5635" width="0" style="842" hidden="1" customWidth="1"/>
    <col min="5636" max="5636" width="12.44140625" style="842" bestFit="1" customWidth="1"/>
    <col min="5637" max="5637" width="13.88671875" style="842" customWidth="1"/>
    <col min="5638" max="5638" width="13.109375" style="842" bestFit="1" customWidth="1"/>
    <col min="5639" max="5639" width="14.88671875" style="842" customWidth="1"/>
    <col min="5640" max="5642" width="15.88671875" style="842" bestFit="1" customWidth="1"/>
    <col min="5643" max="5645" width="12.44140625" style="842" bestFit="1" customWidth="1"/>
    <col min="5646" max="5888" width="9.109375" style="842"/>
    <col min="5889" max="5889" width="45.109375" style="842" bestFit="1" customWidth="1"/>
    <col min="5890" max="5890" width="18.6640625" style="842" customWidth="1"/>
    <col min="5891" max="5891" width="0" style="842" hidden="1" customWidth="1"/>
    <col min="5892" max="5892" width="12.44140625" style="842" bestFit="1" customWidth="1"/>
    <col min="5893" max="5893" width="13.88671875" style="842" customWidth="1"/>
    <col min="5894" max="5894" width="13.109375" style="842" bestFit="1" customWidth="1"/>
    <col min="5895" max="5895" width="14.88671875" style="842" customWidth="1"/>
    <col min="5896" max="5898" width="15.88671875" style="842" bestFit="1" customWidth="1"/>
    <col min="5899" max="5901" width="12.44140625" style="842" bestFit="1" customWidth="1"/>
    <col min="5902" max="6144" width="9.109375" style="842"/>
    <col min="6145" max="6145" width="45.109375" style="842" bestFit="1" customWidth="1"/>
    <col min="6146" max="6146" width="18.6640625" style="842" customWidth="1"/>
    <col min="6147" max="6147" width="0" style="842" hidden="1" customWidth="1"/>
    <col min="6148" max="6148" width="12.44140625" style="842" bestFit="1" customWidth="1"/>
    <col min="6149" max="6149" width="13.88671875" style="842" customWidth="1"/>
    <col min="6150" max="6150" width="13.109375" style="842" bestFit="1" customWidth="1"/>
    <col min="6151" max="6151" width="14.88671875" style="842" customWidth="1"/>
    <col min="6152" max="6154" width="15.88671875" style="842" bestFit="1" customWidth="1"/>
    <col min="6155" max="6157" width="12.44140625" style="842" bestFit="1" customWidth="1"/>
    <col min="6158" max="6400" width="9.109375" style="842"/>
    <col min="6401" max="6401" width="45.109375" style="842" bestFit="1" customWidth="1"/>
    <col min="6402" max="6402" width="18.6640625" style="842" customWidth="1"/>
    <col min="6403" max="6403" width="0" style="842" hidden="1" customWidth="1"/>
    <col min="6404" max="6404" width="12.44140625" style="842" bestFit="1" customWidth="1"/>
    <col min="6405" max="6405" width="13.88671875" style="842" customWidth="1"/>
    <col min="6406" max="6406" width="13.109375" style="842" bestFit="1" customWidth="1"/>
    <col min="6407" max="6407" width="14.88671875" style="842" customWidth="1"/>
    <col min="6408" max="6410" width="15.88671875" style="842" bestFit="1" customWidth="1"/>
    <col min="6411" max="6413" width="12.44140625" style="842" bestFit="1" customWidth="1"/>
    <col min="6414" max="6656" width="9.109375" style="842"/>
    <col min="6657" max="6657" width="45.109375" style="842" bestFit="1" customWidth="1"/>
    <col min="6658" max="6658" width="18.6640625" style="842" customWidth="1"/>
    <col min="6659" max="6659" width="0" style="842" hidden="1" customWidth="1"/>
    <col min="6660" max="6660" width="12.44140625" style="842" bestFit="1" customWidth="1"/>
    <col min="6661" max="6661" width="13.88671875" style="842" customWidth="1"/>
    <col min="6662" max="6662" width="13.109375" style="842" bestFit="1" customWidth="1"/>
    <col min="6663" max="6663" width="14.88671875" style="842" customWidth="1"/>
    <col min="6664" max="6666" width="15.88671875" style="842" bestFit="1" customWidth="1"/>
    <col min="6667" max="6669" width="12.44140625" style="842" bestFit="1" customWidth="1"/>
    <col min="6670" max="6912" width="9.109375" style="842"/>
    <col min="6913" max="6913" width="45.109375" style="842" bestFit="1" customWidth="1"/>
    <col min="6914" max="6914" width="18.6640625" style="842" customWidth="1"/>
    <col min="6915" max="6915" width="0" style="842" hidden="1" customWidth="1"/>
    <col min="6916" max="6916" width="12.44140625" style="842" bestFit="1" customWidth="1"/>
    <col min="6917" max="6917" width="13.88671875" style="842" customWidth="1"/>
    <col min="6918" max="6918" width="13.109375" style="842" bestFit="1" customWidth="1"/>
    <col min="6919" max="6919" width="14.88671875" style="842" customWidth="1"/>
    <col min="6920" max="6922" width="15.88671875" style="842" bestFit="1" customWidth="1"/>
    <col min="6923" max="6925" width="12.44140625" style="842" bestFit="1" customWidth="1"/>
    <col min="6926" max="7168" width="9.109375" style="842"/>
    <col min="7169" max="7169" width="45.109375" style="842" bestFit="1" customWidth="1"/>
    <col min="7170" max="7170" width="18.6640625" style="842" customWidth="1"/>
    <col min="7171" max="7171" width="0" style="842" hidden="1" customWidth="1"/>
    <col min="7172" max="7172" width="12.44140625" style="842" bestFit="1" customWidth="1"/>
    <col min="7173" max="7173" width="13.88671875" style="842" customWidth="1"/>
    <col min="7174" max="7174" width="13.109375" style="842" bestFit="1" customWidth="1"/>
    <col min="7175" max="7175" width="14.88671875" style="842" customWidth="1"/>
    <col min="7176" max="7178" width="15.88671875" style="842" bestFit="1" customWidth="1"/>
    <col min="7179" max="7181" width="12.44140625" style="842" bestFit="1" customWidth="1"/>
    <col min="7182" max="7424" width="9.109375" style="842"/>
    <col min="7425" max="7425" width="45.109375" style="842" bestFit="1" customWidth="1"/>
    <col min="7426" max="7426" width="18.6640625" style="842" customWidth="1"/>
    <col min="7427" max="7427" width="0" style="842" hidden="1" customWidth="1"/>
    <col min="7428" max="7428" width="12.44140625" style="842" bestFit="1" customWidth="1"/>
    <col min="7429" max="7429" width="13.88671875" style="842" customWidth="1"/>
    <col min="7430" max="7430" width="13.109375" style="842" bestFit="1" customWidth="1"/>
    <col min="7431" max="7431" width="14.88671875" style="842" customWidth="1"/>
    <col min="7432" max="7434" width="15.88671875" style="842" bestFit="1" customWidth="1"/>
    <col min="7435" max="7437" width="12.44140625" style="842" bestFit="1" customWidth="1"/>
    <col min="7438" max="7680" width="9.109375" style="842"/>
    <col min="7681" max="7681" width="45.109375" style="842" bestFit="1" customWidth="1"/>
    <col min="7682" max="7682" width="18.6640625" style="842" customWidth="1"/>
    <col min="7683" max="7683" width="0" style="842" hidden="1" customWidth="1"/>
    <col min="7684" max="7684" width="12.44140625" style="842" bestFit="1" customWidth="1"/>
    <col min="7685" max="7685" width="13.88671875" style="842" customWidth="1"/>
    <col min="7686" max="7686" width="13.109375" style="842" bestFit="1" customWidth="1"/>
    <col min="7687" max="7687" width="14.88671875" style="842" customWidth="1"/>
    <col min="7688" max="7690" width="15.88671875" style="842" bestFit="1" customWidth="1"/>
    <col min="7691" max="7693" width="12.44140625" style="842" bestFit="1" customWidth="1"/>
    <col min="7694" max="7936" width="9.109375" style="842"/>
    <col min="7937" max="7937" width="45.109375" style="842" bestFit="1" customWidth="1"/>
    <col min="7938" max="7938" width="18.6640625" style="842" customWidth="1"/>
    <col min="7939" max="7939" width="0" style="842" hidden="1" customWidth="1"/>
    <col min="7940" max="7940" width="12.44140625" style="842" bestFit="1" customWidth="1"/>
    <col min="7941" max="7941" width="13.88671875" style="842" customWidth="1"/>
    <col min="7942" max="7942" width="13.109375" style="842" bestFit="1" customWidth="1"/>
    <col min="7943" max="7943" width="14.88671875" style="842" customWidth="1"/>
    <col min="7944" max="7946" width="15.88671875" style="842" bestFit="1" customWidth="1"/>
    <col min="7947" max="7949" width="12.44140625" style="842" bestFit="1" customWidth="1"/>
    <col min="7950" max="8192" width="9.109375" style="842"/>
    <col min="8193" max="8193" width="45.109375" style="842" bestFit="1" customWidth="1"/>
    <col min="8194" max="8194" width="18.6640625" style="842" customWidth="1"/>
    <col min="8195" max="8195" width="0" style="842" hidden="1" customWidth="1"/>
    <col min="8196" max="8196" width="12.44140625" style="842" bestFit="1" customWidth="1"/>
    <col min="8197" max="8197" width="13.88671875" style="842" customWidth="1"/>
    <col min="8198" max="8198" width="13.109375" style="842" bestFit="1" customWidth="1"/>
    <col min="8199" max="8199" width="14.88671875" style="842" customWidth="1"/>
    <col min="8200" max="8202" width="15.88671875" style="842" bestFit="1" customWidth="1"/>
    <col min="8203" max="8205" width="12.44140625" style="842" bestFit="1" customWidth="1"/>
    <col min="8206" max="8448" width="9.109375" style="842"/>
    <col min="8449" max="8449" width="45.109375" style="842" bestFit="1" customWidth="1"/>
    <col min="8450" max="8450" width="18.6640625" style="842" customWidth="1"/>
    <col min="8451" max="8451" width="0" style="842" hidden="1" customWidth="1"/>
    <col min="8452" max="8452" width="12.44140625" style="842" bestFit="1" customWidth="1"/>
    <col min="8453" max="8453" width="13.88671875" style="842" customWidth="1"/>
    <col min="8454" max="8454" width="13.109375" style="842" bestFit="1" customWidth="1"/>
    <col min="8455" max="8455" width="14.88671875" style="842" customWidth="1"/>
    <col min="8456" max="8458" width="15.88671875" style="842" bestFit="1" customWidth="1"/>
    <col min="8459" max="8461" width="12.44140625" style="842" bestFit="1" customWidth="1"/>
    <col min="8462" max="8704" width="9.109375" style="842"/>
    <col min="8705" max="8705" width="45.109375" style="842" bestFit="1" customWidth="1"/>
    <col min="8706" max="8706" width="18.6640625" style="842" customWidth="1"/>
    <col min="8707" max="8707" width="0" style="842" hidden="1" customWidth="1"/>
    <col min="8708" max="8708" width="12.44140625" style="842" bestFit="1" customWidth="1"/>
    <col min="8709" max="8709" width="13.88671875" style="842" customWidth="1"/>
    <col min="8710" max="8710" width="13.109375" style="842" bestFit="1" customWidth="1"/>
    <col min="8711" max="8711" width="14.88671875" style="842" customWidth="1"/>
    <col min="8712" max="8714" width="15.88671875" style="842" bestFit="1" customWidth="1"/>
    <col min="8715" max="8717" width="12.44140625" style="842" bestFit="1" customWidth="1"/>
    <col min="8718" max="8960" width="9.109375" style="842"/>
    <col min="8961" max="8961" width="45.109375" style="842" bestFit="1" customWidth="1"/>
    <col min="8962" max="8962" width="18.6640625" style="842" customWidth="1"/>
    <col min="8963" max="8963" width="0" style="842" hidden="1" customWidth="1"/>
    <col min="8964" max="8964" width="12.44140625" style="842" bestFit="1" customWidth="1"/>
    <col min="8965" max="8965" width="13.88671875" style="842" customWidth="1"/>
    <col min="8966" max="8966" width="13.109375" style="842" bestFit="1" customWidth="1"/>
    <col min="8967" max="8967" width="14.88671875" style="842" customWidth="1"/>
    <col min="8968" max="8970" width="15.88671875" style="842" bestFit="1" customWidth="1"/>
    <col min="8971" max="8973" width="12.44140625" style="842" bestFit="1" customWidth="1"/>
    <col min="8974" max="9216" width="9.109375" style="842"/>
    <col min="9217" max="9217" width="45.109375" style="842" bestFit="1" customWidth="1"/>
    <col min="9218" max="9218" width="18.6640625" style="842" customWidth="1"/>
    <col min="9219" max="9219" width="0" style="842" hidden="1" customWidth="1"/>
    <col min="9220" max="9220" width="12.44140625" style="842" bestFit="1" customWidth="1"/>
    <col min="9221" max="9221" width="13.88671875" style="842" customWidth="1"/>
    <col min="9222" max="9222" width="13.109375" style="842" bestFit="1" customWidth="1"/>
    <col min="9223" max="9223" width="14.88671875" style="842" customWidth="1"/>
    <col min="9224" max="9226" width="15.88671875" style="842" bestFit="1" customWidth="1"/>
    <col min="9227" max="9229" width="12.44140625" style="842" bestFit="1" customWidth="1"/>
    <col min="9230" max="9472" width="9.109375" style="842"/>
    <col min="9473" max="9473" width="45.109375" style="842" bestFit="1" customWidth="1"/>
    <col min="9474" max="9474" width="18.6640625" style="842" customWidth="1"/>
    <col min="9475" max="9475" width="0" style="842" hidden="1" customWidth="1"/>
    <col min="9476" max="9476" width="12.44140625" style="842" bestFit="1" customWidth="1"/>
    <col min="9477" max="9477" width="13.88671875" style="842" customWidth="1"/>
    <col min="9478" max="9478" width="13.109375" style="842" bestFit="1" customWidth="1"/>
    <col min="9479" max="9479" width="14.88671875" style="842" customWidth="1"/>
    <col min="9480" max="9482" width="15.88671875" style="842" bestFit="1" customWidth="1"/>
    <col min="9483" max="9485" width="12.44140625" style="842" bestFit="1" customWidth="1"/>
    <col min="9486" max="9728" width="9.109375" style="842"/>
    <col min="9729" max="9729" width="45.109375" style="842" bestFit="1" customWidth="1"/>
    <col min="9730" max="9730" width="18.6640625" style="842" customWidth="1"/>
    <col min="9731" max="9731" width="0" style="842" hidden="1" customWidth="1"/>
    <col min="9732" max="9732" width="12.44140625" style="842" bestFit="1" customWidth="1"/>
    <col min="9733" max="9733" width="13.88671875" style="842" customWidth="1"/>
    <col min="9734" max="9734" width="13.109375" style="842" bestFit="1" customWidth="1"/>
    <col min="9735" max="9735" width="14.88671875" style="842" customWidth="1"/>
    <col min="9736" max="9738" width="15.88671875" style="842" bestFit="1" customWidth="1"/>
    <col min="9739" max="9741" width="12.44140625" style="842" bestFit="1" customWidth="1"/>
    <col min="9742" max="9984" width="9.109375" style="842"/>
    <col min="9985" max="9985" width="45.109375" style="842" bestFit="1" customWidth="1"/>
    <col min="9986" max="9986" width="18.6640625" style="842" customWidth="1"/>
    <col min="9987" max="9987" width="0" style="842" hidden="1" customWidth="1"/>
    <col min="9988" max="9988" width="12.44140625" style="842" bestFit="1" customWidth="1"/>
    <col min="9989" max="9989" width="13.88671875" style="842" customWidth="1"/>
    <col min="9990" max="9990" width="13.109375" style="842" bestFit="1" customWidth="1"/>
    <col min="9991" max="9991" width="14.88671875" style="842" customWidth="1"/>
    <col min="9992" max="9994" width="15.88671875" style="842" bestFit="1" customWidth="1"/>
    <col min="9995" max="9997" width="12.44140625" style="842" bestFit="1" customWidth="1"/>
    <col min="9998" max="10240" width="9.109375" style="842"/>
    <col min="10241" max="10241" width="45.109375" style="842" bestFit="1" customWidth="1"/>
    <col min="10242" max="10242" width="18.6640625" style="842" customWidth="1"/>
    <col min="10243" max="10243" width="0" style="842" hidden="1" customWidth="1"/>
    <col min="10244" max="10244" width="12.44140625" style="842" bestFit="1" customWidth="1"/>
    <col min="10245" max="10245" width="13.88671875" style="842" customWidth="1"/>
    <col min="10246" max="10246" width="13.109375" style="842" bestFit="1" customWidth="1"/>
    <col min="10247" max="10247" width="14.88671875" style="842" customWidth="1"/>
    <col min="10248" max="10250" width="15.88671875" style="842" bestFit="1" customWidth="1"/>
    <col min="10251" max="10253" width="12.44140625" style="842" bestFit="1" customWidth="1"/>
    <col min="10254" max="10496" width="9.109375" style="842"/>
    <col min="10497" max="10497" width="45.109375" style="842" bestFit="1" customWidth="1"/>
    <col min="10498" max="10498" width="18.6640625" style="842" customWidth="1"/>
    <col min="10499" max="10499" width="0" style="842" hidden="1" customWidth="1"/>
    <col min="10500" max="10500" width="12.44140625" style="842" bestFit="1" customWidth="1"/>
    <col min="10501" max="10501" width="13.88671875" style="842" customWidth="1"/>
    <col min="10502" max="10502" width="13.109375" style="842" bestFit="1" customWidth="1"/>
    <col min="10503" max="10503" width="14.88671875" style="842" customWidth="1"/>
    <col min="10504" max="10506" width="15.88671875" style="842" bestFit="1" customWidth="1"/>
    <col min="10507" max="10509" width="12.44140625" style="842" bestFit="1" customWidth="1"/>
    <col min="10510" max="10752" width="9.109375" style="842"/>
    <col min="10753" max="10753" width="45.109375" style="842" bestFit="1" customWidth="1"/>
    <col min="10754" max="10754" width="18.6640625" style="842" customWidth="1"/>
    <col min="10755" max="10755" width="0" style="842" hidden="1" customWidth="1"/>
    <col min="10756" max="10756" width="12.44140625" style="842" bestFit="1" customWidth="1"/>
    <col min="10757" max="10757" width="13.88671875" style="842" customWidth="1"/>
    <col min="10758" max="10758" width="13.109375" style="842" bestFit="1" customWidth="1"/>
    <col min="10759" max="10759" width="14.88671875" style="842" customWidth="1"/>
    <col min="10760" max="10762" width="15.88671875" style="842" bestFit="1" customWidth="1"/>
    <col min="10763" max="10765" width="12.44140625" style="842" bestFit="1" customWidth="1"/>
    <col min="10766" max="11008" width="9.109375" style="842"/>
    <col min="11009" max="11009" width="45.109375" style="842" bestFit="1" customWidth="1"/>
    <col min="11010" max="11010" width="18.6640625" style="842" customWidth="1"/>
    <col min="11011" max="11011" width="0" style="842" hidden="1" customWidth="1"/>
    <col min="11012" max="11012" width="12.44140625" style="842" bestFit="1" customWidth="1"/>
    <col min="11013" max="11013" width="13.88671875" style="842" customWidth="1"/>
    <col min="11014" max="11014" width="13.109375" style="842" bestFit="1" customWidth="1"/>
    <col min="11015" max="11015" width="14.88671875" style="842" customWidth="1"/>
    <col min="11016" max="11018" width="15.88671875" style="842" bestFit="1" customWidth="1"/>
    <col min="11019" max="11021" width="12.44140625" style="842" bestFit="1" customWidth="1"/>
    <col min="11022" max="11264" width="9.109375" style="842"/>
    <col min="11265" max="11265" width="45.109375" style="842" bestFit="1" customWidth="1"/>
    <col min="11266" max="11266" width="18.6640625" style="842" customWidth="1"/>
    <col min="11267" max="11267" width="0" style="842" hidden="1" customWidth="1"/>
    <col min="11268" max="11268" width="12.44140625" style="842" bestFit="1" customWidth="1"/>
    <col min="11269" max="11269" width="13.88671875" style="842" customWidth="1"/>
    <col min="11270" max="11270" width="13.109375" style="842" bestFit="1" customWidth="1"/>
    <col min="11271" max="11271" width="14.88671875" style="842" customWidth="1"/>
    <col min="11272" max="11274" width="15.88671875" style="842" bestFit="1" customWidth="1"/>
    <col min="11275" max="11277" width="12.44140625" style="842" bestFit="1" customWidth="1"/>
    <col min="11278" max="11520" width="9.109375" style="842"/>
    <col min="11521" max="11521" width="45.109375" style="842" bestFit="1" customWidth="1"/>
    <col min="11522" max="11522" width="18.6640625" style="842" customWidth="1"/>
    <col min="11523" max="11523" width="0" style="842" hidden="1" customWidth="1"/>
    <col min="11524" max="11524" width="12.44140625" style="842" bestFit="1" customWidth="1"/>
    <col min="11525" max="11525" width="13.88671875" style="842" customWidth="1"/>
    <col min="11526" max="11526" width="13.109375" style="842" bestFit="1" customWidth="1"/>
    <col min="11527" max="11527" width="14.88671875" style="842" customWidth="1"/>
    <col min="11528" max="11530" width="15.88671875" style="842" bestFit="1" customWidth="1"/>
    <col min="11531" max="11533" width="12.44140625" style="842" bestFit="1" customWidth="1"/>
    <col min="11534" max="11776" width="9.109375" style="842"/>
    <col min="11777" max="11777" width="45.109375" style="842" bestFit="1" customWidth="1"/>
    <col min="11778" max="11778" width="18.6640625" style="842" customWidth="1"/>
    <col min="11779" max="11779" width="0" style="842" hidden="1" customWidth="1"/>
    <col min="11780" max="11780" width="12.44140625" style="842" bestFit="1" customWidth="1"/>
    <col min="11781" max="11781" width="13.88671875" style="842" customWidth="1"/>
    <col min="11782" max="11782" width="13.109375" style="842" bestFit="1" customWidth="1"/>
    <col min="11783" max="11783" width="14.88671875" style="842" customWidth="1"/>
    <col min="11784" max="11786" width="15.88671875" style="842" bestFit="1" customWidth="1"/>
    <col min="11787" max="11789" width="12.44140625" style="842" bestFit="1" customWidth="1"/>
    <col min="11790" max="12032" width="9.109375" style="842"/>
    <col min="12033" max="12033" width="45.109375" style="842" bestFit="1" customWidth="1"/>
    <col min="12034" max="12034" width="18.6640625" style="842" customWidth="1"/>
    <col min="12035" max="12035" width="0" style="842" hidden="1" customWidth="1"/>
    <col min="12036" max="12036" width="12.44140625" style="842" bestFit="1" customWidth="1"/>
    <col min="12037" max="12037" width="13.88671875" style="842" customWidth="1"/>
    <col min="12038" max="12038" width="13.109375" style="842" bestFit="1" customWidth="1"/>
    <col min="12039" max="12039" width="14.88671875" style="842" customWidth="1"/>
    <col min="12040" max="12042" width="15.88671875" style="842" bestFit="1" customWidth="1"/>
    <col min="12043" max="12045" width="12.44140625" style="842" bestFit="1" customWidth="1"/>
    <col min="12046" max="12288" width="9.109375" style="842"/>
    <col min="12289" max="12289" width="45.109375" style="842" bestFit="1" customWidth="1"/>
    <col min="12290" max="12290" width="18.6640625" style="842" customWidth="1"/>
    <col min="12291" max="12291" width="0" style="842" hidden="1" customWidth="1"/>
    <col min="12292" max="12292" width="12.44140625" style="842" bestFit="1" customWidth="1"/>
    <col min="12293" max="12293" width="13.88671875" style="842" customWidth="1"/>
    <col min="12294" max="12294" width="13.109375" style="842" bestFit="1" customWidth="1"/>
    <col min="12295" max="12295" width="14.88671875" style="842" customWidth="1"/>
    <col min="12296" max="12298" width="15.88671875" style="842" bestFit="1" customWidth="1"/>
    <col min="12299" max="12301" width="12.44140625" style="842" bestFit="1" customWidth="1"/>
    <col min="12302" max="12544" width="9.109375" style="842"/>
    <col min="12545" max="12545" width="45.109375" style="842" bestFit="1" customWidth="1"/>
    <col min="12546" max="12546" width="18.6640625" style="842" customWidth="1"/>
    <col min="12547" max="12547" width="0" style="842" hidden="1" customWidth="1"/>
    <col min="12548" max="12548" width="12.44140625" style="842" bestFit="1" customWidth="1"/>
    <col min="12549" max="12549" width="13.88671875" style="842" customWidth="1"/>
    <col min="12550" max="12550" width="13.109375" style="842" bestFit="1" customWidth="1"/>
    <col min="12551" max="12551" width="14.88671875" style="842" customWidth="1"/>
    <col min="12552" max="12554" width="15.88671875" style="842" bestFit="1" customWidth="1"/>
    <col min="12555" max="12557" width="12.44140625" style="842" bestFit="1" customWidth="1"/>
    <col min="12558" max="12800" width="9.109375" style="842"/>
    <col min="12801" max="12801" width="45.109375" style="842" bestFit="1" customWidth="1"/>
    <col min="12802" max="12802" width="18.6640625" style="842" customWidth="1"/>
    <col min="12803" max="12803" width="0" style="842" hidden="1" customWidth="1"/>
    <col min="12804" max="12804" width="12.44140625" style="842" bestFit="1" customWidth="1"/>
    <col min="12805" max="12805" width="13.88671875" style="842" customWidth="1"/>
    <col min="12806" max="12806" width="13.109375" style="842" bestFit="1" customWidth="1"/>
    <col min="12807" max="12807" width="14.88671875" style="842" customWidth="1"/>
    <col min="12808" max="12810" width="15.88671875" style="842" bestFit="1" customWidth="1"/>
    <col min="12811" max="12813" width="12.44140625" style="842" bestFit="1" customWidth="1"/>
    <col min="12814" max="13056" width="9.109375" style="842"/>
    <col min="13057" max="13057" width="45.109375" style="842" bestFit="1" customWidth="1"/>
    <col min="13058" max="13058" width="18.6640625" style="842" customWidth="1"/>
    <col min="13059" max="13059" width="0" style="842" hidden="1" customWidth="1"/>
    <col min="13060" max="13060" width="12.44140625" style="842" bestFit="1" customWidth="1"/>
    <col min="13061" max="13061" width="13.88671875" style="842" customWidth="1"/>
    <col min="13062" max="13062" width="13.109375" style="842" bestFit="1" customWidth="1"/>
    <col min="13063" max="13063" width="14.88671875" style="842" customWidth="1"/>
    <col min="13064" max="13066" width="15.88671875" style="842" bestFit="1" customWidth="1"/>
    <col min="13067" max="13069" width="12.44140625" style="842" bestFit="1" customWidth="1"/>
    <col min="13070" max="13312" width="9.109375" style="842"/>
    <col min="13313" max="13313" width="45.109375" style="842" bestFit="1" customWidth="1"/>
    <col min="13314" max="13314" width="18.6640625" style="842" customWidth="1"/>
    <col min="13315" max="13315" width="0" style="842" hidden="1" customWidth="1"/>
    <col min="13316" max="13316" width="12.44140625" style="842" bestFit="1" customWidth="1"/>
    <col min="13317" max="13317" width="13.88671875" style="842" customWidth="1"/>
    <col min="13318" max="13318" width="13.109375" style="842" bestFit="1" customWidth="1"/>
    <col min="13319" max="13319" width="14.88671875" style="842" customWidth="1"/>
    <col min="13320" max="13322" width="15.88671875" style="842" bestFit="1" customWidth="1"/>
    <col min="13323" max="13325" width="12.44140625" style="842" bestFit="1" customWidth="1"/>
    <col min="13326" max="13568" width="9.109375" style="842"/>
    <col min="13569" max="13569" width="45.109375" style="842" bestFit="1" customWidth="1"/>
    <col min="13570" max="13570" width="18.6640625" style="842" customWidth="1"/>
    <col min="13571" max="13571" width="0" style="842" hidden="1" customWidth="1"/>
    <col min="13572" max="13572" width="12.44140625" style="842" bestFit="1" customWidth="1"/>
    <col min="13573" max="13573" width="13.88671875" style="842" customWidth="1"/>
    <col min="13574" max="13574" width="13.109375" style="842" bestFit="1" customWidth="1"/>
    <col min="13575" max="13575" width="14.88671875" style="842" customWidth="1"/>
    <col min="13576" max="13578" width="15.88671875" style="842" bestFit="1" customWidth="1"/>
    <col min="13579" max="13581" width="12.44140625" style="842" bestFit="1" customWidth="1"/>
    <col min="13582" max="13824" width="9.109375" style="842"/>
    <col min="13825" max="13825" width="45.109375" style="842" bestFit="1" customWidth="1"/>
    <col min="13826" max="13826" width="18.6640625" style="842" customWidth="1"/>
    <col min="13827" max="13827" width="0" style="842" hidden="1" customWidth="1"/>
    <col min="13828" max="13828" width="12.44140625" style="842" bestFit="1" customWidth="1"/>
    <col min="13829" max="13829" width="13.88671875" style="842" customWidth="1"/>
    <col min="13830" max="13830" width="13.109375" style="842" bestFit="1" customWidth="1"/>
    <col min="13831" max="13831" width="14.88671875" style="842" customWidth="1"/>
    <col min="13832" max="13834" width="15.88671875" style="842" bestFit="1" customWidth="1"/>
    <col min="13835" max="13837" width="12.44140625" style="842" bestFit="1" customWidth="1"/>
    <col min="13838" max="14080" width="9.109375" style="842"/>
    <col min="14081" max="14081" width="45.109375" style="842" bestFit="1" customWidth="1"/>
    <col min="14082" max="14082" width="18.6640625" style="842" customWidth="1"/>
    <col min="14083" max="14083" width="0" style="842" hidden="1" customWidth="1"/>
    <col min="14084" max="14084" width="12.44140625" style="842" bestFit="1" customWidth="1"/>
    <col min="14085" max="14085" width="13.88671875" style="842" customWidth="1"/>
    <col min="14086" max="14086" width="13.109375" style="842" bestFit="1" customWidth="1"/>
    <col min="14087" max="14087" width="14.88671875" style="842" customWidth="1"/>
    <col min="14088" max="14090" width="15.88671875" style="842" bestFit="1" customWidth="1"/>
    <col min="14091" max="14093" width="12.44140625" style="842" bestFit="1" customWidth="1"/>
    <col min="14094" max="14336" width="9.109375" style="842"/>
    <col min="14337" max="14337" width="45.109375" style="842" bestFit="1" customWidth="1"/>
    <col min="14338" max="14338" width="18.6640625" style="842" customWidth="1"/>
    <col min="14339" max="14339" width="0" style="842" hidden="1" customWidth="1"/>
    <col min="14340" max="14340" width="12.44140625" style="842" bestFit="1" customWidth="1"/>
    <col min="14341" max="14341" width="13.88671875" style="842" customWidth="1"/>
    <col min="14342" max="14342" width="13.109375" style="842" bestFit="1" customWidth="1"/>
    <col min="14343" max="14343" width="14.88671875" style="842" customWidth="1"/>
    <col min="14344" max="14346" width="15.88671875" style="842" bestFit="1" customWidth="1"/>
    <col min="14347" max="14349" width="12.44140625" style="842" bestFit="1" customWidth="1"/>
    <col min="14350" max="14592" width="9.109375" style="842"/>
    <col min="14593" max="14593" width="45.109375" style="842" bestFit="1" customWidth="1"/>
    <col min="14594" max="14594" width="18.6640625" style="842" customWidth="1"/>
    <col min="14595" max="14595" width="0" style="842" hidden="1" customWidth="1"/>
    <col min="14596" max="14596" width="12.44140625" style="842" bestFit="1" customWidth="1"/>
    <col min="14597" max="14597" width="13.88671875" style="842" customWidth="1"/>
    <col min="14598" max="14598" width="13.109375" style="842" bestFit="1" customWidth="1"/>
    <col min="14599" max="14599" width="14.88671875" style="842" customWidth="1"/>
    <col min="14600" max="14602" width="15.88671875" style="842" bestFit="1" customWidth="1"/>
    <col min="14603" max="14605" width="12.44140625" style="842" bestFit="1" customWidth="1"/>
    <col min="14606" max="14848" width="9.109375" style="842"/>
    <col min="14849" max="14849" width="45.109375" style="842" bestFit="1" customWidth="1"/>
    <col min="14850" max="14850" width="18.6640625" style="842" customWidth="1"/>
    <col min="14851" max="14851" width="0" style="842" hidden="1" customWidth="1"/>
    <col min="14852" max="14852" width="12.44140625" style="842" bestFit="1" customWidth="1"/>
    <col min="14853" max="14853" width="13.88671875" style="842" customWidth="1"/>
    <col min="14854" max="14854" width="13.109375" style="842" bestFit="1" customWidth="1"/>
    <col min="14855" max="14855" width="14.88671875" style="842" customWidth="1"/>
    <col min="14856" max="14858" width="15.88671875" style="842" bestFit="1" customWidth="1"/>
    <col min="14859" max="14861" width="12.44140625" style="842" bestFit="1" customWidth="1"/>
    <col min="14862" max="15104" width="9.109375" style="842"/>
    <col min="15105" max="15105" width="45.109375" style="842" bestFit="1" customWidth="1"/>
    <col min="15106" max="15106" width="18.6640625" style="842" customWidth="1"/>
    <col min="15107" max="15107" width="0" style="842" hidden="1" customWidth="1"/>
    <col min="15108" max="15108" width="12.44140625" style="842" bestFit="1" customWidth="1"/>
    <col min="15109" max="15109" width="13.88671875" style="842" customWidth="1"/>
    <col min="15110" max="15110" width="13.109375" style="842" bestFit="1" customWidth="1"/>
    <col min="15111" max="15111" width="14.88671875" style="842" customWidth="1"/>
    <col min="15112" max="15114" width="15.88671875" style="842" bestFit="1" customWidth="1"/>
    <col min="15115" max="15117" width="12.44140625" style="842" bestFit="1" customWidth="1"/>
    <col min="15118" max="15360" width="9.109375" style="842"/>
    <col min="15361" max="15361" width="45.109375" style="842" bestFit="1" customWidth="1"/>
    <col min="15362" max="15362" width="18.6640625" style="842" customWidth="1"/>
    <col min="15363" max="15363" width="0" style="842" hidden="1" customWidth="1"/>
    <col min="15364" max="15364" width="12.44140625" style="842" bestFit="1" customWidth="1"/>
    <col min="15365" max="15365" width="13.88671875" style="842" customWidth="1"/>
    <col min="15366" max="15366" width="13.109375" style="842" bestFit="1" customWidth="1"/>
    <col min="15367" max="15367" width="14.88671875" style="842" customWidth="1"/>
    <col min="15368" max="15370" width="15.88671875" style="842" bestFit="1" customWidth="1"/>
    <col min="15371" max="15373" width="12.44140625" style="842" bestFit="1" customWidth="1"/>
    <col min="15374" max="15616" width="9.109375" style="842"/>
    <col min="15617" max="15617" width="45.109375" style="842" bestFit="1" customWidth="1"/>
    <col min="15618" max="15618" width="18.6640625" style="842" customWidth="1"/>
    <col min="15619" max="15619" width="0" style="842" hidden="1" customWidth="1"/>
    <col min="15620" max="15620" width="12.44140625" style="842" bestFit="1" customWidth="1"/>
    <col min="15621" max="15621" width="13.88671875" style="842" customWidth="1"/>
    <col min="15622" max="15622" width="13.109375" style="842" bestFit="1" customWidth="1"/>
    <col min="15623" max="15623" width="14.88671875" style="842" customWidth="1"/>
    <col min="15624" max="15626" width="15.88671875" style="842" bestFit="1" customWidth="1"/>
    <col min="15627" max="15629" width="12.44140625" style="842" bestFit="1" customWidth="1"/>
    <col min="15630" max="15872" width="9.109375" style="842"/>
    <col min="15873" max="15873" width="45.109375" style="842" bestFit="1" customWidth="1"/>
    <col min="15874" max="15874" width="18.6640625" style="842" customWidth="1"/>
    <col min="15875" max="15875" width="0" style="842" hidden="1" customWidth="1"/>
    <col min="15876" max="15876" width="12.44140625" style="842" bestFit="1" customWidth="1"/>
    <col min="15877" max="15877" width="13.88671875" style="842" customWidth="1"/>
    <col min="15878" max="15878" width="13.109375" style="842" bestFit="1" customWidth="1"/>
    <col min="15879" max="15879" width="14.88671875" style="842" customWidth="1"/>
    <col min="15880" max="15882" width="15.88671875" style="842" bestFit="1" customWidth="1"/>
    <col min="15883" max="15885" width="12.44140625" style="842" bestFit="1" customWidth="1"/>
    <col min="15886" max="16128" width="9.109375" style="842"/>
    <col min="16129" max="16129" width="45.109375" style="842" bestFit="1" customWidth="1"/>
    <col min="16130" max="16130" width="18.6640625" style="842" customWidth="1"/>
    <col min="16131" max="16131" width="0" style="842" hidden="1" customWidth="1"/>
    <col min="16132" max="16132" width="12.44140625" style="842" bestFit="1" customWidth="1"/>
    <col min="16133" max="16133" width="13.88671875" style="842" customWidth="1"/>
    <col min="16134" max="16134" width="13.109375" style="842" bestFit="1" customWidth="1"/>
    <col min="16135" max="16135" width="14.88671875" style="842" customWidth="1"/>
    <col min="16136" max="16138" width="15.88671875" style="842" bestFit="1" customWidth="1"/>
    <col min="16139" max="16141" width="12.44140625" style="842" bestFit="1" customWidth="1"/>
    <col min="16142" max="16384" width="9.109375" style="842"/>
  </cols>
  <sheetData>
    <row r="2" spans="1:13" ht="14.25" x14ac:dyDescent="0.2">
      <c r="A2" s="1488" t="str">
        <f>header</f>
        <v>Muswellbrook Shire Council Capital Budget 2017/18 - 2020/21</v>
      </c>
      <c r="B2" s="1488"/>
      <c r="C2" s="1488"/>
      <c r="D2" s="1488"/>
      <c r="E2" s="1488"/>
      <c r="F2" s="1488"/>
      <c r="G2" s="1488"/>
      <c r="H2" s="1488"/>
      <c r="I2" s="1488"/>
      <c r="J2" s="1488"/>
    </row>
    <row r="3" spans="1:13" ht="14.25" x14ac:dyDescent="0.2">
      <c r="A3" s="1447"/>
      <c r="B3" s="1447"/>
      <c r="C3" s="1447"/>
      <c r="D3" s="1447"/>
      <c r="E3" s="1447"/>
      <c r="F3" s="1447"/>
      <c r="G3" s="842"/>
      <c r="H3" s="842"/>
      <c r="I3" s="842"/>
    </row>
    <row r="4" spans="1:13" ht="14.25" x14ac:dyDescent="0.2">
      <c r="A4" s="1448"/>
      <c r="B4" s="1448"/>
      <c r="C4" s="1448"/>
      <c r="D4" s="1449"/>
      <c r="E4" s="1449"/>
      <c r="F4" s="1449"/>
      <c r="G4" s="842"/>
      <c r="H4" s="842"/>
      <c r="I4" s="842"/>
    </row>
    <row r="5" spans="1:13" ht="14.25" x14ac:dyDescent="0.2">
      <c r="A5" s="1488" t="s">
        <v>1326</v>
      </c>
      <c r="B5" s="1488"/>
      <c r="C5" s="1488"/>
      <c r="D5" s="1488"/>
      <c r="E5" s="1488"/>
      <c r="F5" s="1488"/>
      <c r="G5" s="1488"/>
      <c r="H5" s="1488"/>
      <c r="I5" s="1488"/>
      <c r="J5" s="1488"/>
    </row>
    <row r="6" spans="1:13" ht="14.25" x14ac:dyDescent="0.2">
      <c r="A6" s="842"/>
      <c r="B6" s="842"/>
      <c r="C6" s="842"/>
      <c r="D6" s="842"/>
      <c r="E6" s="842"/>
      <c r="F6" s="842"/>
      <c r="G6" s="842"/>
      <c r="H6" s="842"/>
      <c r="M6" s="842"/>
    </row>
    <row r="7" spans="1:13" ht="39" x14ac:dyDescent="0.25">
      <c r="A7" s="842" t="s">
        <v>1091</v>
      </c>
      <c r="B7" s="1450" t="s">
        <v>1093</v>
      </c>
      <c r="C7" s="1450" t="s">
        <v>1094</v>
      </c>
      <c r="D7" s="1450" t="s">
        <v>1095</v>
      </c>
      <c r="E7" s="1450" t="s">
        <v>1096</v>
      </c>
      <c r="F7" s="1451" t="s">
        <v>1097</v>
      </c>
      <c r="G7" s="1451" t="s">
        <v>1098</v>
      </c>
      <c r="H7" s="1479" t="s">
        <v>8</v>
      </c>
      <c r="I7" s="1479" t="s">
        <v>9</v>
      </c>
      <c r="J7" s="1479" t="s">
        <v>514</v>
      </c>
      <c r="K7" s="1479" t="s">
        <v>515</v>
      </c>
      <c r="L7" s="1479" t="s">
        <v>904</v>
      </c>
      <c r="M7" s="1479" t="s">
        <v>1046</v>
      </c>
    </row>
    <row r="8" spans="1:13" ht="14.25" x14ac:dyDescent="0.2">
      <c r="A8" s="844" t="s">
        <v>931</v>
      </c>
      <c r="B8" s="1452">
        <v>97875</v>
      </c>
      <c r="C8" s="1452">
        <v>0</v>
      </c>
      <c r="D8" s="1452">
        <v>-1031191</v>
      </c>
      <c r="E8" s="843">
        <v>-1449591</v>
      </c>
      <c r="F8" s="1453">
        <v>-1804169</v>
      </c>
      <c r="G8" s="843">
        <v>-705286</v>
      </c>
      <c r="H8" s="843"/>
      <c r="I8" s="843"/>
      <c r="J8" s="843"/>
      <c r="K8" s="843"/>
      <c r="L8" s="843"/>
      <c r="M8" s="843"/>
    </row>
    <row r="9" spans="1:13" ht="14.25" x14ac:dyDescent="0.2">
      <c r="A9" s="844" t="s">
        <v>244</v>
      </c>
      <c r="B9" s="1452">
        <v>-1554007</v>
      </c>
      <c r="C9" s="1452">
        <v>0</v>
      </c>
      <c r="D9" s="1452">
        <v>-1981967</v>
      </c>
      <c r="E9" s="1452">
        <v>-2036746.01</v>
      </c>
      <c r="F9" s="1452">
        <v>-2093168.3903000001</v>
      </c>
      <c r="G9" s="1454">
        <v>-2151283.4420090001</v>
      </c>
      <c r="H9" s="1454">
        <f>G9*(1+'LTFP Assumptions'!$J12)</f>
        <v>-2194309.1108491803</v>
      </c>
      <c r="I9" s="1454">
        <f>H9*(1+'LTFP Assumptions'!$J12)</f>
        <v>-2238195.293066164</v>
      </c>
      <c r="J9" s="1454">
        <f>I9*(1+'LTFP Assumptions'!$J12)</f>
        <v>-2282959.1989274872</v>
      </c>
      <c r="K9" s="1454">
        <f>J9*(1+'LTFP Assumptions'!$J12)</f>
        <v>-2328618.3829060369</v>
      </c>
      <c r="L9" s="1454">
        <f>K9*(1+'LTFP Assumptions'!$J12)</f>
        <v>-2375190.7505641575</v>
      </c>
      <c r="M9" s="1454">
        <f>L9*(1+'LTFP Assumptions'!$J12)</f>
        <v>-2422694.5655754409</v>
      </c>
    </row>
    <row r="10" spans="1:13" ht="14.25" x14ac:dyDescent="0.2">
      <c r="A10" s="844" t="s">
        <v>1085</v>
      </c>
      <c r="B10" s="1453">
        <v>-1266000</v>
      </c>
      <c r="C10" s="1453">
        <v>0</v>
      </c>
      <c r="D10" s="1453">
        <v>-1741000</v>
      </c>
      <c r="E10" s="1453">
        <v>-1741000</v>
      </c>
      <c r="F10" s="1453">
        <v>-5241000</v>
      </c>
      <c r="G10" s="843">
        <v>-1741000</v>
      </c>
      <c r="H10" s="1454">
        <f>G10*(1+'LTFP Assumptions'!$J10)</f>
        <v>-1784524.9999999998</v>
      </c>
      <c r="I10" s="1454">
        <f>H10*(1+'LTFP Assumptions'!$J10)</f>
        <v>-1829138.1249999995</v>
      </c>
      <c r="J10" s="1454">
        <f>I10*(1+'LTFP Assumptions'!$J10)</f>
        <v>-1874866.5781249993</v>
      </c>
      <c r="K10" s="1454">
        <f>J10*(1+'LTFP Assumptions'!$J10)</f>
        <v>-1921738.2425781242</v>
      </c>
      <c r="L10" s="1454">
        <f>K10*(1+'LTFP Assumptions'!$J10)</f>
        <v>-1969781.698642577</v>
      </c>
      <c r="M10" s="1454">
        <f>L10*(1+'LTFP Assumptions'!$J10)</f>
        <v>-2019026.2411086413</v>
      </c>
    </row>
    <row r="11" spans="1:13" ht="14.25" x14ac:dyDescent="0.2">
      <c r="A11" s="844" t="s">
        <v>1086</v>
      </c>
      <c r="B11" s="1453">
        <v>-78000</v>
      </c>
      <c r="C11" s="1453">
        <v>0</v>
      </c>
      <c r="D11" s="1453">
        <v>-65000</v>
      </c>
      <c r="E11" s="1453">
        <v>-66625</v>
      </c>
      <c r="F11" s="1453">
        <v>-68290.625</v>
      </c>
      <c r="G11" s="843">
        <v>-69997.890625</v>
      </c>
      <c r="H11" s="1454">
        <f>G11*(1+'LTFP Assumptions'!$J12)</f>
        <v>-71397.848437499997</v>
      </c>
      <c r="I11" s="1454">
        <f>H11*(1+'LTFP Assumptions'!$J12)</f>
        <v>-72825.805406250001</v>
      </c>
      <c r="J11" s="1454">
        <f>I11*(1+'LTFP Assumptions'!$J12)</f>
        <v>-74282.321514374999</v>
      </c>
      <c r="K11" s="1454">
        <f>J11*(1+'LTFP Assumptions'!$J12)</f>
        <v>-75767.967944662494</v>
      </c>
      <c r="L11" s="1454">
        <f>K11*(1+'LTFP Assumptions'!$J12)</f>
        <v>-77283.32730355575</v>
      </c>
      <c r="M11" s="1454">
        <f>L11*(1+'LTFP Assumptions'!$J12)</f>
        <v>-78828.993849626873</v>
      </c>
    </row>
    <row r="12" spans="1:13" ht="14.25" x14ac:dyDescent="0.2">
      <c r="A12" s="844" t="s">
        <v>584</v>
      </c>
      <c r="B12" s="1453">
        <v>-8510646</v>
      </c>
      <c r="C12" s="1453">
        <v>0</v>
      </c>
      <c r="D12" s="1453">
        <v>-7355778</v>
      </c>
      <c r="E12" s="1453">
        <v>-7480789.1699999999</v>
      </c>
      <c r="F12" s="1453">
        <v>-7794117.6536499988</v>
      </c>
      <c r="G12" s="843">
        <v>-8342010.2279792484</v>
      </c>
      <c r="H12" s="843">
        <f>H56</f>
        <v>-8550750.1086787283</v>
      </c>
      <c r="I12" s="843">
        <f t="shared" ref="I12:M12" si="0">I56</f>
        <v>-8764518.8613956943</v>
      </c>
      <c r="J12" s="843">
        <f t="shared" si="0"/>
        <v>-8983631.8329305872</v>
      </c>
      <c r="K12" s="843">
        <f t="shared" si="0"/>
        <v>-9208222.6287538502</v>
      </c>
      <c r="L12" s="843">
        <f t="shared" si="0"/>
        <v>-9438428.1944726966</v>
      </c>
      <c r="M12" s="843">
        <f t="shared" si="0"/>
        <v>-9674388.8993345127</v>
      </c>
    </row>
    <row r="13" spans="1:13" ht="14.25" x14ac:dyDescent="0.2">
      <c r="A13" s="844" t="s">
        <v>22</v>
      </c>
      <c r="B13" s="1453">
        <v>-2262938</v>
      </c>
      <c r="C13" s="1453">
        <v>0</v>
      </c>
      <c r="D13" s="1453">
        <v>-550000</v>
      </c>
      <c r="E13" s="1453">
        <v>-11000000</v>
      </c>
      <c r="F13" s="1453">
        <v>0</v>
      </c>
      <c r="G13" s="843">
        <v>0</v>
      </c>
      <c r="H13" s="1526">
        <v>-2200000</v>
      </c>
      <c r="I13" s="1526">
        <f>H13*(1+'LTFP Assumptions'!$J13)</f>
        <v>-2244000</v>
      </c>
      <c r="J13" s="1526">
        <f>I13*(1+'LTFP Assumptions'!$J13)</f>
        <v>-2288880</v>
      </c>
      <c r="K13" s="1526">
        <f>J13*(1+'LTFP Assumptions'!$J13)</f>
        <v>-2334657.6</v>
      </c>
      <c r="L13" s="1526">
        <f>K13*(1+'LTFP Assumptions'!$J13)</f>
        <v>-2381350.7520000003</v>
      </c>
      <c r="M13" s="1526">
        <f>L13*(1+'LTFP Assumptions'!$J13)</f>
        <v>-2428977.7670400003</v>
      </c>
    </row>
    <row r="14" spans="1:13" ht="14.25" x14ac:dyDescent="0.2">
      <c r="A14" s="844" t="s">
        <v>1099</v>
      </c>
      <c r="B14" s="1453">
        <v>0</v>
      </c>
      <c r="C14" s="1453">
        <v>0</v>
      </c>
      <c r="D14" s="1453">
        <v>0</v>
      </c>
      <c r="E14" s="1453">
        <v>-10500000</v>
      </c>
      <c r="F14" s="1453">
        <v>-11000000</v>
      </c>
      <c r="G14" s="843">
        <v>0</v>
      </c>
      <c r="H14" s="843">
        <f>0</f>
        <v>0</v>
      </c>
      <c r="I14" s="843">
        <f>0</f>
        <v>0</v>
      </c>
      <c r="J14" s="843">
        <f>0</f>
        <v>0</v>
      </c>
      <c r="K14" s="843">
        <f>0</f>
        <v>0</v>
      </c>
      <c r="L14" s="843">
        <f>0</f>
        <v>0</v>
      </c>
      <c r="M14" s="843">
        <f>0</f>
        <v>0</v>
      </c>
    </row>
    <row r="15" spans="1:13" ht="14.25" x14ac:dyDescent="0.2">
      <c r="A15" s="844" t="s">
        <v>950</v>
      </c>
      <c r="B15" s="1453">
        <v>-70000</v>
      </c>
      <c r="C15" s="1453">
        <v>0</v>
      </c>
      <c r="D15" s="1453">
        <v>-70000</v>
      </c>
      <c r="E15" s="1453">
        <v>-70000</v>
      </c>
      <c r="F15" s="1453">
        <v>-70000</v>
      </c>
      <c r="G15" s="843">
        <v>-70000</v>
      </c>
      <c r="H15" s="1454">
        <f>G15*(1+'LTFP Assumptions'!$J13)</f>
        <v>-71400</v>
      </c>
      <c r="I15" s="1454">
        <f>H15*(1+'LTFP Assumptions'!$J13)</f>
        <v>-72828</v>
      </c>
      <c r="J15" s="1454">
        <f>I15*(1+'LTFP Assumptions'!$J13)</f>
        <v>-74284.56</v>
      </c>
      <c r="K15" s="1454">
        <f>J15*(1+'LTFP Assumptions'!$J13)</f>
        <v>-75770.251199999999</v>
      </c>
      <c r="L15" s="1454">
        <f>K15*(1+'LTFP Assumptions'!$J13)</f>
        <v>-77285.656224000006</v>
      </c>
      <c r="M15" s="1454">
        <f>L15*(1+'LTFP Assumptions'!$J13)</f>
        <v>-78831.369348480002</v>
      </c>
    </row>
    <row r="16" spans="1:13" ht="14.25" x14ac:dyDescent="0.2">
      <c r="A16" s="842"/>
      <c r="B16" s="847"/>
      <c r="C16" s="847"/>
      <c r="D16" s="957"/>
      <c r="E16" s="957"/>
      <c r="F16" s="1455" t="s">
        <v>516</v>
      </c>
    </row>
    <row r="17" spans="1:14" ht="14.25" x14ac:dyDescent="0.2">
      <c r="A17" s="1456" t="s">
        <v>1100</v>
      </c>
      <c r="B17" s="1457">
        <v>-13643716</v>
      </c>
      <c r="C17" s="1457">
        <v>0</v>
      </c>
      <c r="D17" s="1457">
        <f>SUM(D8:D15)</f>
        <v>-12794936</v>
      </c>
      <c r="E17" s="1457">
        <f>SUM(E8:E15)</f>
        <v>-34344751.18</v>
      </c>
      <c r="F17" s="1457">
        <f>SUM(F8:F16)</f>
        <v>-28070745.668949999</v>
      </c>
      <c r="G17" s="1458">
        <f>SUM(G8:G16)</f>
        <v>-13079577.560613248</v>
      </c>
      <c r="H17" s="1458">
        <f>SUM(H8:H16)</f>
        <v>-14872382.067965409</v>
      </c>
      <c r="I17" s="1458">
        <f t="shared" ref="I17:M17" si="1">SUM(I8:I16)</f>
        <v>-15221506.084868107</v>
      </c>
      <c r="J17" s="1458">
        <f t="shared" si="1"/>
        <v>-15578904.491497448</v>
      </c>
      <c r="K17" s="1458">
        <f t="shared" si="1"/>
        <v>-15944775.073382672</v>
      </c>
      <c r="L17" s="1458">
        <f t="shared" si="1"/>
        <v>-16319320.379206987</v>
      </c>
      <c r="M17" s="1458">
        <f t="shared" si="1"/>
        <v>-16702747.8362567</v>
      </c>
    </row>
    <row r="18" spans="1:14" ht="14.25" x14ac:dyDescent="0.2">
      <c r="A18" s="842"/>
      <c r="B18" s="847"/>
      <c r="C18" s="847"/>
      <c r="D18" s="957"/>
      <c r="E18" s="957"/>
      <c r="F18" s="957"/>
      <c r="K18" s="842"/>
      <c r="L18" s="842"/>
      <c r="M18" s="842"/>
    </row>
    <row r="19" spans="1:14" ht="39" x14ac:dyDescent="0.25">
      <c r="A19" s="842" t="s">
        <v>30</v>
      </c>
      <c r="B19" s="1450" t="s">
        <v>1093</v>
      </c>
      <c r="C19" s="1450" t="s">
        <v>1094</v>
      </c>
      <c r="D19" s="1450" t="s">
        <v>1095</v>
      </c>
      <c r="E19" s="1450" t="s">
        <v>1096</v>
      </c>
      <c r="F19" s="1451" t="s">
        <v>1097</v>
      </c>
      <c r="G19" s="1451" t="s">
        <v>1098</v>
      </c>
      <c r="H19" s="1479" t="s">
        <v>8</v>
      </c>
      <c r="I19" s="1479" t="s">
        <v>9</v>
      </c>
      <c r="J19" s="1479" t="s">
        <v>514</v>
      </c>
      <c r="K19" s="1479" t="s">
        <v>515</v>
      </c>
      <c r="L19" s="1479" t="s">
        <v>904</v>
      </c>
      <c r="M19" s="1479" t="s">
        <v>1046</v>
      </c>
    </row>
    <row r="20" spans="1:14" ht="14.25" x14ac:dyDescent="0.2">
      <c r="A20" s="844" t="s">
        <v>1101</v>
      </c>
      <c r="B20" s="1461">
        <v>11320422</v>
      </c>
      <c r="C20" s="1461">
        <v>0</v>
      </c>
      <c r="D20" s="1461">
        <v>10028812</v>
      </c>
      <c r="E20" s="1461">
        <v>31571091.800000001</v>
      </c>
      <c r="F20" s="1461">
        <v>25103173.395</v>
      </c>
      <c r="G20" s="1462">
        <v>9732533.4048749991</v>
      </c>
      <c r="H20" s="1462">
        <f>H202</f>
        <v>10427522.139996875</v>
      </c>
      <c r="I20" s="1462">
        <f t="shared" ref="I20:M20" si="2">I202</f>
        <v>11558835.593496796</v>
      </c>
      <c r="J20" s="1462">
        <f t="shared" si="2"/>
        <v>13006124.883334218</v>
      </c>
      <c r="K20" s="1462">
        <f t="shared" si="2"/>
        <v>12867414.265417572</v>
      </c>
      <c r="L20" s="1462">
        <f t="shared" si="2"/>
        <v>13119728.59925301</v>
      </c>
      <c r="M20" s="1462">
        <f t="shared" si="2"/>
        <v>13373093.362978337</v>
      </c>
    </row>
    <row r="21" spans="1:14" ht="14.25" x14ac:dyDescent="0.2">
      <c r="A21" s="844" t="s">
        <v>1083</v>
      </c>
      <c r="B21" s="1453">
        <v>570287</v>
      </c>
      <c r="C21" s="1453">
        <v>0</v>
      </c>
      <c r="D21" s="1453">
        <v>621839</v>
      </c>
      <c r="E21" s="1453">
        <v>555486</v>
      </c>
      <c r="F21" s="1453">
        <v>672751</v>
      </c>
      <c r="G21" s="843">
        <v>972699</v>
      </c>
      <c r="H21" s="1526">
        <v>1007000</v>
      </c>
      <c r="I21" s="1526">
        <v>1054000</v>
      </c>
      <c r="J21" s="1526">
        <v>809000</v>
      </c>
      <c r="K21" s="1526">
        <v>745000</v>
      </c>
      <c r="L21" s="1526">
        <v>777000</v>
      </c>
      <c r="M21" s="1526">
        <v>811000</v>
      </c>
      <c r="N21" s="842" t="s">
        <v>1604</v>
      </c>
    </row>
    <row r="22" spans="1:14" ht="14.25" x14ac:dyDescent="0.2">
      <c r="A22" s="1463" t="s">
        <v>1089</v>
      </c>
      <c r="B22" s="1453">
        <v>1723007</v>
      </c>
      <c r="C22" s="1453">
        <v>0</v>
      </c>
      <c r="D22" s="1453">
        <v>2144285</v>
      </c>
      <c r="E22" s="1453">
        <v>2218173.0099999998</v>
      </c>
      <c r="F22" s="1453">
        <v>2294821.3903000001</v>
      </c>
      <c r="G22" s="843">
        <v>2374345.4420090001</v>
      </c>
      <c r="H22" s="843">
        <f>G22*(1+'LTFP Assumptions'!$J13)</f>
        <v>2421832.35084918</v>
      </c>
      <c r="I22" s="843">
        <f>H22*(1+'LTFP Assumptions'!$J13)</f>
        <v>2470268.9978661635</v>
      </c>
      <c r="J22" s="843">
        <f>I22*(1+'LTFP Assumptions'!$J13)</f>
        <v>2519674.3778234869</v>
      </c>
      <c r="K22" s="843">
        <f>J22*(1+'LTFP Assumptions'!$J13)</f>
        <v>2570067.8653799566</v>
      </c>
      <c r="L22" s="843">
        <f>K22*(1+'LTFP Assumptions'!$J13)</f>
        <v>2621469.2226875559</v>
      </c>
      <c r="M22" s="843">
        <f>L22*(1+'LTFP Assumptions'!$J13)</f>
        <v>2673898.6071413071</v>
      </c>
    </row>
    <row r="23" spans="1:14" ht="14.25" x14ac:dyDescent="0.2">
      <c r="A23" s="842"/>
      <c r="B23" s="847"/>
      <c r="C23" s="847"/>
      <c r="D23" s="957"/>
      <c r="E23" s="957"/>
      <c r="F23" s="957"/>
    </row>
    <row r="24" spans="1:14" ht="14.25" x14ac:dyDescent="0.2">
      <c r="A24" s="1456" t="s">
        <v>910</v>
      </c>
      <c r="B24" s="1457">
        <v>13613716</v>
      </c>
      <c r="C24" s="1457">
        <v>0</v>
      </c>
      <c r="D24" s="1457">
        <f t="shared" ref="D24:G24" si="3">SUM(D20:D22)</f>
        <v>12794936</v>
      </c>
      <c r="E24" s="1457">
        <f t="shared" si="3"/>
        <v>34344750.810000002</v>
      </c>
      <c r="F24" s="1457">
        <f>SUM(F20:F22)</f>
        <v>28070745.785300002</v>
      </c>
      <c r="G24" s="1458">
        <f t="shared" si="3"/>
        <v>13079577.846883999</v>
      </c>
      <c r="H24" s="1458">
        <f t="shared" ref="H24:M24" si="4">SUM(H20:H22)</f>
        <v>13856354.490846055</v>
      </c>
      <c r="I24" s="1458">
        <f t="shared" si="4"/>
        <v>15083104.591362959</v>
      </c>
      <c r="J24" s="1458">
        <f t="shared" si="4"/>
        <v>16334799.261157705</v>
      </c>
      <c r="K24" s="1458">
        <f t="shared" si="4"/>
        <v>16182482.130797528</v>
      </c>
      <c r="L24" s="1458">
        <f t="shared" si="4"/>
        <v>16518197.821940565</v>
      </c>
      <c r="M24" s="1458">
        <f t="shared" si="4"/>
        <v>16857991.970119644</v>
      </c>
    </row>
    <row r="25" spans="1:14" ht="14.25" x14ac:dyDescent="0.2">
      <c r="A25" s="842"/>
      <c r="B25" s="847"/>
      <c r="C25" s="847"/>
      <c r="D25" s="957"/>
      <c r="E25" s="957"/>
      <c r="F25" s="957"/>
    </row>
    <row r="26" spans="1:14" ht="14.25" x14ac:dyDescent="0.2">
      <c r="A26" s="1489" t="s">
        <v>1102</v>
      </c>
      <c r="B26" s="1464">
        <v>-30000</v>
      </c>
      <c r="C26" s="1464">
        <v>0</v>
      </c>
      <c r="D26" s="1464">
        <f t="shared" ref="D26:H26" si="5">D24+D17</f>
        <v>0</v>
      </c>
      <c r="E26" s="1464">
        <f t="shared" si="5"/>
        <v>-0.36999999731779099</v>
      </c>
      <c r="F26" s="1464">
        <f t="shared" si="5"/>
        <v>0.11635000258684158</v>
      </c>
      <c r="G26" s="1465">
        <f t="shared" si="5"/>
        <v>0.2862707506865263</v>
      </c>
      <c r="H26" s="1465">
        <f t="shared" si="5"/>
        <v>-1016027.5771193542</v>
      </c>
      <c r="I26" s="1465">
        <f t="shared" ref="I26:M26" si="6">I24+I17</f>
        <v>-138401.49350514822</v>
      </c>
      <c r="J26" s="1465">
        <f t="shared" si="6"/>
        <v>755894.7696602568</v>
      </c>
      <c r="K26" s="1465">
        <f t="shared" si="6"/>
        <v>237707.05741485581</v>
      </c>
      <c r="L26" s="1465">
        <f t="shared" si="6"/>
        <v>198877.44273357838</v>
      </c>
      <c r="M26" s="1465">
        <f t="shared" si="6"/>
        <v>155244.13386294432</v>
      </c>
    </row>
    <row r="27" spans="1:14" ht="14.25" x14ac:dyDescent="0.2">
      <c r="A27" s="842"/>
      <c r="B27" s="842"/>
      <c r="C27" s="842"/>
      <c r="D27" s="842"/>
      <c r="E27" s="842"/>
      <c r="F27" s="999"/>
      <c r="G27" s="999"/>
      <c r="H27" s="999"/>
      <c r="M27" s="842"/>
    </row>
    <row r="29" spans="1:14" ht="18" x14ac:dyDescent="0.25">
      <c r="A29" s="1490" t="s">
        <v>1572</v>
      </c>
      <c r="B29" s="891"/>
      <c r="C29" s="891"/>
    </row>
    <row r="31" spans="1:14" ht="15" x14ac:dyDescent="0.25">
      <c r="D31" s="1479" t="s">
        <v>4</v>
      </c>
      <c r="E31" s="1479" t="s">
        <v>5</v>
      </c>
      <c r="F31" s="1479" t="s">
        <v>6</v>
      </c>
      <c r="G31" s="1479" t="s">
        <v>7</v>
      </c>
      <c r="H31" s="1479" t="s">
        <v>8</v>
      </c>
      <c r="I31" s="1479" t="s">
        <v>9</v>
      </c>
      <c r="J31" s="1479" t="s">
        <v>514</v>
      </c>
      <c r="K31" s="1479" t="s">
        <v>515</v>
      </c>
      <c r="L31" s="1479" t="s">
        <v>904</v>
      </c>
      <c r="M31" s="1479" t="s">
        <v>1046</v>
      </c>
    </row>
    <row r="32" spans="1:14" ht="14.25" x14ac:dyDescent="0.2">
      <c r="A32" s="1468" t="s">
        <v>1524</v>
      </c>
      <c r="B32" s="1469"/>
      <c r="C32" s="1469"/>
      <c r="D32" s="1452">
        <v>-5130000</v>
      </c>
      <c r="E32" s="1452">
        <f t="shared" ref="E32:F34" si="7">D32*1.025</f>
        <v>-5258250</v>
      </c>
      <c r="F32" s="1452">
        <f t="shared" si="7"/>
        <v>-5389706.2499999991</v>
      </c>
      <c r="G32" s="1452">
        <f>F32*1.025+4</f>
        <v>-5524444.9062499981</v>
      </c>
      <c r="H32" s="843">
        <f t="shared" ref="H32:M36" si="8">G32*1.025</f>
        <v>-5662556.0289062476</v>
      </c>
      <c r="I32" s="843">
        <f t="shared" si="8"/>
        <v>-5804119.929628903</v>
      </c>
      <c r="J32" s="843">
        <f t="shared" si="8"/>
        <v>-5949222.9278696254</v>
      </c>
      <c r="K32" s="843">
        <f t="shared" si="8"/>
        <v>-6097953.5010663653</v>
      </c>
      <c r="L32" s="843">
        <f t="shared" si="8"/>
        <v>-6250402.3385930238</v>
      </c>
      <c r="M32" s="843">
        <f t="shared" si="8"/>
        <v>-6406662.397057849</v>
      </c>
    </row>
    <row r="33" spans="1:13" ht="14.25" x14ac:dyDescent="0.2">
      <c r="A33" s="1468" t="s">
        <v>909</v>
      </c>
      <c r="B33" s="1468"/>
      <c r="C33" s="1468"/>
      <c r="D33" s="843">
        <v>-551500</v>
      </c>
      <c r="E33" s="843">
        <v>-564769</v>
      </c>
      <c r="F33" s="843">
        <v>-578354</v>
      </c>
      <c r="G33" s="1453">
        <v>-592274</v>
      </c>
      <c r="H33" s="843">
        <f t="shared" si="8"/>
        <v>-607080.85</v>
      </c>
      <c r="I33" s="843">
        <f t="shared" si="8"/>
        <v>-622257.87124999997</v>
      </c>
      <c r="J33" s="843">
        <f t="shared" si="8"/>
        <v>-637814.31803124992</v>
      </c>
      <c r="K33" s="843">
        <f t="shared" si="8"/>
        <v>-653759.67598203116</v>
      </c>
      <c r="L33" s="843">
        <f t="shared" si="8"/>
        <v>-670103.66788158193</v>
      </c>
      <c r="M33" s="843">
        <f t="shared" si="8"/>
        <v>-686856.25957862136</v>
      </c>
    </row>
    <row r="34" spans="1:13" ht="14.25" x14ac:dyDescent="0.2">
      <c r="A34" s="1468" t="s">
        <v>1525</v>
      </c>
      <c r="B34" s="1469"/>
      <c r="C34" s="1469"/>
      <c r="D34" s="1452">
        <v>-60950</v>
      </c>
      <c r="E34" s="1452">
        <f t="shared" si="7"/>
        <v>-62473.749999999993</v>
      </c>
      <c r="F34" s="1452">
        <f t="shared" si="7"/>
        <v>-64035.593749999985</v>
      </c>
      <c r="G34" s="1452">
        <f>F34*1.025</f>
        <v>-65636.483593749974</v>
      </c>
      <c r="H34" s="843">
        <f t="shared" si="8"/>
        <v>-67277.395683593713</v>
      </c>
      <c r="I34" s="843">
        <f t="shared" si="8"/>
        <v>-68959.330575683547</v>
      </c>
      <c r="J34" s="843">
        <f t="shared" si="8"/>
        <v>-70683.313840075629</v>
      </c>
      <c r="K34" s="843">
        <f t="shared" si="8"/>
        <v>-72450.396686077511</v>
      </c>
      <c r="L34" s="843">
        <f t="shared" si="8"/>
        <v>-74261.656603229436</v>
      </c>
      <c r="M34" s="843">
        <f t="shared" si="8"/>
        <v>-76118.19801831017</v>
      </c>
    </row>
    <row r="35" spans="1:13" ht="14.25" x14ac:dyDescent="0.2">
      <c r="A35" s="1468" t="s">
        <v>1196</v>
      </c>
      <c r="B35" s="1468"/>
      <c r="C35" s="1468"/>
      <c r="D35" s="843">
        <v>-123900</v>
      </c>
      <c r="E35" s="1491">
        <v>-70000</v>
      </c>
      <c r="F35" s="843">
        <v>-200000</v>
      </c>
      <c r="G35" s="1453">
        <v>-200000</v>
      </c>
      <c r="H35" s="843">
        <f t="shared" si="8"/>
        <v>-204999.99999999997</v>
      </c>
      <c r="I35" s="843">
        <f t="shared" si="8"/>
        <v>-210124.99999999994</v>
      </c>
      <c r="J35" s="843">
        <f t="shared" si="8"/>
        <v>-215378.12499999991</v>
      </c>
      <c r="K35" s="843">
        <f t="shared" si="8"/>
        <v>-220762.57812499988</v>
      </c>
      <c r="L35" s="843">
        <f t="shared" si="8"/>
        <v>-226281.64257812485</v>
      </c>
      <c r="M35" s="843">
        <f t="shared" si="8"/>
        <v>-231938.68364257796</v>
      </c>
    </row>
    <row r="36" spans="1:13" ht="14.25" x14ac:dyDescent="0.2">
      <c r="A36" s="1468" t="s">
        <v>1573</v>
      </c>
      <c r="B36" s="1468"/>
      <c r="C36" s="1468"/>
      <c r="D36" s="843"/>
      <c r="E36" s="843"/>
      <c r="F36" s="843"/>
      <c r="G36" s="1453">
        <v>-360000</v>
      </c>
      <c r="H36" s="843">
        <f t="shared" si="8"/>
        <v>-368999.99999999994</v>
      </c>
      <c r="I36" s="843">
        <f t="shared" si="8"/>
        <v>-378224.99999999988</v>
      </c>
      <c r="J36" s="843">
        <f t="shared" si="8"/>
        <v>-387680.62499999983</v>
      </c>
      <c r="K36" s="843">
        <f t="shared" si="8"/>
        <v>-397372.64062499977</v>
      </c>
      <c r="L36" s="843">
        <f t="shared" si="8"/>
        <v>-407306.95664062473</v>
      </c>
      <c r="M36" s="843">
        <f t="shared" si="8"/>
        <v>-417489.63055664033</v>
      </c>
    </row>
    <row r="38" spans="1:13" ht="14.25" x14ac:dyDescent="0.2">
      <c r="A38" s="1492" t="s">
        <v>1574</v>
      </c>
      <c r="B38" s="1492"/>
      <c r="C38" s="1492"/>
      <c r="D38" s="847">
        <f t="shared" ref="D38:M38" si="9">SUM(D32:D37)</f>
        <v>-5866350</v>
      </c>
      <c r="E38" s="847">
        <f t="shared" si="9"/>
        <v>-5955492.75</v>
      </c>
      <c r="F38" s="847">
        <f t="shared" si="9"/>
        <v>-6232095.8437499991</v>
      </c>
      <c r="G38" s="847">
        <f t="shared" si="9"/>
        <v>-6742355.389843748</v>
      </c>
      <c r="H38" s="847">
        <f t="shared" si="9"/>
        <v>-6910914.2745898413</v>
      </c>
      <c r="I38" s="847">
        <f t="shared" si="9"/>
        <v>-7083687.1314545861</v>
      </c>
      <c r="J38" s="847">
        <f t="shared" si="9"/>
        <v>-7260779.3097409504</v>
      </c>
      <c r="K38" s="847">
        <f t="shared" si="9"/>
        <v>-7442298.7924844734</v>
      </c>
      <c r="L38" s="847">
        <f t="shared" si="9"/>
        <v>-7628356.2622965844</v>
      </c>
      <c r="M38" s="847">
        <f t="shared" si="9"/>
        <v>-7819065.1688539991</v>
      </c>
    </row>
    <row r="40" spans="1:13" ht="14.25" x14ac:dyDescent="0.2">
      <c r="A40" s="1468" t="s">
        <v>1528</v>
      </c>
      <c r="B40" s="1468"/>
      <c r="C40" s="1468"/>
      <c r="D40" s="843">
        <v>-20200</v>
      </c>
      <c r="E40" s="843">
        <f t="shared" ref="E40:M52" si="10">D40*1.025</f>
        <v>-20705</v>
      </c>
      <c r="F40" s="843">
        <f t="shared" si="10"/>
        <v>-21222.624999999996</v>
      </c>
      <c r="G40" s="1453">
        <f t="shared" si="10"/>
        <v>-21753.190624999996</v>
      </c>
      <c r="H40" s="843">
        <f t="shared" si="10"/>
        <v>-22297.020390624995</v>
      </c>
      <c r="I40" s="843">
        <f t="shared" si="10"/>
        <v>-22854.445900390619</v>
      </c>
      <c r="J40" s="843">
        <f t="shared" si="10"/>
        <v>-23425.807047900384</v>
      </c>
      <c r="K40" s="843">
        <f t="shared" si="10"/>
        <v>-24011.452224097891</v>
      </c>
      <c r="L40" s="843">
        <f t="shared" si="10"/>
        <v>-24611.738529700335</v>
      </c>
      <c r="M40" s="843">
        <f t="shared" si="10"/>
        <v>-25227.031992942841</v>
      </c>
    </row>
    <row r="41" spans="1:13" ht="14.25" x14ac:dyDescent="0.2">
      <c r="A41" s="1474" t="s">
        <v>1529</v>
      </c>
      <c r="B41" s="1474"/>
      <c r="C41" s="1474"/>
      <c r="D41" s="843">
        <v>-7500</v>
      </c>
      <c r="E41" s="843">
        <f t="shared" ref="E41:G42" si="11">D41*1.02</f>
        <v>-7650</v>
      </c>
      <c r="F41" s="843">
        <f t="shared" si="11"/>
        <v>-7803</v>
      </c>
      <c r="G41" s="1453">
        <f t="shared" si="11"/>
        <v>-7959.06</v>
      </c>
      <c r="H41" s="843">
        <f t="shared" si="10"/>
        <v>-8158.0364999999993</v>
      </c>
      <c r="I41" s="843">
        <f t="shared" si="10"/>
        <v>-8361.9874124999988</v>
      </c>
      <c r="J41" s="843">
        <f t="shared" si="10"/>
        <v>-8571.0370978124974</v>
      </c>
      <c r="K41" s="843">
        <f t="shared" si="10"/>
        <v>-8785.3130252578085</v>
      </c>
      <c r="L41" s="843">
        <f t="shared" si="10"/>
        <v>-9004.9458508892531</v>
      </c>
      <c r="M41" s="843">
        <f t="shared" si="10"/>
        <v>-9230.069497161483</v>
      </c>
    </row>
    <row r="42" spans="1:13" ht="14.25" x14ac:dyDescent="0.2">
      <c r="A42" s="1468" t="s">
        <v>1530</v>
      </c>
      <c r="B42" s="1468"/>
      <c r="C42" s="1468"/>
      <c r="D42" s="843">
        <v>-11000</v>
      </c>
      <c r="E42" s="843">
        <f t="shared" si="11"/>
        <v>-11220</v>
      </c>
      <c r="F42" s="843">
        <f t="shared" si="11"/>
        <v>-11444.4</v>
      </c>
      <c r="G42" s="1453">
        <f t="shared" si="11"/>
        <v>-11673.288</v>
      </c>
      <c r="H42" s="843">
        <f t="shared" si="10"/>
        <v>-11965.120199999999</v>
      </c>
      <c r="I42" s="843">
        <f t="shared" si="10"/>
        <v>-12264.248204999998</v>
      </c>
      <c r="J42" s="843">
        <f t="shared" si="10"/>
        <v>-12570.854410124997</v>
      </c>
      <c r="K42" s="843">
        <f t="shared" si="10"/>
        <v>-12885.125770378121</v>
      </c>
      <c r="L42" s="843">
        <f t="shared" si="10"/>
        <v>-13207.253914637573</v>
      </c>
      <c r="M42" s="843">
        <f t="shared" si="10"/>
        <v>-13537.435262503512</v>
      </c>
    </row>
    <row r="43" spans="1:13" ht="14.25" x14ac:dyDescent="0.2">
      <c r="A43" s="1475" t="s">
        <v>1531</v>
      </c>
      <c r="B43" s="1475"/>
      <c r="C43" s="1475"/>
      <c r="D43" s="843">
        <v>-24800</v>
      </c>
      <c r="E43" s="843">
        <f>D43*1.025+1</f>
        <v>-25418.999999999996</v>
      </c>
      <c r="F43" s="843">
        <f>E43*1.025+1</f>
        <v>-26053.474999999995</v>
      </c>
      <c r="G43" s="1453">
        <f>F43*1.025+1</f>
        <v>-26703.811874999992</v>
      </c>
      <c r="H43" s="843">
        <f t="shared" si="10"/>
        <v>-27371.407171874991</v>
      </c>
      <c r="I43" s="843">
        <f t="shared" si="10"/>
        <v>-28055.692351171863</v>
      </c>
      <c r="J43" s="843">
        <f t="shared" si="10"/>
        <v>-28757.084659951157</v>
      </c>
      <c r="K43" s="843">
        <f t="shared" si="10"/>
        <v>-29476.011776449934</v>
      </c>
      <c r="L43" s="843">
        <f t="shared" si="10"/>
        <v>-30212.912070861181</v>
      </c>
      <c r="M43" s="843">
        <f t="shared" si="10"/>
        <v>-30968.234872632707</v>
      </c>
    </row>
    <row r="44" spans="1:13" ht="14.25" x14ac:dyDescent="0.2">
      <c r="A44" s="1474" t="s">
        <v>1532</v>
      </c>
      <c r="B44" s="1477"/>
      <c r="C44" s="1477"/>
      <c r="D44" s="1493">
        <v>-231500</v>
      </c>
      <c r="E44" s="843">
        <f>D44*1.02</f>
        <v>-236130</v>
      </c>
      <c r="F44" s="843">
        <f>E44*1.02+1</f>
        <v>-240851.6</v>
      </c>
      <c r="G44" s="1453">
        <f>F44*1.02+1</f>
        <v>-245667.63200000001</v>
      </c>
      <c r="H44" s="843">
        <f t="shared" si="10"/>
        <v>-251809.32279999999</v>
      </c>
      <c r="I44" s="843">
        <f t="shared" si="10"/>
        <v>-258104.55586999998</v>
      </c>
      <c r="J44" s="843">
        <f t="shared" si="10"/>
        <v>-264557.16976674995</v>
      </c>
      <c r="K44" s="843">
        <f t="shared" si="10"/>
        <v>-271171.0990109187</v>
      </c>
      <c r="L44" s="843">
        <f t="shared" si="10"/>
        <v>-277950.37648619164</v>
      </c>
      <c r="M44" s="843">
        <f t="shared" si="10"/>
        <v>-284899.13589834643</v>
      </c>
    </row>
    <row r="45" spans="1:13" ht="14.25" x14ac:dyDescent="0.2">
      <c r="A45" s="1468" t="s">
        <v>1533</v>
      </c>
      <c r="B45" s="1468"/>
      <c r="C45" s="1468"/>
      <c r="D45" s="843">
        <v>-14000</v>
      </c>
      <c r="E45" s="843">
        <f>D45*1.025</f>
        <v>-14349.999999999998</v>
      </c>
      <c r="F45" s="843">
        <f>E45*1.025+1</f>
        <v>-14707.749999999996</v>
      </c>
      <c r="G45" s="1453">
        <f>F45*1.025-1</f>
        <v>-15076.443749999995</v>
      </c>
      <c r="H45" s="843">
        <f t="shared" si="10"/>
        <v>-15453.354843749994</v>
      </c>
      <c r="I45" s="843">
        <f t="shared" si="10"/>
        <v>-15839.688714843742</v>
      </c>
      <c r="J45" s="843">
        <f t="shared" si="10"/>
        <v>-16235.680932714833</v>
      </c>
      <c r="K45" s="843">
        <f t="shared" si="10"/>
        <v>-16641.572956032702</v>
      </c>
      <c r="L45" s="843">
        <f t="shared" si="10"/>
        <v>-17057.612279933517</v>
      </c>
      <c r="M45" s="843">
        <f t="shared" si="10"/>
        <v>-17484.052586931855</v>
      </c>
    </row>
    <row r="46" spans="1:13" ht="14.25" x14ac:dyDescent="0.2">
      <c r="A46" s="1468" t="s">
        <v>1534</v>
      </c>
      <c r="B46" s="1468"/>
      <c r="C46" s="1468"/>
      <c r="D46" s="843">
        <v>-5600</v>
      </c>
      <c r="E46" s="843">
        <f>D46*1.025</f>
        <v>-5739.9999999999991</v>
      </c>
      <c r="F46" s="843">
        <f>E46*1.025+1</f>
        <v>-5882.4999999999982</v>
      </c>
      <c r="G46" s="1453">
        <v>-6030</v>
      </c>
      <c r="H46" s="843">
        <f t="shared" si="10"/>
        <v>-6180.7499999999991</v>
      </c>
      <c r="I46" s="843">
        <f t="shared" si="10"/>
        <v>-6335.2687499999984</v>
      </c>
      <c r="J46" s="843">
        <f t="shared" si="10"/>
        <v>-6493.6504687499973</v>
      </c>
      <c r="K46" s="843">
        <f t="shared" si="10"/>
        <v>-6655.9917304687469</v>
      </c>
      <c r="L46" s="843">
        <f t="shared" si="10"/>
        <v>-6822.3915237304655</v>
      </c>
      <c r="M46" s="843">
        <f t="shared" si="10"/>
        <v>-6992.9513118237264</v>
      </c>
    </row>
    <row r="47" spans="1:13" ht="14.25" x14ac:dyDescent="0.2">
      <c r="A47" s="1468" t="s">
        <v>1535</v>
      </c>
      <c r="B47" s="1468"/>
      <c r="C47" s="1468"/>
      <c r="D47" s="843">
        <v>-229000</v>
      </c>
      <c r="E47" s="843">
        <f>D47*1.025</f>
        <v>-234724.99999999997</v>
      </c>
      <c r="F47" s="843">
        <f>E47*1.025+1</f>
        <v>-240592.12499999994</v>
      </c>
      <c r="G47" s="1453">
        <f>F47*1.025</f>
        <v>-246606.92812499992</v>
      </c>
      <c r="H47" s="843">
        <f t="shared" si="10"/>
        <v>-252772.1013281249</v>
      </c>
      <c r="I47" s="843">
        <f t="shared" si="10"/>
        <v>-259091.403861328</v>
      </c>
      <c r="J47" s="843">
        <f t="shared" si="10"/>
        <v>-265568.68895786116</v>
      </c>
      <c r="K47" s="843">
        <f t="shared" si="10"/>
        <v>-272207.90618180769</v>
      </c>
      <c r="L47" s="843">
        <f t="shared" si="10"/>
        <v>-279013.10383635288</v>
      </c>
      <c r="M47" s="843">
        <f t="shared" si="10"/>
        <v>-285988.43143226166</v>
      </c>
    </row>
    <row r="48" spans="1:13" ht="14.25" x14ac:dyDescent="0.2">
      <c r="A48" s="1474" t="s">
        <v>1216</v>
      </c>
      <c r="B48" s="1474"/>
      <c r="C48" s="1474"/>
      <c r="D48" s="843">
        <v>-160500</v>
      </c>
      <c r="E48" s="843">
        <f>D48*1.025+1</f>
        <v>-164511.5</v>
      </c>
      <c r="F48" s="843">
        <f>E48*1.025</f>
        <v>-168624.28749999998</v>
      </c>
      <c r="G48" s="1453">
        <f>F48*1.025+1</f>
        <v>-172838.89468749997</v>
      </c>
      <c r="H48" s="843">
        <f t="shared" si="10"/>
        <v>-177159.86705468746</v>
      </c>
      <c r="I48" s="843">
        <f t="shared" si="10"/>
        <v>-181588.86373105465</v>
      </c>
      <c r="J48" s="843">
        <f t="shared" si="10"/>
        <v>-186128.58532433098</v>
      </c>
      <c r="K48" s="843">
        <f t="shared" si="10"/>
        <v>-190781.79995743925</v>
      </c>
      <c r="L48" s="843">
        <f t="shared" si="10"/>
        <v>-195551.34495637522</v>
      </c>
      <c r="M48" s="843">
        <f t="shared" si="10"/>
        <v>-200440.1285802846</v>
      </c>
    </row>
    <row r="49" spans="1:13" ht="14.25" x14ac:dyDescent="0.2">
      <c r="A49" s="1468" t="s">
        <v>1527</v>
      </c>
      <c r="B49" s="1469"/>
      <c r="C49" s="1469"/>
      <c r="D49" s="1452">
        <v>-743672</v>
      </c>
      <c r="E49" s="1452">
        <f>D49*1.025</f>
        <v>-762263.79999999993</v>
      </c>
      <c r="F49" s="1452">
        <f>E49*1.025</f>
        <v>-781320.3949999999</v>
      </c>
      <c r="G49" s="1452">
        <f>F49*1.025</f>
        <v>-800853.40487499977</v>
      </c>
      <c r="H49" s="843">
        <f t="shared" si="10"/>
        <v>-820874.7399968747</v>
      </c>
      <c r="I49" s="843">
        <f t="shared" si="10"/>
        <v>-841396.60849679646</v>
      </c>
      <c r="J49" s="843">
        <f t="shared" si="10"/>
        <v>-862431.52370921627</v>
      </c>
      <c r="K49" s="843">
        <f t="shared" si="10"/>
        <v>-883992.31180194661</v>
      </c>
      <c r="L49" s="843">
        <f t="shared" si="10"/>
        <v>-906092.11959699518</v>
      </c>
      <c r="M49" s="843">
        <f t="shared" si="10"/>
        <v>-928744.42258691997</v>
      </c>
    </row>
    <row r="50" spans="1:13" ht="14.25" x14ac:dyDescent="0.2">
      <c r="A50" s="1468" t="s">
        <v>1234</v>
      </c>
      <c r="B50" s="1468"/>
      <c r="C50" s="1468"/>
      <c r="D50" s="843">
        <v>-4500</v>
      </c>
      <c r="E50" s="843">
        <f t="shared" ref="E50:G51" si="12">D50*1.02</f>
        <v>-4590</v>
      </c>
      <c r="F50" s="843">
        <f t="shared" si="12"/>
        <v>-4681.8</v>
      </c>
      <c r="G50" s="1453">
        <f t="shared" si="12"/>
        <v>-4775.4360000000006</v>
      </c>
      <c r="H50" s="843">
        <f t="shared" si="10"/>
        <v>-4894.8218999999999</v>
      </c>
      <c r="I50" s="843">
        <f t="shared" si="10"/>
        <v>-5017.1924474999996</v>
      </c>
      <c r="J50" s="843">
        <f t="shared" si="10"/>
        <v>-5142.6222586874992</v>
      </c>
      <c r="K50" s="843">
        <f t="shared" si="10"/>
        <v>-5271.1878151546862</v>
      </c>
      <c r="L50" s="843">
        <f t="shared" si="10"/>
        <v>-5402.9675105335527</v>
      </c>
      <c r="M50" s="843">
        <f t="shared" si="10"/>
        <v>-5538.0416982968909</v>
      </c>
    </row>
    <row r="51" spans="1:13" ht="14.25" x14ac:dyDescent="0.2">
      <c r="A51" s="1468" t="s">
        <v>1218</v>
      </c>
      <c r="B51" s="1468"/>
      <c r="C51" s="1468"/>
      <c r="D51" s="843">
        <v>-7156</v>
      </c>
      <c r="E51" s="843">
        <f t="shared" si="12"/>
        <v>-7299.12</v>
      </c>
      <c r="F51" s="843">
        <f t="shared" si="12"/>
        <v>-7445.1023999999998</v>
      </c>
      <c r="G51" s="1453">
        <f t="shared" si="12"/>
        <v>-7594.0044479999997</v>
      </c>
      <c r="H51" s="843">
        <f t="shared" si="10"/>
        <v>-7783.8545591999991</v>
      </c>
      <c r="I51" s="843">
        <f t="shared" si="10"/>
        <v>-7978.4509231799984</v>
      </c>
      <c r="J51" s="843">
        <f t="shared" si="10"/>
        <v>-8177.9121962594973</v>
      </c>
      <c r="K51" s="843">
        <f t="shared" si="10"/>
        <v>-8382.3600011659837</v>
      </c>
      <c r="L51" s="843">
        <f t="shared" si="10"/>
        <v>-8591.9190011951323</v>
      </c>
      <c r="M51" s="843">
        <f t="shared" si="10"/>
        <v>-8806.7169762250105</v>
      </c>
    </row>
    <row r="52" spans="1:13" ht="14.25" x14ac:dyDescent="0.2">
      <c r="A52" s="1468" t="s">
        <v>1536</v>
      </c>
      <c r="B52" s="1468"/>
      <c r="C52" s="1468"/>
      <c r="D52" s="843">
        <v>-30000</v>
      </c>
      <c r="E52" s="843">
        <f>D52*1.025</f>
        <v>-30749.999999999996</v>
      </c>
      <c r="F52" s="843">
        <f>E52*1.025-1</f>
        <v>-31519.749999999993</v>
      </c>
      <c r="G52" s="1453">
        <f>F52*1.025</f>
        <v>-32307.743749999991</v>
      </c>
      <c r="H52" s="843">
        <f t="shared" si="10"/>
        <v>-33115.437343749989</v>
      </c>
      <c r="I52" s="843">
        <f t="shared" si="10"/>
        <v>-33943.323277343734</v>
      </c>
      <c r="J52" s="843">
        <f t="shared" si="10"/>
        <v>-34791.906359277324</v>
      </c>
      <c r="K52" s="843">
        <f t="shared" si="10"/>
        <v>-35661.704018259254</v>
      </c>
      <c r="L52" s="843">
        <f t="shared" si="10"/>
        <v>-36553.246618715733</v>
      </c>
      <c r="M52" s="843">
        <f t="shared" si="10"/>
        <v>-37467.077784183624</v>
      </c>
    </row>
    <row r="54" spans="1:13" ht="14.25" x14ac:dyDescent="0.2">
      <c r="A54" s="1492" t="s">
        <v>1575</v>
      </c>
      <c r="B54" s="1492"/>
      <c r="C54" s="1492"/>
      <c r="D54" s="847">
        <f t="shared" ref="D54:M54" si="13">SUM(D40:D53)</f>
        <v>-1489428</v>
      </c>
      <c r="E54" s="847">
        <f t="shared" si="13"/>
        <v>-1525353.42</v>
      </c>
      <c r="F54" s="847">
        <f t="shared" si="13"/>
        <v>-1562148.8098999998</v>
      </c>
      <c r="G54" s="847">
        <f t="shared" si="13"/>
        <v>-1599839.8381354995</v>
      </c>
      <c r="H54" s="847">
        <f t="shared" si="13"/>
        <v>-1639835.8340888871</v>
      </c>
      <c r="I54" s="847">
        <f t="shared" si="13"/>
        <v>-1680831.729941109</v>
      </c>
      <c r="J54" s="847">
        <f t="shared" si="13"/>
        <v>-1722852.5231896366</v>
      </c>
      <c r="K54" s="847">
        <f t="shared" si="13"/>
        <v>-1765923.8362693773</v>
      </c>
      <c r="L54" s="847">
        <f t="shared" si="13"/>
        <v>-1810071.9321761117</v>
      </c>
      <c r="M54" s="847">
        <f t="shared" si="13"/>
        <v>-1855323.7304805142</v>
      </c>
    </row>
    <row r="56" spans="1:13" ht="14.25" x14ac:dyDescent="0.2">
      <c r="A56" s="1492" t="s">
        <v>1576</v>
      </c>
      <c r="B56" s="1492"/>
      <c r="C56" s="1492"/>
      <c r="D56" s="847">
        <f>D38+D54</f>
        <v>-7355778</v>
      </c>
      <c r="E56" s="847">
        <f t="shared" ref="E56:M56" si="14">E38+E54</f>
        <v>-7480846.1699999999</v>
      </c>
      <c r="F56" s="847">
        <f t="shared" si="14"/>
        <v>-7794244.6536499988</v>
      </c>
      <c r="G56" s="847">
        <f t="shared" si="14"/>
        <v>-8342195.2279792475</v>
      </c>
      <c r="H56" s="847">
        <f t="shared" si="14"/>
        <v>-8550750.1086787283</v>
      </c>
      <c r="I56" s="847">
        <f t="shared" si="14"/>
        <v>-8764518.8613956943</v>
      </c>
      <c r="J56" s="847">
        <f t="shared" si="14"/>
        <v>-8983631.8329305872</v>
      </c>
      <c r="K56" s="847">
        <f t="shared" si="14"/>
        <v>-9208222.6287538502</v>
      </c>
      <c r="L56" s="847">
        <f t="shared" si="14"/>
        <v>-9438428.1944726966</v>
      </c>
      <c r="M56" s="847">
        <f t="shared" si="14"/>
        <v>-9674388.8993345127</v>
      </c>
    </row>
    <row r="57" spans="1:13" ht="14.25" x14ac:dyDescent="0.2">
      <c r="A57" s="1492"/>
      <c r="B57" s="1492"/>
      <c r="C57" s="1492"/>
    </row>
    <row r="58" spans="1:13" ht="18" x14ac:dyDescent="0.25">
      <c r="A58" s="1494" t="s">
        <v>1577</v>
      </c>
      <c r="B58" s="1492"/>
      <c r="C58" s="1492"/>
    </row>
    <row r="59" spans="1:13" ht="15" x14ac:dyDescent="0.25">
      <c r="B59" s="1495"/>
      <c r="C59" s="1495"/>
      <c r="D59" s="1496" t="s">
        <v>4</v>
      </c>
      <c r="E59" s="1496" t="s">
        <v>5</v>
      </c>
      <c r="F59" s="1496" t="s">
        <v>6</v>
      </c>
      <c r="G59" s="1496" t="s">
        <v>7</v>
      </c>
      <c r="H59" s="1479" t="s">
        <v>8</v>
      </c>
      <c r="I59" s="1479" t="s">
        <v>9</v>
      </c>
      <c r="J59" s="1479" t="s">
        <v>514</v>
      </c>
      <c r="K59" s="1479" t="s">
        <v>515</v>
      </c>
      <c r="L59" s="1479" t="s">
        <v>904</v>
      </c>
      <c r="M59" s="1479" t="s">
        <v>1046</v>
      </c>
    </row>
    <row r="60" spans="1:13" ht="14.25" x14ac:dyDescent="0.2">
      <c r="A60" s="829" t="s">
        <v>1032</v>
      </c>
      <c r="B60" s="1033"/>
      <c r="C60" s="1033"/>
      <c r="E60" s="1497" t="s">
        <v>516</v>
      </c>
      <c r="F60" s="1497" t="s">
        <v>516</v>
      </c>
      <c r="G60" s="1498" t="s">
        <v>516</v>
      </c>
      <c r="H60" s="1499"/>
      <c r="I60" s="1499"/>
      <c r="J60" s="1499"/>
      <c r="K60" s="1499"/>
      <c r="L60" s="1499"/>
      <c r="M60" s="1499"/>
    </row>
    <row r="61" spans="1:13" ht="14.25" x14ac:dyDescent="0.2">
      <c r="A61" s="829" t="s">
        <v>1121</v>
      </c>
      <c r="B61" s="1033"/>
      <c r="C61" s="1033"/>
      <c r="D61" s="847">
        <v>70000</v>
      </c>
      <c r="E61" s="1497">
        <v>70000</v>
      </c>
      <c r="F61" s="1497">
        <v>70000</v>
      </c>
      <c r="G61" s="1498">
        <v>70000</v>
      </c>
      <c r="H61" s="1497">
        <v>70000</v>
      </c>
      <c r="I61" s="1497">
        <f>H61*1.02</f>
        <v>71400</v>
      </c>
      <c r="J61" s="1497">
        <f>I61*1.02</f>
        <v>72828</v>
      </c>
      <c r="K61" s="1497">
        <f>J61*1.02</f>
        <v>74284.56</v>
      </c>
      <c r="L61" s="1497">
        <f>K61*1.02</f>
        <v>75770.251199999999</v>
      </c>
      <c r="M61" s="1497">
        <f>L61*1.02</f>
        <v>77285.656224000006</v>
      </c>
    </row>
    <row r="62" spans="1:13" ht="14.25" x14ac:dyDescent="0.2">
      <c r="A62" s="829" t="s">
        <v>1122</v>
      </c>
      <c r="B62" s="1033"/>
      <c r="C62" s="1033"/>
      <c r="D62" s="847">
        <v>1167000</v>
      </c>
      <c r="E62" s="830">
        <v>1195000</v>
      </c>
      <c r="F62" s="1497">
        <v>1223000</v>
      </c>
      <c r="G62" s="1498">
        <v>1173000</v>
      </c>
      <c r="H62" s="1497">
        <v>1231000</v>
      </c>
      <c r="I62" s="1497">
        <v>1173000</v>
      </c>
      <c r="J62" s="1497">
        <v>1250000</v>
      </c>
      <c r="K62" s="1497">
        <v>1250000</v>
      </c>
      <c r="L62" s="1497">
        <v>1250000</v>
      </c>
      <c r="M62" s="1497">
        <v>1300000</v>
      </c>
    </row>
    <row r="63" spans="1:13" ht="14.25" x14ac:dyDescent="0.2">
      <c r="A63" s="829" t="s">
        <v>1123</v>
      </c>
      <c r="B63" s="1033"/>
      <c r="C63" s="1033"/>
      <c r="D63" s="847">
        <v>562000</v>
      </c>
      <c r="E63" s="1497">
        <v>570000</v>
      </c>
      <c r="F63" s="1497">
        <v>580000</v>
      </c>
      <c r="G63" s="1498">
        <v>530000</v>
      </c>
      <c r="H63" s="1497">
        <v>580000</v>
      </c>
      <c r="I63" s="1497">
        <v>530000</v>
      </c>
      <c r="J63" s="1497">
        <v>580000</v>
      </c>
      <c r="K63" s="1497">
        <v>580000</v>
      </c>
      <c r="L63" s="1497">
        <v>580000</v>
      </c>
      <c r="M63" s="1497">
        <v>580000</v>
      </c>
    </row>
    <row r="64" spans="1:13" ht="14.25" x14ac:dyDescent="0.2">
      <c r="A64" s="829" t="s">
        <v>1124</v>
      </c>
      <c r="B64" s="1033"/>
      <c r="C64" s="1033"/>
      <c r="D64" s="847">
        <v>450000</v>
      </c>
      <c r="E64" s="1497">
        <v>460000</v>
      </c>
      <c r="F64" s="1497">
        <v>470000</v>
      </c>
      <c r="G64" s="1498">
        <v>420000</v>
      </c>
      <c r="H64" s="1497">
        <v>470000</v>
      </c>
      <c r="I64" s="1497">
        <v>420000</v>
      </c>
      <c r="J64" s="1497">
        <v>470000</v>
      </c>
      <c r="K64" s="1497">
        <v>470000</v>
      </c>
      <c r="L64" s="1497">
        <v>470000</v>
      </c>
      <c r="M64" s="1497">
        <v>470000</v>
      </c>
    </row>
    <row r="65" spans="1:13" ht="14.25" x14ac:dyDescent="0.2">
      <c r="A65" s="829" t="s">
        <v>1125</v>
      </c>
      <c r="B65" s="1033"/>
      <c r="C65" s="1033"/>
      <c r="D65" s="847">
        <v>328000</v>
      </c>
      <c r="E65" s="1497">
        <v>328000</v>
      </c>
      <c r="F65" s="1497">
        <v>330000</v>
      </c>
      <c r="G65" s="1498">
        <v>330000</v>
      </c>
      <c r="H65" s="1497">
        <v>380000</v>
      </c>
      <c r="I65" s="1497">
        <v>330000</v>
      </c>
      <c r="J65" s="1497">
        <v>380000</v>
      </c>
      <c r="K65" s="1497">
        <v>380000</v>
      </c>
      <c r="L65" s="1497">
        <v>380000</v>
      </c>
      <c r="M65" s="1497">
        <v>380000</v>
      </c>
    </row>
    <row r="66" spans="1:13" ht="14.25" x14ac:dyDescent="0.2">
      <c r="A66" s="829" t="s">
        <v>1578</v>
      </c>
      <c r="B66" s="1033"/>
      <c r="C66" s="1033"/>
      <c r="E66" s="1497"/>
      <c r="F66" s="1497"/>
      <c r="G66" s="1498"/>
      <c r="H66" s="1497">
        <v>650000</v>
      </c>
      <c r="I66" s="1497">
        <v>1500000</v>
      </c>
      <c r="J66" s="1497">
        <v>1420000</v>
      </c>
      <c r="K66" s="1497">
        <v>1640000</v>
      </c>
      <c r="L66" s="1497">
        <v>1950000</v>
      </c>
      <c r="M66" s="1497">
        <v>1950000</v>
      </c>
    </row>
    <row r="67" spans="1:13" ht="14.25" x14ac:dyDescent="0.2">
      <c r="A67" s="1530" t="s">
        <v>1620</v>
      </c>
      <c r="B67" s="1531"/>
      <c r="C67" s="1531"/>
      <c r="D67" s="1532"/>
      <c r="E67" s="1533"/>
      <c r="F67" s="1533"/>
      <c r="G67" s="1534">
        <v>1200000</v>
      </c>
      <c r="H67" s="1533">
        <v>600000</v>
      </c>
      <c r="I67" s="1533">
        <v>500000</v>
      </c>
      <c r="J67" s="1497"/>
      <c r="K67" s="1497"/>
      <c r="L67" s="1497"/>
      <c r="M67" s="1497"/>
    </row>
    <row r="68" spans="1:13" s="999" customFormat="1" ht="14.25" x14ac:dyDescent="0.2">
      <c r="A68" s="1345" t="s">
        <v>1644</v>
      </c>
      <c r="B68" s="1544"/>
      <c r="C68" s="1544"/>
      <c r="D68" s="1519">
        <v>400000</v>
      </c>
      <c r="E68" s="1519" t="str">
        <f>'Revised Capital budget No SRV'!E57</f>
        <v xml:space="preserve"> </v>
      </c>
      <c r="F68" s="1519"/>
      <c r="G68" s="1519">
        <v>400000</v>
      </c>
      <c r="H68" s="1519">
        <v>300000</v>
      </c>
      <c r="I68" s="1519">
        <v>350000</v>
      </c>
      <c r="J68" s="1519">
        <v>300000</v>
      </c>
      <c r="K68" s="1519">
        <v>-100000</v>
      </c>
      <c r="L68" s="1519">
        <v>-100000</v>
      </c>
      <c r="M68" s="1519">
        <v>-100000</v>
      </c>
    </row>
    <row r="69" spans="1:13" ht="14.25" x14ac:dyDescent="0.2">
      <c r="A69" s="829" t="s">
        <v>1150</v>
      </c>
      <c r="B69" s="1033"/>
      <c r="C69" s="1033"/>
      <c r="D69" s="847">
        <v>0</v>
      </c>
      <c r="E69" s="1497">
        <v>2500000</v>
      </c>
      <c r="F69" s="1497">
        <v>2500000</v>
      </c>
      <c r="G69" s="1498"/>
      <c r="H69" s="1497"/>
      <c r="I69" s="1497"/>
      <c r="J69" s="1497"/>
      <c r="K69" s="1497"/>
      <c r="L69" s="1497"/>
      <c r="M69" s="1497"/>
    </row>
    <row r="70" spans="1:13" ht="14.25" x14ac:dyDescent="0.2">
      <c r="A70" s="829" t="s">
        <v>1540</v>
      </c>
      <c r="B70" s="1033"/>
      <c r="C70" s="1033"/>
      <c r="D70" s="847">
        <v>1000000</v>
      </c>
      <c r="E70" s="1497">
        <v>1000000</v>
      </c>
      <c r="F70" s="1497">
        <v>1000000</v>
      </c>
      <c r="G70" s="1498">
        <v>1000000</v>
      </c>
      <c r="H70" s="1497">
        <v>1000000</v>
      </c>
      <c r="I70" s="1497">
        <v>1000000</v>
      </c>
      <c r="J70" s="1497">
        <v>1000000</v>
      </c>
      <c r="K70" s="1497">
        <v>1000000</v>
      </c>
      <c r="L70" s="1497">
        <v>1000000</v>
      </c>
      <c r="M70" s="1497">
        <v>1000000</v>
      </c>
    </row>
    <row r="71" spans="1:13" ht="14.25" x14ac:dyDescent="0.2">
      <c r="A71" s="829" t="s">
        <v>1126</v>
      </c>
      <c r="B71" s="1033"/>
      <c r="C71" s="1033"/>
      <c r="D71" s="847">
        <v>542000</v>
      </c>
      <c r="E71" s="1497">
        <v>550000</v>
      </c>
      <c r="F71" s="1497">
        <v>560000</v>
      </c>
      <c r="G71" s="1498">
        <v>510000</v>
      </c>
      <c r="H71" s="1497">
        <v>560000</v>
      </c>
      <c r="I71" s="1497">
        <v>510000</v>
      </c>
      <c r="J71" s="1497">
        <v>570000</v>
      </c>
      <c r="K71" s="1497">
        <v>570000</v>
      </c>
      <c r="L71" s="1497">
        <v>570000</v>
      </c>
      <c r="M71" s="1497">
        <v>570000</v>
      </c>
    </row>
    <row r="72" spans="1:13" ht="14.25" x14ac:dyDescent="0.2">
      <c r="A72" s="829" t="s">
        <v>1579</v>
      </c>
      <c r="B72" s="1033"/>
      <c r="C72" s="1033"/>
      <c r="E72" s="1497"/>
      <c r="F72" s="1497"/>
      <c r="G72" s="1498"/>
      <c r="H72" s="1497"/>
      <c r="I72" s="1497">
        <v>750000</v>
      </c>
      <c r="J72" s="1497">
        <v>750000</v>
      </c>
      <c r="K72" s="1497">
        <v>750000</v>
      </c>
      <c r="L72" s="1497">
        <v>750000</v>
      </c>
      <c r="M72" s="1497">
        <v>750000</v>
      </c>
    </row>
    <row r="73" spans="1:13" ht="14.25" x14ac:dyDescent="0.2">
      <c r="A73" s="829" t="s">
        <v>1127</v>
      </c>
      <c r="B73" s="1033"/>
      <c r="C73" s="1033"/>
      <c r="D73" s="847">
        <v>403970</v>
      </c>
      <c r="E73" s="1497">
        <v>412049</v>
      </c>
      <c r="F73" s="1497">
        <v>420290</v>
      </c>
      <c r="G73" s="1498">
        <v>428696</v>
      </c>
      <c r="H73" s="1497">
        <f t="shared" ref="H73:M73" si="15">G73*1.025</f>
        <v>439413.39999999997</v>
      </c>
      <c r="I73" s="1497">
        <f t="shared" si="15"/>
        <v>450398.73499999993</v>
      </c>
      <c r="J73" s="1497">
        <f t="shared" si="15"/>
        <v>461658.70337499987</v>
      </c>
      <c r="K73" s="1497">
        <f t="shared" si="15"/>
        <v>473200.17095937481</v>
      </c>
      <c r="L73" s="1497">
        <f t="shared" si="15"/>
        <v>485030.17523335916</v>
      </c>
      <c r="M73" s="1497">
        <f t="shared" si="15"/>
        <v>497155.9296141931</v>
      </c>
    </row>
    <row r="74" spans="1:13" ht="14.25" x14ac:dyDescent="0.2">
      <c r="A74" s="832" t="s">
        <v>1151</v>
      </c>
      <c r="B74" s="1032"/>
      <c r="C74" s="1032"/>
      <c r="E74" s="1497">
        <v>300000</v>
      </c>
      <c r="F74" s="1497">
        <v>300000</v>
      </c>
      <c r="G74" s="1498">
        <v>250000</v>
      </c>
      <c r="H74" s="1497"/>
      <c r="I74" s="1497"/>
      <c r="J74" s="1497"/>
      <c r="K74" s="1497"/>
      <c r="L74" s="1497"/>
      <c r="M74" s="1497"/>
    </row>
    <row r="75" spans="1:13" ht="14.25" x14ac:dyDescent="0.2">
      <c r="A75" s="832" t="s">
        <v>1128</v>
      </c>
      <c r="B75" s="1032"/>
      <c r="C75" s="1032"/>
      <c r="D75" s="847">
        <v>300000</v>
      </c>
      <c r="E75" s="1497">
        <v>305000</v>
      </c>
      <c r="F75" s="1497">
        <v>305000</v>
      </c>
      <c r="G75" s="1498">
        <v>305000</v>
      </c>
      <c r="H75" s="1497">
        <v>305000</v>
      </c>
      <c r="I75" s="1497">
        <v>305000</v>
      </c>
      <c r="J75" s="1497">
        <v>305000</v>
      </c>
      <c r="K75" s="1497">
        <v>305000</v>
      </c>
      <c r="L75" s="1497">
        <v>305000</v>
      </c>
      <c r="M75" s="1497">
        <v>305000</v>
      </c>
    </row>
    <row r="76" spans="1:13" ht="14.25" x14ac:dyDescent="0.2">
      <c r="A76" s="832" t="s">
        <v>1129</v>
      </c>
      <c r="B76" s="1032"/>
      <c r="C76" s="1032"/>
      <c r="D76" s="847">
        <v>125000</v>
      </c>
      <c r="E76" s="1500">
        <v>130000</v>
      </c>
      <c r="F76" s="1497">
        <v>130000</v>
      </c>
      <c r="G76" s="1498">
        <v>130000</v>
      </c>
      <c r="H76" s="1497">
        <v>130000</v>
      </c>
      <c r="I76" s="1497">
        <v>130000</v>
      </c>
      <c r="J76" s="1497">
        <v>130000</v>
      </c>
      <c r="K76" s="1497">
        <v>130000</v>
      </c>
      <c r="L76" s="1497">
        <v>130000</v>
      </c>
      <c r="M76" s="1497">
        <v>130000</v>
      </c>
    </row>
    <row r="77" spans="1:13" ht="14.25" x14ac:dyDescent="0.2">
      <c r="A77" s="832" t="s">
        <v>1130</v>
      </c>
      <c r="B77" s="1032"/>
      <c r="C77" s="1032"/>
      <c r="D77" s="847">
        <v>156000</v>
      </c>
      <c r="E77" s="1500">
        <v>160000</v>
      </c>
      <c r="F77" s="1497">
        <v>165000</v>
      </c>
      <c r="G77" s="1498">
        <v>165000</v>
      </c>
      <c r="H77" s="1497">
        <v>165000</v>
      </c>
      <c r="I77" s="1497">
        <v>165000</v>
      </c>
      <c r="J77" s="1497">
        <v>165000</v>
      </c>
      <c r="K77" s="1497">
        <v>165000</v>
      </c>
      <c r="L77" s="1497">
        <v>165000</v>
      </c>
      <c r="M77" s="1497">
        <v>165000</v>
      </c>
    </row>
    <row r="78" spans="1:13" ht="14.25" x14ac:dyDescent="0.2">
      <c r="A78" s="832" t="s">
        <v>1131</v>
      </c>
      <c r="B78" s="1032"/>
      <c r="C78" s="1032"/>
      <c r="D78" s="847">
        <v>103000</v>
      </c>
      <c r="E78" s="1500">
        <v>110000</v>
      </c>
      <c r="F78" s="1497">
        <v>115000</v>
      </c>
      <c r="G78" s="1498">
        <v>120000</v>
      </c>
      <c r="H78" s="1497">
        <v>120000</v>
      </c>
      <c r="I78" s="1497">
        <v>120000</v>
      </c>
      <c r="J78" s="1497">
        <v>120000</v>
      </c>
      <c r="K78" s="1497">
        <v>120000</v>
      </c>
      <c r="L78" s="1497">
        <v>120000</v>
      </c>
      <c r="M78" s="1497">
        <v>120000</v>
      </c>
    </row>
    <row r="79" spans="1:13" ht="14.25" x14ac:dyDescent="0.2">
      <c r="A79" s="832" t="s">
        <v>908</v>
      </c>
      <c r="B79" s="1032"/>
      <c r="C79" s="1032"/>
      <c r="D79" s="847">
        <v>158000</v>
      </c>
      <c r="E79" s="1500">
        <v>158000</v>
      </c>
      <c r="F79" s="1497">
        <v>159000</v>
      </c>
      <c r="G79" s="1498">
        <v>160000</v>
      </c>
      <c r="H79" s="1497">
        <v>160000</v>
      </c>
      <c r="I79" s="1497">
        <f>H79*1.025</f>
        <v>164000</v>
      </c>
      <c r="J79" s="1497">
        <f>I79*1.025</f>
        <v>168099.99999999997</v>
      </c>
      <c r="K79" s="1497">
        <f>J79*1.025</f>
        <v>172302.49999999994</v>
      </c>
      <c r="L79" s="1497">
        <f>K79*1.025</f>
        <v>176610.06249999991</v>
      </c>
      <c r="M79" s="1497">
        <f>L79*1.025</f>
        <v>181025.31406249991</v>
      </c>
    </row>
    <row r="80" spans="1:13" ht="14.25" x14ac:dyDescent="0.2">
      <c r="A80" s="832" t="s">
        <v>1133</v>
      </c>
      <c r="B80" s="1032"/>
      <c r="C80" s="1032"/>
      <c r="D80" s="847">
        <v>148591</v>
      </c>
      <c r="E80" s="1500">
        <v>117539</v>
      </c>
      <c r="F80" s="1497">
        <v>135124</v>
      </c>
      <c r="G80" s="1498">
        <v>94069</v>
      </c>
      <c r="H80" s="1497">
        <v>82240</v>
      </c>
      <c r="I80" s="1497">
        <v>82240</v>
      </c>
      <c r="J80" s="1497">
        <v>95000</v>
      </c>
      <c r="K80" s="1497">
        <v>82240</v>
      </c>
      <c r="L80" s="1497">
        <v>82240</v>
      </c>
      <c r="M80" s="1497">
        <v>82240</v>
      </c>
    </row>
    <row r="81" spans="1:13" ht="14.25" x14ac:dyDescent="0.2">
      <c r="A81" s="832" t="s">
        <v>1137</v>
      </c>
      <c r="B81" s="1032"/>
      <c r="C81" s="1032"/>
      <c r="D81" s="847">
        <v>235000</v>
      </c>
      <c r="E81" s="1500">
        <v>7000000</v>
      </c>
      <c r="F81" s="1497">
        <v>0</v>
      </c>
      <c r="G81" s="1498">
        <v>60000</v>
      </c>
      <c r="H81" s="1497">
        <v>60000</v>
      </c>
      <c r="I81" s="1497">
        <v>60000</v>
      </c>
      <c r="J81" s="1497">
        <v>60000</v>
      </c>
      <c r="K81" s="1497">
        <v>60000</v>
      </c>
      <c r="L81" s="1497">
        <v>60000</v>
      </c>
      <c r="M81" s="1497">
        <v>60000</v>
      </c>
    </row>
    <row r="82" spans="1:13" ht="14.25" x14ac:dyDescent="0.2">
      <c r="A82" s="832" t="s">
        <v>1580</v>
      </c>
      <c r="B82" s="1032"/>
      <c r="C82" s="1032"/>
      <c r="E82" s="1500"/>
      <c r="F82" s="1497"/>
      <c r="G82" s="1498"/>
      <c r="H82" s="1497"/>
      <c r="I82" s="1497">
        <v>250000</v>
      </c>
      <c r="J82" s="1497">
        <v>250000</v>
      </c>
      <c r="K82" s="1497">
        <v>250000</v>
      </c>
      <c r="L82" s="1497">
        <v>250000</v>
      </c>
      <c r="M82" s="1497">
        <v>250000</v>
      </c>
    </row>
    <row r="83" spans="1:13" ht="14.25" x14ac:dyDescent="0.2">
      <c r="A83" s="832" t="s">
        <v>1140</v>
      </c>
      <c r="B83" s="1032"/>
      <c r="C83" s="1032"/>
      <c r="D83" s="847">
        <v>300000</v>
      </c>
      <c r="E83" s="1500">
        <v>389990</v>
      </c>
      <c r="F83" s="1497">
        <v>435000</v>
      </c>
      <c r="G83" s="1498">
        <v>300000</v>
      </c>
      <c r="H83" s="1497">
        <v>300000</v>
      </c>
      <c r="I83" s="1497">
        <v>350000</v>
      </c>
      <c r="J83" s="1497">
        <v>300000</v>
      </c>
      <c r="K83" s="1497">
        <v>300000</v>
      </c>
      <c r="L83" s="1497">
        <v>300000</v>
      </c>
      <c r="M83" s="1497">
        <v>300000</v>
      </c>
    </row>
    <row r="84" spans="1:13" ht="14.25" x14ac:dyDescent="0.2">
      <c r="A84" s="832" t="s">
        <v>1141</v>
      </c>
      <c r="B84" s="1032"/>
      <c r="C84" s="1032"/>
      <c r="D84" s="847">
        <v>300000</v>
      </c>
      <c r="E84" s="1500">
        <v>300000</v>
      </c>
      <c r="F84" s="1497">
        <v>300000</v>
      </c>
      <c r="G84" s="1498">
        <v>300000</v>
      </c>
      <c r="H84" s="1497">
        <v>300000</v>
      </c>
      <c r="I84" s="1497">
        <v>300000</v>
      </c>
      <c r="J84" s="1497">
        <v>300000</v>
      </c>
      <c r="K84" s="1497">
        <v>300000</v>
      </c>
      <c r="L84" s="1497">
        <v>300000</v>
      </c>
      <c r="M84" s="1497">
        <v>300000</v>
      </c>
    </row>
    <row r="85" spans="1:13" ht="14.25" x14ac:dyDescent="0.2">
      <c r="A85" s="832" t="s">
        <v>1135</v>
      </c>
      <c r="B85" s="1032"/>
      <c r="C85" s="1032"/>
      <c r="D85" s="847">
        <v>250000</v>
      </c>
      <c r="E85" s="1500">
        <v>250000</v>
      </c>
      <c r="F85" s="1497">
        <v>255000</v>
      </c>
      <c r="G85" s="1498">
        <v>260000</v>
      </c>
      <c r="H85" s="1497">
        <v>260000</v>
      </c>
      <c r="I85" s="1497">
        <v>350000</v>
      </c>
      <c r="J85" s="1497">
        <v>260000</v>
      </c>
      <c r="K85" s="1497">
        <v>350000</v>
      </c>
      <c r="L85" s="1497">
        <v>350000</v>
      </c>
      <c r="M85" s="1497">
        <v>350000</v>
      </c>
    </row>
    <row r="86" spans="1:13" ht="14.25" x14ac:dyDescent="0.2">
      <c r="A86" s="832" t="s">
        <v>1581</v>
      </c>
      <c r="B86" s="836"/>
      <c r="C86" s="832"/>
      <c r="D86" s="1493">
        <v>200000</v>
      </c>
      <c r="E86" s="1501"/>
      <c r="F86" s="1493"/>
      <c r="G86" s="1502"/>
      <c r="H86" s="1493"/>
      <c r="I86" s="1493"/>
      <c r="J86" s="1493"/>
      <c r="K86" s="1493"/>
      <c r="L86" s="1493"/>
      <c r="M86" s="1493"/>
    </row>
    <row r="87" spans="1:13" ht="14.25" x14ac:dyDescent="0.2">
      <c r="A87" s="1026" t="s">
        <v>23</v>
      </c>
      <c r="B87" s="1032"/>
      <c r="C87" s="1032"/>
      <c r="D87" s="957">
        <f t="shared" ref="D87:M87" si="16">SUM(D60:D86)</f>
        <v>7198561</v>
      </c>
      <c r="E87" s="847">
        <f t="shared" si="16"/>
        <v>16305578</v>
      </c>
      <c r="F87" s="847">
        <f t="shared" si="16"/>
        <v>9452414</v>
      </c>
      <c r="G87" s="847">
        <f t="shared" si="16"/>
        <v>8205765</v>
      </c>
      <c r="H87" s="847">
        <f t="shared" si="16"/>
        <v>8162653.4000000004</v>
      </c>
      <c r="I87" s="847">
        <f t="shared" si="16"/>
        <v>9861038.7349999994</v>
      </c>
      <c r="J87" s="847">
        <f t="shared" si="16"/>
        <v>9407586.7033750005</v>
      </c>
      <c r="K87" s="847">
        <f t="shared" si="16"/>
        <v>9322027.2309593745</v>
      </c>
      <c r="L87" s="847">
        <f t="shared" si="16"/>
        <v>9649650.4889333583</v>
      </c>
      <c r="M87" s="847">
        <f t="shared" si="16"/>
        <v>9717706.8999006934</v>
      </c>
    </row>
    <row r="88" spans="1:13" ht="14.25" x14ac:dyDescent="0.2">
      <c r="A88" s="1026"/>
      <c r="B88" s="1032"/>
      <c r="C88" s="1032"/>
      <c r="D88" s="957"/>
    </row>
    <row r="89" spans="1:13" s="999" customFormat="1" ht="15.75" x14ac:dyDescent="0.25">
      <c r="A89" s="1503" t="s">
        <v>1582</v>
      </c>
      <c r="B89" s="1032"/>
      <c r="C89" s="1032"/>
      <c r="D89" s="957"/>
      <c r="E89" s="1504"/>
      <c r="F89" s="957"/>
      <c r="G89" s="957"/>
      <c r="H89" s="957"/>
      <c r="I89" s="957"/>
      <c r="J89" s="957"/>
      <c r="K89" s="957"/>
      <c r="L89" s="957"/>
      <c r="M89" s="957"/>
    </row>
    <row r="90" spans="1:13" s="1507" customFormat="1" ht="14.25" x14ac:dyDescent="0.2">
      <c r="A90" s="1505" t="s">
        <v>1583</v>
      </c>
      <c r="B90" s="1505"/>
      <c r="C90" s="1505"/>
      <c r="D90" s="1506"/>
      <c r="E90" s="1506"/>
      <c r="F90" s="1506"/>
      <c r="G90" s="1506"/>
      <c r="H90" s="1506">
        <f t="shared" ref="H90:M90" si="17">H66-H108</f>
        <v>0</v>
      </c>
      <c r="I90" s="1506">
        <f t="shared" si="17"/>
        <v>900000</v>
      </c>
      <c r="J90" s="1506">
        <f t="shared" si="17"/>
        <v>0</v>
      </c>
      <c r="K90" s="1506">
        <f t="shared" si="17"/>
        <v>0</v>
      </c>
      <c r="L90" s="1506">
        <f t="shared" si="17"/>
        <v>0</v>
      </c>
      <c r="M90" s="1506">
        <f t="shared" si="17"/>
        <v>-60000</v>
      </c>
    </row>
    <row r="91" spans="1:13" s="999" customFormat="1" ht="14.25" x14ac:dyDescent="0.2">
      <c r="A91" s="1505" t="s">
        <v>1584</v>
      </c>
      <c r="B91" s="1505"/>
      <c r="C91" s="1505"/>
      <c r="D91" s="1506"/>
      <c r="E91" s="1506"/>
      <c r="F91" s="1506"/>
      <c r="G91" s="1506"/>
      <c r="H91" s="1506">
        <f t="shared" ref="H91:M93" si="18">H79-H119-H150</f>
        <v>0</v>
      </c>
      <c r="I91" s="1506">
        <f t="shared" si="18"/>
        <v>4000</v>
      </c>
      <c r="J91" s="1506">
        <f t="shared" si="18"/>
        <v>8099.9999999999709</v>
      </c>
      <c r="K91" s="1506">
        <f t="shared" si="18"/>
        <v>12302.499999999942</v>
      </c>
      <c r="L91" s="1506">
        <f t="shared" si="18"/>
        <v>16610.062499999913</v>
      </c>
      <c r="M91" s="1506">
        <f t="shared" si="18"/>
        <v>21025.314062499907</v>
      </c>
    </row>
    <row r="92" spans="1:13" s="999" customFormat="1" ht="14.25" x14ac:dyDescent="0.2">
      <c r="A92" s="1505" t="s">
        <v>1585</v>
      </c>
      <c r="B92" s="1505"/>
      <c r="C92" s="1505"/>
      <c r="D92" s="1506"/>
      <c r="E92" s="1506"/>
      <c r="F92" s="1506"/>
      <c r="G92" s="1506"/>
      <c r="H92" s="1506">
        <f t="shared" si="18"/>
        <v>-11829</v>
      </c>
      <c r="I92" s="1506">
        <f t="shared" si="18"/>
        <v>-11829</v>
      </c>
      <c r="J92" s="1506">
        <f t="shared" si="18"/>
        <v>931</v>
      </c>
      <c r="K92" s="1506">
        <f t="shared" si="18"/>
        <v>-11829</v>
      </c>
      <c r="L92" s="1506">
        <f t="shared" si="18"/>
        <v>-11829</v>
      </c>
      <c r="M92" s="1506">
        <f t="shared" si="18"/>
        <v>-11829</v>
      </c>
    </row>
    <row r="93" spans="1:13" s="999" customFormat="1" ht="14.25" x14ac:dyDescent="0.2">
      <c r="A93" s="1505" t="s">
        <v>1586</v>
      </c>
      <c r="B93" s="1505"/>
      <c r="C93" s="1505"/>
      <c r="D93" s="1506"/>
      <c r="E93" s="1506"/>
      <c r="F93" s="1506"/>
      <c r="G93" s="1506"/>
      <c r="H93" s="1506">
        <f t="shared" si="18"/>
        <v>0</v>
      </c>
      <c r="I93" s="1506">
        <f t="shared" si="18"/>
        <v>0</v>
      </c>
      <c r="J93" s="1506">
        <f t="shared" si="18"/>
        <v>0</v>
      </c>
      <c r="K93" s="1506">
        <f t="shared" si="18"/>
        <v>0</v>
      </c>
      <c r="L93" s="1506">
        <f t="shared" si="18"/>
        <v>0</v>
      </c>
      <c r="M93" s="1506">
        <f t="shared" si="18"/>
        <v>0</v>
      </c>
    </row>
    <row r="94" spans="1:13" s="999" customFormat="1" ht="14.25" x14ac:dyDescent="0.2">
      <c r="A94" s="1505" t="s">
        <v>1587</v>
      </c>
      <c r="B94" s="1505"/>
      <c r="C94" s="1505"/>
      <c r="D94" s="1506"/>
      <c r="E94" s="1506"/>
      <c r="F94" s="1506"/>
      <c r="G94" s="1506"/>
      <c r="H94" s="1506">
        <f t="shared" ref="H94:M94" si="19">H84-H124-H155</f>
        <v>0</v>
      </c>
      <c r="I94" s="1506">
        <f t="shared" si="19"/>
        <v>0</v>
      </c>
      <c r="J94" s="1506">
        <f t="shared" si="19"/>
        <v>0</v>
      </c>
      <c r="K94" s="1506">
        <f t="shared" si="19"/>
        <v>0</v>
      </c>
      <c r="L94" s="1506">
        <f t="shared" si="19"/>
        <v>0</v>
      </c>
      <c r="M94" s="1506">
        <f t="shared" si="19"/>
        <v>0</v>
      </c>
    </row>
    <row r="95" spans="1:13" s="999" customFormat="1" ht="14.25" x14ac:dyDescent="0.2">
      <c r="A95" s="1505" t="s">
        <v>1588</v>
      </c>
      <c r="B95" s="1505"/>
      <c r="C95" s="1505"/>
      <c r="D95" s="1506"/>
      <c r="E95" s="1506"/>
      <c r="F95" s="1506"/>
      <c r="G95" s="1506"/>
      <c r="H95" s="1506">
        <f>H85-H125-H156</f>
        <v>0</v>
      </c>
      <c r="I95" s="1506">
        <f t="shared" ref="I95:M95" si="20">I85-I125-I156</f>
        <v>90000</v>
      </c>
      <c r="J95" s="1506">
        <f t="shared" si="20"/>
        <v>0</v>
      </c>
      <c r="K95" s="1506">
        <f t="shared" si="20"/>
        <v>90000</v>
      </c>
      <c r="L95" s="1506">
        <f t="shared" si="20"/>
        <v>90000</v>
      </c>
      <c r="M95" s="1506">
        <f t="shared" si="20"/>
        <v>90000</v>
      </c>
    </row>
    <row r="96" spans="1:13" s="999" customFormat="1" ht="14.25" x14ac:dyDescent="0.2">
      <c r="A96" s="1508" t="s">
        <v>1140</v>
      </c>
      <c r="B96" s="1505"/>
      <c r="C96" s="1505"/>
      <c r="D96" s="1506"/>
      <c r="E96" s="1506"/>
      <c r="F96" s="1506"/>
      <c r="G96" s="1506"/>
      <c r="H96" s="1506">
        <f>H83-H123-H154</f>
        <v>0</v>
      </c>
      <c r="I96" s="1506">
        <f t="shared" ref="I96:M96" si="21">I83-I123-I154</f>
        <v>50000</v>
      </c>
      <c r="J96" s="1506">
        <f t="shared" si="21"/>
        <v>0</v>
      </c>
      <c r="K96" s="1506">
        <f t="shared" si="21"/>
        <v>0</v>
      </c>
      <c r="L96" s="1506">
        <f t="shared" si="21"/>
        <v>0</v>
      </c>
      <c r="M96" s="1506">
        <f t="shared" si="21"/>
        <v>0</v>
      </c>
    </row>
    <row r="97" spans="1:13" s="999" customFormat="1" ht="15" thickBot="1" x14ac:dyDescent="0.25">
      <c r="A97" s="1505"/>
      <c r="B97" s="1505"/>
      <c r="C97" s="1505"/>
      <c r="D97" s="1506"/>
      <c r="E97" s="1506"/>
      <c r="F97" s="1506"/>
      <c r="G97" s="1506"/>
      <c r="H97" s="1509">
        <f>SUM(H90:H96)</f>
        <v>-11829</v>
      </c>
      <c r="I97" s="1509">
        <f t="shared" ref="I97:M97" si="22">SUM(I90:I96)</f>
        <v>1032171</v>
      </c>
      <c r="J97" s="1509">
        <f t="shared" si="22"/>
        <v>9030.9999999999709</v>
      </c>
      <c r="K97" s="1509">
        <f t="shared" si="22"/>
        <v>90473.499999999942</v>
      </c>
      <c r="L97" s="1509">
        <f t="shared" si="22"/>
        <v>94781.062499999913</v>
      </c>
      <c r="M97" s="1509">
        <f t="shared" si="22"/>
        <v>39196.314062499907</v>
      </c>
    </row>
    <row r="98" spans="1:13" s="999" customFormat="1" ht="14.25" x14ac:dyDescent="0.2">
      <c r="B98" s="1023"/>
      <c r="C98" s="1023"/>
      <c r="D98" s="957"/>
      <c r="E98" s="1504"/>
      <c r="F98" s="957"/>
      <c r="G98" s="957"/>
      <c r="H98" s="957"/>
      <c r="I98" s="957"/>
      <c r="J98" s="957"/>
      <c r="K98" s="957"/>
      <c r="L98" s="957"/>
      <c r="M98" s="957"/>
    </row>
    <row r="99" spans="1:13" s="999" customFormat="1" ht="18" x14ac:dyDescent="0.25">
      <c r="A99" s="1510" t="s">
        <v>1589</v>
      </c>
      <c r="B99" s="1495"/>
      <c r="C99" s="1495"/>
      <c r="D99" s="1496" t="s">
        <v>4</v>
      </c>
      <c r="E99" s="1496" t="s">
        <v>5</v>
      </c>
      <c r="F99" s="1496" t="s">
        <v>6</v>
      </c>
      <c r="G99" s="1496" t="s">
        <v>7</v>
      </c>
      <c r="H99" s="1496" t="s">
        <v>8</v>
      </c>
      <c r="I99" s="1496" t="s">
        <v>9</v>
      </c>
      <c r="J99" s="1496" t="s">
        <v>514</v>
      </c>
      <c r="K99" s="1496" t="s">
        <v>515</v>
      </c>
      <c r="L99" s="1496" t="s">
        <v>904</v>
      </c>
      <c r="M99" s="1496" t="s">
        <v>1046</v>
      </c>
    </row>
    <row r="100" spans="1:13" s="999" customFormat="1" ht="14.25" x14ac:dyDescent="0.2">
      <c r="A100" s="829" t="s">
        <v>1032</v>
      </c>
      <c r="B100" s="1511"/>
      <c r="C100" s="1511"/>
      <c r="D100" s="1445"/>
      <c r="E100" s="1445" t="s">
        <v>516</v>
      </c>
      <c r="F100" s="1445" t="s">
        <v>516</v>
      </c>
      <c r="G100" s="1445" t="s">
        <v>516</v>
      </c>
      <c r="H100" s="1445" t="s">
        <v>516</v>
      </c>
      <c r="I100" s="1445" t="s">
        <v>516</v>
      </c>
      <c r="J100" s="1445" t="s">
        <v>516</v>
      </c>
      <c r="K100" s="1445" t="s">
        <v>516</v>
      </c>
      <c r="L100" s="1445" t="s">
        <v>516</v>
      </c>
      <c r="M100" s="1445" t="s">
        <v>516</v>
      </c>
    </row>
    <row r="101" spans="1:13" s="999" customFormat="1" ht="14.25" x14ac:dyDescent="0.2">
      <c r="A101" s="829" t="s">
        <v>1121</v>
      </c>
      <c r="B101" s="1511"/>
      <c r="C101" s="1511"/>
      <c r="D101" s="1445">
        <v>70000</v>
      </c>
      <c r="E101" s="1445">
        <v>70000</v>
      </c>
      <c r="F101" s="1445">
        <v>70000</v>
      </c>
      <c r="G101" s="1445">
        <v>70000</v>
      </c>
      <c r="H101" s="1445">
        <f t="shared" ref="H101:M105" si="23">H61</f>
        <v>70000</v>
      </c>
      <c r="I101" s="1445">
        <f t="shared" si="23"/>
        <v>71400</v>
      </c>
      <c r="J101" s="1445">
        <f t="shared" si="23"/>
        <v>72828</v>
      </c>
      <c r="K101" s="1445">
        <f t="shared" si="23"/>
        <v>74284.56</v>
      </c>
      <c r="L101" s="1445">
        <f t="shared" si="23"/>
        <v>75770.251199999999</v>
      </c>
      <c r="M101" s="1445">
        <f t="shared" si="23"/>
        <v>77285.656224000006</v>
      </c>
    </row>
    <row r="102" spans="1:13" s="999" customFormat="1" ht="14.25" x14ac:dyDescent="0.2">
      <c r="A102" s="829" t="s">
        <v>1122</v>
      </c>
      <c r="B102" s="1511"/>
      <c r="C102" s="1511"/>
      <c r="D102" s="1445">
        <v>1167000</v>
      </c>
      <c r="E102" s="1512">
        <v>1195000</v>
      </c>
      <c r="F102" s="1445">
        <v>1223000</v>
      </c>
      <c r="G102" s="1445">
        <v>1173000</v>
      </c>
      <c r="H102" s="1445">
        <f t="shared" si="23"/>
        <v>1231000</v>
      </c>
      <c r="I102" s="1445">
        <f t="shared" si="23"/>
        <v>1173000</v>
      </c>
      <c r="J102" s="1445">
        <f t="shared" si="23"/>
        <v>1250000</v>
      </c>
      <c r="K102" s="1445">
        <f t="shared" si="23"/>
        <v>1250000</v>
      </c>
      <c r="L102" s="1445">
        <f t="shared" si="23"/>
        <v>1250000</v>
      </c>
      <c r="M102" s="1445">
        <f t="shared" si="23"/>
        <v>1300000</v>
      </c>
    </row>
    <row r="103" spans="1:13" s="999" customFormat="1" ht="14.25" x14ac:dyDescent="0.2">
      <c r="A103" s="829" t="s">
        <v>1123</v>
      </c>
      <c r="B103" s="1511"/>
      <c r="C103" s="1511"/>
      <c r="D103" s="1445">
        <v>562000</v>
      </c>
      <c r="E103" s="1445">
        <v>570000</v>
      </c>
      <c r="F103" s="1445">
        <v>580000</v>
      </c>
      <c r="G103" s="1445">
        <v>530000</v>
      </c>
      <c r="H103" s="1445">
        <f t="shared" si="23"/>
        <v>580000</v>
      </c>
      <c r="I103" s="1445">
        <f t="shared" si="23"/>
        <v>530000</v>
      </c>
      <c r="J103" s="1445">
        <f t="shared" si="23"/>
        <v>580000</v>
      </c>
      <c r="K103" s="1445">
        <f t="shared" si="23"/>
        <v>580000</v>
      </c>
      <c r="L103" s="1445">
        <f t="shared" si="23"/>
        <v>580000</v>
      </c>
      <c r="M103" s="1445">
        <f t="shared" si="23"/>
        <v>580000</v>
      </c>
    </row>
    <row r="104" spans="1:13" s="999" customFormat="1" ht="14.25" x14ac:dyDescent="0.2">
      <c r="A104" s="829" t="s">
        <v>1124</v>
      </c>
      <c r="B104" s="1511"/>
      <c r="C104" s="1511"/>
      <c r="D104" s="1445">
        <v>450000</v>
      </c>
      <c r="E104" s="1445">
        <v>460000</v>
      </c>
      <c r="F104" s="1445">
        <v>470000</v>
      </c>
      <c r="G104" s="1445">
        <v>420000</v>
      </c>
      <c r="H104" s="1445">
        <f t="shared" si="23"/>
        <v>470000</v>
      </c>
      <c r="I104" s="1445">
        <f t="shared" si="23"/>
        <v>420000</v>
      </c>
      <c r="J104" s="1445">
        <f t="shared" si="23"/>
        <v>470000</v>
      </c>
      <c r="K104" s="1445">
        <f t="shared" si="23"/>
        <v>470000</v>
      </c>
      <c r="L104" s="1445">
        <f t="shared" si="23"/>
        <v>470000</v>
      </c>
      <c r="M104" s="1445">
        <f t="shared" si="23"/>
        <v>470000</v>
      </c>
    </row>
    <row r="105" spans="1:13" s="999" customFormat="1" ht="14.25" x14ac:dyDescent="0.2">
      <c r="A105" s="829" t="s">
        <v>1125</v>
      </c>
      <c r="B105" s="1511"/>
      <c r="C105" s="1511"/>
      <c r="D105" s="1445">
        <v>328000</v>
      </c>
      <c r="E105" s="1445">
        <v>328000</v>
      </c>
      <c r="F105" s="1445">
        <v>330000</v>
      </c>
      <c r="G105" s="1445">
        <v>330000</v>
      </c>
      <c r="H105" s="1445">
        <f t="shared" si="23"/>
        <v>380000</v>
      </c>
      <c r="I105" s="1445">
        <f t="shared" si="23"/>
        <v>330000</v>
      </c>
      <c r="J105" s="1445">
        <f t="shared" si="23"/>
        <v>380000</v>
      </c>
      <c r="K105" s="1445">
        <f t="shared" si="23"/>
        <v>380000</v>
      </c>
      <c r="L105" s="1445">
        <f t="shared" si="23"/>
        <v>380000</v>
      </c>
      <c r="M105" s="1445">
        <f t="shared" si="23"/>
        <v>380000</v>
      </c>
    </row>
    <row r="106" spans="1:13" s="999" customFormat="1" ht="14.25" x14ac:dyDescent="0.2">
      <c r="A106" s="1530" t="s">
        <v>1620</v>
      </c>
      <c r="B106" s="1531"/>
      <c r="C106" s="1531"/>
      <c r="D106" s="1532"/>
      <c r="E106" s="1533"/>
      <c r="F106" s="1533"/>
      <c r="G106" s="1534">
        <v>1200000</v>
      </c>
      <c r="H106" s="1533">
        <v>600000</v>
      </c>
      <c r="I106" s="1533">
        <v>500000</v>
      </c>
      <c r="J106" s="1445"/>
      <c r="K106" s="1445"/>
      <c r="L106" s="1445"/>
      <c r="M106" s="1445"/>
    </row>
    <row r="107" spans="1:13" s="999" customFormat="1" ht="14.25" x14ac:dyDescent="0.2">
      <c r="A107" s="1345" t="s">
        <v>1644</v>
      </c>
      <c r="B107" s="1544"/>
      <c r="C107" s="1544"/>
      <c r="D107" s="1519">
        <v>400000</v>
      </c>
      <c r="E107" s="1519">
        <f>'Revised Capital budget No SRV'!E96</f>
        <v>0</v>
      </c>
      <c r="F107" s="1519"/>
      <c r="G107" s="1519">
        <v>400000</v>
      </c>
      <c r="H107" s="1519">
        <v>300000</v>
      </c>
      <c r="I107" s="1519">
        <v>350000</v>
      </c>
      <c r="J107" s="1519">
        <v>300000</v>
      </c>
      <c r="K107" s="1519">
        <v>-100000</v>
      </c>
      <c r="L107" s="1519">
        <v>-100000</v>
      </c>
      <c r="M107" s="1519">
        <v>-100000</v>
      </c>
    </row>
    <row r="108" spans="1:13" s="999" customFormat="1" ht="14.25" x14ac:dyDescent="0.2">
      <c r="A108" s="829" t="s">
        <v>1578</v>
      </c>
      <c r="B108" s="1511"/>
      <c r="C108" s="1511"/>
      <c r="D108" s="1445"/>
      <c r="E108" s="1445"/>
      <c r="F108" s="1445"/>
      <c r="G108" s="1445"/>
      <c r="H108" s="1445">
        <f>H66</f>
        <v>650000</v>
      </c>
      <c r="I108" s="1445">
        <v>600000</v>
      </c>
      <c r="J108" s="1445">
        <f>J66</f>
        <v>1420000</v>
      </c>
      <c r="K108" s="1445">
        <f>K66</f>
        <v>1640000</v>
      </c>
      <c r="L108" s="1445">
        <f>L66</f>
        <v>1950000</v>
      </c>
      <c r="M108" s="1445">
        <v>2010000</v>
      </c>
    </row>
    <row r="109" spans="1:13" s="999" customFormat="1" ht="14.25" x14ac:dyDescent="0.2">
      <c r="A109" s="829" t="s">
        <v>1150</v>
      </c>
      <c r="B109" s="1511"/>
      <c r="C109" s="1511"/>
      <c r="D109" s="1445">
        <v>0</v>
      </c>
      <c r="E109" s="1445">
        <f>E69/2</f>
        <v>1250000</v>
      </c>
      <c r="F109" s="1445">
        <f>F69/2</f>
        <v>1250000</v>
      </c>
      <c r="G109" s="1445"/>
      <c r="H109" s="1445">
        <f t="shared" ref="H109:M109" si="24">H69</f>
        <v>0</v>
      </c>
      <c r="I109" s="1445">
        <f t="shared" si="24"/>
        <v>0</v>
      </c>
      <c r="J109" s="1445">
        <f t="shared" si="24"/>
        <v>0</v>
      </c>
      <c r="K109" s="1445">
        <f t="shared" si="24"/>
        <v>0</v>
      </c>
      <c r="L109" s="1445">
        <f t="shared" si="24"/>
        <v>0</v>
      </c>
      <c r="M109" s="1445">
        <f t="shared" si="24"/>
        <v>0</v>
      </c>
    </row>
    <row r="110" spans="1:13" s="999" customFormat="1" ht="14.25" x14ac:dyDescent="0.2">
      <c r="A110" s="829" t="s">
        <v>1540</v>
      </c>
      <c r="B110" s="829"/>
      <c r="C110" s="829"/>
      <c r="D110" s="1497">
        <f>D70/2</f>
        <v>500000</v>
      </c>
      <c r="E110" s="1445">
        <f>E70/2</f>
        <v>500000</v>
      </c>
      <c r="F110" s="1445">
        <f>F70/2</f>
        <v>500000</v>
      </c>
      <c r="G110" s="1445">
        <f>G70/2</f>
        <v>500000</v>
      </c>
      <c r="H110" s="1445">
        <f t="shared" ref="H110:M110" si="25">H70/2</f>
        <v>500000</v>
      </c>
      <c r="I110" s="1445">
        <f t="shared" si="25"/>
        <v>500000</v>
      </c>
      <c r="J110" s="1445">
        <f t="shared" si="25"/>
        <v>500000</v>
      </c>
      <c r="K110" s="1445">
        <f t="shared" si="25"/>
        <v>500000</v>
      </c>
      <c r="L110" s="1445">
        <f t="shared" si="25"/>
        <v>500000</v>
      </c>
      <c r="M110" s="1445">
        <f t="shared" si="25"/>
        <v>500000</v>
      </c>
    </row>
    <row r="111" spans="1:13" s="999" customFormat="1" ht="14.25" x14ac:dyDescent="0.2">
      <c r="A111" s="829" t="s">
        <v>1126</v>
      </c>
      <c r="B111" s="1511"/>
      <c r="C111" s="1511"/>
      <c r="D111" s="1445">
        <v>542000</v>
      </c>
      <c r="E111" s="1445">
        <v>550000</v>
      </c>
      <c r="F111" s="1445">
        <v>560000</v>
      </c>
      <c r="G111" s="1445">
        <v>510000</v>
      </c>
      <c r="H111" s="1445">
        <f t="shared" ref="H111:M111" si="26">H71</f>
        <v>560000</v>
      </c>
      <c r="I111" s="1445">
        <f t="shared" si="26"/>
        <v>510000</v>
      </c>
      <c r="J111" s="1445">
        <f t="shared" si="26"/>
        <v>570000</v>
      </c>
      <c r="K111" s="1445">
        <f t="shared" si="26"/>
        <v>570000</v>
      </c>
      <c r="L111" s="1445">
        <f t="shared" si="26"/>
        <v>570000</v>
      </c>
      <c r="M111" s="1445">
        <f t="shared" si="26"/>
        <v>570000</v>
      </c>
    </row>
    <row r="112" spans="1:13" s="999" customFormat="1" ht="14.25" x14ac:dyDescent="0.2">
      <c r="A112" s="829" t="s">
        <v>1590</v>
      </c>
      <c r="B112" s="1511"/>
      <c r="C112" s="1511"/>
      <c r="D112" s="1445"/>
      <c r="E112" s="1445"/>
      <c r="F112" s="1445"/>
      <c r="G112" s="1445"/>
      <c r="H112" s="1445"/>
      <c r="I112" s="1445">
        <f t="shared" ref="I112:M114" si="27">I72/2</f>
        <v>375000</v>
      </c>
      <c r="J112" s="1445">
        <f t="shared" si="27"/>
        <v>375000</v>
      </c>
      <c r="K112" s="1445">
        <f t="shared" si="27"/>
        <v>375000</v>
      </c>
      <c r="L112" s="1445">
        <f t="shared" si="27"/>
        <v>375000</v>
      </c>
      <c r="M112" s="1445">
        <f t="shared" si="27"/>
        <v>375000</v>
      </c>
    </row>
    <row r="113" spans="1:13" s="999" customFormat="1" ht="14.25" x14ac:dyDescent="0.2">
      <c r="A113" s="829" t="s">
        <v>1127</v>
      </c>
      <c r="B113" s="1511"/>
      <c r="C113" s="1511"/>
      <c r="D113" s="1445">
        <f t="shared" ref="D113:G114" si="28">D73/2</f>
        <v>201985</v>
      </c>
      <c r="E113" s="1445">
        <f t="shared" si="28"/>
        <v>206024.5</v>
      </c>
      <c r="F113" s="1445">
        <f t="shared" si="28"/>
        <v>210145</v>
      </c>
      <c r="G113" s="1445">
        <f t="shared" si="28"/>
        <v>214348</v>
      </c>
      <c r="H113" s="1445">
        <f>H73/2</f>
        <v>219706.69999999998</v>
      </c>
      <c r="I113" s="1445">
        <f t="shared" si="27"/>
        <v>225199.36749999996</v>
      </c>
      <c r="J113" s="1445">
        <f t="shared" si="27"/>
        <v>230829.35168749993</v>
      </c>
      <c r="K113" s="1445">
        <f t="shared" si="27"/>
        <v>236600.0854796874</v>
      </c>
      <c r="L113" s="1445">
        <f t="shared" si="27"/>
        <v>242515.08761667958</v>
      </c>
      <c r="M113" s="1445">
        <f t="shared" si="27"/>
        <v>248577.96480709655</v>
      </c>
    </row>
    <row r="114" spans="1:13" s="999" customFormat="1" ht="14.25" x14ac:dyDescent="0.2">
      <c r="A114" s="832" t="s">
        <v>1151</v>
      </c>
      <c r="B114" s="1513"/>
      <c r="C114" s="1513"/>
      <c r="D114" s="1445">
        <f t="shared" si="28"/>
        <v>0</v>
      </c>
      <c r="E114" s="1445">
        <f t="shared" si="28"/>
        <v>150000</v>
      </c>
      <c r="F114" s="1445">
        <f t="shared" si="28"/>
        <v>150000</v>
      </c>
      <c r="G114" s="1445">
        <f t="shared" si="28"/>
        <v>125000</v>
      </c>
      <c r="H114" s="1445">
        <f>H74/2</f>
        <v>0</v>
      </c>
      <c r="I114" s="1445">
        <f t="shared" si="27"/>
        <v>0</v>
      </c>
      <c r="J114" s="1445">
        <f t="shared" si="27"/>
        <v>0</v>
      </c>
      <c r="K114" s="1445">
        <f t="shared" si="27"/>
        <v>0</v>
      </c>
      <c r="L114" s="1445">
        <f t="shared" si="27"/>
        <v>0</v>
      </c>
      <c r="M114" s="1445">
        <f t="shared" si="27"/>
        <v>0</v>
      </c>
    </row>
    <row r="115" spans="1:13" s="999" customFormat="1" ht="14.25" x14ac:dyDescent="0.2">
      <c r="A115" s="832" t="s">
        <v>1128</v>
      </c>
      <c r="B115" s="1513"/>
      <c r="C115" s="1513"/>
      <c r="D115" s="1445">
        <v>300000</v>
      </c>
      <c r="E115" s="1445">
        <v>305000</v>
      </c>
      <c r="F115" s="1445">
        <v>305000</v>
      </c>
      <c r="G115" s="1445">
        <v>305000</v>
      </c>
      <c r="H115" s="1445">
        <f t="shared" ref="H115:M115" si="29">H75</f>
        <v>305000</v>
      </c>
      <c r="I115" s="1445">
        <f t="shared" si="29"/>
        <v>305000</v>
      </c>
      <c r="J115" s="1445">
        <f t="shared" si="29"/>
        <v>305000</v>
      </c>
      <c r="K115" s="1445">
        <f t="shared" si="29"/>
        <v>305000</v>
      </c>
      <c r="L115" s="1445">
        <f t="shared" si="29"/>
        <v>305000</v>
      </c>
      <c r="M115" s="1445">
        <f t="shared" si="29"/>
        <v>305000</v>
      </c>
    </row>
    <row r="116" spans="1:13" s="999" customFormat="1" ht="14.25" x14ac:dyDescent="0.2">
      <c r="A116" s="832" t="s">
        <v>1129</v>
      </c>
      <c r="B116" s="1513"/>
      <c r="C116" s="1513"/>
      <c r="D116" s="1445">
        <f t="shared" ref="D116:M116" si="30">D76*0.75</f>
        <v>93750</v>
      </c>
      <c r="E116" s="1445">
        <f t="shared" si="30"/>
        <v>97500</v>
      </c>
      <c r="F116" s="1445">
        <f t="shared" si="30"/>
        <v>97500</v>
      </c>
      <c r="G116" s="1445">
        <f t="shared" si="30"/>
        <v>97500</v>
      </c>
      <c r="H116" s="1445">
        <f t="shared" si="30"/>
        <v>97500</v>
      </c>
      <c r="I116" s="1445">
        <f t="shared" si="30"/>
        <v>97500</v>
      </c>
      <c r="J116" s="1445">
        <f t="shared" si="30"/>
        <v>97500</v>
      </c>
      <c r="K116" s="1445">
        <f t="shared" si="30"/>
        <v>97500</v>
      </c>
      <c r="L116" s="1445">
        <f t="shared" si="30"/>
        <v>97500</v>
      </c>
      <c r="M116" s="1445">
        <f t="shared" si="30"/>
        <v>97500</v>
      </c>
    </row>
    <row r="117" spans="1:13" s="999" customFormat="1" ht="14.25" x14ac:dyDescent="0.2">
      <c r="A117" s="832" t="s">
        <v>1130</v>
      </c>
      <c r="B117" s="1513"/>
      <c r="C117" s="1513"/>
      <c r="D117" s="1445">
        <f t="shared" ref="D117:M117" si="31">D77*0.75</f>
        <v>117000</v>
      </c>
      <c r="E117" s="1445">
        <f t="shared" si="31"/>
        <v>120000</v>
      </c>
      <c r="F117" s="1445">
        <f t="shared" si="31"/>
        <v>123750</v>
      </c>
      <c r="G117" s="1445">
        <f t="shared" si="31"/>
        <v>123750</v>
      </c>
      <c r="H117" s="1445">
        <f t="shared" si="31"/>
        <v>123750</v>
      </c>
      <c r="I117" s="1445">
        <f t="shared" si="31"/>
        <v>123750</v>
      </c>
      <c r="J117" s="1445">
        <f t="shared" si="31"/>
        <v>123750</v>
      </c>
      <c r="K117" s="1445">
        <f t="shared" si="31"/>
        <v>123750</v>
      </c>
      <c r="L117" s="1445">
        <f t="shared" si="31"/>
        <v>123750</v>
      </c>
      <c r="M117" s="1445">
        <f t="shared" si="31"/>
        <v>123750</v>
      </c>
    </row>
    <row r="118" spans="1:13" s="999" customFormat="1" ht="14.25" x14ac:dyDescent="0.2">
      <c r="A118" s="832" t="s">
        <v>1131</v>
      </c>
      <c r="B118" s="1513"/>
      <c r="C118" s="1513"/>
      <c r="D118" s="1445">
        <v>103000</v>
      </c>
      <c r="E118" s="1514">
        <v>110000</v>
      </c>
      <c r="F118" s="1445">
        <v>115000</v>
      </c>
      <c r="G118" s="1445">
        <v>120000</v>
      </c>
      <c r="H118" s="1445">
        <f t="shared" ref="H118:M118" si="32">H78</f>
        <v>120000</v>
      </c>
      <c r="I118" s="1445">
        <f t="shared" si="32"/>
        <v>120000</v>
      </c>
      <c r="J118" s="1445">
        <f t="shared" si="32"/>
        <v>120000</v>
      </c>
      <c r="K118" s="1445">
        <f t="shared" si="32"/>
        <v>120000</v>
      </c>
      <c r="L118" s="1445">
        <f t="shared" si="32"/>
        <v>120000</v>
      </c>
      <c r="M118" s="1445">
        <f t="shared" si="32"/>
        <v>120000</v>
      </c>
    </row>
    <row r="119" spans="1:13" s="999" customFormat="1" ht="14.25" x14ac:dyDescent="0.2">
      <c r="A119" s="832" t="s">
        <v>908</v>
      </c>
      <c r="B119" s="1513"/>
      <c r="C119" s="1513"/>
      <c r="D119" s="1445">
        <v>0</v>
      </c>
      <c r="E119" s="1514">
        <v>0</v>
      </c>
      <c r="F119" s="1445">
        <v>0</v>
      </c>
      <c r="G119" s="1445">
        <v>0</v>
      </c>
      <c r="H119" s="1445">
        <v>0</v>
      </c>
      <c r="I119" s="1445">
        <v>0</v>
      </c>
      <c r="J119" s="1445">
        <v>0</v>
      </c>
      <c r="K119" s="1445">
        <v>0</v>
      </c>
      <c r="L119" s="1445">
        <v>0</v>
      </c>
      <c r="M119" s="1445">
        <v>0</v>
      </c>
    </row>
    <row r="120" spans="1:13" s="999" customFormat="1" ht="14.25" x14ac:dyDescent="0.2">
      <c r="A120" s="832" t="s">
        <v>1133</v>
      </c>
      <c r="B120" s="1513"/>
      <c r="C120" s="1513"/>
      <c r="D120" s="1445">
        <v>148591</v>
      </c>
      <c r="E120" s="1514">
        <v>117539</v>
      </c>
      <c r="F120" s="1445">
        <v>135124</v>
      </c>
      <c r="G120" s="1445">
        <v>94069</v>
      </c>
      <c r="H120" s="1445">
        <v>94069</v>
      </c>
      <c r="I120" s="1445">
        <v>94069</v>
      </c>
      <c r="J120" s="1445">
        <v>94069</v>
      </c>
      <c r="K120" s="1445">
        <v>94069</v>
      </c>
      <c r="L120" s="1445">
        <v>94069</v>
      </c>
      <c r="M120" s="1445">
        <v>94069</v>
      </c>
    </row>
    <row r="121" spans="1:13" s="999" customFormat="1" ht="14.25" x14ac:dyDescent="0.2">
      <c r="A121" s="832" t="s">
        <v>1137</v>
      </c>
      <c r="B121" s="1513"/>
      <c r="C121" s="1513"/>
      <c r="D121" s="1445">
        <v>60000</v>
      </c>
      <c r="E121" s="1514">
        <f>E81/2</f>
        <v>3500000</v>
      </c>
      <c r="F121" s="1445">
        <v>0</v>
      </c>
      <c r="G121" s="1445">
        <v>60000</v>
      </c>
      <c r="H121" s="1445">
        <v>60000</v>
      </c>
      <c r="I121" s="1445">
        <v>60000</v>
      </c>
      <c r="J121" s="1445">
        <v>60000</v>
      </c>
      <c r="K121" s="1445">
        <v>60000</v>
      </c>
      <c r="L121" s="1445">
        <v>60000</v>
      </c>
      <c r="M121" s="1445">
        <v>60000</v>
      </c>
    </row>
    <row r="122" spans="1:13" s="999" customFormat="1" ht="14.25" x14ac:dyDescent="0.2">
      <c r="A122" s="832" t="s">
        <v>1580</v>
      </c>
      <c r="B122" s="1513"/>
      <c r="C122" s="1513"/>
      <c r="D122" s="1445"/>
      <c r="E122" s="1514"/>
      <c r="F122" s="1445"/>
      <c r="G122" s="1445"/>
      <c r="H122" s="1445"/>
      <c r="I122" s="1445">
        <f>I82/2</f>
        <v>125000</v>
      </c>
      <c r="J122" s="1445">
        <f>J82/2</f>
        <v>125000</v>
      </c>
      <c r="K122" s="1445">
        <f>K82/2</f>
        <v>125000</v>
      </c>
      <c r="L122" s="1445">
        <f>L82/2</f>
        <v>125000</v>
      </c>
      <c r="M122" s="1445">
        <f>M82/2</f>
        <v>125000</v>
      </c>
    </row>
    <row r="123" spans="1:13" s="999" customFormat="1" ht="14.25" x14ac:dyDescent="0.2">
      <c r="A123" s="832" t="s">
        <v>1140</v>
      </c>
      <c r="B123" s="1513"/>
      <c r="C123" s="1513"/>
      <c r="D123" s="1445">
        <v>300000</v>
      </c>
      <c r="E123" s="1514">
        <v>389990</v>
      </c>
      <c r="F123" s="1445">
        <v>435000</v>
      </c>
      <c r="G123" s="1445">
        <v>300000</v>
      </c>
      <c r="H123" s="1445">
        <v>300000</v>
      </c>
      <c r="I123" s="1445">
        <v>300000</v>
      </c>
      <c r="J123" s="1445">
        <v>300000</v>
      </c>
      <c r="K123" s="1445">
        <v>300000</v>
      </c>
      <c r="L123" s="1445">
        <v>300000</v>
      </c>
      <c r="M123" s="1445">
        <v>300000</v>
      </c>
    </row>
    <row r="124" spans="1:13" s="999" customFormat="1" ht="14.25" x14ac:dyDescent="0.2">
      <c r="A124" s="832" t="s">
        <v>1141</v>
      </c>
      <c r="B124" s="1513"/>
      <c r="C124" s="1513"/>
      <c r="D124" s="1445">
        <v>300000</v>
      </c>
      <c r="E124" s="1514">
        <v>300000</v>
      </c>
      <c r="F124" s="1445">
        <v>300000</v>
      </c>
      <c r="G124" s="1445">
        <v>300000</v>
      </c>
      <c r="H124" s="1445">
        <v>300000</v>
      </c>
      <c r="I124" s="1445">
        <v>300000</v>
      </c>
      <c r="J124" s="1445">
        <v>300000</v>
      </c>
      <c r="K124" s="1445">
        <v>300000</v>
      </c>
      <c r="L124" s="1445">
        <v>300000</v>
      </c>
      <c r="M124" s="1445">
        <v>300000</v>
      </c>
    </row>
    <row r="125" spans="1:13" s="999" customFormat="1" ht="14.25" x14ac:dyDescent="0.2">
      <c r="A125" s="832" t="s">
        <v>1135</v>
      </c>
      <c r="B125" s="1513"/>
      <c r="C125" s="1513"/>
      <c r="D125" s="1445">
        <v>250000</v>
      </c>
      <c r="E125" s="1514">
        <v>250000</v>
      </c>
      <c r="F125" s="1445">
        <v>255000</v>
      </c>
      <c r="G125" s="1445">
        <v>260000</v>
      </c>
      <c r="H125" s="1445">
        <v>260000</v>
      </c>
      <c r="I125" s="1445">
        <v>260000</v>
      </c>
      <c r="J125" s="1445">
        <v>260000</v>
      </c>
      <c r="K125" s="1445">
        <v>260000</v>
      </c>
      <c r="L125" s="1445">
        <v>260000</v>
      </c>
      <c r="M125" s="1445">
        <v>260000</v>
      </c>
    </row>
    <row r="126" spans="1:13" s="999" customFormat="1" ht="14.25" x14ac:dyDescent="0.2">
      <c r="A126" s="832" t="s">
        <v>1581</v>
      </c>
      <c r="B126" s="832"/>
      <c r="C126" s="832"/>
      <c r="D126" s="1493">
        <v>200000</v>
      </c>
      <c r="E126" s="1515"/>
      <c r="F126" s="1516"/>
      <c r="G126" s="1516"/>
      <c r="H126" s="1516"/>
      <c r="I126" s="1516"/>
      <c r="J126" s="1516"/>
      <c r="K126" s="1516"/>
      <c r="L126" s="1516"/>
      <c r="M126" s="1516"/>
    </row>
    <row r="127" spans="1:13" s="999" customFormat="1" ht="14.25" x14ac:dyDescent="0.2">
      <c r="A127" s="1026" t="s">
        <v>23</v>
      </c>
      <c r="B127" s="1032"/>
      <c r="C127" s="1032"/>
      <c r="D127" s="957">
        <f t="shared" ref="D127:M127" si="33">SUM(D100:D126)</f>
        <v>6093326</v>
      </c>
      <c r="E127" s="847">
        <f t="shared" si="33"/>
        <v>10469053.5</v>
      </c>
      <c r="F127" s="847">
        <f t="shared" si="33"/>
        <v>7109519</v>
      </c>
      <c r="G127" s="847">
        <f t="shared" si="33"/>
        <v>7132667</v>
      </c>
      <c r="H127" s="847">
        <f t="shared" si="33"/>
        <v>7221025.7000000002</v>
      </c>
      <c r="I127" s="847">
        <f t="shared" si="33"/>
        <v>7369918.3674999997</v>
      </c>
      <c r="J127" s="847">
        <f t="shared" si="33"/>
        <v>7933976.3516875003</v>
      </c>
      <c r="K127" s="847">
        <f t="shared" si="33"/>
        <v>7761203.6454796875</v>
      </c>
      <c r="L127" s="847">
        <f t="shared" si="33"/>
        <v>8078604.3388166791</v>
      </c>
      <c r="M127" s="847">
        <f t="shared" si="33"/>
        <v>8196182.6210310971</v>
      </c>
    </row>
    <row r="128" spans="1:13" s="999" customFormat="1" ht="14.25" x14ac:dyDescent="0.2">
      <c r="A128" s="1032"/>
      <c r="B128" s="1032"/>
      <c r="C128" s="1032"/>
      <c r="D128" s="957"/>
      <c r="E128" s="1504"/>
      <c r="F128" s="957"/>
      <c r="G128" s="957"/>
      <c r="H128" s="957"/>
      <c r="I128" s="957"/>
      <c r="J128" s="957"/>
      <c r="K128" s="957"/>
      <c r="L128" s="957"/>
      <c r="M128" s="957"/>
    </row>
    <row r="129" spans="1:13" s="999" customFormat="1" ht="14.25" x14ac:dyDescent="0.2">
      <c r="A129" s="1023" t="s">
        <v>1591</v>
      </c>
      <c r="B129" s="1023"/>
      <c r="C129" s="1023"/>
      <c r="D129" s="1517">
        <f t="shared" ref="D129:M129" si="34">D127/D38*-1</f>
        <v>1.038691179353431</v>
      </c>
      <c r="E129" s="1517">
        <f t="shared" si="34"/>
        <v>1.7578819989328338</v>
      </c>
      <c r="F129" s="1517">
        <f t="shared" si="34"/>
        <v>1.1407910241191084</v>
      </c>
      <c r="G129" s="1517">
        <f t="shared" si="34"/>
        <v>1.0578895041255452</v>
      </c>
      <c r="H129" s="1517">
        <f t="shared" si="34"/>
        <v>1.0448727061411225</v>
      </c>
      <c r="I129" s="1517">
        <f t="shared" si="34"/>
        <v>1.0404070974245072</v>
      </c>
      <c r="J129" s="1517">
        <f t="shared" si="34"/>
        <v>1.0927169127759329</v>
      </c>
      <c r="K129" s="1517">
        <f t="shared" si="34"/>
        <v>1.0428503157273472</v>
      </c>
      <c r="L129" s="1517">
        <f t="shared" si="34"/>
        <v>1.0590229481999236</v>
      </c>
      <c r="M129" s="1517">
        <f t="shared" si="34"/>
        <v>1.0482305037793118</v>
      </c>
    </row>
    <row r="130" spans="1:13" s="999" customFormat="1" x14ac:dyDescent="0.25">
      <c r="A130" s="1032"/>
      <c r="B130" s="1032"/>
      <c r="C130" s="1032"/>
      <c r="D130" s="957"/>
      <c r="E130" s="1504"/>
      <c r="F130" s="957"/>
      <c r="G130" s="957"/>
      <c r="H130" s="957"/>
      <c r="I130" s="957"/>
      <c r="J130" s="957"/>
      <c r="K130" s="957"/>
      <c r="L130" s="957"/>
      <c r="M130" s="957"/>
    </row>
    <row r="131" spans="1:13" s="999" customFormat="1" x14ac:dyDescent="0.25">
      <c r="A131" s="1032"/>
      <c r="B131" s="1032"/>
      <c r="C131" s="1032"/>
      <c r="D131" s="957"/>
      <c r="E131" s="1504"/>
      <c r="F131" s="957"/>
      <c r="G131" s="957"/>
      <c r="H131" s="957"/>
      <c r="I131" s="957"/>
      <c r="J131" s="957"/>
      <c r="K131" s="957"/>
      <c r="L131" s="957"/>
      <c r="M131" s="957"/>
    </row>
    <row r="132" spans="1:13" s="999" customFormat="1" ht="17.399999999999999" x14ac:dyDescent="0.3">
      <c r="A132" s="1510" t="s">
        <v>1592</v>
      </c>
      <c r="B132" s="1023"/>
      <c r="C132" s="1023"/>
      <c r="D132" s="957"/>
      <c r="E132" s="1504"/>
      <c r="F132" s="957"/>
      <c r="G132" s="957"/>
      <c r="H132" s="957"/>
      <c r="I132" s="957"/>
      <c r="J132" s="957"/>
      <c r="K132" s="957"/>
      <c r="L132" s="957"/>
      <c r="M132" s="957"/>
    </row>
    <row r="133" spans="1:13" s="999" customFormat="1" x14ac:dyDescent="0.25">
      <c r="A133" s="1032"/>
      <c r="B133" s="1032"/>
      <c r="C133" s="1032"/>
      <c r="D133" s="1496" t="s">
        <v>4</v>
      </c>
      <c r="E133" s="1496" t="s">
        <v>5</v>
      </c>
      <c r="F133" s="1479" t="s">
        <v>6</v>
      </c>
      <c r="G133" s="1479" t="s">
        <v>7</v>
      </c>
      <c r="H133" s="1479" t="s">
        <v>8</v>
      </c>
      <c r="I133" s="1479" t="s">
        <v>9</v>
      </c>
      <c r="J133" s="1479" t="s">
        <v>514</v>
      </c>
      <c r="K133" s="1479" t="s">
        <v>515</v>
      </c>
      <c r="L133" s="1479" t="s">
        <v>904</v>
      </c>
      <c r="M133" s="1479" t="s">
        <v>1046</v>
      </c>
    </row>
    <row r="134" spans="1:13" s="999" customFormat="1" x14ac:dyDescent="0.25">
      <c r="A134" s="829" t="s">
        <v>1032</v>
      </c>
      <c r="B134" s="829"/>
      <c r="C134" s="1033"/>
      <c r="D134" s="847"/>
      <c r="E134" s="1497" t="s">
        <v>516</v>
      </c>
      <c r="F134" s="1499" t="s">
        <v>516</v>
      </c>
      <c r="G134" s="1518" t="s">
        <v>516</v>
      </c>
      <c r="H134" s="1518" t="s">
        <v>516</v>
      </c>
      <c r="I134" s="1518" t="s">
        <v>516</v>
      </c>
      <c r="J134" s="1518" t="s">
        <v>516</v>
      </c>
      <c r="K134" s="1518" t="s">
        <v>516</v>
      </c>
      <c r="L134" s="1518" t="s">
        <v>516</v>
      </c>
      <c r="M134" s="1518" t="s">
        <v>516</v>
      </c>
    </row>
    <row r="135" spans="1:13" s="999" customFormat="1" x14ac:dyDescent="0.25">
      <c r="A135" s="829" t="s">
        <v>1121</v>
      </c>
      <c r="B135" s="829"/>
      <c r="C135" s="1033"/>
      <c r="D135" s="847">
        <v>0</v>
      </c>
      <c r="E135" s="1497">
        <v>0</v>
      </c>
      <c r="F135" s="1497">
        <v>0</v>
      </c>
      <c r="G135" s="1445">
        <v>0</v>
      </c>
      <c r="H135" s="1445">
        <v>0</v>
      </c>
      <c r="I135" s="1445">
        <v>0</v>
      </c>
      <c r="J135" s="1445">
        <v>0</v>
      </c>
      <c r="K135" s="1445">
        <v>0</v>
      </c>
      <c r="L135" s="1445">
        <v>0</v>
      </c>
      <c r="M135" s="1445">
        <v>0</v>
      </c>
    </row>
    <row r="136" spans="1:13" s="999" customFormat="1" x14ac:dyDescent="0.25">
      <c r="A136" s="829" t="s">
        <v>1122</v>
      </c>
      <c r="B136" s="829"/>
      <c r="C136" s="1033"/>
      <c r="D136" s="847">
        <v>0</v>
      </c>
      <c r="E136" s="830">
        <v>0</v>
      </c>
      <c r="F136" s="1497">
        <v>0</v>
      </c>
      <c r="G136" s="1445">
        <v>0</v>
      </c>
      <c r="H136" s="1445">
        <v>0</v>
      </c>
      <c r="I136" s="1445">
        <v>0</v>
      </c>
      <c r="J136" s="1445">
        <v>0</v>
      </c>
      <c r="K136" s="1445">
        <v>0</v>
      </c>
      <c r="L136" s="1445">
        <v>0</v>
      </c>
      <c r="M136" s="1445">
        <v>0</v>
      </c>
    </row>
    <row r="137" spans="1:13" s="999" customFormat="1" x14ac:dyDescent="0.25">
      <c r="A137" s="829" t="s">
        <v>1123</v>
      </c>
      <c r="B137" s="829"/>
      <c r="C137" s="1033"/>
      <c r="D137" s="847">
        <v>0</v>
      </c>
      <c r="E137" s="1497">
        <v>0</v>
      </c>
      <c r="F137" s="1497">
        <v>0</v>
      </c>
      <c r="G137" s="1445">
        <v>0</v>
      </c>
      <c r="H137" s="1445">
        <v>0</v>
      </c>
      <c r="I137" s="1445">
        <v>0</v>
      </c>
      <c r="J137" s="1445">
        <v>0</v>
      </c>
      <c r="K137" s="1445">
        <v>0</v>
      </c>
      <c r="L137" s="1445">
        <v>0</v>
      </c>
      <c r="M137" s="1445">
        <v>0</v>
      </c>
    </row>
    <row r="138" spans="1:13" s="999" customFormat="1" x14ac:dyDescent="0.25">
      <c r="A138" s="829" t="s">
        <v>1124</v>
      </c>
      <c r="B138" s="829"/>
      <c r="C138" s="1033"/>
      <c r="D138" s="847">
        <v>0</v>
      </c>
      <c r="E138" s="1497">
        <v>0</v>
      </c>
      <c r="F138" s="1497">
        <v>0</v>
      </c>
      <c r="G138" s="1445">
        <v>0</v>
      </c>
      <c r="H138" s="1445">
        <v>0</v>
      </c>
      <c r="I138" s="1445">
        <v>0</v>
      </c>
      <c r="J138" s="1445">
        <v>0</v>
      </c>
      <c r="K138" s="1445">
        <v>0</v>
      </c>
      <c r="L138" s="1445">
        <v>0</v>
      </c>
      <c r="M138" s="1445">
        <v>0</v>
      </c>
    </row>
    <row r="139" spans="1:13" s="999" customFormat="1" x14ac:dyDescent="0.25">
      <c r="A139" s="829" t="s">
        <v>1125</v>
      </c>
      <c r="B139" s="829"/>
      <c r="C139" s="1033"/>
      <c r="D139" s="847">
        <v>0</v>
      </c>
      <c r="E139" s="1497">
        <v>0</v>
      </c>
      <c r="F139" s="1497">
        <v>0</v>
      </c>
      <c r="G139" s="1445">
        <v>0</v>
      </c>
      <c r="H139" s="1445">
        <v>0</v>
      </c>
      <c r="I139" s="1445">
        <v>0</v>
      </c>
      <c r="J139" s="1445">
        <v>0</v>
      </c>
      <c r="K139" s="1445">
        <v>0</v>
      </c>
      <c r="L139" s="1445">
        <v>0</v>
      </c>
      <c r="M139" s="1445">
        <v>0</v>
      </c>
    </row>
    <row r="140" spans="1:13" s="999" customFormat="1" x14ac:dyDescent="0.25">
      <c r="A140" s="829" t="s">
        <v>1150</v>
      </c>
      <c r="B140" s="1511"/>
      <c r="C140" s="1511"/>
      <c r="D140" s="1445">
        <v>0</v>
      </c>
      <c r="E140" s="1445">
        <f>E69/2</f>
        <v>1250000</v>
      </c>
      <c r="F140" s="1497">
        <f>F69/2</f>
        <v>1250000</v>
      </c>
      <c r="G140" s="1445"/>
      <c r="H140" s="1445"/>
      <c r="I140" s="1445"/>
      <c r="J140" s="1445"/>
      <c r="K140" s="1445"/>
      <c r="L140" s="1445"/>
      <c r="M140" s="1445"/>
    </row>
    <row r="141" spans="1:13" s="999" customFormat="1" x14ac:dyDescent="0.25">
      <c r="A141" s="829" t="s">
        <v>1540</v>
      </c>
      <c r="B141" s="829"/>
      <c r="C141" s="829"/>
      <c r="D141" s="1497">
        <f>D70/2</f>
        <v>500000</v>
      </c>
      <c r="E141" s="1445">
        <f>E70/2</f>
        <v>500000</v>
      </c>
      <c r="F141" s="1497">
        <f>F70/2</f>
        <v>500000</v>
      </c>
      <c r="G141" s="1445">
        <f>G70/2</f>
        <v>500000</v>
      </c>
      <c r="H141" s="1445">
        <f t="shared" ref="H141:M141" si="35">H70/2</f>
        <v>500000</v>
      </c>
      <c r="I141" s="1445">
        <f t="shared" si="35"/>
        <v>500000</v>
      </c>
      <c r="J141" s="1445">
        <f t="shared" si="35"/>
        <v>500000</v>
      </c>
      <c r="K141" s="1445">
        <f t="shared" si="35"/>
        <v>500000</v>
      </c>
      <c r="L141" s="1445">
        <f t="shared" si="35"/>
        <v>500000</v>
      </c>
      <c r="M141" s="1445">
        <f t="shared" si="35"/>
        <v>500000</v>
      </c>
    </row>
    <row r="142" spans="1:13" s="999" customFormat="1" x14ac:dyDescent="0.25">
      <c r="A142" s="829" t="s">
        <v>1126</v>
      </c>
      <c r="B142" s="1511"/>
      <c r="C142" s="1511"/>
      <c r="D142" s="1445">
        <v>0</v>
      </c>
      <c r="E142" s="1445">
        <v>0</v>
      </c>
      <c r="F142" s="1445">
        <v>0</v>
      </c>
      <c r="G142" s="1445">
        <v>0</v>
      </c>
      <c r="H142" s="1445">
        <v>0</v>
      </c>
      <c r="I142" s="1445">
        <v>0</v>
      </c>
      <c r="J142" s="1445">
        <v>0</v>
      </c>
      <c r="K142" s="1445">
        <v>0</v>
      </c>
      <c r="L142" s="1445">
        <v>0</v>
      </c>
      <c r="M142" s="1445">
        <v>0</v>
      </c>
    </row>
    <row r="143" spans="1:13" s="999" customFormat="1" x14ac:dyDescent="0.25">
      <c r="A143" s="829" t="s">
        <v>1590</v>
      </c>
      <c r="B143" s="1511"/>
      <c r="C143" s="1511"/>
      <c r="D143" s="1445"/>
      <c r="E143" s="1445"/>
      <c r="F143" s="1445"/>
      <c r="G143" s="1445"/>
      <c r="H143" s="1445"/>
      <c r="I143" s="1445">
        <f t="shared" ref="I143:M145" si="36">I72/2</f>
        <v>375000</v>
      </c>
      <c r="J143" s="1445">
        <f t="shared" si="36"/>
        <v>375000</v>
      </c>
      <c r="K143" s="1445">
        <f t="shared" si="36"/>
        <v>375000</v>
      </c>
      <c r="L143" s="1445">
        <f t="shared" si="36"/>
        <v>375000</v>
      </c>
      <c r="M143" s="1445">
        <f t="shared" si="36"/>
        <v>375000</v>
      </c>
    </row>
    <row r="144" spans="1:13" s="999" customFormat="1" x14ac:dyDescent="0.25">
      <c r="A144" s="829" t="s">
        <v>1127</v>
      </c>
      <c r="B144" s="1511"/>
      <c r="C144" s="1511"/>
      <c r="D144" s="1445">
        <f t="shared" ref="D144:G145" si="37">D73/2</f>
        <v>201985</v>
      </c>
      <c r="E144" s="1445">
        <f t="shared" si="37"/>
        <v>206024.5</v>
      </c>
      <c r="F144" s="1445">
        <f t="shared" si="37"/>
        <v>210145</v>
      </c>
      <c r="G144" s="1445">
        <f t="shared" si="37"/>
        <v>214348</v>
      </c>
      <c r="H144" s="1445">
        <f>H73/2</f>
        <v>219706.69999999998</v>
      </c>
      <c r="I144" s="1445">
        <f t="shared" si="36"/>
        <v>225199.36749999996</v>
      </c>
      <c r="J144" s="1445">
        <f t="shared" si="36"/>
        <v>230829.35168749993</v>
      </c>
      <c r="K144" s="1445">
        <f t="shared" si="36"/>
        <v>236600.0854796874</v>
      </c>
      <c r="L144" s="1445">
        <f t="shared" si="36"/>
        <v>242515.08761667958</v>
      </c>
      <c r="M144" s="1445">
        <f t="shared" si="36"/>
        <v>248577.96480709655</v>
      </c>
    </row>
    <row r="145" spans="1:13" s="999" customFormat="1" x14ac:dyDescent="0.25">
      <c r="A145" s="832" t="s">
        <v>1151</v>
      </c>
      <c r="B145" s="1513"/>
      <c r="C145" s="1513"/>
      <c r="D145" s="1445">
        <f t="shared" si="37"/>
        <v>0</v>
      </c>
      <c r="E145" s="1445">
        <f t="shared" si="37"/>
        <v>150000</v>
      </c>
      <c r="F145" s="1445">
        <f t="shared" si="37"/>
        <v>150000</v>
      </c>
      <c r="G145" s="1445">
        <f t="shared" si="37"/>
        <v>125000</v>
      </c>
      <c r="H145" s="1445">
        <f>H74/2</f>
        <v>0</v>
      </c>
      <c r="I145" s="1445">
        <f t="shared" si="36"/>
        <v>0</v>
      </c>
      <c r="J145" s="1445">
        <f t="shared" si="36"/>
        <v>0</v>
      </c>
      <c r="K145" s="1445">
        <f t="shared" si="36"/>
        <v>0</v>
      </c>
      <c r="L145" s="1445">
        <f t="shared" si="36"/>
        <v>0</v>
      </c>
      <c r="M145" s="1445">
        <f t="shared" si="36"/>
        <v>0</v>
      </c>
    </row>
    <row r="146" spans="1:13" s="999" customFormat="1" x14ac:dyDescent="0.25">
      <c r="A146" s="832" t="s">
        <v>1128</v>
      </c>
      <c r="B146" s="1513"/>
      <c r="C146" s="1513"/>
      <c r="D146" s="1445">
        <v>0</v>
      </c>
      <c r="E146" s="1445">
        <v>0</v>
      </c>
      <c r="F146" s="1445">
        <v>0</v>
      </c>
      <c r="G146" s="1445">
        <v>0</v>
      </c>
      <c r="H146" s="1445">
        <v>0</v>
      </c>
      <c r="I146" s="1445">
        <v>0</v>
      </c>
      <c r="J146" s="1445">
        <v>0</v>
      </c>
      <c r="K146" s="1445">
        <v>0</v>
      </c>
      <c r="L146" s="1445">
        <v>0</v>
      </c>
      <c r="M146" s="1445">
        <v>0</v>
      </c>
    </row>
    <row r="147" spans="1:13" s="999" customFormat="1" x14ac:dyDescent="0.25">
      <c r="A147" s="832" t="s">
        <v>1129</v>
      </c>
      <c r="B147" s="1513"/>
      <c r="C147" s="1513"/>
      <c r="D147" s="1445">
        <f t="shared" ref="D147:M147" si="38">D76*0.25</f>
        <v>31250</v>
      </c>
      <c r="E147" s="1445">
        <f t="shared" si="38"/>
        <v>32500</v>
      </c>
      <c r="F147" s="1445">
        <f t="shared" si="38"/>
        <v>32500</v>
      </c>
      <c r="G147" s="1445">
        <f t="shared" si="38"/>
        <v>32500</v>
      </c>
      <c r="H147" s="1445">
        <f t="shared" si="38"/>
        <v>32500</v>
      </c>
      <c r="I147" s="1445">
        <f t="shared" si="38"/>
        <v>32500</v>
      </c>
      <c r="J147" s="1445">
        <f t="shared" si="38"/>
        <v>32500</v>
      </c>
      <c r="K147" s="1445">
        <f t="shared" si="38"/>
        <v>32500</v>
      </c>
      <c r="L147" s="1445">
        <f t="shared" si="38"/>
        <v>32500</v>
      </c>
      <c r="M147" s="1445">
        <f t="shared" si="38"/>
        <v>32500</v>
      </c>
    </row>
    <row r="148" spans="1:13" s="999" customFormat="1" x14ac:dyDescent="0.25">
      <c r="A148" s="832" t="s">
        <v>1130</v>
      </c>
      <c r="B148" s="1513"/>
      <c r="C148" s="1513"/>
      <c r="D148" s="1445">
        <f t="shared" ref="D148:M148" si="39">D77*0.25</f>
        <v>39000</v>
      </c>
      <c r="E148" s="1445">
        <f t="shared" si="39"/>
        <v>40000</v>
      </c>
      <c r="F148" s="1445">
        <f t="shared" si="39"/>
        <v>41250</v>
      </c>
      <c r="G148" s="1445">
        <f t="shared" si="39"/>
        <v>41250</v>
      </c>
      <c r="H148" s="1445">
        <f t="shared" si="39"/>
        <v>41250</v>
      </c>
      <c r="I148" s="1445">
        <f t="shared" si="39"/>
        <v>41250</v>
      </c>
      <c r="J148" s="1445">
        <f t="shared" si="39"/>
        <v>41250</v>
      </c>
      <c r="K148" s="1445">
        <f t="shared" si="39"/>
        <v>41250</v>
      </c>
      <c r="L148" s="1445">
        <f t="shared" si="39"/>
        <v>41250</v>
      </c>
      <c r="M148" s="1445">
        <f t="shared" si="39"/>
        <v>41250</v>
      </c>
    </row>
    <row r="149" spans="1:13" s="999" customFormat="1" x14ac:dyDescent="0.25">
      <c r="A149" s="832" t="s">
        <v>1131</v>
      </c>
      <c r="B149" s="1513"/>
      <c r="C149" s="1513"/>
      <c r="D149" s="1445">
        <v>0</v>
      </c>
      <c r="E149" s="1514">
        <v>0</v>
      </c>
      <c r="F149" s="1497">
        <v>0</v>
      </c>
      <c r="G149" s="1445">
        <v>0</v>
      </c>
      <c r="H149" s="1445">
        <v>0</v>
      </c>
      <c r="I149" s="1445">
        <v>0</v>
      </c>
      <c r="J149" s="1445">
        <v>0</v>
      </c>
      <c r="K149" s="1445">
        <v>0</v>
      </c>
      <c r="L149" s="1445">
        <v>0</v>
      </c>
      <c r="M149" s="1445">
        <v>0</v>
      </c>
    </row>
    <row r="150" spans="1:13" s="999" customFormat="1" x14ac:dyDescent="0.25">
      <c r="A150" s="832" t="s">
        <v>908</v>
      </c>
      <c r="B150" s="1513"/>
      <c r="C150" s="1513"/>
      <c r="D150" s="1445">
        <v>158000</v>
      </c>
      <c r="E150" s="1514">
        <v>158000</v>
      </c>
      <c r="F150" s="1497">
        <v>159000</v>
      </c>
      <c r="G150" s="1519">
        <v>160000</v>
      </c>
      <c r="H150" s="1519">
        <f>H79</f>
        <v>160000</v>
      </c>
      <c r="I150" s="1519">
        <v>160000</v>
      </c>
      <c r="J150" s="1519">
        <v>160000</v>
      </c>
      <c r="K150" s="1519">
        <v>160000</v>
      </c>
      <c r="L150" s="1519">
        <v>160000</v>
      </c>
      <c r="M150" s="1519">
        <v>160000</v>
      </c>
    </row>
    <row r="151" spans="1:13" s="999" customFormat="1" x14ac:dyDescent="0.25">
      <c r="A151" s="832" t="s">
        <v>1133</v>
      </c>
      <c r="B151" s="832"/>
      <c r="C151" s="1032"/>
      <c r="D151" s="847">
        <v>0</v>
      </c>
      <c r="E151" s="1500">
        <v>0</v>
      </c>
      <c r="F151" s="1497">
        <v>0</v>
      </c>
      <c r="G151" s="1445">
        <v>0</v>
      </c>
      <c r="H151" s="1445">
        <v>0</v>
      </c>
      <c r="I151" s="1445">
        <v>0</v>
      </c>
      <c r="J151" s="1445">
        <v>0</v>
      </c>
      <c r="K151" s="1445">
        <v>0</v>
      </c>
      <c r="L151" s="1445">
        <v>0</v>
      </c>
      <c r="M151" s="1445">
        <v>0</v>
      </c>
    </row>
    <row r="152" spans="1:13" s="999" customFormat="1" x14ac:dyDescent="0.25">
      <c r="A152" s="832" t="s">
        <v>1137</v>
      </c>
      <c r="B152" s="832"/>
      <c r="C152" s="1032"/>
      <c r="D152" s="847">
        <v>175000</v>
      </c>
      <c r="E152" s="1500">
        <f>E81/2</f>
        <v>3500000</v>
      </c>
      <c r="F152" s="1497">
        <v>0</v>
      </c>
      <c r="G152" s="1445">
        <v>0</v>
      </c>
      <c r="H152" s="1445">
        <v>0</v>
      </c>
      <c r="I152" s="1445">
        <v>0</v>
      </c>
      <c r="J152" s="1445">
        <v>0</v>
      </c>
      <c r="K152" s="1445">
        <v>0</v>
      </c>
      <c r="L152" s="1445">
        <v>0</v>
      </c>
      <c r="M152" s="1445">
        <v>0</v>
      </c>
    </row>
    <row r="153" spans="1:13" s="999" customFormat="1" x14ac:dyDescent="0.25">
      <c r="A153" s="832" t="s">
        <v>1593</v>
      </c>
      <c r="B153" s="832"/>
      <c r="C153" s="1032"/>
      <c r="D153" s="847"/>
      <c r="E153" s="1500"/>
      <c r="F153" s="1497"/>
      <c r="G153" s="1445"/>
      <c r="H153" s="1445"/>
      <c r="I153" s="1445">
        <f>I82/2</f>
        <v>125000</v>
      </c>
      <c r="J153" s="1445">
        <f>J82/2</f>
        <v>125000</v>
      </c>
      <c r="K153" s="1445">
        <f>K82/2</f>
        <v>125000</v>
      </c>
      <c r="L153" s="1445">
        <f>L82/2</f>
        <v>125000</v>
      </c>
      <c r="M153" s="1445">
        <f>M82/2</f>
        <v>125000</v>
      </c>
    </row>
    <row r="154" spans="1:13" s="999" customFormat="1" x14ac:dyDescent="0.25">
      <c r="A154" s="832" t="s">
        <v>1140</v>
      </c>
      <c r="B154" s="832"/>
      <c r="C154" s="1032"/>
      <c r="D154" s="847">
        <v>0</v>
      </c>
      <c r="E154" s="1500">
        <v>0</v>
      </c>
      <c r="F154" s="1497">
        <v>0</v>
      </c>
      <c r="G154" s="1445">
        <v>0</v>
      </c>
      <c r="H154" s="1445">
        <v>0</v>
      </c>
      <c r="I154" s="1445">
        <v>0</v>
      </c>
      <c r="J154" s="1445">
        <v>0</v>
      </c>
      <c r="K154" s="1445">
        <v>0</v>
      </c>
      <c r="L154" s="1445">
        <v>0</v>
      </c>
      <c r="M154" s="1445">
        <v>0</v>
      </c>
    </row>
    <row r="155" spans="1:13" s="999" customFormat="1" x14ac:dyDescent="0.25">
      <c r="A155" s="832" t="s">
        <v>1141</v>
      </c>
      <c r="B155" s="832"/>
      <c r="C155" s="1032"/>
      <c r="D155" s="847">
        <v>0</v>
      </c>
      <c r="E155" s="1500">
        <v>0</v>
      </c>
      <c r="F155" s="1497">
        <v>0</v>
      </c>
      <c r="G155" s="1445">
        <v>0</v>
      </c>
      <c r="H155" s="1445">
        <v>0</v>
      </c>
      <c r="I155" s="1445">
        <v>0</v>
      </c>
      <c r="J155" s="1445">
        <v>0</v>
      </c>
      <c r="K155" s="1445">
        <v>0</v>
      </c>
      <c r="L155" s="1445">
        <v>0</v>
      </c>
      <c r="M155" s="1445">
        <v>0</v>
      </c>
    </row>
    <row r="156" spans="1:13" s="999" customFormat="1" x14ac:dyDescent="0.25">
      <c r="A156" s="832" t="s">
        <v>1135</v>
      </c>
      <c r="B156" s="832"/>
      <c r="C156" s="1032"/>
      <c r="D156" s="847">
        <v>0</v>
      </c>
      <c r="E156" s="1500">
        <v>0</v>
      </c>
      <c r="F156" s="1497">
        <v>0</v>
      </c>
      <c r="G156" s="1445">
        <v>0</v>
      </c>
      <c r="H156" s="1445">
        <v>0</v>
      </c>
      <c r="I156" s="1445">
        <v>0</v>
      </c>
      <c r="J156" s="1445">
        <v>0</v>
      </c>
      <c r="K156" s="1445">
        <v>0</v>
      </c>
      <c r="L156" s="1445">
        <v>0</v>
      </c>
      <c r="M156" s="1445">
        <v>0</v>
      </c>
    </row>
    <row r="157" spans="1:13" s="999" customFormat="1" x14ac:dyDescent="0.25">
      <c r="A157" s="832" t="s">
        <v>1581</v>
      </c>
      <c r="B157" s="836"/>
      <c r="C157" s="1513"/>
      <c r="D157" s="1493">
        <v>0</v>
      </c>
      <c r="E157" s="1501"/>
      <c r="F157" s="1493"/>
      <c r="G157" s="1516"/>
      <c r="H157" s="1516"/>
      <c r="I157" s="1516"/>
      <c r="J157" s="1516"/>
      <c r="K157" s="1516"/>
      <c r="L157" s="1516"/>
      <c r="M157" s="1516"/>
    </row>
    <row r="158" spans="1:13" s="999" customFormat="1" x14ac:dyDescent="0.25">
      <c r="A158" s="1026" t="s">
        <v>23</v>
      </c>
      <c r="B158" s="1032"/>
      <c r="C158" s="1032"/>
      <c r="D158" s="957">
        <f t="shared" ref="D158:M158" si="40">SUM(D134:D157)</f>
        <v>1105235</v>
      </c>
      <c r="E158" s="847">
        <f t="shared" si="40"/>
        <v>5836524.5</v>
      </c>
      <c r="F158" s="847">
        <f t="shared" si="40"/>
        <v>2342895</v>
      </c>
      <c r="G158" s="847">
        <f t="shared" si="40"/>
        <v>1073098</v>
      </c>
      <c r="H158" s="847">
        <f t="shared" si="40"/>
        <v>953456.7</v>
      </c>
      <c r="I158" s="847">
        <f t="shared" si="40"/>
        <v>1458949.3674999999</v>
      </c>
      <c r="J158" s="847">
        <f t="shared" si="40"/>
        <v>1464579.3516875</v>
      </c>
      <c r="K158" s="847">
        <f t="shared" si="40"/>
        <v>1470350.0854796874</v>
      </c>
      <c r="L158" s="847">
        <f t="shared" si="40"/>
        <v>1476265.0876166795</v>
      </c>
      <c r="M158" s="847">
        <f t="shared" si="40"/>
        <v>1482327.9648070966</v>
      </c>
    </row>
    <row r="159" spans="1:13" s="999" customFormat="1" x14ac:dyDescent="0.25">
      <c r="A159" s="1032"/>
      <c r="B159" s="1032"/>
      <c r="C159" s="1032"/>
      <c r="D159" s="957"/>
      <c r="E159" s="1504"/>
      <c r="F159" s="957"/>
      <c r="G159" s="957"/>
      <c r="H159" s="957"/>
      <c r="I159" s="957"/>
      <c r="J159" s="957"/>
      <c r="K159" s="957"/>
      <c r="L159" s="957"/>
      <c r="M159" s="957"/>
    </row>
    <row r="160" spans="1:13" s="999" customFormat="1" x14ac:dyDescent="0.25">
      <c r="A160" s="1023" t="s">
        <v>1594</v>
      </c>
      <c r="B160" s="1023"/>
      <c r="C160" s="1023"/>
      <c r="D160" s="957">
        <f>D158+D127</f>
        <v>7198561</v>
      </c>
      <c r="E160" s="957">
        <f t="shared" ref="E160:M160" si="41">E158+E127</f>
        <v>16305578</v>
      </c>
      <c r="F160" s="957">
        <f t="shared" si="41"/>
        <v>9452414</v>
      </c>
      <c r="G160" s="957">
        <f t="shared" si="41"/>
        <v>8205765</v>
      </c>
      <c r="H160" s="957">
        <f t="shared" si="41"/>
        <v>8174482.4000000004</v>
      </c>
      <c r="I160" s="957">
        <f t="shared" si="41"/>
        <v>8828867.7349999994</v>
      </c>
      <c r="J160" s="957">
        <f t="shared" si="41"/>
        <v>9398555.7033750005</v>
      </c>
      <c r="K160" s="957">
        <f t="shared" si="41"/>
        <v>9231553.7309593745</v>
      </c>
      <c r="L160" s="957">
        <f t="shared" si="41"/>
        <v>9554869.4264333583</v>
      </c>
      <c r="M160" s="957">
        <f t="shared" si="41"/>
        <v>9678510.5858381931</v>
      </c>
    </row>
    <row r="161" spans="1:13" s="999" customFormat="1" x14ac:dyDescent="0.25">
      <c r="A161" s="1023"/>
      <c r="B161" s="1023"/>
      <c r="C161" s="1023"/>
      <c r="D161" s="957"/>
      <c r="E161" s="957"/>
      <c r="F161" s="957"/>
      <c r="G161" s="957"/>
      <c r="H161" s="957"/>
      <c r="I161" s="957"/>
      <c r="J161" s="957"/>
      <c r="K161" s="957"/>
      <c r="L161" s="957"/>
      <c r="M161" s="957"/>
    </row>
    <row r="162" spans="1:13" s="999" customFormat="1" x14ac:dyDescent="0.25">
      <c r="A162" s="1032"/>
      <c r="B162" s="1032"/>
      <c r="C162" s="1032"/>
      <c r="D162" s="957"/>
      <c r="E162" s="1504"/>
      <c r="F162" s="957"/>
      <c r="G162" s="957"/>
      <c r="H162" s="957"/>
      <c r="I162" s="957"/>
      <c r="J162" s="957"/>
      <c r="K162" s="957"/>
      <c r="L162" s="957"/>
      <c r="M162" s="957"/>
    </row>
    <row r="163" spans="1:13" s="999" customFormat="1" x14ac:dyDescent="0.25">
      <c r="A163" s="1495"/>
      <c r="B163" s="1495"/>
      <c r="C163" s="1495"/>
      <c r="D163" s="1496" t="s">
        <v>4</v>
      </c>
      <c r="E163" s="1496" t="s">
        <v>5</v>
      </c>
      <c r="F163" s="1496" t="s">
        <v>6</v>
      </c>
      <c r="G163" s="1496" t="s">
        <v>7</v>
      </c>
      <c r="H163" s="1479" t="s">
        <v>8</v>
      </c>
      <c r="I163" s="1479" t="s">
        <v>9</v>
      </c>
      <c r="J163" s="1479" t="s">
        <v>514</v>
      </c>
      <c r="K163" s="1479" t="s">
        <v>515</v>
      </c>
      <c r="L163" s="1479" t="s">
        <v>904</v>
      </c>
      <c r="M163" s="1479" t="s">
        <v>1046</v>
      </c>
    </row>
    <row r="164" spans="1:13" x14ac:dyDescent="0.25">
      <c r="A164" s="832" t="s">
        <v>1134</v>
      </c>
      <c r="B164" s="1520"/>
      <c r="C164" s="1032"/>
      <c r="D164" s="847">
        <v>743672</v>
      </c>
      <c r="E164" s="1500">
        <v>762263.79999999993</v>
      </c>
      <c r="F164" s="1500">
        <v>781320.3949999999</v>
      </c>
      <c r="G164" s="1521">
        <v>800853.40487499977</v>
      </c>
      <c r="H164" s="1499">
        <f t="shared" ref="H164:M164" si="42">G164*1.025</f>
        <v>820874.7399968747</v>
      </c>
      <c r="I164" s="1499">
        <f t="shared" si="42"/>
        <v>841396.60849679646</v>
      </c>
      <c r="J164" s="1499">
        <f t="shared" si="42"/>
        <v>862431.52370921627</v>
      </c>
      <c r="K164" s="1499">
        <f t="shared" si="42"/>
        <v>883992.31180194661</v>
      </c>
      <c r="L164" s="1499">
        <f t="shared" si="42"/>
        <v>906092.11959699518</v>
      </c>
      <c r="M164" s="1499">
        <f t="shared" si="42"/>
        <v>928744.42258691997</v>
      </c>
    </row>
    <row r="165" spans="1:13" x14ac:dyDescent="0.25">
      <c r="A165" s="832" t="s">
        <v>1157</v>
      </c>
      <c r="B165" s="832"/>
      <c r="C165" s="1032"/>
      <c r="E165" s="1500"/>
      <c r="F165" s="1497"/>
      <c r="G165" s="1498"/>
      <c r="H165" s="1497"/>
      <c r="I165" s="1497"/>
      <c r="J165" s="1497"/>
      <c r="K165" s="1497"/>
      <c r="L165" s="1497"/>
      <c r="M165" s="1497"/>
    </row>
    <row r="166" spans="1:13" x14ac:dyDescent="0.25">
      <c r="A166" s="832" t="s">
        <v>1136</v>
      </c>
      <c r="B166" s="832"/>
      <c r="C166" s="1032"/>
      <c r="D166" s="847">
        <v>25000</v>
      </c>
      <c r="E166" s="1500">
        <v>25000</v>
      </c>
      <c r="F166" s="1497">
        <v>25000</v>
      </c>
      <c r="G166" s="1498">
        <v>25000</v>
      </c>
      <c r="H166" s="1497">
        <v>25000</v>
      </c>
      <c r="I166" s="1497">
        <v>25000</v>
      </c>
      <c r="J166" s="1497">
        <v>25000</v>
      </c>
      <c r="K166" s="1497">
        <v>25000</v>
      </c>
      <c r="L166" s="1497">
        <v>25000</v>
      </c>
      <c r="M166" s="1497">
        <v>25000</v>
      </c>
    </row>
    <row r="167" spans="1:13" x14ac:dyDescent="0.25">
      <c r="A167" s="829" t="s">
        <v>1160</v>
      </c>
      <c r="B167" s="829"/>
      <c r="C167" s="1033"/>
      <c r="D167" s="847">
        <v>175000</v>
      </c>
      <c r="E167" s="1500">
        <v>12000000</v>
      </c>
      <c r="F167" s="1497">
        <v>12000000</v>
      </c>
      <c r="G167" s="1498"/>
      <c r="H167" s="1497"/>
      <c r="I167" s="1497"/>
      <c r="J167" s="1497"/>
      <c r="K167" s="1497"/>
      <c r="L167" s="1497"/>
      <c r="M167" s="1497"/>
    </row>
    <row r="168" spans="1:13" x14ac:dyDescent="0.25">
      <c r="A168" s="832" t="s">
        <v>1138</v>
      </c>
      <c r="B168" s="832"/>
      <c r="C168" s="1032"/>
      <c r="D168" s="847">
        <v>100000</v>
      </c>
      <c r="E168" s="1500">
        <v>105000</v>
      </c>
      <c r="F168" s="1497">
        <v>90000</v>
      </c>
      <c r="G168" s="1498">
        <v>90000</v>
      </c>
      <c r="H168" s="1497">
        <v>90000</v>
      </c>
      <c r="I168" s="1497">
        <v>90000</v>
      </c>
      <c r="J168" s="1497">
        <v>90000</v>
      </c>
      <c r="K168" s="1497">
        <v>90000</v>
      </c>
      <c r="L168" s="1497">
        <v>90000</v>
      </c>
      <c r="M168" s="1497">
        <v>90000</v>
      </c>
    </row>
    <row r="169" spans="1:13" x14ac:dyDescent="0.25">
      <c r="A169" s="832" t="s">
        <v>1139</v>
      </c>
      <c r="B169" s="832"/>
      <c r="C169" s="1032"/>
      <c r="D169" s="847">
        <v>75000</v>
      </c>
      <c r="E169" s="1500">
        <v>75000</v>
      </c>
      <c r="F169" s="1497">
        <v>75000</v>
      </c>
      <c r="G169" s="1498">
        <v>65000</v>
      </c>
      <c r="H169" s="1497">
        <v>65000</v>
      </c>
      <c r="I169" s="1497">
        <v>65000</v>
      </c>
      <c r="J169" s="1497">
        <v>65000</v>
      </c>
      <c r="K169" s="1497">
        <v>65000</v>
      </c>
      <c r="L169" s="1497">
        <v>65000</v>
      </c>
      <c r="M169" s="1497">
        <v>65000</v>
      </c>
    </row>
    <row r="170" spans="1:13" x14ac:dyDescent="0.25">
      <c r="A170" s="832" t="s">
        <v>1152</v>
      </c>
      <c r="B170" s="832"/>
      <c r="C170" s="1032"/>
      <c r="E170" s="1500">
        <v>200000</v>
      </c>
      <c r="F170" s="1497">
        <v>200000</v>
      </c>
      <c r="G170" s="1498">
        <v>80000</v>
      </c>
      <c r="H170" s="1497">
        <v>80000</v>
      </c>
      <c r="I170" s="1497">
        <v>80000</v>
      </c>
      <c r="J170" s="1497">
        <v>80000</v>
      </c>
      <c r="K170" s="1497">
        <v>80000</v>
      </c>
      <c r="L170" s="1497">
        <v>80000</v>
      </c>
      <c r="M170" s="1497">
        <v>80000</v>
      </c>
    </row>
    <row r="171" spans="1:13" x14ac:dyDescent="0.25">
      <c r="A171" s="832" t="s">
        <v>1595</v>
      </c>
      <c r="B171" s="832"/>
      <c r="C171" s="1032"/>
      <c r="D171" s="847">
        <v>65000</v>
      </c>
      <c r="E171" s="1500"/>
      <c r="F171" s="1497"/>
      <c r="G171" s="1498"/>
      <c r="H171" s="1497"/>
      <c r="I171" s="1497"/>
      <c r="J171" s="1497"/>
      <c r="K171" s="1497"/>
      <c r="L171" s="1497"/>
      <c r="M171" s="1497"/>
    </row>
    <row r="172" spans="1:13" x14ac:dyDescent="0.25">
      <c r="A172" s="832" t="s">
        <v>1158</v>
      </c>
      <c r="B172" s="832"/>
      <c r="C172" s="1032"/>
      <c r="E172" s="1500"/>
      <c r="F172" s="1497"/>
      <c r="G172" s="1498"/>
      <c r="H172" s="1497"/>
      <c r="I172" s="1497"/>
      <c r="J172" s="1497"/>
      <c r="K172" s="1497"/>
      <c r="L172" s="1497"/>
      <c r="M172" s="1497"/>
    </row>
    <row r="173" spans="1:13" x14ac:dyDescent="0.25">
      <c r="A173" s="829" t="s">
        <v>1142</v>
      </c>
      <c r="B173" s="829"/>
      <c r="C173" s="1033"/>
      <c r="D173" s="847">
        <v>250000</v>
      </c>
      <c r="E173" s="1500">
        <v>250000</v>
      </c>
      <c r="F173" s="1497">
        <v>250000</v>
      </c>
      <c r="G173" s="1498">
        <v>250000</v>
      </c>
      <c r="H173" s="1497">
        <v>250000</v>
      </c>
      <c r="I173" s="1497">
        <v>250000</v>
      </c>
      <c r="J173" s="1497">
        <v>250000</v>
      </c>
      <c r="K173" s="1497">
        <v>250000</v>
      </c>
      <c r="L173" s="1497">
        <v>250000</v>
      </c>
      <c r="M173" s="1497">
        <v>250000</v>
      </c>
    </row>
    <row r="174" spans="1:13" x14ac:dyDescent="0.25">
      <c r="A174" s="829" t="s">
        <v>1153</v>
      </c>
      <c r="B174" s="829"/>
      <c r="C174" s="1033"/>
      <c r="D174" s="847">
        <v>25000</v>
      </c>
      <c r="E174" s="1500">
        <v>25000</v>
      </c>
      <c r="F174" s="1497">
        <v>25000</v>
      </c>
      <c r="G174" s="1498">
        <v>25000</v>
      </c>
      <c r="H174" s="1497">
        <v>25000</v>
      </c>
      <c r="I174" s="1497">
        <v>25000</v>
      </c>
      <c r="J174" s="1497">
        <v>25000</v>
      </c>
      <c r="K174" s="1497">
        <v>25000</v>
      </c>
      <c r="L174" s="1497">
        <v>25000</v>
      </c>
      <c r="M174" s="1497">
        <v>25000</v>
      </c>
    </row>
    <row r="175" spans="1:13" x14ac:dyDescent="0.25">
      <c r="A175" s="832" t="s">
        <v>1154</v>
      </c>
      <c r="B175" s="832"/>
      <c r="C175" s="1032"/>
      <c r="D175" s="847">
        <v>40000</v>
      </c>
      <c r="E175" s="1500">
        <v>40000</v>
      </c>
      <c r="F175" s="1497">
        <v>40000</v>
      </c>
      <c r="G175" s="1498">
        <v>40000</v>
      </c>
      <c r="H175" s="1497">
        <v>40000</v>
      </c>
      <c r="I175" s="1497">
        <v>40000</v>
      </c>
      <c r="J175" s="1497">
        <v>40000</v>
      </c>
      <c r="K175" s="1497">
        <v>40000</v>
      </c>
      <c r="L175" s="1497">
        <v>40000</v>
      </c>
      <c r="M175" s="1497">
        <v>40000</v>
      </c>
    </row>
    <row r="176" spans="1:13" x14ac:dyDescent="0.25">
      <c r="A176" s="832" t="s">
        <v>1143</v>
      </c>
      <c r="B176" s="832"/>
      <c r="C176" s="1032"/>
      <c r="D176" s="847">
        <v>141000</v>
      </c>
      <c r="E176" s="1500">
        <v>133250</v>
      </c>
      <c r="F176" s="1500">
        <v>134439</v>
      </c>
      <c r="G176" s="1521">
        <v>135915</v>
      </c>
      <c r="H176" s="1500">
        <v>135915</v>
      </c>
      <c r="I176" s="1500">
        <v>135915</v>
      </c>
      <c r="J176" s="1500">
        <v>135915</v>
      </c>
      <c r="K176" s="1500">
        <v>135915</v>
      </c>
      <c r="L176" s="1500">
        <v>135915</v>
      </c>
      <c r="M176" s="1500">
        <v>135915</v>
      </c>
    </row>
    <row r="177" spans="1:13" x14ac:dyDescent="0.25">
      <c r="A177" s="832" t="s">
        <v>1596</v>
      </c>
      <c r="B177" s="832"/>
      <c r="C177" s="1032"/>
      <c r="D177" s="847">
        <v>500000</v>
      </c>
      <c r="E177" s="1500">
        <v>500000</v>
      </c>
      <c r="F177" s="1500">
        <v>500000</v>
      </c>
      <c r="G177" s="1521">
        <v>350000</v>
      </c>
      <c r="H177" s="1500">
        <v>0</v>
      </c>
      <c r="I177" s="1500">
        <v>500000</v>
      </c>
      <c r="J177" s="1500">
        <v>500000</v>
      </c>
      <c r="K177" s="1500">
        <v>500000</v>
      </c>
      <c r="L177" s="1500">
        <v>500000</v>
      </c>
      <c r="M177" s="1500">
        <v>500000</v>
      </c>
    </row>
    <row r="178" spans="1:13" x14ac:dyDescent="0.25">
      <c r="A178" s="832" t="s">
        <v>1597</v>
      </c>
      <c r="B178" s="832"/>
      <c r="C178" s="1032"/>
      <c r="D178" s="847">
        <v>250000</v>
      </c>
      <c r="E178" s="1500">
        <v>250000</v>
      </c>
      <c r="F178" s="1500">
        <v>250000</v>
      </c>
      <c r="G178" s="1521">
        <v>200000</v>
      </c>
      <c r="H178" s="1500">
        <v>200000</v>
      </c>
      <c r="I178" s="1500">
        <v>200000</v>
      </c>
      <c r="J178" s="1500">
        <v>200000</v>
      </c>
      <c r="K178" s="1500">
        <v>200000</v>
      </c>
      <c r="L178" s="1500">
        <v>200000</v>
      </c>
      <c r="M178" s="1500">
        <v>200000</v>
      </c>
    </row>
    <row r="179" spans="1:13" x14ac:dyDescent="0.25">
      <c r="A179" s="829" t="s">
        <v>1155</v>
      </c>
      <c r="B179" s="829"/>
      <c r="C179" s="1033"/>
      <c r="E179" s="1522" t="s">
        <v>516</v>
      </c>
      <c r="F179" s="1500">
        <v>350000</v>
      </c>
      <c r="G179" s="1521">
        <v>250000</v>
      </c>
      <c r="H179" s="1500">
        <v>250000</v>
      </c>
      <c r="I179" s="1500">
        <v>250000</v>
      </c>
      <c r="J179" s="1500">
        <v>500000</v>
      </c>
      <c r="K179" s="1500">
        <v>500000</v>
      </c>
      <c r="L179" s="1500">
        <v>500000</v>
      </c>
      <c r="M179" s="1500">
        <v>500000</v>
      </c>
    </row>
    <row r="180" spans="1:13" x14ac:dyDescent="0.25">
      <c r="A180" s="829" t="s">
        <v>1146</v>
      </c>
      <c r="B180" s="829"/>
      <c r="C180" s="1033"/>
      <c r="D180" s="847">
        <v>40579</v>
      </c>
      <c r="E180" s="1522">
        <v>0</v>
      </c>
      <c r="F180" s="1500">
        <v>0</v>
      </c>
      <c r="G180" s="1521">
        <v>0</v>
      </c>
      <c r="H180" s="1500">
        <v>0</v>
      </c>
      <c r="I180" s="1500">
        <v>0</v>
      </c>
      <c r="J180" s="1500">
        <v>0</v>
      </c>
      <c r="K180" s="1500">
        <v>0</v>
      </c>
      <c r="L180" s="1500">
        <v>0</v>
      </c>
      <c r="M180" s="1500">
        <v>0</v>
      </c>
    </row>
    <row r="181" spans="1:13" x14ac:dyDescent="0.25">
      <c r="A181" s="834" t="s">
        <v>1145</v>
      </c>
      <c r="B181" s="834"/>
      <c r="C181" s="1034"/>
      <c r="D181" s="847">
        <v>400000</v>
      </c>
      <c r="E181" s="1500">
        <v>500000</v>
      </c>
      <c r="F181" s="1500">
        <v>500000</v>
      </c>
      <c r="G181" s="1521">
        <v>400000</v>
      </c>
      <c r="H181" s="1500">
        <v>300000</v>
      </c>
      <c r="I181" s="1500">
        <v>300000</v>
      </c>
      <c r="J181" s="1500">
        <v>400000</v>
      </c>
      <c r="K181" s="1500">
        <v>400000</v>
      </c>
      <c r="L181" s="1500">
        <v>300000</v>
      </c>
      <c r="M181" s="1500">
        <v>400000</v>
      </c>
    </row>
    <row r="182" spans="1:13" x14ac:dyDescent="0.25">
      <c r="A182" s="832" t="s">
        <v>1147</v>
      </c>
      <c r="B182" s="832"/>
      <c r="C182" s="1032"/>
      <c r="D182" s="847">
        <v>150000</v>
      </c>
      <c r="E182" s="1500">
        <v>150000</v>
      </c>
      <c r="F182" s="1497">
        <v>180000</v>
      </c>
      <c r="G182" s="1498">
        <v>165000</v>
      </c>
      <c r="H182" s="1497">
        <v>165000</v>
      </c>
      <c r="I182" s="1497">
        <v>165000</v>
      </c>
      <c r="J182" s="1497">
        <v>165000</v>
      </c>
      <c r="K182" s="1497">
        <v>165000</v>
      </c>
      <c r="L182" s="1497">
        <v>165000</v>
      </c>
      <c r="M182" s="1497">
        <v>165000</v>
      </c>
    </row>
    <row r="183" spans="1:13" x14ac:dyDescent="0.25">
      <c r="A183" s="1535" t="s">
        <v>1621</v>
      </c>
      <c r="B183" s="1535"/>
      <c r="C183" s="1536"/>
      <c r="D183" s="1532"/>
      <c r="E183" s="1533"/>
      <c r="F183" s="1533"/>
      <c r="G183" s="1534">
        <v>-350000</v>
      </c>
      <c r="H183" s="1533">
        <v>-450000</v>
      </c>
      <c r="I183" s="1533">
        <v>-500000</v>
      </c>
      <c r="J183" s="1497"/>
      <c r="K183" s="1497"/>
      <c r="L183" s="1497"/>
      <c r="M183" s="1497"/>
    </row>
    <row r="184" spans="1:13" x14ac:dyDescent="0.25">
      <c r="A184" s="836" t="s">
        <v>1148</v>
      </c>
      <c r="B184" s="836"/>
      <c r="C184" s="836"/>
      <c r="D184" s="1493">
        <v>250000</v>
      </c>
      <c r="E184" s="1501">
        <v>250000</v>
      </c>
      <c r="F184" s="1501">
        <v>250000</v>
      </c>
      <c r="G184" s="1523">
        <v>250000</v>
      </c>
      <c r="H184" s="1493">
        <f t="shared" ref="H184:M184" si="43">G184*1.025</f>
        <v>256249.99999999997</v>
      </c>
      <c r="I184" s="1493">
        <f t="shared" si="43"/>
        <v>262656.24999999994</v>
      </c>
      <c r="J184" s="1493">
        <f t="shared" si="43"/>
        <v>269222.65624999994</v>
      </c>
      <c r="K184" s="1493">
        <f t="shared" si="43"/>
        <v>275953.22265624994</v>
      </c>
      <c r="L184" s="1493">
        <f t="shared" si="43"/>
        <v>282852.05322265619</v>
      </c>
      <c r="M184" s="1493">
        <f t="shared" si="43"/>
        <v>289923.3545532226</v>
      </c>
    </row>
    <row r="185" spans="1:13" x14ac:dyDescent="0.25">
      <c r="D185" s="847">
        <f t="shared" ref="D185:M185" si="44">SUM(D164:D184)</f>
        <v>3230251</v>
      </c>
      <c r="E185" s="847">
        <f t="shared" si="44"/>
        <v>15265513.800000001</v>
      </c>
      <c r="F185" s="847">
        <f t="shared" si="44"/>
        <v>15650759.395</v>
      </c>
      <c r="G185" s="847">
        <f t="shared" si="44"/>
        <v>2776768.404875</v>
      </c>
      <c r="H185" s="847">
        <f t="shared" si="44"/>
        <v>2253039.7399968747</v>
      </c>
      <c r="I185" s="847">
        <f t="shared" si="44"/>
        <v>2729967.8584967963</v>
      </c>
      <c r="J185" s="847">
        <f t="shared" si="44"/>
        <v>3607569.1799592162</v>
      </c>
      <c r="K185" s="847">
        <f t="shared" si="44"/>
        <v>3635860.5344581967</v>
      </c>
      <c r="L185" s="847">
        <f t="shared" si="44"/>
        <v>3564859.1728196517</v>
      </c>
      <c r="M185" s="847">
        <f t="shared" si="44"/>
        <v>3694582.7771401424</v>
      </c>
    </row>
    <row r="187" spans="1:13" x14ac:dyDescent="0.25">
      <c r="A187" s="825" t="s">
        <v>1598</v>
      </c>
      <c r="D187" s="847">
        <f t="shared" ref="D187:M187" si="45">D185+D87</f>
        <v>10428812</v>
      </c>
      <c r="E187" s="847">
        <f t="shared" si="45"/>
        <v>31571091.800000001</v>
      </c>
      <c r="F187" s="847">
        <f t="shared" si="45"/>
        <v>25103173.395</v>
      </c>
      <c r="G187" s="847">
        <f t="shared" si="45"/>
        <v>10982533.404874999</v>
      </c>
      <c r="H187" s="847">
        <f t="shared" si="45"/>
        <v>10415693.139996875</v>
      </c>
      <c r="I187" s="847">
        <f t="shared" si="45"/>
        <v>12591006.593496796</v>
      </c>
      <c r="J187" s="847">
        <f t="shared" si="45"/>
        <v>13015155.883334216</v>
      </c>
      <c r="K187" s="847">
        <f t="shared" si="45"/>
        <v>12957887.765417572</v>
      </c>
      <c r="L187" s="847">
        <f t="shared" si="45"/>
        <v>13214509.66175301</v>
      </c>
      <c r="M187" s="847">
        <f t="shared" si="45"/>
        <v>13412289.677040836</v>
      </c>
    </row>
    <row r="189" spans="1:13" x14ac:dyDescent="0.25">
      <c r="H189" s="847">
        <v>9966</v>
      </c>
      <c r="I189" s="847">
        <v>12189</v>
      </c>
      <c r="J189" s="847">
        <v>12711</v>
      </c>
      <c r="K189" s="847">
        <v>13060</v>
      </c>
      <c r="L189" s="847">
        <v>13316</v>
      </c>
      <c r="M189" s="847">
        <v>13577</v>
      </c>
    </row>
    <row r="191" spans="1:13" x14ac:dyDescent="0.25">
      <c r="D191" s="1479" t="s">
        <v>4</v>
      </c>
      <c r="E191" s="1479" t="s">
        <v>5</v>
      </c>
      <c r="F191" s="1479" t="s">
        <v>6</v>
      </c>
      <c r="G191" s="1479" t="s">
        <v>7</v>
      </c>
      <c r="H191" s="1479" t="s">
        <v>8</v>
      </c>
      <c r="I191" s="1479" t="s">
        <v>9</v>
      </c>
      <c r="J191" s="1479" t="s">
        <v>514</v>
      </c>
      <c r="K191" s="1479" t="s">
        <v>515</v>
      </c>
      <c r="L191" s="1479" t="s">
        <v>904</v>
      </c>
      <c r="M191" s="1479" t="s">
        <v>1046</v>
      </c>
    </row>
    <row r="192" spans="1:13" x14ac:dyDescent="0.25">
      <c r="A192" s="890" t="s">
        <v>1557</v>
      </c>
      <c r="D192" s="825"/>
      <c r="E192" s="825"/>
      <c r="F192" s="825"/>
      <c r="G192" s="825"/>
      <c r="H192" s="826"/>
      <c r="I192" s="826"/>
      <c r="J192" s="825"/>
      <c r="K192" s="825"/>
      <c r="L192" s="825"/>
      <c r="M192" s="825"/>
    </row>
    <row r="193" spans="1:13" x14ac:dyDescent="0.25">
      <c r="A193" s="825" t="s">
        <v>615</v>
      </c>
      <c r="D193" s="826">
        <f>D127</f>
        <v>6093326</v>
      </c>
      <c r="E193" s="826">
        <f t="shared" ref="E193:M193" si="46">E127</f>
        <v>10469053.5</v>
      </c>
      <c r="F193" s="826">
        <f t="shared" si="46"/>
        <v>7109519</v>
      </c>
      <c r="G193" s="826">
        <f t="shared" si="46"/>
        <v>7132667</v>
      </c>
      <c r="H193" s="826">
        <f t="shared" si="46"/>
        <v>7221025.7000000002</v>
      </c>
      <c r="I193" s="826">
        <f t="shared" si="46"/>
        <v>7369918.3674999997</v>
      </c>
      <c r="J193" s="826">
        <f t="shared" si="46"/>
        <v>7933976.3516875003</v>
      </c>
      <c r="K193" s="826">
        <f t="shared" si="46"/>
        <v>7761203.6454796875</v>
      </c>
      <c r="L193" s="826">
        <f t="shared" si="46"/>
        <v>8078604.3388166791</v>
      </c>
      <c r="M193" s="826">
        <f t="shared" si="46"/>
        <v>8196182.6210310971</v>
      </c>
    </row>
    <row r="194" spans="1:13" x14ac:dyDescent="0.25">
      <c r="A194" s="825" t="s">
        <v>335</v>
      </c>
      <c r="D194" s="826">
        <f>D164+D169+D173+D176+D184+(D181+D182)/2</f>
        <v>1734672</v>
      </c>
      <c r="E194" s="826">
        <f t="shared" ref="E194:M194" si="47">E164+E169+E173+E176+E184+(E181+E182)/2</f>
        <v>1795513.7999999998</v>
      </c>
      <c r="F194" s="826">
        <f t="shared" si="47"/>
        <v>1830759.395</v>
      </c>
      <c r="G194" s="826">
        <f t="shared" si="47"/>
        <v>1784268.4048749998</v>
      </c>
      <c r="H194" s="826">
        <f t="shared" si="47"/>
        <v>1760539.7399968747</v>
      </c>
      <c r="I194" s="826">
        <f t="shared" si="47"/>
        <v>1787467.8584967963</v>
      </c>
      <c r="J194" s="826">
        <f t="shared" si="47"/>
        <v>1865069.1799592162</v>
      </c>
      <c r="K194" s="826">
        <f t="shared" si="47"/>
        <v>1893360.5344581967</v>
      </c>
      <c r="L194" s="826">
        <f t="shared" si="47"/>
        <v>1872359.1728196514</v>
      </c>
      <c r="M194" s="826">
        <f t="shared" si="47"/>
        <v>1952082.7771401426</v>
      </c>
    </row>
    <row r="195" spans="1:13" x14ac:dyDescent="0.25">
      <c r="A195" s="825" t="s">
        <v>1558</v>
      </c>
      <c r="D195" s="1485">
        <f>SUM(D193:D194)</f>
        <v>7827998</v>
      </c>
      <c r="E195" s="1485">
        <f t="shared" ref="E195:M195" si="48">SUM(E193:E194)</f>
        <v>12264567.300000001</v>
      </c>
      <c r="F195" s="1485">
        <f t="shared" si="48"/>
        <v>8940278.3949999996</v>
      </c>
      <c r="G195" s="1485">
        <f t="shared" si="48"/>
        <v>8916935.4048749991</v>
      </c>
      <c r="H195" s="1485">
        <f t="shared" si="48"/>
        <v>8981565.4399968758</v>
      </c>
      <c r="I195" s="1485">
        <f t="shared" si="48"/>
        <v>9157386.225996796</v>
      </c>
      <c r="J195" s="1485">
        <f t="shared" si="48"/>
        <v>9799045.5316467173</v>
      </c>
      <c r="K195" s="1485">
        <f t="shared" si="48"/>
        <v>9654564.1799378842</v>
      </c>
      <c r="L195" s="1485">
        <f t="shared" si="48"/>
        <v>9950963.5116363298</v>
      </c>
      <c r="M195" s="1485">
        <f t="shared" si="48"/>
        <v>10148265.39817124</v>
      </c>
    </row>
    <row r="196" spans="1:13" x14ac:dyDescent="0.25">
      <c r="D196" s="825"/>
      <c r="E196" s="825"/>
      <c r="F196" s="825"/>
      <c r="G196" s="825"/>
      <c r="H196" s="825"/>
      <c r="I196" s="825"/>
      <c r="J196" s="825"/>
      <c r="K196" s="825"/>
      <c r="L196" s="825"/>
      <c r="M196" s="825"/>
    </row>
    <row r="197" spans="1:13" x14ac:dyDescent="0.25">
      <c r="A197" s="890" t="s">
        <v>1559</v>
      </c>
      <c r="D197" s="825"/>
      <c r="E197" s="825"/>
      <c r="F197" s="825"/>
      <c r="G197" s="825"/>
      <c r="H197" s="825"/>
      <c r="I197" s="825"/>
      <c r="J197" s="825"/>
      <c r="K197" s="825"/>
      <c r="L197" s="825"/>
      <c r="M197" s="825"/>
    </row>
    <row r="198" spans="1:13" x14ac:dyDescent="0.25">
      <c r="A198" s="825" t="s">
        <v>625</v>
      </c>
      <c r="D198" s="826">
        <f>D158</f>
        <v>1105235</v>
      </c>
      <c r="E198" s="826">
        <f t="shared" ref="E198:M198" si="49">E158</f>
        <v>5836524.5</v>
      </c>
      <c r="F198" s="826">
        <f t="shared" si="49"/>
        <v>2342895</v>
      </c>
      <c r="G198" s="826">
        <f t="shared" si="49"/>
        <v>1073098</v>
      </c>
      <c r="H198" s="826">
        <f t="shared" si="49"/>
        <v>953456.7</v>
      </c>
      <c r="I198" s="826">
        <f t="shared" si="49"/>
        <v>1458949.3674999999</v>
      </c>
      <c r="J198" s="826">
        <f t="shared" si="49"/>
        <v>1464579.3516875</v>
      </c>
      <c r="K198" s="826">
        <f t="shared" si="49"/>
        <v>1470350.0854796874</v>
      </c>
      <c r="L198" s="826">
        <f t="shared" si="49"/>
        <v>1476265.0876166795</v>
      </c>
      <c r="M198" s="826">
        <f t="shared" si="49"/>
        <v>1482327.9648070966</v>
      </c>
    </row>
    <row r="199" spans="1:13" x14ac:dyDescent="0.25">
      <c r="A199" s="825" t="s">
        <v>1560</v>
      </c>
      <c r="D199" s="826">
        <f>D185-D194</f>
        <v>1495579</v>
      </c>
      <c r="E199" s="826">
        <f t="shared" ref="E199:M199" si="50">E185-E194</f>
        <v>13470000</v>
      </c>
      <c r="F199" s="826">
        <f t="shared" si="50"/>
        <v>13820000</v>
      </c>
      <c r="G199" s="826">
        <f t="shared" si="50"/>
        <v>992500.00000000023</v>
      </c>
      <c r="H199" s="826">
        <f t="shared" si="50"/>
        <v>492500</v>
      </c>
      <c r="I199" s="826">
        <f t="shared" si="50"/>
        <v>942500</v>
      </c>
      <c r="J199" s="826">
        <f t="shared" si="50"/>
        <v>1742500</v>
      </c>
      <c r="K199" s="826">
        <f t="shared" si="50"/>
        <v>1742500</v>
      </c>
      <c r="L199" s="826">
        <f t="shared" si="50"/>
        <v>1692500.0000000002</v>
      </c>
      <c r="M199" s="826">
        <f t="shared" si="50"/>
        <v>1742499.9999999998</v>
      </c>
    </row>
    <row r="200" spans="1:13" x14ac:dyDescent="0.25">
      <c r="D200" s="1485">
        <f>SUM(D198:D199)</f>
        <v>2600814</v>
      </c>
      <c r="E200" s="1485">
        <f t="shared" ref="E200:M200" si="51">SUM(E198:E199)</f>
        <v>19306524.5</v>
      </c>
      <c r="F200" s="1485">
        <f t="shared" si="51"/>
        <v>16162895</v>
      </c>
      <c r="G200" s="1485">
        <f t="shared" si="51"/>
        <v>2065598.0000000002</v>
      </c>
      <c r="H200" s="1485">
        <f t="shared" si="51"/>
        <v>1445956.7</v>
      </c>
      <c r="I200" s="1485">
        <f t="shared" si="51"/>
        <v>2401449.3674999997</v>
      </c>
      <c r="J200" s="1485">
        <f t="shared" si="51"/>
        <v>3207079.3516875003</v>
      </c>
      <c r="K200" s="1485">
        <f t="shared" si="51"/>
        <v>3212850.0854796874</v>
      </c>
      <c r="L200" s="1485">
        <f t="shared" si="51"/>
        <v>3168765.0876166797</v>
      </c>
      <c r="M200" s="1485">
        <f t="shared" si="51"/>
        <v>3224827.9648070964</v>
      </c>
    </row>
    <row r="201" spans="1:13" x14ac:dyDescent="0.25">
      <c r="D201" s="825"/>
      <c r="E201" s="825"/>
      <c r="F201" s="825"/>
      <c r="G201" s="825"/>
      <c r="H201" s="825"/>
      <c r="I201" s="825"/>
      <c r="J201" s="825"/>
      <c r="K201" s="825"/>
      <c r="L201" s="825"/>
      <c r="M201" s="825"/>
    </row>
    <row r="202" spans="1:13" ht="14.4" thickBot="1" x14ac:dyDescent="0.3">
      <c r="A202" s="890" t="s">
        <v>1561</v>
      </c>
      <c r="D202" s="892">
        <f>D195+D200</f>
        <v>10428812</v>
      </c>
      <c r="E202" s="892">
        <f t="shared" ref="E202:M202" si="52">E195+E200</f>
        <v>31571091.800000001</v>
      </c>
      <c r="F202" s="892">
        <f t="shared" si="52"/>
        <v>25103173.395</v>
      </c>
      <c r="G202" s="892">
        <f t="shared" si="52"/>
        <v>10982533.404874999</v>
      </c>
      <c r="H202" s="892">
        <f t="shared" si="52"/>
        <v>10427522.139996875</v>
      </c>
      <c r="I202" s="892">
        <f t="shared" si="52"/>
        <v>11558835.593496796</v>
      </c>
      <c r="J202" s="892">
        <f t="shared" si="52"/>
        <v>13006124.883334218</v>
      </c>
      <c r="K202" s="892">
        <f t="shared" si="52"/>
        <v>12867414.265417572</v>
      </c>
      <c r="L202" s="892">
        <f t="shared" si="52"/>
        <v>13119728.59925301</v>
      </c>
      <c r="M202" s="892">
        <f t="shared" si="52"/>
        <v>13373093.362978337</v>
      </c>
    </row>
    <row r="204" spans="1:13" x14ac:dyDescent="0.25">
      <c r="A204" s="1483" t="s">
        <v>131</v>
      </c>
      <c r="B204" s="1483"/>
      <c r="C204" s="1483"/>
      <c r="D204" s="1524">
        <f>D187-D202</f>
        <v>0</v>
      </c>
      <c r="E204" s="1524">
        <f t="shared" ref="E204:M204" si="53">E187-E202</f>
        <v>0</v>
      </c>
      <c r="F204" s="1524">
        <f t="shared" si="53"/>
        <v>0</v>
      </c>
      <c r="G204" s="1524">
        <f t="shared" si="53"/>
        <v>0</v>
      </c>
      <c r="H204" s="1524">
        <f t="shared" si="53"/>
        <v>-11829</v>
      </c>
      <c r="I204" s="1524">
        <f t="shared" si="53"/>
        <v>1032171</v>
      </c>
      <c r="J204" s="1524">
        <f t="shared" si="53"/>
        <v>9030.9999999981374</v>
      </c>
      <c r="K204" s="1524">
        <f t="shared" si="53"/>
        <v>90473.5</v>
      </c>
      <c r="L204" s="1524">
        <f t="shared" si="53"/>
        <v>94781.0625</v>
      </c>
      <c r="M204" s="1524">
        <f t="shared" si="53"/>
        <v>39196.31406249851</v>
      </c>
    </row>
    <row r="207" spans="1:13" x14ac:dyDescent="0.25">
      <c r="A207" s="825" t="s">
        <v>1602</v>
      </c>
      <c r="D207" s="847">
        <f>D112+D122+D153+D143+D177</f>
        <v>500000</v>
      </c>
      <c r="E207" s="847">
        <f t="shared" ref="E207:M207" si="54">E112+E122+E153+E143+E177</f>
        <v>500000</v>
      </c>
      <c r="F207" s="847">
        <f t="shared" si="54"/>
        <v>500000</v>
      </c>
      <c r="G207" s="847">
        <f t="shared" si="54"/>
        <v>350000</v>
      </c>
      <c r="H207" s="847">
        <f t="shared" si="54"/>
        <v>0</v>
      </c>
      <c r="I207" s="847">
        <f t="shared" si="54"/>
        <v>1500000</v>
      </c>
      <c r="J207" s="847">
        <f t="shared" si="54"/>
        <v>1500000</v>
      </c>
      <c r="K207" s="847">
        <f t="shared" si="54"/>
        <v>1500000</v>
      </c>
      <c r="L207" s="847">
        <f t="shared" si="54"/>
        <v>1500000</v>
      </c>
      <c r="M207" s="847">
        <f t="shared" si="54"/>
        <v>1500000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7"/>
  <sheetViews>
    <sheetView showOutlineSymbols="0" zoomScaleNormal="100" workbookViewId="0">
      <selection activeCell="D116" sqref="D116"/>
    </sheetView>
  </sheetViews>
  <sheetFormatPr defaultRowHeight="13.2" outlineLevelCol="2" x14ac:dyDescent="0.25"/>
  <cols>
    <col min="1" max="1" width="21" style="803" customWidth="1"/>
    <col min="2" max="2" width="24.6640625" style="803" customWidth="1"/>
    <col min="3" max="3" width="16.6640625" style="803" customWidth="1"/>
    <col min="4" max="4" width="15.5546875" style="848" customWidth="1" outlineLevel="2"/>
    <col min="5" max="5" width="16.6640625" style="803" customWidth="1"/>
    <col min="6" max="6" width="16.33203125" style="803" customWidth="1"/>
    <col min="7" max="7" width="17.44140625" style="803" bestFit="1" customWidth="1"/>
    <col min="8" max="8" width="16.6640625" style="803" bestFit="1" customWidth="1"/>
    <col min="9" max="9" width="14.88671875" style="803" customWidth="1"/>
    <col min="10" max="256" width="9.109375" style="803"/>
    <col min="257" max="257" width="21" style="803" customWidth="1"/>
    <col min="258" max="258" width="24.6640625" style="803" customWidth="1"/>
    <col min="259" max="259" width="16.6640625" style="803" customWidth="1"/>
    <col min="260" max="260" width="15.5546875" style="803" customWidth="1"/>
    <col min="261" max="261" width="16.6640625" style="803" customWidth="1"/>
    <col min="262" max="262" width="16.33203125" style="803" customWidth="1"/>
    <col min="263" max="263" width="17.44140625" style="803" bestFit="1" customWidth="1"/>
    <col min="264" max="264" width="16.6640625" style="803" bestFit="1" customWidth="1"/>
    <col min="265" max="512" width="9.109375" style="803"/>
    <col min="513" max="513" width="21" style="803" customWidth="1"/>
    <col min="514" max="514" width="24.6640625" style="803" customWidth="1"/>
    <col min="515" max="515" width="16.6640625" style="803" customWidth="1"/>
    <col min="516" max="516" width="15.5546875" style="803" customWidth="1"/>
    <col min="517" max="517" width="16.6640625" style="803" customWidth="1"/>
    <col min="518" max="518" width="16.33203125" style="803" customWidth="1"/>
    <col min="519" max="519" width="17.44140625" style="803" bestFit="1" customWidth="1"/>
    <col min="520" max="520" width="16.6640625" style="803" bestFit="1" customWidth="1"/>
    <col min="521" max="768" width="9.109375" style="803"/>
    <col min="769" max="769" width="21" style="803" customWidth="1"/>
    <col min="770" max="770" width="24.6640625" style="803" customWidth="1"/>
    <col min="771" max="771" width="16.6640625" style="803" customWidth="1"/>
    <col min="772" max="772" width="15.5546875" style="803" customWidth="1"/>
    <col min="773" max="773" width="16.6640625" style="803" customWidth="1"/>
    <col min="774" max="774" width="16.33203125" style="803" customWidth="1"/>
    <col min="775" max="775" width="17.44140625" style="803" bestFit="1" customWidth="1"/>
    <col min="776" max="776" width="16.6640625" style="803" bestFit="1" customWidth="1"/>
    <col min="777" max="1024" width="9.109375" style="803"/>
    <col min="1025" max="1025" width="21" style="803" customWidth="1"/>
    <col min="1026" max="1026" width="24.6640625" style="803" customWidth="1"/>
    <col min="1027" max="1027" width="16.6640625" style="803" customWidth="1"/>
    <col min="1028" max="1028" width="15.5546875" style="803" customWidth="1"/>
    <col min="1029" max="1029" width="16.6640625" style="803" customWidth="1"/>
    <col min="1030" max="1030" width="16.33203125" style="803" customWidth="1"/>
    <col min="1031" max="1031" width="17.44140625" style="803" bestFit="1" customWidth="1"/>
    <col min="1032" max="1032" width="16.6640625" style="803" bestFit="1" customWidth="1"/>
    <col min="1033" max="1280" width="9.109375" style="803"/>
    <col min="1281" max="1281" width="21" style="803" customWidth="1"/>
    <col min="1282" max="1282" width="24.6640625" style="803" customWidth="1"/>
    <col min="1283" max="1283" width="16.6640625" style="803" customWidth="1"/>
    <col min="1284" max="1284" width="15.5546875" style="803" customWidth="1"/>
    <col min="1285" max="1285" width="16.6640625" style="803" customWidth="1"/>
    <col min="1286" max="1286" width="16.33203125" style="803" customWidth="1"/>
    <col min="1287" max="1287" width="17.44140625" style="803" bestFit="1" customWidth="1"/>
    <col min="1288" max="1288" width="16.6640625" style="803" bestFit="1" customWidth="1"/>
    <col min="1289" max="1536" width="9.109375" style="803"/>
    <col min="1537" max="1537" width="21" style="803" customWidth="1"/>
    <col min="1538" max="1538" width="24.6640625" style="803" customWidth="1"/>
    <col min="1539" max="1539" width="16.6640625" style="803" customWidth="1"/>
    <col min="1540" max="1540" width="15.5546875" style="803" customWidth="1"/>
    <col min="1541" max="1541" width="16.6640625" style="803" customWidth="1"/>
    <col min="1542" max="1542" width="16.33203125" style="803" customWidth="1"/>
    <col min="1543" max="1543" width="17.44140625" style="803" bestFit="1" customWidth="1"/>
    <col min="1544" max="1544" width="16.6640625" style="803" bestFit="1" customWidth="1"/>
    <col min="1545" max="1792" width="9.109375" style="803"/>
    <col min="1793" max="1793" width="21" style="803" customWidth="1"/>
    <col min="1794" max="1794" width="24.6640625" style="803" customWidth="1"/>
    <col min="1795" max="1795" width="16.6640625" style="803" customWidth="1"/>
    <col min="1796" max="1796" width="15.5546875" style="803" customWidth="1"/>
    <col min="1797" max="1797" width="16.6640625" style="803" customWidth="1"/>
    <col min="1798" max="1798" width="16.33203125" style="803" customWidth="1"/>
    <col min="1799" max="1799" width="17.44140625" style="803" bestFit="1" customWidth="1"/>
    <col min="1800" max="1800" width="16.6640625" style="803" bestFit="1" customWidth="1"/>
    <col min="1801" max="2048" width="9.109375" style="803"/>
    <col min="2049" max="2049" width="21" style="803" customWidth="1"/>
    <col min="2050" max="2050" width="24.6640625" style="803" customWidth="1"/>
    <col min="2051" max="2051" width="16.6640625" style="803" customWidth="1"/>
    <col min="2052" max="2052" width="15.5546875" style="803" customWidth="1"/>
    <col min="2053" max="2053" width="16.6640625" style="803" customWidth="1"/>
    <col min="2054" max="2054" width="16.33203125" style="803" customWidth="1"/>
    <col min="2055" max="2055" width="17.44140625" style="803" bestFit="1" customWidth="1"/>
    <col min="2056" max="2056" width="16.6640625" style="803" bestFit="1" customWidth="1"/>
    <col min="2057" max="2304" width="9.109375" style="803"/>
    <col min="2305" max="2305" width="21" style="803" customWidth="1"/>
    <col min="2306" max="2306" width="24.6640625" style="803" customWidth="1"/>
    <col min="2307" max="2307" width="16.6640625" style="803" customWidth="1"/>
    <col min="2308" max="2308" width="15.5546875" style="803" customWidth="1"/>
    <col min="2309" max="2309" width="16.6640625" style="803" customWidth="1"/>
    <col min="2310" max="2310" width="16.33203125" style="803" customWidth="1"/>
    <col min="2311" max="2311" width="17.44140625" style="803" bestFit="1" customWidth="1"/>
    <col min="2312" max="2312" width="16.6640625" style="803" bestFit="1" customWidth="1"/>
    <col min="2313" max="2560" width="9.109375" style="803"/>
    <col min="2561" max="2561" width="21" style="803" customWidth="1"/>
    <col min="2562" max="2562" width="24.6640625" style="803" customWidth="1"/>
    <col min="2563" max="2563" width="16.6640625" style="803" customWidth="1"/>
    <col min="2564" max="2564" width="15.5546875" style="803" customWidth="1"/>
    <col min="2565" max="2565" width="16.6640625" style="803" customWidth="1"/>
    <col min="2566" max="2566" width="16.33203125" style="803" customWidth="1"/>
    <col min="2567" max="2567" width="17.44140625" style="803" bestFit="1" customWidth="1"/>
    <col min="2568" max="2568" width="16.6640625" style="803" bestFit="1" customWidth="1"/>
    <col min="2569" max="2816" width="9.109375" style="803"/>
    <col min="2817" max="2817" width="21" style="803" customWidth="1"/>
    <col min="2818" max="2818" width="24.6640625" style="803" customWidth="1"/>
    <col min="2819" max="2819" width="16.6640625" style="803" customWidth="1"/>
    <col min="2820" max="2820" width="15.5546875" style="803" customWidth="1"/>
    <col min="2821" max="2821" width="16.6640625" style="803" customWidth="1"/>
    <col min="2822" max="2822" width="16.33203125" style="803" customWidth="1"/>
    <col min="2823" max="2823" width="17.44140625" style="803" bestFit="1" customWidth="1"/>
    <col min="2824" max="2824" width="16.6640625" style="803" bestFit="1" customWidth="1"/>
    <col min="2825" max="3072" width="9.109375" style="803"/>
    <col min="3073" max="3073" width="21" style="803" customWidth="1"/>
    <col min="3074" max="3074" width="24.6640625" style="803" customWidth="1"/>
    <col min="3075" max="3075" width="16.6640625" style="803" customWidth="1"/>
    <col min="3076" max="3076" width="15.5546875" style="803" customWidth="1"/>
    <col min="3077" max="3077" width="16.6640625" style="803" customWidth="1"/>
    <col min="3078" max="3078" width="16.33203125" style="803" customWidth="1"/>
    <col min="3079" max="3079" width="17.44140625" style="803" bestFit="1" customWidth="1"/>
    <col min="3080" max="3080" width="16.6640625" style="803" bestFit="1" customWidth="1"/>
    <col min="3081" max="3328" width="9.109375" style="803"/>
    <col min="3329" max="3329" width="21" style="803" customWidth="1"/>
    <col min="3330" max="3330" width="24.6640625" style="803" customWidth="1"/>
    <col min="3331" max="3331" width="16.6640625" style="803" customWidth="1"/>
    <col min="3332" max="3332" width="15.5546875" style="803" customWidth="1"/>
    <col min="3333" max="3333" width="16.6640625" style="803" customWidth="1"/>
    <col min="3334" max="3334" width="16.33203125" style="803" customWidth="1"/>
    <col min="3335" max="3335" width="17.44140625" style="803" bestFit="1" customWidth="1"/>
    <col min="3336" max="3336" width="16.6640625" style="803" bestFit="1" customWidth="1"/>
    <col min="3337" max="3584" width="9.109375" style="803"/>
    <col min="3585" max="3585" width="21" style="803" customWidth="1"/>
    <col min="3586" max="3586" width="24.6640625" style="803" customWidth="1"/>
    <col min="3587" max="3587" width="16.6640625" style="803" customWidth="1"/>
    <col min="3588" max="3588" width="15.5546875" style="803" customWidth="1"/>
    <col min="3589" max="3589" width="16.6640625" style="803" customWidth="1"/>
    <col min="3590" max="3590" width="16.33203125" style="803" customWidth="1"/>
    <col min="3591" max="3591" width="17.44140625" style="803" bestFit="1" customWidth="1"/>
    <col min="3592" max="3592" width="16.6640625" style="803" bestFit="1" customWidth="1"/>
    <col min="3593" max="3840" width="9.109375" style="803"/>
    <col min="3841" max="3841" width="21" style="803" customWidth="1"/>
    <col min="3842" max="3842" width="24.6640625" style="803" customWidth="1"/>
    <col min="3843" max="3843" width="16.6640625" style="803" customWidth="1"/>
    <col min="3844" max="3844" width="15.5546875" style="803" customWidth="1"/>
    <col min="3845" max="3845" width="16.6640625" style="803" customWidth="1"/>
    <col min="3846" max="3846" width="16.33203125" style="803" customWidth="1"/>
    <col min="3847" max="3847" width="17.44140625" style="803" bestFit="1" customWidth="1"/>
    <col min="3848" max="3848" width="16.6640625" style="803" bestFit="1" customWidth="1"/>
    <col min="3849" max="4096" width="9.109375" style="803"/>
    <col min="4097" max="4097" width="21" style="803" customWidth="1"/>
    <col min="4098" max="4098" width="24.6640625" style="803" customWidth="1"/>
    <col min="4099" max="4099" width="16.6640625" style="803" customWidth="1"/>
    <col min="4100" max="4100" width="15.5546875" style="803" customWidth="1"/>
    <col min="4101" max="4101" width="16.6640625" style="803" customWidth="1"/>
    <col min="4102" max="4102" width="16.33203125" style="803" customWidth="1"/>
    <col min="4103" max="4103" width="17.44140625" style="803" bestFit="1" customWidth="1"/>
    <col min="4104" max="4104" width="16.6640625" style="803" bestFit="1" customWidth="1"/>
    <col min="4105" max="4352" width="9.109375" style="803"/>
    <col min="4353" max="4353" width="21" style="803" customWidth="1"/>
    <col min="4354" max="4354" width="24.6640625" style="803" customWidth="1"/>
    <col min="4355" max="4355" width="16.6640625" style="803" customWidth="1"/>
    <col min="4356" max="4356" width="15.5546875" style="803" customWidth="1"/>
    <col min="4357" max="4357" width="16.6640625" style="803" customWidth="1"/>
    <col min="4358" max="4358" width="16.33203125" style="803" customWidth="1"/>
    <col min="4359" max="4359" width="17.44140625" style="803" bestFit="1" customWidth="1"/>
    <col min="4360" max="4360" width="16.6640625" style="803" bestFit="1" customWidth="1"/>
    <col min="4361" max="4608" width="9.109375" style="803"/>
    <col min="4609" max="4609" width="21" style="803" customWidth="1"/>
    <col min="4610" max="4610" width="24.6640625" style="803" customWidth="1"/>
    <col min="4611" max="4611" width="16.6640625" style="803" customWidth="1"/>
    <col min="4612" max="4612" width="15.5546875" style="803" customWidth="1"/>
    <col min="4613" max="4613" width="16.6640625" style="803" customWidth="1"/>
    <col min="4614" max="4614" width="16.33203125" style="803" customWidth="1"/>
    <col min="4615" max="4615" width="17.44140625" style="803" bestFit="1" customWidth="1"/>
    <col min="4616" max="4616" width="16.6640625" style="803" bestFit="1" customWidth="1"/>
    <col min="4617" max="4864" width="9.109375" style="803"/>
    <col min="4865" max="4865" width="21" style="803" customWidth="1"/>
    <col min="4866" max="4866" width="24.6640625" style="803" customWidth="1"/>
    <col min="4867" max="4867" width="16.6640625" style="803" customWidth="1"/>
    <col min="4868" max="4868" width="15.5546875" style="803" customWidth="1"/>
    <col min="4869" max="4869" width="16.6640625" style="803" customWidth="1"/>
    <col min="4870" max="4870" width="16.33203125" style="803" customWidth="1"/>
    <col min="4871" max="4871" width="17.44140625" style="803" bestFit="1" customWidth="1"/>
    <col min="4872" max="4872" width="16.6640625" style="803" bestFit="1" customWidth="1"/>
    <col min="4873" max="5120" width="9.109375" style="803"/>
    <col min="5121" max="5121" width="21" style="803" customWidth="1"/>
    <col min="5122" max="5122" width="24.6640625" style="803" customWidth="1"/>
    <col min="5123" max="5123" width="16.6640625" style="803" customWidth="1"/>
    <col min="5124" max="5124" width="15.5546875" style="803" customWidth="1"/>
    <col min="5125" max="5125" width="16.6640625" style="803" customWidth="1"/>
    <col min="5126" max="5126" width="16.33203125" style="803" customWidth="1"/>
    <col min="5127" max="5127" width="17.44140625" style="803" bestFit="1" customWidth="1"/>
    <col min="5128" max="5128" width="16.6640625" style="803" bestFit="1" customWidth="1"/>
    <col min="5129" max="5376" width="9.109375" style="803"/>
    <col min="5377" max="5377" width="21" style="803" customWidth="1"/>
    <col min="5378" max="5378" width="24.6640625" style="803" customWidth="1"/>
    <col min="5379" max="5379" width="16.6640625" style="803" customWidth="1"/>
    <col min="5380" max="5380" width="15.5546875" style="803" customWidth="1"/>
    <col min="5381" max="5381" width="16.6640625" style="803" customWidth="1"/>
    <col min="5382" max="5382" width="16.33203125" style="803" customWidth="1"/>
    <col min="5383" max="5383" width="17.44140625" style="803" bestFit="1" customWidth="1"/>
    <col min="5384" max="5384" width="16.6640625" style="803" bestFit="1" customWidth="1"/>
    <col min="5385" max="5632" width="9.109375" style="803"/>
    <col min="5633" max="5633" width="21" style="803" customWidth="1"/>
    <col min="5634" max="5634" width="24.6640625" style="803" customWidth="1"/>
    <col min="5635" max="5635" width="16.6640625" style="803" customWidth="1"/>
    <col min="5636" max="5636" width="15.5546875" style="803" customWidth="1"/>
    <col min="5637" max="5637" width="16.6640625" style="803" customWidth="1"/>
    <col min="5638" max="5638" width="16.33203125" style="803" customWidth="1"/>
    <col min="5639" max="5639" width="17.44140625" style="803" bestFit="1" customWidth="1"/>
    <col min="5640" max="5640" width="16.6640625" style="803" bestFit="1" customWidth="1"/>
    <col min="5641" max="5888" width="9.109375" style="803"/>
    <col min="5889" max="5889" width="21" style="803" customWidth="1"/>
    <col min="5890" max="5890" width="24.6640625" style="803" customWidth="1"/>
    <col min="5891" max="5891" width="16.6640625" style="803" customWidth="1"/>
    <col min="5892" max="5892" width="15.5546875" style="803" customWidth="1"/>
    <col min="5893" max="5893" width="16.6640625" style="803" customWidth="1"/>
    <col min="5894" max="5894" width="16.33203125" style="803" customWidth="1"/>
    <col min="5895" max="5895" width="17.44140625" style="803" bestFit="1" customWidth="1"/>
    <col min="5896" max="5896" width="16.6640625" style="803" bestFit="1" customWidth="1"/>
    <col min="5897" max="6144" width="9.109375" style="803"/>
    <col min="6145" max="6145" width="21" style="803" customWidth="1"/>
    <col min="6146" max="6146" width="24.6640625" style="803" customWidth="1"/>
    <col min="6147" max="6147" width="16.6640625" style="803" customWidth="1"/>
    <col min="6148" max="6148" width="15.5546875" style="803" customWidth="1"/>
    <col min="6149" max="6149" width="16.6640625" style="803" customWidth="1"/>
    <col min="6150" max="6150" width="16.33203125" style="803" customWidth="1"/>
    <col min="6151" max="6151" width="17.44140625" style="803" bestFit="1" customWidth="1"/>
    <col min="6152" max="6152" width="16.6640625" style="803" bestFit="1" customWidth="1"/>
    <col min="6153" max="6400" width="9.109375" style="803"/>
    <col min="6401" max="6401" width="21" style="803" customWidth="1"/>
    <col min="6402" max="6402" width="24.6640625" style="803" customWidth="1"/>
    <col min="6403" max="6403" width="16.6640625" style="803" customWidth="1"/>
    <col min="6404" max="6404" width="15.5546875" style="803" customWidth="1"/>
    <col min="6405" max="6405" width="16.6640625" style="803" customWidth="1"/>
    <col min="6406" max="6406" width="16.33203125" style="803" customWidth="1"/>
    <col min="6407" max="6407" width="17.44140625" style="803" bestFit="1" customWidth="1"/>
    <col min="6408" max="6408" width="16.6640625" style="803" bestFit="1" customWidth="1"/>
    <col min="6409" max="6656" width="9.109375" style="803"/>
    <col min="6657" max="6657" width="21" style="803" customWidth="1"/>
    <col min="6658" max="6658" width="24.6640625" style="803" customWidth="1"/>
    <col min="6659" max="6659" width="16.6640625" style="803" customWidth="1"/>
    <col min="6660" max="6660" width="15.5546875" style="803" customWidth="1"/>
    <col min="6661" max="6661" width="16.6640625" style="803" customWidth="1"/>
    <col min="6662" max="6662" width="16.33203125" style="803" customWidth="1"/>
    <col min="6663" max="6663" width="17.44140625" style="803" bestFit="1" customWidth="1"/>
    <col min="6664" max="6664" width="16.6640625" style="803" bestFit="1" customWidth="1"/>
    <col min="6665" max="6912" width="9.109375" style="803"/>
    <col min="6913" max="6913" width="21" style="803" customWidth="1"/>
    <col min="6914" max="6914" width="24.6640625" style="803" customWidth="1"/>
    <col min="6915" max="6915" width="16.6640625" style="803" customWidth="1"/>
    <col min="6916" max="6916" width="15.5546875" style="803" customWidth="1"/>
    <col min="6917" max="6917" width="16.6640625" style="803" customWidth="1"/>
    <col min="6918" max="6918" width="16.33203125" style="803" customWidth="1"/>
    <col min="6919" max="6919" width="17.44140625" style="803" bestFit="1" customWidth="1"/>
    <col min="6920" max="6920" width="16.6640625" style="803" bestFit="1" customWidth="1"/>
    <col min="6921" max="7168" width="9.109375" style="803"/>
    <col min="7169" max="7169" width="21" style="803" customWidth="1"/>
    <col min="7170" max="7170" width="24.6640625" style="803" customWidth="1"/>
    <col min="7171" max="7171" width="16.6640625" style="803" customWidth="1"/>
    <col min="7172" max="7172" width="15.5546875" style="803" customWidth="1"/>
    <col min="7173" max="7173" width="16.6640625" style="803" customWidth="1"/>
    <col min="7174" max="7174" width="16.33203125" style="803" customWidth="1"/>
    <col min="7175" max="7175" width="17.44140625" style="803" bestFit="1" customWidth="1"/>
    <col min="7176" max="7176" width="16.6640625" style="803" bestFit="1" customWidth="1"/>
    <col min="7177" max="7424" width="9.109375" style="803"/>
    <col min="7425" max="7425" width="21" style="803" customWidth="1"/>
    <col min="7426" max="7426" width="24.6640625" style="803" customWidth="1"/>
    <col min="7427" max="7427" width="16.6640625" style="803" customWidth="1"/>
    <col min="7428" max="7428" width="15.5546875" style="803" customWidth="1"/>
    <col min="7429" max="7429" width="16.6640625" style="803" customWidth="1"/>
    <col min="7430" max="7430" width="16.33203125" style="803" customWidth="1"/>
    <col min="7431" max="7431" width="17.44140625" style="803" bestFit="1" customWidth="1"/>
    <col min="7432" max="7432" width="16.6640625" style="803" bestFit="1" customWidth="1"/>
    <col min="7433" max="7680" width="9.109375" style="803"/>
    <col min="7681" max="7681" width="21" style="803" customWidth="1"/>
    <col min="7682" max="7682" width="24.6640625" style="803" customWidth="1"/>
    <col min="7683" max="7683" width="16.6640625" style="803" customWidth="1"/>
    <col min="7684" max="7684" width="15.5546875" style="803" customWidth="1"/>
    <col min="7685" max="7685" width="16.6640625" style="803" customWidth="1"/>
    <col min="7686" max="7686" width="16.33203125" style="803" customWidth="1"/>
    <col min="7687" max="7687" width="17.44140625" style="803" bestFit="1" customWidth="1"/>
    <col min="7688" max="7688" width="16.6640625" style="803" bestFit="1" customWidth="1"/>
    <col min="7689" max="7936" width="9.109375" style="803"/>
    <col min="7937" max="7937" width="21" style="803" customWidth="1"/>
    <col min="7938" max="7938" width="24.6640625" style="803" customWidth="1"/>
    <col min="7939" max="7939" width="16.6640625" style="803" customWidth="1"/>
    <col min="7940" max="7940" width="15.5546875" style="803" customWidth="1"/>
    <col min="7941" max="7941" width="16.6640625" style="803" customWidth="1"/>
    <col min="7942" max="7942" width="16.33203125" style="803" customWidth="1"/>
    <col min="7943" max="7943" width="17.44140625" style="803" bestFit="1" customWidth="1"/>
    <col min="7944" max="7944" width="16.6640625" style="803" bestFit="1" customWidth="1"/>
    <col min="7945" max="8192" width="9.109375" style="803"/>
    <col min="8193" max="8193" width="21" style="803" customWidth="1"/>
    <col min="8194" max="8194" width="24.6640625" style="803" customWidth="1"/>
    <col min="8195" max="8195" width="16.6640625" style="803" customWidth="1"/>
    <col min="8196" max="8196" width="15.5546875" style="803" customWidth="1"/>
    <col min="8197" max="8197" width="16.6640625" style="803" customWidth="1"/>
    <col min="8198" max="8198" width="16.33203125" style="803" customWidth="1"/>
    <col min="8199" max="8199" width="17.44140625" style="803" bestFit="1" customWidth="1"/>
    <col min="8200" max="8200" width="16.6640625" style="803" bestFit="1" customWidth="1"/>
    <col min="8201" max="8448" width="9.109375" style="803"/>
    <col min="8449" max="8449" width="21" style="803" customWidth="1"/>
    <col min="8450" max="8450" width="24.6640625" style="803" customWidth="1"/>
    <col min="8451" max="8451" width="16.6640625" style="803" customWidth="1"/>
    <col min="8452" max="8452" width="15.5546875" style="803" customWidth="1"/>
    <col min="8453" max="8453" width="16.6640625" style="803" customWidth="1"/>
    <col min="8454" max="8454" width="16.33203125" style="803" customWidth="1"/>
    <col min="8455" max="8455" width="17.44140625" style="803" bestFit="1" customWidth="1"/>
    <col min="8456" max="8456" width="16.6640625" style="803" bestFit="1" customWidth="1"/>
    <col min="8457" max="8704" width="9.109375" style="803"/>
    <col min="8705" max="8705" width="21" style="803" customWidth="1"/>
    <col min="8706" max="8706" width="24.6640625" style="803" customWidth="1"/>
    <col min="8707" max="8707" width="16.6640625" style="803" customWidth="1"/>
    <col min="8708" max="8708" width="15.5546875" style="803" customWidth="1"/>
    <col min="8709" max="8709" width="16.6640625" style="803" customWidth="1"/>
    <col min="8710" max="8710" width="16.33203125" style="803" customWidth="1"/>
    <col min="8711" max="8711" width="17.44140625" style="803" bestFit="1" customWidth="1"/>
    <col min="8712" max="8712" width="16.6640625" style="803" bestFit="1" customWidth="1"/>
    <col min="8713" max="8960" width="9.109375" style="803"/>
    <col min="8961" max="8961" width="21" style="803" customWidth="1"/>
    <col min="8962" max="8962" width="24.6640625" style="803" customWidth="1"/>
    <col min="8963" max="8963" width="16.6640625" style="803" customWidth="1"/>
    <col min="8964" max="8964" width="15.5546875" style="803" customWidth="1"/>
    <col min="8965" max="8965" width="16.6640625" style="803" customWidth="1"/>
    <col min="8966" max="8966" width="16.33203125" style="803" customWidth="1"/>
    <col min="8967" max="8967" width="17.44140625" style="803" bestFit="1" customWidth="1"/>
    <col min="8968" max="8968" width="16.6640625" style="803" bestFit="1" customWidth="1"/>
    <col min="8969" max="9216" width="9.109375" style="803"/>
    <col min="9217" max="9217" width="21" style="803" customWidth="1"/>
    <col min="9218" max="9218" width="24.6640625" style="803" customWidth="1"/>
    <col min="9219" max="9219" width="16.6640625" style="803" customWidth="1"/>
    <col min="9220" max="9220" width="15.5546875" style="803" customWidth="1"/>
    <col min="9221" max="9221" width="16.6640625" style="803" customWidth="1"/>
    <col min="9222" max="9222" width="16.33203125" style="803" customWidth="1"/>
    <col min="9223" max="9223" width="17.44140625" style="803" bestFit="1" customWidth="1"/>
    <col min="9224" max="9224" width="16.6640625" style="803" bestFit="1" customWidth="1"/>
    <col min="9225" max="9472" width="9.109375" style="803"/>
    <col min="9473" max="9473" width="21" style="803" customWidth="1"/>
    <col min="9474" max="9474" width="24.6640625" style="803" customWidth="1"/>
    <col min="9475" max="9475" width="16.6640625" style="803" customWidth="1"/>
    <col min="9476" max="9476" width="15.5546875" style="803" customWidth="1"/>
    <col min="9477" max="9477" width="16.6640625" style="803" customWidth="1"/>
    <col min="9478" max="9478" width="16.33203125" style="803" customWidth="1"/>
    <col min="9479" max="9479" width="17.44140625" style="803" bestFit="1" customWidth="1"/>
    <col min="9480" max="9480" width="16.6640625" style="803" bestFit="1" customWidth="1"/>
    <col min="9481" max="9728" width="9.109375" style="803"/>
    <col min="9729" max="9729" width="21" style="803" customWidth="1"/>
    <col min="9730" max="9730" width="24.6640625" style="803" customWidth="1"/>
    <col min="9731" max="9731" width="16.6640625" style="803" customWidth="1"/>
    <col min="9732" max="9732" width="15.5546875" style="803" customWidth="1"/>
    <col min="9733" max="9733" width="16.6640625" style="803" customWidth="1"/>
    <col min="9734" max="9734" width="16.33203125" style="803" customWidth="1"/>
    <col min="9735" max="9735" width="17.44140625" style="803" bestFit="1" customWidth="1"/>
    <col min="9736" max="9736" width="16.6640625" style="803" bestFit="1" customWidth="1"/>
    <col min="9737" max="9984" width="9.109375" style="803"/>
    <col min="9985" max="9985" width="21" style="803" customWidth="1"/>
    <col min="9986" max="9986" width="24.6640625" style="803" customWidth="1"/>
    <col min="9987" max="9987" width="16.6640625" style="803" customWidth="1"/>
    <col min="9988" max="9988" width="15.5546875" style="803" customWidth="1"/>
    <col min="9989" max="9989" width="16.6640625" style="803" customWidth="1"/>
    <col min="9990" max="9990" width="16.33203125" style="803" customWidth="1"/>
    <col min="9991" max="9991" width="17.44140625" style="803" bestFit="1" customWidth="1"/>
    <col min="9992" max="9992" width="16.6640625" style="803" bestFit="1" customWidth="1"/>
    <col min="9993" max="10240" width="9.109375" style="803"/>
    <col min="10241" max="10241" width="21" style="803" customWidth="1"/>
    <col min="10242" max="10242" width="24.6640625" style="803" customWidth="1"/>
    <col min="10243" max="10243" width="16.6640625" style="803" customWidth="1"/>
    <col min="10244" max="10244" width="15.5546875" style="803" customWidth="1"/>
    <col min="10245" max="10245" width="16.6640625" style="803" customWidth="1"/>
    <col min="10246" max="10246" width="16.33203125" style="803" customWidth="1"/>
    <col min="10247" max="10247" width="17.44140625" style="803" bestFit="1" customWidth="1"/>
    <col min="10248" max="10248" width="16.6640625" style="803" bestFit="1" customWidth="1"/>
    <col min="10249" max="10496" width="9.109375" style="803"/>
    <col min="10497" max="10497" width="21" style="803" customWidth="1"/>
    <col min="10498" max="10498" width="24.6640625" style="803" customWidth="1"/>
    <col min="10499" max="10499" width="16.6640625" style="803" customWidth="1"/>
    <col min="10500" max="10500" width="15.5546875" style="803" customWidth="1"/>
    <col min="10501" max="10501" width="16.6640625" style="803" customWidth="1"/>
    <col min="10502" max="10502" width="16.33203125" style="803" customWidth="1"/>
    <col min="10503" max="10503" width="17.44140625" style="803" bestFit="1" customWidth="1"/>
    <col min="10504" max="10504" width="16.6640625" style="803" bestFit="1" customWidth="1"/>
    <col min="10505" max="10752" width="9.109375" style="803"/>
    <col min="10753" max="10753" width="21" style="803" customWidth="1"/>
    <col min="10754" max="10754" width="24.6640625" style="803" customWidth="1"/>
    <col min="10755" max="10755" width="16.6640625" style="803" customWidth="1"/>
    <col min="10756" max="10756" width="15.5546875" style="803" customWidth="1"/>
    <col min="10757" max="10757" width="16.6640625" style="803" customWidth="1"/>
    <col min="10758" max="10758" width="16.33203125" style="803" customWidth="1"/>
    <col min="10759" max="10759" width="17.44140625" style="803" bestFit="1" customWidth="1"/>
    <col min="10760" max="10760" width="16.6640625" style="803" bestFit="1" customWidth="1"/>
    <col min="10761" max="11008" width="9.109375" style="803"/>
    <col min="11009" max="11009" width="21" style="803" customWidth="1"/>
    <col min="11010" max="11010" width="24.6640625" style="803" customWidth="1"/>
    <col min="11011" max="11011" width="16.6640625" style="803" customWidth="1"/>
    <col min="11012" max="11012" width="15.5546875" style="803" customWidth="1"/>
    <col min="11013" max="11013" width="16.6640625" style="803" customWidth="1"/>
    <col min="11014" max="11014" width="16.33203125" style="803" customWidth="1"/>
    <col min="11015" max="11015" width="17.44140625" style="803" bestFit="1" customWidth="1"/>
    <col min="11016" max="11016" width="16.6640625" style="803" bestFit="1" customWidth="1"/>
    <col min="11017" max="11264" width="9.109375" style="803"/>
    <col min="11265" max="11265" width="21" style="803" customWidth="1"/>
    <col min="11266" max="11266" width="24.6640625" style="803" customWidth="1"/>
    <col min="11267" max="11267" width="16.6640625" style="803" customWidth="1"/>
    <col min="11268" max="11268" width="15.5546875" style="803" customWidth="1"/>
    <col min="11269" max="11269" width="16.6640625" style="803" customWidth="1"/>
    <col min="11270" max="11270" width="16.33203125" style="803" customWidth="1"/>
    <col min="11271" max="11271" width="17.44140625" style="803" bestFit="1" customWidth="1"/>
    <col min="11272" max="11272" width="16.6640625" style="803" bestFit="1" customWidth="1"/>
    <col min="11273" max="11520" width="9.109375" style="803"/>
    <col min="11521" max="11521" width="21" style="803" customWidth="1"/>
    <col min="11522" max="11522" width="24.6640625" style="803" customWidth="1"/>
    <col min="11523" max="11523" width="16.6640625" style="803" customWidth="1"/>
    <col min="11524" max="11524" width="15.5546875" style="803" customWidth="1"/>
    <col min="11525" max="11525" width="16.6640625" style="803" customWidth="1"/>
    <col min="11526" max="11526" width="16.33203125" style="803" customWidth="1"/>
    <col min="11527" max="11527" width="17.44140625" style="803" bestFit="1" customWidth="1"/>
    <col min="11528" max="11528" width="16.6640625" style="803" bestFit="1" customWidth="1"/>
    <col min="11529" max="11776" width="9.109375" style="803"/>
    <col min="11777" max="11777" width="21" style="803" customWidth="1"/>
    <col min="11778" max="11778" width="24.6640625" style="803" customWidth="1"/>
    <col min="11779" max="11779" width="16.6640625" style="803" customWidth="1"/>
    <col min="11780" max="11780" width="15.5546875" style="803" customWidth="1"/>
    <col min="11781" max="11781" width="16.6640625" style="803" customWidth="1"/>
    <col min="11782" max="11782" width="16.33203125" style="803" customWidth="1"/>
    <col min="11783" max="11783" width="17.44140625" style="803" bestFit="1" customWidth="1"/>
    <col min="11784" max="11784" width="16.6640625" style="803" bestFit="1" customWidth="1"/>
    <col min="11785" max="12032" width="9.109375" style="803"/>
    <col min="12033" max="12033" width="21" style="803" customWidth="1"/>
    <col min="12034" max="12034" width="24.6640625" style="803" customWidth="1"/>
    <col min="12035" max="12035" width="16.6640625" style="803" customWidth="1"/>
    <col min="12036" max="12036" width="15.5546875" style="803" customWidth="1"/>
    <col min="12037" max="12037" width="16.6640625" style="803" customWidth="1"/>
    <col min="12038" max="12038" width="16.33203125" style="803" customWidth="1"/>
    <col min="12039" max="12039" width="17.44140625" style="803" bestFit="1" customWidth="1"/>
    <col min="12040" max="12040" width="16.6640625" style="803" bestFit="1" customWidth="1"/>
    <col min="12041" max="12288" width="9.109375" style="803"/>
    <col min="12289" max="12289" width="21" style="803" customWidth="1"/>
    <col min="12290" max="12290" width="24.6640625" style="803" customWidth="1"/>
    <col min="12291" max="12291" width="16.6640625" style="803" customWidth="1"/>
    <col min="12292" max="12292" width="15.5546875" style="803" customWidth="1"/>
    <col min="12293" max="12293" width="16.6640625" style="803" customWidth="1"/>
    <col min="12294" max="12294" width="16.33203125" style="803" customWidth="1"/>
    <col min="12295" max="12295" width="17.44140625" style="803" bestFit="1" customWidth="1"/>
    <col min="12296" max="12296" width="16.6640625" style="803" bestFit="1" customWidth="1"/>
    <col min="12297" max="12544" width="9.109375" style="803"/>
    <col min="12545" max="12545" width="21" style="803" customWidth="1"/>
    <col min="12546" max="12546" width="24.6640625" style="803" customWidth="1"/>
    <col min="12547" max="12547" width="16.6640625" style="803" customWidth="1"/>
    <col min="12548" max="12548" width="15.5546875" style="803" customWidth="1"/>
    <col min="12549" max="12549" width="16.6640625" style="803" customWidth="1"/>
    <col min="12550" max="12550" width="16.33203125" style="803" customWidth="1"/>
    <col min="12551" max="12551" width="17.44140625" style="803" bestFit="1" customWidth="1"/>
    <col min="12552" max="12552" width="16.6640625" style="803" bestFit="1" customWidth="1"/>
    <col min="12553" max="12800" width="9.109375" style="803"/>
    <col min="12801" max="12801" width="21" style="803" customWidth="1"/>
    <col min="12802" max="12802" width="24.6640625" style="803" customWidth="1"/>
    <col min="12803" max="12803" width="16.6640625" style="803" customWidth="1"/>
    <col min="12804" max="12804" width="15.5546875" style="803" customWidth="1"/>
    <col min="12805" max="12805" width="16.6640625" style="803" customWidth="1"/>
    <col min="12806" max="12806" width="16.33203125" style="803" customWidth="1"/>
    <col min="12807" max="12807" width="17.44140625" style="803" bestFit="1" customWidth="1"/>
    <col min="12808" max="12808" width="16.6640625" style="803" bestFit="1" customWidth="1"/>
    <col min="12809" max="13056" width="9.109375" style="803"/>
    <col min="13057" max="13057" width="21" style="803" customWidth="1"/>
    <col min="13058" max="13058" width="24.6640625" style="803" customWidth="1"/>
    <col min="13059" max="13059" width="16.6640625" style="803" customWidth="1"/>
    <col min="13060" max="13060" width="15.5546875" style="803" customWidth="1"/>
    <col min="13061" max="13061" width="16.6640625" style="803" customWidth="1"/>
    <col min="13062" max="13062" width="16.33203125" style="803" customWidth="1"/>
    <col min="13063" max="13063" width="17.44140625" style="803" bestFit="1" customWidth="1"/>
    <col min="13064" max="13064" width="16.6640625" style="803" bestFit="1" customWidth="1"/>
    <col min="13065" max="13312" width="9.109375" style="803"/>
    <col min="13313" max="13313" width="21" style="803" customWidth="1"/>
    <col min="13314" max="13314" width="24.6640625" style="803" customWidth="1"/>
    <col min="13315" max="13315" width="16.6640625" style="803" customWidth="1"/>
    <col min="13316" max="13316" width="15.5546875" style="803" customWidth="1"/>
    <col min="13317" max="13317" width="16.6640625" style="803" customWidth="1"/>
    <col min="13318" max="13318" width="16.33203125" style="803" customWidth="1"/>
    <col min="13319" max="13319" width="17.44140625" style="803" bestFit="1" customWidth="1"/>
    <col min="13320" max="13320" width="16.6640625" style="803" bestFit="1" customWidth="1"/>
    <col min="13321" max="13568" width="9.109375" style="803"/>
    <col min="13569" max="13569" width="21" style="803" customWidth="1"/>
    <col min="13570" max="13570" width="24.6640625" style="803" customWidth="1"/>
    <col min="13571" max="13571" width="16.6640625" style="803" customWidth="1"/>
    <col min="13572" max="13572" width="15.5546875" style="803" customWidth="1"/>
    <col min="13573" max="13573" width="16.6640625" style="803" customWidth="1"/>
    <col min="13574" max="13574" width="16.33203125" style="803" customWidth="1"/>
    <col min="13575" max="13575" width="17.44140625" style="803" bestFit="1" customWidth="1"/>
    <col min="13576" max="13576" width="16.6640625" style="803" bestFit="1" customWidth="1"/>
    <col min="13577" max="13824" width="9.109375" style="803"/>
    <col min="13825" max="13825" width="21" style="803" customWidth="1"/>
    <col min="13826" max="13826" width="24.6640625" style="803" customWidth="1"/>
    <col min="13827" max="13827" width="16.6640625" style="803" customWidth="1"/>
    <col min="13828" max="13828" width="15.5546875" style="803" customWidth="1"/>
    <col min="13829" max="13829" width="16.6640625" style="803" customWidth="1"/>
    <col min="13830" max="13830" width="16.33203125" style="803" customWidth="1"/>
    <col min="13831" max="13831" width="17.44140625" style="803" bestFit="1" customWidth="1"/>
    <col min="13832" max="13832" width="16.6640625" style="803" bestFit="1" customWidth="1"/>
    <col min="13833" max="14080" width="9.109375" style="803"/>
    <col min="14081" max="14081" width="21" style="803" customWidth="1"/>
    <col min="14082" max="14082" width="24.6640625" style="803" customWidth="1"/>
    <col min="14083" max="14083" width="16.6640625" style="803" customWidth="1"/>
    <col min="14084" max="14084" width="15.5546875" style="803" customWidth="1"/>
    <col min="14085" max="14085" width="16.6640625" style="803" customWidth="1"/>
    <col min="14086" max="14086" width="16.33203125" style="803" customWidth="1"/>
    <col min="14087" max="14087" width="17.44140625" style="803" bestFit="1" customWidth="1"/>
    <col min="14088" max="14088" width="16.6640625" style="803" bestFit="1" customWidth="1"/>
    <col min="14089" max="14336" width="9.109375" style="803"/>
    <col min="14337" max="14337" width="21" style="803" customWidth="1"/>
    <col min="14338" max="14338" width="24.6640625" style="803" customWidth="1"/>
    <col min="14339" max="14339" width="16.6640625" style="803" customWidth="1"/>
    <col min="14340" max="14340" width="15.5546875" style="803" customWidth="1"/>
    <col min="14341" max="14341" width="16.6640625" style="803" customWidth="1"/>
    <col min="14342" max="14342" width="16.33203125" style="803" customWidth="1"/>
    <col min="14343" max="14343" width="17.44140625" style="803" bestFit="1" customWidth="1"/>
    <col min="14344" max="14344" width="16.6640625" style="803" bestFit="1" customWidth="1"/>
    <col min="14345" max="14592" width="9.109375" style="803"/>
    <col min="14593" max="14593" width="21" style="803" customWidth="1"/>
    <col min="14594" max="14594" width="24.6640625" style="803" customWidth="1"/>
    <col min="14595" max="14595" width="16.6640625" style="803" customWidth="1"/>
    <col min="14596" max="14596" width="15.5546875" style="803" customWidth="1"/>
    <col min="14597" max="14597" width="16.6640625" style="803" customWidth="1"/>
    <col min="14598" max="14598" width="16.33203125" style="803" customWidth="1"/>
    <col min="14599" max="14599" width="17.44140625" style="803" bestFit="1" customWidth="1"/>
    <col min="14600" max="14600" width="16.6640625" style="803" bestFit="1" customWidth="1"/>
    <col min="14601" max="14848" width="9.109375" style="803"/>
    <col min="14849" max="14849" width="21" style="803" customWidth="1"/>
    <col min="14850" max="14850" width="24.6640625" style="803" customWidth="1"/>
    <col min="14851" max="14851" width="16.6640625" style="803" customWidth="1"/>
    <col min="14852" max="14852" width="15.5546875" style="803" customWidth="1"/>
    <col min="14853" max="14853" width="16.6640625" style="803" customWidth="1"/>
    <col min="14854" max="14854" width="16.33203125" style="803" customWidth="1"/>
    <col min="14855" max="14855" width="17.44140625" style="803" bestFit="1" customWidth="1"/>
    <col min="14856" max="14856" width="16.6640625" style="803" bestFit="1" customWidth="1"/>
    <col min="14857" max="15104" width="9.109375" style="803"/>
    <col min="15105" max="15105" width="21" style="803" customWidth="1"/>
    <col min="15106" max="15106" width="24.6640625" style="803" customWidth="1"/>
    <col min="15107" max="15107" width="16.6640625" style="803" customWidth="1"/>
    <col min="15108" max="15108" width="15.5546875" style="803" customWidth="1"/>
    <col min="15109" max="15109" width="16.6640625" style="803" customWidth="1"/>
    <col min="15110" max="15110" width="16.33203125" style="803" customWidth="1"/>
    <col min="15111" max="15111" width="17.44140625" style="803" bestFit="1" customWidth="1"/>
    <col min="15112" max="15112" width="16.6640625" style="803" bestFit="1" customWidth="1"/>
    <col min="15113" max="15360" width="9.109375" style="803"/>
    <col min="15361" max="15361" width="21" style="803" customWidth="1"/>
    <col min="15362" max="15362" width="24.6640625" style="803" customWidth="1"/>
    <col min="15363" max="15363" width="16.6640625" style="803" customWidth="1"/>
    <col min="15364" max="15364" width="15.5546875" style="803" customWidth="1"/>
    <col min="15365" max="15365" width="16.6640625" style="803" customWidth="1"/>
    <col min="15366" max="15366" width="16.33203125" style="803" customWidth="1"/>
    <col min="15367" max="15367" width="17.44140625" style="803" bestFit="1" customWidth="1"/>
    <col min="15368" max="15368" width="16.6640625" style="803" bestFit="1" customWidth="1"/>
    <col min="15369" max="15616" width="9.109375" style="803"/>
    <col min="15617" max="15617" width="21" style="803" customWidth="1"/>
    <col min="15618" max="15618" width="24.6640625" style="803" customWidth="1"/>
    <col min="15619" max="15619" width="16.6640625" style="803" customWidth="1"/>
    <col min="15620" max="15620" width="15.5546875" style="803" customWidth="1"/>
    <col min="15621" max="15621" width="16.6640625" style="803" customWidth="1"/>
    <col min="15622" max="15622" width="16.33203125" style="803" customWidth="1"/>
    <col min="15623" max="15623" width="17.44140625" style="803" bestFit="1" customWidth="1"/>
    <col min="15624" max="15624" width="16.6640625" style="803" bestFit="1" customWidth="1"/>
    <col min="15625" max="15872" width="9.109375" style="803"/>
    <col min="15873" max="15873" width="21" style="803" customWidth="1"/>
    <col min="15874" max="15874" width="24.6640625" style="803" customWidth="1"/>
    <col min="15875" max="15875" width="16.6640625" style="803" customWidth="1"/>
    <col min="15876" max="15876" width="15.5546875" style="803" customWidth="1"/>
    <col min="15877" max="15877" width="16.6640625" style="803" customWidth="1"/>
    <col min="15878" max="15878" width="16.33203125" style="803" customWidth="1"/>
    <col min="15879" max="15879" width="17.44140625" style="803" bestFit="1" customWidth="1"/>
    <col min="15880" max="15880" width="16.6640625" style="803" bestFit="1" customWidth="1"/>
    <col min="15881" max="16128" width="9.109375" style="803"/>
    <col min="16129" max="16129" width="21" style="803" customWidth="1"/>
    <col min="16130" max="16130" width="24.6640625" style="803" customWidth="1"/>
    <col min="16131" max="16131" width="16.6640625" style="803" customWidth="1"/>
    <col min="16132" max="16132" width="15.5546875" style="803" customWidth="1"/>
    <col min="16133" max="16133" width="16.6640625" style="803" customWidth="1"/>
    <col min="16134" max="16134" width="16.33203125" style="803" customWidth="1"/>
    <col min="16135" max="16135" width="17.44140625" style="803" bestFit="1" customWidth="1"/>
    <col min="16136" max="16136" width="16.6640625" style="803" bestFit="1" customWidth="1"/>
    <col min="16137" max="16384" width="9.109375" style="803"/>
  </cols>
  <sheetData>
    <row r="1" spans="1:8" ht="12.75" x14ac:dyDescent="0.2">
      <c r="A1" s="1561" t="s">
        <v>1163</v>
      </c>
      <c r="B1" s="1561"/>
      <c r="C1" s="1561"/>
      <c r="D1" s="1561"/>
      <c r="E1" s="1561"/>
      <c r="F1" s="1561"/>
      <c r="G1" s="1561"/>
      <c r="H1" s="1561"/>
    </row>
    <row r="3" spans="1:8" ht="12.75" x14ac:dyDescent="0.2">
      <c r="A3" s="849" t="s">
        <v>1164</v>
      </c>
      <c r="B3" s="849" t="s">
        <v>1165</v>
      </c>
    </row>
    <row r="4" spans="1:8" ht="12.75" x14ac:dyDescent="0.2">
      <c r="A4" s="849" t="s">
        <v>1166</v>
      </c>
      <c r="B4" s="849" t="s">
        <v>1245</v>
      </c>
    </row>
    <row r="6" spans="1:8" ht="38.25" x14ac:dyDescent="0.2">
      <c r="C6" s="850" t="s">
        <v>1168</v>
      </c>
      <c r="D6" s="877" t="s">
        <v>1169</v>
      </c>
      <c r="E6" s="850" t="s">
        <v>1170</v>
      </c>
      <c r="F6" s="851" t="s">
        <v>1172</v>
      </c>
      <c r="G6" s="851" t="s">
        <v>1173</v>
      </c>
      <c r="H6" s="851" t="s">
        <v>1174</v>
      </c>
    </row>
    <row r="7" spans="1:8" ht="12.75" x14ac:dyDescent="0.2">
      <c r="A7" s="849" t="s">
        <v>1175</v>
      </c>
      <c r="C7" s="851"/>
      <c r="D7" s="878"/>
      <c r="E7" s="851"/>
      <c r="F7" s="851"/>
      <c r="G7" s="851"/>
      <c r="H7" s="851"/>
    </row>
    <row r="8" spans="1:8" ht="12.75" customHeight="1" x14ac:dyDescent="0.2">
      <c r="A8" s="852" t="s">
        <v>1176</v>
      </c>
      <c r="C8" s="853">
        <v>-20031815</v>
      </c>
      <c r="D8" s="879">
        <v>-20031815</v>
      </c>
      <c r="E8" s="853">
        <v>-20611413</v>
      </c>
      <c r="F8" s="853">
        <v>-21653751</v>
      </c>
      <c r="G8" s="853">
        <v>-22876040</v>
      </c>
      <c r="H8" s="853">
        <v>-23826673</v>
      </c>
    </row>
    <row r="9" spans="1:8" ht="12.75" customHeight="1" x14ac:dyDescent="0.2">
      <c r="A9" s="852" t="s">
        <v>12</v>
      </c>
      <c r="C9" s="853">
        <v>-13528819</v>
      </c>
      <c r="D9" s="879">
        <v>-13548819</v>
      </c>
      <c r="E9" s="853">
        <v>-14184400</v>
      </c>
      <c r="F9" s="853">
        <v>-14373315</v>
      </c>
      <c r="G9" s="853">
        <v>-14782899</v>
      </c>
      <c r="H9" s="853">
        <v>-15252594</v>
      </c>
    </row>
    <row r="10" spans="1:8" ht="12.75" customHeight="1" x14ac:dyDescent="0.2">
      <c r="A10" s="852" t="s">
        <v>1177</v>
      </c>
      <c r="C10" s="853">
        <v>-2254500</v>
      </c>
      <c r="D10" s="879">
        <v>-2268000</v>
      </c>
      <c r="E10" s="853">
        <v>-2162209</v>
      </c>
      <c r="F10" s="853">
        <v>-1977563</v>
      </c>
      <c r="G10" s="853">
        <v>-1913963</v>
      </c>
      <c r="H10" s="853">
        <v>-1883648</v>
      </c>
    </row>
    <row r="11" spans="1:8" ht="12.75" customHeight="1" x14ac:dyDescent="0.2">
      <c r="A11" s="852" t="s">
        <v>1178</v>
      </c>
      <c r="C11" s="853">
        <v>-2424537</v>
      </c>
      <c r="D11" s="879">
        <v>-2552776</v>
      </c>
      <c r="E11" s="853">
        <v>-2409788</v>
      </c>
      <c r="F11" s="853">
        <v>-2463804</v>
      </c>
      <c r="G11" s="853">
        <v>-2520379</v>
      </c>
      <c r="H11" s="853">
        <v>-2578016</v>
      </c>
    </row>
    <row r="12" spans="1:8" ht="12.75" customHeight="1" x14ac:dyDescent="0.2">
      <c r="A12" s="852" t="s">
        <v>1179</v>
      </c>
      <c r="C12" s="853">
        <v>-6250744</v>
      </c>
      <c r="D12" s="879">
        <v>-6373128</v>
      </c>
      <c r="E12" s="853">
        <v>-5300389</v>
      </c>
      <c r="F12" s="853">
        <v>-5393841</v>
      </c>
      <c r="G12" s="853">
        <v>-5487008</v>
      </c>
      <c r="H12" s="853">
        <v>-5582053</v>
      </c>
    </row>
    <row r="13" spans="1:8" ht="12.75" customHeight="1" x14ac:dyDescent="0.2">
      <c r="A13" s="852" t="s">
        <v>1180</v>
      </c>
      <c r="C13" s="853">
        <v>-4783353</v>
      </c>
      <c r="D13" s="879">
        <v>-6010476</v>
      </c>
      <c r="E13" s="853">
        <v>-5059852</v>
      </c>
      <c r="F13" s="853">
        <v>-5239623</v>
      </c>
      <c r="G13" s="853">
        <v>-5419178</v>
      </c>
      <c r="H13" s="853">
        <v>-5456519</v>
      </c>
    </row>
    <row r="14" spans="1:8" ht="12.75" x14ac:dyDescent="0.2">
      <c r="C14" s="854"/>
      <c r="D14" s="880"/>
      <c r="E14" s="854"/>
      <c r="F14" s="854"/>
      <c r="G14" s="854"/>
      <c r="H14" s="854"/>
    </row>
    <row r="15" spans="1:8" ht="12.75" x14ac:dyDescent="0.2">
      <c r="A15" s="849" t="s">
        <v>1181</v>
      </c>
      <c r="C15" s="855">
        <f t="shared" ref="C15:H15" si="0">SUM(C8:C14)</f>
        <v>-49273768</v>
      </c>
      <c r="D15" s="881">
        <f t="shared" si="0"/>
        <v>-50785014</v>
      </c>
      <c r="E15" s="855">
        <f t="shared" si="0"/>
        <v>-49728051</v>
      </c>
      <c r="F15" s="855">
        <f t="shared" si="0"/>
        <v>-51101897</v>
      </c>
      <c r="G15" s="855">
        <f t="shared" si="0"/>
        <v>-52999467</v>
      </c>
      <c r="H15" s="855">
        <f t="shared" si="0"/>
        <v>-54579503</v>
      </c>
    </row>
    <row r="16" spans="1:8" ht="12.75" x14ac:dyDescent="0.2">
      <c r="C16" s="853"/>
      <c r="D16" s="879"/>
      <c r="E16" s="853"/>
      <c r="F16" s="853"/>
      <c r="G16" s="853"/>
      <c r="H16" s="853"/>
    </row>
    <row r="17" spans="1:8" ht="38.25" x14ac:dyDescent="0.2">
      <c r="C17" s="850" t="s">
        <v>1168</v>
      </c>
      <c r="D17" s="877" t="s">
        <v>1169</v>
      </c>
      <c r="E17" s="850" t="s">
        <v>1170</v>
      </c>
      <c r="F17" s="851" t="s">
        <v>1172</v>
      </c>
      <c r="G17" s="851" t="s">
        <v>1173</v>
      </c>
      <c r="H17" s="851" t="s">
        <v>1174</v>
      </c>
    </row>
    <row r="18" spans="1:8" ht="12.75" x14ac:dyDescent="0.2">
      <c r="A18" s="849" t="s">
        <v>925</v>
      </c>
      <c r="C18" s="851"/>
      <c r="D18" s="878"/>
      <c r="E18" s="851"/>
      <c r="F18" s="851"/>
      <c r="G18" s="851"/>
      <c r="H18" s="851"/>
    </row>
    <row r="19" spans="1:8" ht="12.75" customHeight="1" x14ac:dyDescent="0.2">
      <c r="A19" s="852" t="s">
        <v>1182</v>
      </c>
      <c r="C19" s="853">
        <v>13094137</v>
      </c>
      <c r="D19" s="879">
        <v>13290484</v>
      </c>
      <c r="E19" s="853">
        <v>13571739</v>
      </c>
      <c r="F19" s="853">
        <v>14063326</v>
      </c>
      <c r="G19" s="853">
        <v>14472804</v>
      </c>
      <c r="H19" s="853">
        <v>14911101</v>
      </c>
    </row>
    <row r="20" spans="1:8" ht="12.75" customHeight="1" x14ac:dyDescent="0.2">
      <c r="A20" s="852" t="s">
        <v>27</v>
      </c>
      <c r="C20" s="853">
        <v>14214548</v>
      </c>
      <c r="D20" s="879">
        <v>15460205</v>
      </c>
      <c r="E20" s="853">
        <v>15174867</v>
      </c>
      <c r="F20" s="853">
        <v>15469180</v>
      </c>
      <c r="G20" s="853">
        <v>15845433</v>
      </c>
      <c r="H20" s="853">
        <v>16236225</v>
      </c>
    </row>
    <row r="21" spans="1:8" ht="12.75" customHeight="1" x14ac:dyDescent="0.2">
      <c r="A21" s="852" t="s">
        <v>1183</v>
      </c>
      <c r="C21" s="853">
        <v>3204843</v>
      </c>
      <c r="D21" s="879">
        <v>3268085</v>
      </c>
      <c r="E21" s="853">
        <v>3307281</v>
      </c>
      <c r="F21" s="853">
        <v>3375721</v>
      </c>
      <c r="G21" s="853">
        <v>3453944</v>
      </c>
      <c r="H21" s="853">
        <v>3544669</v>
      </c>
    </row>
    <row r="22" spans="1:8" ht="12.75" customHeight="1" x14ac:dyDescent="0.2">
      <c r="A22" s="852" t="s">
        <v>926</v>
      </c>
      <c r="C22" s="853">
        <v>1715858</v>
      </c>
      <c r="D22" s="879">
        <v>1715858</v>
      </c>
      <c r="E22" s="853">
        <v>2126712</v>
      </c>
      <c r="F22" s="853">
        <v>2354022</v>
      </c>
      <c r="G22" s="853">
        <v>2280305</v>
      </c>
      <c r="H22" s="853">
        <v>2203385</v>
      </c>
    </row>
    <row r="23" spans="1:8" ht="12.75" customHeight="1" x14ac:dyDescent="0.2">
      <c r="A23" s="852" t="s">
        <v>1077</v>
      </c>
      <c r="C23" s="853">
        <v>4783353</v>
      </c>
      <c r="D23" s="879">
        <v>4783353</v>
      </c>
      <c r="E23" s="853">
        <v>4997352</v>
      </c>
      <c r="F23" s="853">
        <v>5174623</v>
      </c>
      <c r="G23" s="853">
        <v>5354178</v>
      </c>
      <c r="H23" s="853">
        <v>5535702</v>
      </c>
    </row>
    <row r="24" spans="1:8" ht="12.75" customHeight="1" x14ac:dyDescent="0.2">
      <c r="A24" s="852" t="s">
        <v>584</v>
      </c>
      <c r="C24" s="853">
        <v>11286985</v>
      </c>
      <c r="D24" s="879">
        <v>11286985</v>
      </c>
      <c r="E24" s="853">
        <v>10411565</v>
      </c>
      <c r="F24" s="853">
        <v>10828181</v>
      </c>
      <c r="G24" s="853">
        <v>11079703</v>
      </c>
      <c r="H24" s="853">
        <v>11338606</v>
      </c>
    </row>
    <row r="25" spans="1:8" ht="12.75" x14ac:dyDescent="0.2">
      <c r="C25" s="854"/>
      <c r="D25" s="880"/>
      <c r="E25" s="854"/>
      <c r="F25" s="854"/>
      <c r="G25" s="854"/>
      <c r="H25" s="854"/>
    </row>
    <row r="26" spans="1:8" ht="12.75" x14ac:dyDescent="0.2">
      <c r="A26" s="849" t="s">
        <v>1184</v>
      </c>
      <c r="C26" s="855">
        <f t="shared" ref="C26:H26" si="1">SUM(C19:C25)</f>
        <v>48299724</v>
      </c>
      <c r="D26" s="881">
        <f t="shared" si="1"/>
        <v>49804970</v>
      </c>
      <c r="E26" s="855">
        <f t="shared" si="1"/>
        <v>49589516</v>
      </c>
      <c r="F26" s="855">
        <f t="shared" si="1"/>
        <v>51265053</v>
      </c>
      <c r="G26" s="855">
        <f t="shared" si="1"/>
        <v>52486367</v>
      </c>
      <c r="H26" s="855">
        <f t="shared" si="1"/>
        <v>53769688</v>
      </c>
    </row>
    <row r="27" spans="1:8" ht="12.75" x14ac:dyDescent="0.2">
      <c r="C27" s="854"/>
      <c r="D27" s="880"/>
      <c r="E27" s="854"/>
      <c r="F27" s="854"/>
      <c r="G27" s="854"/>
      <c r="H27" s="854"/>
    </row>
    <row r="28" spans="1:8" ht="12.75" x14ac:dyDescent="0.2">
      <c r="A28" s="849" t="s">
        <v>1185</v>
      </c>
      <c r="C28" s="855">
        <f t="shared" ref="C28:H28" si="2">C15+C26</f>
        <v>-974044</v>
      </c>
      <c r="D28" s="881">
        <f t="shared" si="2"/>
        <v>-980044</v>
      </c>
      <c r="E28" s="855">
        <f t="shared" si="2"/>
        <v>-138535</v>
      </c>
      <c r="F28" s="855">
        <f t="shared" si="2"/>
        <v>163156</v>
      </c>
      <c r="G28" s="855">
        <f t="shared" si="2"/>
        <v>-513100</v>
      </c>
      <c r="H28" s="855">
        <f t="shared" si="2"/>
        <v>-809815</v>
      </c>
    </row>
    <row r="29" spans="1:8" ht="12.75" x14ac:dyDescent="0.2">
      <c r="A29" s="849"/>
      <c r="C29" s="855"/>
      <c r="D29" s="881"/>
      <c r="E29" s="855"/>
      <c r="F29" s="855"/>
      <c r="G29" s="855"/>
      <c r="H29" s="855"/>
    </row>
    <row r="30" spans="1:8" ht="26.25" x14ac:dyDescent="0.25">
      <c r="A30" s="882" t="s">
        <v>1080</v>
      </c>
      <c r="C30" s="850" t="s">
        <v>1168</v>
      </c>
      <c r="D30" s="877"/>
      <c r="E30" s="850" t="s">
        <v>1170</v>
      </c>
      <c r="F30" s="851" t="s">
        <v>1172</v>
      </c>
      <c r="G30" s="851" t="s">
        <v>1173</v>
      </c>
      <c r="H30" s="851" t="s">
        <v>1174</v>
      </c>
    </row>
    <row r="31" spans="1:8" ht="12.75" x14ac:dyDescent="0.2">
      <c r="A31" s="849" t="s">
        <v>1175</v>
      </c>
      <c r="C31" s="853"/>
      <c r="D31" s="879"/>
      <c r="E31" s="853"/>
      <c r="F31" s="853"/>
      <c r="G31" s="853"/>
      <c r="H31" s="853"/>
    </row>
    <row r="32" spans="1:8" x14ac:dyDescent="0.25">
      <c r="A32" s="852" t="s">
        <v>1176</v>
      </c>
      <c r="C32" s="853">
        <f>C56+C80</f>
        <v>20031.814999999999</v>
      </c>
      <c r="D32" s="879"/>
      <c r="E32" s="853">
        <f>E56+E80</f>
        <v>20611.413</v>
      </c>
      <c r="F32" s="853">
        <f>F56+F80</f>
        <v>21653.751</v>
      </c>
      <c r="G32" s="853">
        <f>G56+G80</f>
        <v>22876.04</v>
      </c>
      <c r="H32" s="853">
        <f>H56+H80</f>
        <v>23826.672999999999</v>
      </c>
    </row>
    <row r="33" spans="1:8" x14ac:dyDescent="0.25">
      <c r="A33" s="852" t="s">
        <v>12</v>
      </c>
      <c r="C33" s="853">
        <f t="shared" ref="C33:H37" si="3">C57+C81</f>
        <v>13528.819</v>
      </c>
      <c r="D33" s="879"/>
      <c r="E33" s="853">
        <f t="shared" si="3"/>
        <v>14184.4</v>
      </c>
      <c r="F33" s="853">
        <f t="shared" si="3"/>
        <v>14373.315000000001</v>
      </c>
      <c r="G33" s="853">
        <f t="shared" si="3"/>
        <v>14782.898999999999</v>
      </c>
      <c r="H33" s="853">
        <f t="shared" si="3"/>
        <v>15252.593999999999</v>
      </c>
    </row>
    <row r="34" spans="1:8" x14ac:dyDescent="0.25">
      <c r="A34" s="852" t="s">
        <v>1177</v>
      </c>
      <c r="C34" s="853">
        <f t="shared" si="3"/>
        <v>2254.5</v>
      </c>
      <c r="D34" s="879"/>
      <c r="E34" s="853">
        <f t="shared" si="3"/>
        <v>2162.2089999999998</v>
      </c>
      <c r="F34" s="853">
        <f t="shared" si="3"/>
        <v>1977.5630000000001</v>
      </c>
      <c r="G34" s="853">
        <f t="shared" si="3"/>
        <v>1913.963</v>
      </c>
      <c r="H34" s="853">
        <f t="shared" si="3"/>
        <v>1883.6479999999999</v>
      </c>
    </row>
    <row r="35" spans="1:8" x14ac:dyDescent="0.25">
      <c r="A35" s="852" t="s">
        <v>1178</v>
      </c>
      <c r="C35" s="853">
        <f t="shared" si="3"/>
        <v>2424.5369999999998</v>
      </c>
      <c r="D35" s="879"/>
      <c r="E35" s="853">
        <f t="shared" si="3"/>
        <v>2409.788</v>
      </c>
      <c r="F35" s="853">
        <f t="shared" si="3"/>
        <v>2463.8040000000001</v>
      </c>
      <c r="G35" s="853">
        <f t="shared" si="3"/>
        <v>2520.3789999999999</v>
      </c>
      <c r="H35" s="853">
        <f t="shared" si="3"/>
        <v>2578.0160000000001</v>
      </c>
    </row>
    <row r="36" spans="1:8" x14ac:dyDescent="0.25">
      <c r="A36" s="852" t="s">
        <v>1179</v>
      </c>
      <c r="C36" s="853">
        <f t="shared" si="3"/>
        <v>6250.7439999999997</v>
      </c>
      <c r="D36" s="879"/>
      <c r="E36" s="853">
        <f t="shared" si="3"/>
        <v>5300.3890000000001</v>
      </c>
      <c r="F36" s="853">
        <f t="shared" si="3"/>
        <v>5393.8410000000003</v>
      </c>
      <c r="G36" s="853">
        <f t="shared" si="3"/>
        <v>5487.0079999999998</v>
      </c>
      <c r="H36" s="853">
        <f t="shared" si="3"/>
        <v>5582.0529999999999</v>
      </c>
    </row>
    <row r="37" spans="1:8" x14ac:dyDescent="0.25">
      <c r="A37" s="883" t="s">
        <v>1246</v>
      </c>
      <c r="B37" s="884"/>
      <c r="C37" s="853">
        <f t="shared" si="3"/>
        <v>2020</v>
      </c>
      <c r="D37" s="885"/>
      <c r="E37" s="853">
        <f t="shared" si="3"/>
        <v>2124.6749999999997</v>
      </c>
      <c r="F37" s="853">
        <f t="shared" si="3"/>
        <v>2170.4029999999998</v>
      </c>
      <c r="G37" s="853">
        <f t="shared" si="3"/>
        <v>2214.7129999999997</v>
      </c>
      <c r="H37" s="853">
        <f t="shared" si="3"/>
        <v>2115.9480000000003</v>
      </c>
    </row>
    <row r="38" spans="1:8" x14ac:dyDescent="0.25">
      <c r="C38" s="853"/>
      <c r="D38" s="879"/>
      <c r="E38" s="853"/>
      <c r="F38" s="853"/>
      <c r="G38" s="853"/>
      <c r="H38" s="853"/>
    </row>
    <row r="39" spans="1:8" x14ac:dyDescent="0.25">
      <c r="A39" s="849" t="s">
        <v>1181</v>
      </c>
      <c r="C39" s="886">
        <f>SUM(C32:C38)</f>
        <v>46510.414999999994</v>
      </c>
      <c r="D39" s="879"/>
      <c r="E39" s="886">
        <f>SUM(E32:E38)</f>
        <v>46792.874000000011</v>
      </c>
      <c r="F39" s="886">
        <f>SUM(F32:F38)</f>
        <v>48032.677000000003</v>
      </c>
      <c r="G39" s="886">
        <f>SUM(G32:G38)</f>
        <v>49795.002000000008</v>
      </c>
      <c r="H39" s="886">
        <f>SUM(H32:H38)</f>
        <v>51238.932000000001</v>
      </c>
    </row>
    <row r="40" spans="1:8" x14ac:dyDescent="0.25">
      <c r="C40" s="853"/>
      <c r="D40" s="879"/>
      <c r="E40" s="853"/>
      <c r="F40" s="853"/>
      <c r="G40" s="853"/>
      <c r="H40" s="853"/>
    </row>
    <row r="41" spans="1:8" x14ac:dyDescent="0.25">
      <c r="C41" s="853"/>
      <c r="D41" s="879"/>
      <c r="E41" s="853"/>
      <c r="F41" s="853"/>
      <c r="G41" s="853"/>
      <c r="H41" s="853"/>
    </row>
    <row r="42" spans="1:8" x14ac:dyDescent="0.25">
      <c r="A42" s="849" t="s">
        <v>925</v>
      </c>
      <c r="C42" s="853"/>
      <c r="D42" s="879"/>
      <c r="E42" s="853"/>
      <c r="F42" s="853"/>
      <c r="G42" s="853"/>
      <c r="H42" s="853"/>
    </row>
    <row r="43" spans="1:8" x14ac:dyDescent="0.25">
      <c r="A43" s="852" t="s">
        <v>1182</v>
      </c>
      <c r="C43" s="853">
        <f t="shared" ref="C43:H48" si="4">C67+C91</f>
        <v>13094.137000000001</v>
      </c>
      <c r="D43" s="879"/>
      <c r="E43" s="853">
        <f t="shared" si="4"/>
        <v>13571.739</v>
      </c>
      <c r="F43" s="853">
        <f t="shared" si="4"/>
        <v>14063.325999999999</v>
      </c>
      <c r="G43" s="853">
        <f t="shared" si="4"/>
        <v>14472.804</v>
      </c>
      <c r="H43" s="853">
        <f t="shared" si="4"/>
        <v>14911.101000000001</v>
      </c>
    </row>
    <row r="44" spans="1:8" x14ac:dyDescent="0.25">
      <c r="A44" s="852" t="s">
        <v>27</v>
      </c>
      <c r="C44" s="853">
        <f t="shared" si="4"/>
        <v>14214.548000000001</v>
      </c>
      <c r="D44" s="879"/>
      <c r="E44" s="853">
        <f t="shared" si="4"/>
        <v>15174.867</v>
      </c>
      <c r="F44" s="853">
        <f t="shared" si="4"/>
        <v>15469.18</v>
      </c>
      <c r="G44" s="853">
        <f t="shared" si="4"/>
        <v>15845.433000000001</v>
      </c>
      <c r="H44" s="853">
        <f t="shared" si="4"/>
        <v>16236.225</v>
      </c>
    </row>
    <row r="45" spans="1:8" x14ac:dyDescent="0.25">
      <c r="A45" s="852" t="s">
        <v>1183</v>
      </c>
      <c r="C45" s="853">
        <f t="shared" si="4"/>
        <v>3204.8429999999998</v>
      </c>
      <c r="D45" s="879"/>
      <c r="E45" s="853">
        <f t="shared" si="4"/>
        <v>3307.2809999999999</v>
      </c>
      <c r="F45" s="853">
        <f t="shared" si="4"/>
        <v>3375.721</v>
      </c>
      <c r="G45" s="853">
        <f t="shared" si="4"/>
        <v>3453.944</v>
      </c>
      <c r="H45" s="853">
        <f t="shared" si="4"/>
        <v>3544.6689999999999</v>
      </c>
    </row>
    <row r="46" spans="1:8" x14ac:dyDescent="0.25">
      <c r="A46" s="852" t="s">
        <v>926</v>
      </c>
      <c r="C46" s="853">
        <f t="shared" si="4"/>
        <v>1715.8579999999999</v>
      </c>
      <c r="D46" s="879"/>
      <c r="E46" s="853">
        <f t="shared" si="4"/>
        <v>2126.712</v>
      </c>
      <c r="F46" s="853">
        <f t="shared" si="4"/>
        <v>2354.0219999999999</v>
      </c>
      <c r="G46" s="853">
        <f t="shared" si="4"/>
        <v>2280.3049999999998</v>
      </c>
      <c r="H46" s="853">
        <f t="shared" si="4"/>
        <v>2203.3850000000002</v>
      </c>
    </row>
    <row r="47" spans="1:8" x14ac:dyDescent="0.25">
      <c r="A47" s="852" t="s">
        <v>1077</v>
      </c>
      <c r="C47" s="853">
        <f t="shared" si="4"/>
        <v>2020</v>
      </c>
      <c r="D47" s="879"/>
      <c r="E47" s="853">
        <f t="shared" si="4"/>
        <v>2062.1750000000002</v>
      </c>
      <c r="F47" s="853">
        <f t="shared" si="4"/>
        <v>2105.4029999999998</v>
      </c>
      <c r="G47" s="853">
        <f t="shared" si="4"/>
        <v>2149.7130000000002</v>
      </c>
      <c r="H47" s="853">
        <f t="shared" si="4"/>
        <v>2195.1309999999999</v>
      </c>
    </row>
    <row r="48" spans="1:8" x14ac:dyDescent="0.25">
      <c r="A48" s="852" t="s">
        <v>584</v>
      </c>
      <c r="C48" s="853">
        <f t="shared" si="4"/>
        <v>11286.985000000001</v>
      </c>
      <c r="D48" s="879"/>
      <c r="E48" s="853">
        <f t="shared" si="4"/>
        <v>10411.565000000001</v>
      </c>
      <c r="F48" s="853">
        <f t="shared" si="4"/>
        <v>10828.181</v>
      </c>
      <c r="G48" s="853">
        <f t="shared" si="4"/>
        <v>11079.703</v>
      </c>
      <c r="H48" s="853">
        <f t="shared" si="4"/>
        <v>11338.606</v>
      </c>
    </row>
    <row r="49" spans="1:10" x14ac:dyDescent="0.25">
      <c r="C49" s="853"/>
      <c r="D49" s="879"/>
      <c r="E49" s="853"/>
      <c r="F49" s="853"/>
      <c r="G49" s="853"/>
      <c r="H49" s="853"/>
    </row>
    <row r="50" spans="1:10" x14ac:dyDescent="0.25">
      <c r="A50" s="849" t="s">
        <v>1184</v>
      </c>
      <c r="C50" s="886">
        <f>SUM(C43:C49)</f>
        <v>45536.370999999999</v>
      </c>
      <c r="D50" s="879"/>
      <c r="E50" s="886">
        <f>SUM(E43:E49)</f>
        <v>46654.339000000007</v>
      </c>
      <c r="F50" s="886">
        <f>SUM(F43:F49)</f>
        <v>48195.832999999999</v>
      </c>
      <c r="G50" s="886">
        <f>SUM(G43:G49)</f>
        <v>49281.902000000009</v>
      </c>
      <c r="H50" s="886">
        <f>SUM(H43:H49)</f>
        <v>50429.117000000006</v>
      </c>
    </row>
    <row r="51" spans="1:10" x14ac:dyDescent="0.25">
      <c r="C51" s="853"/>
      <c r="D51" s="879"/>
      <c r="E51" s="853"/>
      <c r="F51" s="853"/>
      <c r="G51" s="853"/>
      <c r="H51" s="853"/>
    </row>
    <row r="52" spans="1:10" x14ac:dyDescent="0.25">
      <c r="A52" s="849" t="s">
        <v>1185</v>
      </c>
      <c r="C52" s="853">
        <f>C39-C50</f>
        <v>974.04399999999441</v>
      </c>
      <c r="D52" s="879"/>
      <c r="E52" s="853">
        <f>E39-E50</f>
        <v>138.53500000000349</v>
      </c>
      <c r="F52" s="853">
        <f>F39-F50</f>
        <v>-163.1559999999954</v>
      </c>
      <c r="G52" s="853">
        <f>G39-G50</f>
        <v>513.09999999999854</v>
      </c>
      <c r="H52" s="853">
        <f>H39-H50</f>
        <v>809.81499999999505</v>
      </c>
    </row>
    <row r="53" spans="1:10" x14ac:dyDescent="0.25">
      <c r="C53" s="853"/>
      <c r="D53" s="879"/>
      <c r="E53" s="853"/>
      <c r="F53" s="853"/>
      <c r="G53" s="853"/>
      <c r="H53" s="853"/>
    </row>
    <row r="54" spans="1:10" ht="27" x14ac:dyDescent="0.3">
      <c r="A54" s="882" t="s">
        <v>1247</v>
      </c>
      <c r="C54" s="850" t="s">
        <v>1168</v>
      </c>
      <c r="D54" s="877"/>
      <c r="E54" s="850" t="s">
        <v>1170</v>
      </c>
      <c r="F54" s="851" t="s">
        <v>1172</v>
      </c>
      <c r="G54" s="851" t="s">
        <v>1173</v>
      </c>
      <c r="H54" s="851" t="s">
        <v>1174</v>
      </c>
    </row>
    <row r="55" spans="1:10" x14ac:dyDescent="0.25">
      <c r="A55" s="849" t="s">
        <v>1175</v>
      </c>
      <c r="C55" s="853"/>
      <c r="D55" s="879"/>
      <c r="E55" s="853"/>
      <c r="F55" s="853"/>
      <c r="G55" s="853"/>
      <c r="H55" s="853"/>
    </row>
    <row r="56" spans="1:10" x14ac:dyDescent="0.25">
      <c r="A56" s="852" t="s">
        <v>1176</v>
      </c>
      <c r="C56" s="853">
        <f>-C110/1000</f>
        <v>14450.315000000001</v>
      </c>
      <c r="D56" s="879"/>
      <c r="E56" s="853">
        <f>-E110/1000</f>
        <v>15263.939960000002</v>
      </c>
      <c r="F56" s="853">
        <f>-F110/1000</f>
        <v>15775.877474999999</v>
      </c>
      <c r="G56" s="853">
        <f>-G110/1000</f>
        <v>16452.106275000002</v>
      </c>
      <c r="H56" s="853">
        <f>-H110/1000</f>
        <v>16902.498425000002</v>
      </c>
    </row>
    <row r="57" spans="1:10" x14ac:dyDescent="0.25">
      <c r="A57" s="852" t="s">
        <v>12</v>
      </c>
      <c r="C57" s="853">
        <f>-(C111+C139)/1000</f>
        <v>9486.9689999999991</v>
      </c>
      <c r="D57" s="879"/>
      <c r="E57" s="853">
        <f>-(E111+E139)/1000</f>
        <v>9897.5249999999996</v>
      </c>
      <c r="F57" s="853">
        <f>-(F111+F139)/1000</f>
        <v>10068</v>
      </c>
      <c r="G57" s="853">
        <f>-(G111+G139)/1000</f>
        <v>10252.253000000001</v>
      </c>
      <c r="H57" s="853">
        <f>-(H111+H139)/1000</f>
        <v>10485.2922</v>
      </c>
    </row>
    <row r="58" spans="1:10" x14ac:dyDescent="0.25">
      <c r="A58" s="852" t="s">
        <v>1177</v>
      </c>
      <c r="C58" s="853">
        <f>-C112/1000</f>
        <v>931.5</v>
      </c>
      <c r="D58" s="879"/>
      <c r="E58" s="853">
        <f t="shared" ref="E58:H60" si="5">-E112/1000</f>
        <v>938.20899999999995</v>
      </c>
      <c r="F58" s="853">
        <f t="shared" si="5"/>
        <v>947.19299999999998</v>
      </c>
      <c r="G58" s="853">
        <f t="shared" si="5"/>
        <v>956.88900000000001</v>
      </c>
      <c r="H58" s="853">
        <f t="shared" si="5"/>
        <v>965.43299999999999</v>
      </c>
    </row>
    <row r="59" spans="1:10" x14ac:dyDescent="0.25">
      <c r="A59" s="852" t="s">
        <v>1178</v>
      </c>
      <c r="C59" s="853">
        <f>-C113/1000</f>
        <v>2424.5369999999998</v>
      </c>
      <c r="D59" s="879"/>
      <c r="E59" s="853">
        <f t="shared" si="5"/>
        <v>2409.788</v>
      </c>
      <c r="F59" s="853">
        <f t="shared" si="5"/>
        <v>2463.8040000000001</v>
      </c>
      <c r="G59" s="853">
        <f t="shared" si="5"/>
        <v>2520.3789999999999</v>
      </c>
      <c r="H59" s="853">
        <f t="shared" si="5"/>
        <v>2578.0160000000001</v>
      </c>
    </row>
    <row r="60" spans="1:10" x14ac:dyDescent="0.25">
      <c r="A60" s="852" t="s">
        <v>1179</v>
      </c>
      <c r="C60" s="853">
        <f>-C114/1000</f>
        <v>6174.7439999999997</v>
      </c>
      <c r="D60" s="879"/>
      <c r="E60" s="853">
        <f t="shared" si="5"/>
        <v>5230.8890000000001</v>
      </c>
      <c r="F60" s="853">
        <f t="shared" si="5"/>
        <v>5322.951</v>
      </c>
      <c r="G60" s="853">
        <f t="shared" si="5"/>
        <v>5414.701</v>
      </c>
      <c r="H60" s="853">
        <f t="shared" si="5"/>
        <v>5508.3</v>
      </c>
    </row>
    <row r="61" spans="1:10" x14ac:dyDescent="0.25">
      <c r="A61" s="883" t="s">
        <v>1246</v>
      </c>
      <c r="B61" s="884"/>
      <c r="C61" s="885">
        <f>-C115/1000-(C125+C149)/1000</f>
        <v>2020</v>
      </c>
      <c r="D61" s="885"/>
      <c r="E61" s="885">
        <f>-E115/1000-(E125+E149)/1000</f>
        <v>2124.6749999999997</v>
      </c>
      <c r="F61" s="885">
        <f>-F115/1000-(F125+F149)/1000</f>
        <v>2170.4029999999998</v>
      </c>
      <c r="G61" s="885">
        <f>-G115/1000-(G125+G149)/1000</f>
        <v>2214.7129999999997</v>
      </c>
      <c r="H61" s="885">
        <f>-H115/1000-(H125+H149)/1000</f>
        <v>2115.9480000000003</v>
      </c>
      <c r="I61" s="803" t="s">
        <v>1251</v>
      </c>
      <c r="J61" s="803" t="s">
        <v>1252</v>
      </c>
    </row>
    <row r="62" spans="1:10" x14ac:dyDescent="0.25">
      <c r="C62" s="853"/>
      <c r="D62" s="879"/>
      <c r="E62" s="853"/>
      <c r="F62" s="853"/>
      <c r="G62" s="853"/>
      <c r="H62" s="853"/>
    </row>
    <row r="63" spans="1:10" x14ac:dyDescent="0.25">
      <c r="A63" s="849" t="s">
        <v>1181</v>
      </c>
      <c r="C63" s="886">
        <f>SUM(C56:C62)</f>
        <v>35488.065000000002</v>
      </c>
      <c r="D63" s="879"/>
      <c r="E63" s="886">
        <f>SUM(E56:E62)</f>
        <v>35865.025960000006</v>
      </c>
      <c r="F63" s="886">
        <f>SUM(F56:F62)</f>
        <v>36748.228474999996</v>
      </c>
      <c r="G63" s="886">
        <f>SUM(G56:G62)</f>
        <v>37811.041274999996</v>
      </c>
      <c r="H63" s="886">
        <f>SUM(H56:H62)</f>
        <v>38555.487625000009</v>
      </c>
    </row>
    <row r="64" spans="1:10" x14ac:dyDescent="0.25">
      <c r="C64" s="853"/>
      <c r="D64" s="879"/>
      <c r="E64" s="853"/>
      <c r="F64" s="853"/>
      <c r="G64" s="853"/>
      <c r="H64" s="853"/>
    </row>
    <row r="65" spans="1:8" x14ac:dyDescent="0.25">
      <c r="C65" s="853"/>
      <c r="D65" s="879"/>
      <c r="E65" s="853"/>
      <c r="F65" s="853"/>
      <c r="G65" s="853"/>
      <c r="H65" s="853"/>
    </row>
    <row r="66" spans="1:8" x14ac:dyDescent="0.25">
      <c r="A66" s="849" t="s">
        <v>925</v>
      </c>
      <c r="C66" s="853"/>
      <c r="D66" s="879"/>
      <c r="E66" s="853"/>
      <c r="F66" s="853"/>
      <c r="G66" s="853"/>
      <c r="H66" s="853"/>
    </row>
    <row r="67" spans="1:8" x14ac:dyDescent="0.25">
      <c r="A67" s="852" t="s">
        <v>1182</v>
      </c>
      <c r="C67" s="853">
        <f>(C121+C145)/1000</f>
        <v>11311.316000000001</v>
      </c>
      <c r="D67" s="879"/>
      <c r="E67" s="853">
        <f t="shared" ref="E67:H70" si="6">(E121+E145)/1000</f>
        <v>11644.458000000001</v>
      </c>
      <c r="F67" s="853">
        <f t="shared" si="6"/>
        <v>12065.505999999999</v>
      </c>
      <c r="G67" s="853">
        <f t="shared" si="6"/>
        <v>12400.875</v>
      </c>
      <c r="H67" s="853">
        <f t="shared" si="6"/>
        <v>12761.976000000001</v>
      </c>
    </row>
    <row r="68" spans="1:8" x14ac:dyDescent="0.25">
      <c r="A68" s="852" t="s">
        <v>27</v>
      </c>
      <c r="C68" s="853">
        <f>(C122+C146)/1000</f>
        <v>11489.848</v>
      </c>
      <c r="D68" s="879"/>
      <c r="E68" s="853">
        <f t="shared" si="6"/>
        <v>12660.767</v>
      </c>
      <c r="F68" s="853">
        <f t="shared" si="6"/>
        <v>12980.338</v>
      </c>
      <c r="G68" s="853">
        <f t="shared" si="6"/>
        <v>13278.694</v>
      </c>
      <c r="H68" s="853">
        <f t="shared" si="6"/>
        <v>13588.244000000001</v>
      </c>
    </row>
    <row r="69" spans="1:8" x14ac:dyDescent="0.25">
      <c r="A69" s="852" t="s">
        <v>1183</v>
      </c>
      <c r="C69" s="853">
        <f>(C123+C147)/1000</f>
        <v>2645.893</v>
      </c>
      <c r="D69" s="879"/>
      <c r="E69" s="853">
        <f t="shared" si="6"/>
        <v>2775.2310000000002</v>
      </c>
      <c r="F69" s="853">
        <f t="shared" si="6"/>
        <v>2825.77</v>
      </c>
      <c r="G69" s="853">
        <f t="shared" si="6"/>
        <v>2885.2280000000001</v>
      </c>
      <c r="H69" s="853">
        <f t="shared" si="6"/>
        <v>2956.5430000000001</v>
      </c>
    </row>
    <row r="70" spans="1:8" x14ac:dyDescent="0.25">
      <c r="A70" s="852" t="s">
        <v>926</v>
      </c>
      <c r="C70" s="853">
        <f>(C124+C148)/1000</f>
        <v>1500.3620000000001</v>
      </c>
      <c r="D70" s="879"/>
      <c r="E70" s="853">
        <f t="shared" si="6"/>
        <v>1497.172</v>
      </c>
      <c r="F70" s="853">
        <f t="shared" si="6"/>
        <v>1494.087</v>
      </c>
      <c r="G70" s="853">
        <f t="shared" si="6"/>
        <v>1491.3309999999999</v>
      </c>
      <c r="H70" s="853">
        <f t="shared" si="6"/>
        <v>1488.354</v>
      </c>
    </row>
    <row r="71" spans="1:8" x14ac:dyDescent="0.25">
      <c r="A71" s="852" t="s">
        <v>1077</v>
      </c>
      <c r="C71" s="853"/>
      <c r="D71" s="879"/>
      <c r="E71" s="853"/>
      <c r="F71" s="853"/>
      <c r="G71" s="853"/>
      <c r="H71" s="853"/>
    </row>
    <row r="72" spans="1:8" x14ac:dyDescent="0.25">
      <c r="A72" s="852" t="s">
        <v>584</v>
      </c>
      <c r="C72" s="853">
        <f>(C126+C150)/1000</f>
        <v>8510.6460000000006</v>
      </c>
      <c r="D72" s="879"/>
      <c r="E72" s="853">
        <f>(E126+E150)/1000</f>
        <v>7625.4650000000001</v>
      </c>
      <c r="F72" s="853">
        <f>(F126+F150)/1000</f>
        <v>7813.7809999999999</v>
      </c>
      <c r="G72" s="853">
        <f>(G126+G150)/1000</f>
        <v>8004.9440000000004</v>
      </c>
      <c r="H72" s="853">
        <f>(H126+H150)/1000</f>
        <v>8204.5040000000008</v>
      </c>
    </row>
    <row r="73" spans="1:8" x14ac:dyDescent="0.25">
      <c r="C73" s="853"/>
      <c r="D73" s="879"/>
      <c r="E73" s="853"/>
      <c r="F73" s="853"/>
      <c r="G73" s="853"/>
      <c r="H73" s="853"/>
    </row>
    <row r="74" spans="1:8" x14ac:dyDescent="0.25">
      <c r="A74" s="849" t="s">
        <v>1184</v>
      </c>
      <c r="C74" s="886">
        <f>SUM(C67:C73)</f>
        <v>35458.065000000002</v>
      </c>
      <c r="D74" s="879"/>
      <c r="E74" s="886">
        <f>SUM(E67:E73)</f>
        <v>36203.092999999993</v>
      </c>
      <c r="F74" s="886">
        <f>SUM(F67:F73)</f>
        <v>37179.481999999996</v>
      </c>
      <c r="G74" s="886">
        <f>SUM(G67:G73)</f>
        <v>38061.072</v>
      </c>
      <c r="H74" s="886">
        <f>SUM(H67:H73)</f>
        <v>38999.620999999999</v>
      </c>
    </row>
    <row r="75" spans="1:8" x14ac:dyDescent="0.25">
      <c r="C75" s="853"/>
      <c r="D75" s="879"/>
      <c r="E75" s="853"/>
      <c r="F75" s="853"/>
      <c r="G75" s="853"/>
      <c r="H75" s="853"/>
    </row>
    <row r="76" spans="1:8" x14ac:dyDescent="0.25">
      <c r="A76" s="849" t="s">
        <v>1185</v>
      </c>
      <c r="C76" s="853">
        <f>C63-C74</f>
        <v>30</v>
      </c>
      <c r="D76" s="879"/>
      <c r="E76" s="853">
        <f>E63-E74</f>
        <v>-338.06703999998717</v>
      </c>
      <c r="F76" s="853">
        <f>F63-F74</f>
        <v>-431.25352500000008</v>
      </c>
      <c r="G76" s="853">
        <f>G63-G74</f>
        <v>-250.03072500000417</v>
      </c>
      <c r="H76" s="853">
        <f>H63-H74</f>
        <v>-444.13337499999034</v>
      </c>
    </row>
    <row r="77" spans="1:8" x14ac:dyDescent="0.25">
      <c r="C77" s="853"/>
      <c r="D77" s="879"/>
      <c r="E77" s="853"/>
      <c r="F77" s="853"/>
      <c r="G77" s="853"/>
      <c r="H77" s="853"/>
    </row>
    <row r="78" spans="1:8" ht="27" x14ac:dyDescent="0.3">
      <c r="A78" s="882" t="s">
        <v>1248</v>
      </c>
      <c r="C78" s="850" t="s">
        <v>1168</v>
      </c>
      <c r="D78" s="877"/>
      <c r="E78" s="850" t="s">
        <v>1170</v>
      </c>
      <c r="F78" s="851" t="s">
        <v>1172</v>
      </c>
      <c r="G78" s="851" t="s">
        <v>1173</v>
      </c>
      <c r="H78" s="851" t="s">
        <v>1174</v>
      </c>
    </row>
    <row r="79" spans="1:8" x14ac:dyDescent="0.25">
      <c r="A79" s="849" t="s">
        <v>1175</v>
      </c>
      <c r="C79" s="853"/>
      <c r="D79" s="879"/>
      <c r="E79" s="853"/>
      <c r="F79" s="853"/>
      <c r="G79" s="853"/>
      <c r="H79" s="853"/>
    </row>
    <row r="80" spans="1:8" x14ac:dyDescent="0.25">
      <c r="A80" s="852" t="s">
        <v>1176</v>
      </c>
      <c r="C80" s="853">
        <f>-C8/1000-C56</f>
        <v>5581.4999999999982</v>
      </c>
      <c r="D80" s="879"/>
      <c r="E80" s="853">
        <f t="shared" ref="E80:H84" si="7">-E8/1000-E56</f>
        <v>5347.4730399999989</v>
      </c>
      <c r="F80" s="853">
        <f t="shared" si="7"/>
        <v>5877.8735250000009</v>
      </c>
      <c r="G80" s="853">
        <f t="shared" si="7"/>
        <v>6423.933724999999</v>
      </c>
      <c r="H80" s="853">
        <f t="shared" si="7"/>
        <v>6924.1745749999973</v>
      </c>
    </row>
    <row r="81" spans="1:9" x14ac:dyDescent="0.25">
      <c r="A81" s="852" t="s">
        <v>12</v>
      </c>
      <c r="C81" s="853">
        <f>-C9/1000-C57</f>
        <v>4041.8500000000004</v>
      </c>
      <c r="D81" s="879"/>
      <c r="E81" s="853">
        <f t="shared" si="7"/>
        <v>4286.875</v>
      </c>
      <c r="F81" s="853">
        <f t="shared" si="7"/>
        <v>4305.3150000000005</v>
      </c>
      <c r="G81" s="853">
        <f t="shared" si="7"/>
        <v>4530.6459999999988</v>
      </c>
      <c r="H81" s="853">
        <f t="shared" si="7"/>
        <v>4767.3017999999993</v>
      </c>
    </row>
    <row r="82" spans="1:9" x14ac:dyDescent="0.25">
      <c r="A82" s="852" t="s">
        <v>1177</v>
      </c>
      <c r="C82" s="853">
        <f>-C10/1000-C58</f>
        <v>1323</v>
      </c>
      <c r="D82" s="879"/>
      <c r="E82" s="853">
        <f t="shared" si="7"/>
        <v>1224</v>
      </c>
      <c r="F82" s="853">
        <f t="shared" si="7"/>
        <v>1030.3700000000001</v>
      </c>
      <c r="G82" s="853">
        <f t="shared" si="7"/>
        <v>957.07399999999996</v>
      </c>
      <c r="H82" s="853">
        <f t="shared" si="7"/>
        <v>918.21499999999992</v>
      </c>
    </row>
    <row r="83" spans="1:9" x14ac:dyDescent="0.25">
      <c r="A83" s="852" t="s">
        <v>1178</v>
      </c>
      <c r="C83" s="853">
        <f>-C11/1000-C59</f>
        <v>0</v>
      </c>
      <c r="D83" s="879"/>
      <c r="E83" s="853">
        <f t="shared" si="7"/>
        <v>0</v>
      </c>
      <c r="F83" s="853">
        <f t="shared" si="7"/>
        <v>0</v>
      </c>
      <c r="G83" s="853">
        <f t="shared" si="7"/>
        <v>0</v>
      </c>
      <c r="H83" s="853">
        <f t="shared" si="7"/>
        <v>0</v>
      </c>
    </row>
    <row r="84" spans="1:9" x14ac:dyDescent="0.25">
      <c r="A84" s="852" t="s">
        <v>1179</v>
      </c>
      <c r="C84" s="853">
        <f>-C12/1000-C60</f>
        <v>76</v>
      </c>
      <c r="D84" s="879"/>
      <c r="E84" s="853">
        <f t="shared" si="7"/>
        <v>69.5</v>
      </c>
      <c r="F84" s="853">
        <f t="shared" si="7"/>
        <v>70.890000000000327</v>
      </c>
      <c r="G84" s="853">
        <f t="shared" si="7"/>
        <v>72.306999999999789</v>
      </c>
      <c r="H84" s="853">
        <f t="shared" si="7"/>
        <v>73.752999999999702</v>
      </c>
    </row>
    <row r="85" spans="1:9" x14ac:dyDescent="0.25">
      <c r="A85" s="883" t="s">
        <v>1246</v>
      </c>
      <c r="B85" s="884"/>
      <c r="C85" s="853">
        <v>0</v>
      </c>
      <c r="D85" s="885"/>
      <c r="E85" s="853">
        <v>0</v>
      </c>
      <c r="F85" s="853">
        <v>0</v>
      </c>
      <c r="G85" s="853">
        <v>0</v>
      </c>
      <c r="H85" s="853">
        <v>0</v>
      </c>
    </row>
    <row r="86" spans="1:9" x14ac:dyDescent="0.25">
      <c r="C86" s="853"/>
      <c r="D86" s="879"/>
      <c r="E86" s="853"/>
      <c r="F86" s="853"/>
      <c r="G86" s="853"/>
      <c r="H86" s="853"/>
    </row>
    <row r="87" spans="1:9" x14ac:dyDescent="0.25">
      <c r="A87" s="849" t="s">
        <v>1181</v>
      </c>
      <c r="C87" s="886">
        <f>SUM(C80:C86)</f>
        <v>11022.349999999999</v>
      </c>
      <c r="D87" s="879"/>
      <c r="E87" s="886">
        <f>SUM(E80:E86)</f>
        <v>10927.848039999999</v>
      </c>
      <c r="F87" s="886">
        <f>SUM(F80:F86)</f>
        <v>11284.448525000003</v>
      </c>
      <c r="G87" s="886">
        <f>SUM(G80:G86)</f>
        <v>11983.960724999997</v>
      </c>
      <c r="H87" s="886">
        <f>SUM(H80:H86)</f>
        <v>12683.444374999995</v>
      </c>
    </row>
    <row r="88" spans="1:9" x14ac:dyDescent="0.25">
      <c r="C88" s="853"/>
      <c r="D88" s="879"/>
      <c r="E88" s="853"/>
      <c r="F88" s="853"/>
      <c r="G88" s="853"/>
      <c r="H88" s="853"/>
    </row>
    <row r="89" spans="1:9" x14ac:dyDescent="0.25">
      <c r="C89" s="853"/>
      <c r="D89" s="879"/>
      <c r="E89" s="853"/>
      <c r="F89" s="853"/>
      <c r="G89" s="853"/>
      <c r="H89" s="853"/>
    </row>
    <row r="90" spans="1:9" x14ac:dyDescent="0.25">
      <c r="A90" s="849" t="s">
        <v>925</v>
      </c>
      <c r="C90" s="853"/>
      <c r="D90" s="879"/>
      <c r="E90" s="853"/>
      <c r="F90" s="853"/>
      <c r="G90" s="853"/>
      <c r="H90" s="853"/>
    </row>
    <row r="91" spans="1:9" x14ac:dyDescent="0.25">
      <c r="A91" s="852" t="s">
        <v>1182</v>
      </c>
      <c r="C91" s="853">
        <f>C19/1000-C67</f>
        <v>1782.8209999999999</v>
      </c>
      <c r="D91" s="879"/>
      <c r="E91" s="853">
        <f t="shared" ref="E91:H94" si="8">E19/1000-E67</f>
        <v>1927.280999999999</v>
      </c>
      <c r="F91" s="853">
        <f t="shared" si="8"/>
        <v>1997.8199999999997</v>
      </c>
      <c r="G91" s="853">
        <f t="shared" si="8"/>
        <v>2071.9290000000001</v>
      </c>
      <c r="H91" s="853">
        <f t="shared" si="8"/>
        <v>2149.125</v>
      </c>
    </row>
    <row r="92" spans="1:9" x14ac:dyDescent="0.25">
      <c r="A92" s="852" t="s">
        <v>27</v>
      </c>
      <c r="C92" s="853">
        <f>C20/1000-C68</f>
        <v>2724.7000000000007</v>
      </c>
      <c r="D92" s="879"/>
      <c r="E92" s="853">
        <f t="shared" si="8"/>
        <v>2514.1000000000004</v>
      </c>
      <c r="F92" s="853">
        <f t="shared" si="8"/>
        <v>2488.8420000000006</v>
      </c>
      <c r="G92" s="853">
        <f t="shared" si="8"/>
        <v>2566.7390000000014</v>
      </c>
      <c r="H92" s="853">
        <f t="shared" si="8"/>
        <v>2647.9809999999998</v>
      </c>
    </row>
    <row r="93" spans="1:9" x14ac:dyDescent="0.25">
      <c r="A93" s="852" t="s">
        <v>1183</v>
      </c>
      <c r="C93" s="853">
        <f>C21/1000-C69</f>
        <v>558.94999999999982</v>
      </c>
      <c r="D93" s="879"/>
      <c r="E93" s="853">
        <f t="shared" si="8"/>
        <v>532.04999999999973</v>
      </c>
      <c r="F93" s="853">
        <f t="shared" si="8"/>
        <v>549.95100000000002</v>
      </c>
      <c r="G93" s="853">
        <f t="shared" si="8"/>
        <v>568.71599999999989</v>
      </c>
      <c r="H93" s="853">
        <f t="shared" si="8"/>
        <v>588.12599999999975</v>
      </c>
    </row>
    <row r="94" spans="1:9" x14ac:dyDescent="0.25">
      <c r="A94" s="852" t="s">
        <v>926</v>
      </c>
      <c r="C94" s="853">
        <f>C22/1000-C70</f>
        <v>215.49599999999987</v>
      </c>
      <c r="D94" s="879"/>
      <c r="E94" s="853">
        <f t="shared" si="8"/>
        <v>629.54</v>
      </c>
      <c r="F94" s="853">
        <f t="shared" si="8"/>
        <v>859.93499999999995</v>
      </c>
      <c r="G94" s="853">
        <f t="shared" si="8"/>
        <v>788.97399999999993</v>
      </c>
      <c r="H94" s="853">
        <f t="shared" si="8"/>
        <v>715.03100000000018</v>
      </c>
    </row>
    <row r="95" spans="1:9" x14ac:dyDescent="0.25">
      <c r="A95" s="852" t="s">
        <v>1077</v>
      </c>
      <c r="C95" s="853">
        <f>(C23-C125-C149)/1000-C71</f>
        <v>2020</v>
      </c>
      <c r="D95" s="879"/>
      <c r="E95" s="853">
        <f>(E23-E125-E149)/1000-E71</f>
        <v>2062.1750000000002</v>
      </c>
      <c r="F95" s="853">
        <f>(F23-F125-F149)/1000-F71</f>
        <v>2105.4029999999998</v>
      </c>
      <c r="G95" s="853">
        <f>(G23-G125-G149)/1000-G71</f>
        <v>2149.7130000000002</v>
      </c>
      <c r="H95" s="853">
        <f>(H23-H125-H149)/1000-H71</f>
        <v>2195.1309999999999</v>
      </c>
      <c r="I95" s="803" t="s">
        <v>1253</v>
      </c>
    </row>
    <row r="96" spans="1:9" x14ac:dyDescent="0.25">
      <c r="A96" s="852" t="s">
        <v>584</v>
      </c>
      <c r="C96" s="853">
        <f>C24/1000-C72</f>
        <v>2776.3389999999999</v>
      </c>
      <c r="D96" s="879"/>
      <c r="E96" s="853">
        <f>E24/1000-E72</f>
        <v>2786.1000000000004</v>
      </c>
      <c r="F96" s="853">
        <f>F24/1000-F72</f>
        <v>3014.4000000000005</v>
      </c>
      <c r="G96" s="853">
        <f>G24/1000-G72</f>
        <v>3074.7589999999991</v>
      </c>
      <c r="H96" s="853">
        <f>H24/1000-H72</f>
        <v>3134.101999999999</v>
      </c>
    </row>
    <row r="97" spans="1:10" x14ac:dyDescent="0.25">
      <c r="C97" s="853"/>
      <c r="D97" s="879"/>
      <c r="E97" s="853"/>
      <c r="F97" s="853"/>
      <c r="G97" s="853"/>
      <c r="H97" s="853"/>
    </row>
    <row r="98" spans="1:10" x14ac:dyDescent="0.25">
      <c r="A98" s="849" t="s">
        <v>1184</v>
      </c>
      <c r="C98" s="886">
        <f>SUM(C91:C97)</f>
        <v>10078.306</v>
      </c>
      <c r="D98" s="879"/>
      <c r="E98" s="886">
        <f>SUM(E91:E97)</f>
        <v>10451.245999999999</v>
      </c>
      <c r="F98" s="886">
        <f>SUM(F91:F97)</f>
        <v>11016.351000000002</v>
      </c>
      <c r="G98" s="886">
        <f>SUM(G91:G97)</f>
        <v>11220.830000000002</v>
      </c>
      <c r="H98" s="886">
        <f>SUM(H91:H97)</f>
        <v>11429.495999999999</v>
      </c>
    </row>
    <row r="99" spans="1:10" x14ac:dyDescent="0.25">
      <c r="C99" s="853"/>
      <c r="D99" s="879"/>
      <c r="E99" s="853"/>
      <c r="F99" s="853"/>
      <c r="G99" s="853"/>
      <c r="H99" s="853"/>
    </row>
    <row r="100" spans="1:10" x14ac:dyDescent="0.25">
      <c r="A100" s="849" t="s">
        <v>1185</v>
      </c>
      <c r="C100" s="853">
        <f>C87-C98</f>
        <v>944.04399999999805</v>
      </c>
      <c r="D100" s="879"/>
      <c r="E100" s="853">
        <f>E87-E98</f>
        <v>476.60203999999976</v>
      </c>
      <c r="F100" s="853">
        <f>F87-F98</f>
        <v>268.09752500000104</v>
      </c>
      <c r="G100" s="853">
        <f>G87-G98</f>
        <v>763.13072499999544</v>
      </c>
      <c r="H100" s="853">
        <f>H87-H98</f>
        <v>1253.9483749999963</v>
      </c>
    </row>
    <row r="101" spans="1:10" x14ac:dyDescent="0.25">
      <c r="C101" s="853"/>
      <c r="D101" s="879"/>
      <c r="E101" s="853"/>
      <c r="F101" s="853"/>
      <c r="G101" s="853"/>
      <c r="H101" s="853"/>
    </row>
    <row r="102" spans="1:10" x14ac:dyDescent="0.25">
      <c r="C102" s="853"/>
      <c r="D102" s="879"/>
      <c r="E102" s="853"/>
      <c r="F102" s="853"/>
      <c r="G102" s="853"/>
      <c r="H102" s="853"/>
    </row>
    <row r="103" spans="1:10" x14ac:dyDescent="0.25">
      <c r="C103" s="853"/>
      <c r="D103" s="879"/>
      <c r="E103" s="853"/>
      <c r="F103" s="853"/>
      <c r="G103" s="853"/>
      <c r="H103" s="853"/>
    </row>
    <row r="104" spans="1:10" x14ac:dyDescent="0.25">
      <c r="C104" s="853"/>
      <c r="D104" s="879"/>
      <c r="E104" s="853"/>
      <c r="F104" s="853"/>
      <c r="G104" s="853"/>
      <c r="H104" s="853"/>
    </row>
    <row r="105" spans="1:10" x14ac:dyDescent="0.25">
      <c r="A105" s="849" t="s">
        <v>1164</v>
      </c>
      <c r="B105" s="849" t="s">
        <v>1249</v>
      </c>
    </row>
    <row r="106" spans="1:10" x14ac:dyDescent="0.25">
      <c r="A106" s="849" t="s">
        <v>1166</v>
      </c>
      <c r="B106" s="849" t="s">
        <v>1188</v>
      </c>
    </row>
    <row r="107" spans="1:10" x14ac:dyDescent="0.25">
      <c r="E107" s="1226"/>
      <c r="F107" s="1226"/>
      <c r="G107" s="1226"/>
      <c r="H107" s="1226"/>
    </row>
    <row r="108" spans="1:10" ht="26.4" x14ac:dyDescent="0.25">
      <c r="C108" s="850" t="s">
        <v>1168</v>
      </c>
      <c r="D108" s="877" t="s">
        <v>1169</v>
      </c>
      <c r="E108" s="850" t="s">
        <v>1170</v>
      </c>
      <c r="F108" s="851" t="s">
        <v>1172</v>
      </c>
      <c r="G108" s="851" t="s">
        <v>1173</v>
      </c>
      <c r="H108" s="851" t="s">
        <v>1174</v>
      </c>
    </row>
    <row r="109" spans="1:10" x14ac:dyDescent="0.25">
      <c r="A109" s="849" t="s">
        <v>1175</v>
      </c>
      <c r="C109" s="851"/>
      <c r="D109" s="878"/>
      <c r="E109" s="887">
        <f>(E110-D110)/D110</f>
        <v>5.6304998195541127E-2</v>
      </c>
      <c r="F109" s="887">
        <f>(F110-E110)/E110</f>
        <v>3.3539015243872768E-2</v>
      </c>
      <c r="G109" s="887">
        <f>(G110-F110)/F110</f>
        <v>4.2864734533569947E-2</v>
      </c>
      <c r="H109" s="887">
        <f>(H110-G110)/G110</f>
        <v>2.73759567602842E-2</v>
      </c>
    </row>
    <row r="110" spans="1:10" ht="12.75" customHeight="1" x14ac:dyDescent="0.25">
      <c r="A110" s="1337" t="s">
        <v>1176</v>
      </c>
      <c r="B110" s="1338"/>
      <c r="C110" s="1339">
        <v>-14450315</v>
      </c>
      <c r="D110" s="1339">
        <v>-14450315</v>
      </c>
      <c r="E110" s="1339">
        <f>-'Rates Revenue Analysis'!C17</f>
        <v>-15263939.960000001</v>
      </c>
      <c r="F110" s="1339">
        <f>-'Rates Revenue Analysis'!D17</f>
        <v>-15775877.475</v>
      </c>
      <c r="G110" s="1339">
        <f>-'Rates Revenue Analysis'!E17</f>
        <v>-16452106.275</v>
      </c>
      <c r="H110" s="1339">
        <f>-'Rates Revenue Analysis'!F17</f>
        <v>-16902498.425000001</v>
      </c>
      <c r="I110" s="1338" t="s">
        <v>1401</v>
      </c>
      <c r="J110" s="803" t="s">
        <v>1421</v>
      </c>
    </row>
    <row r="111" spans="1:10" ht="12.75" customHeight="1" x14ac:dyDescent="0.25">
      <c r="A111" s="852" t="s">
        <v>12</v>
      </c>
      <c r="C111" s="853">
        <v>-6434666</v>
      </c>
      <c r="D111" s="879">
        <v>-6444666</v>
      </c>
      <c r="E111" s="853">
        <v>-6694225</v>
      </c>
      <c r="F111" s="853">
        <v>-6785000</v>
      </c>
      <c r="G111" s="853">
        <v>-6903593</v>
      </c>
      <c r="H111" s="853">
        <v>-7069659</v>
      </c>
    </row>
    <row r="112" spans="1:10" ht="12.75" customHeight="1" x14ac:dyDescent="0.25">
      <c r="A112" s="852" t="s">
        <v>1177</v>
      </c>
      <c r="C112" s="853">
        <v>-931500</v>
      </c>
      <c r="D112" s="879">
        <v>-945000</v>
      </c>
      <c r="E112" s="853">
        <v>-938209</v>
      </c>
      <c r="F112" s="853">
        <v>-947193</v>
      </c>
      <c r="G112" s="853">
        <v>-956889</v>
      </c>
      <c r="H112" s="853">
        <v>-965433</v>
      </c>
    </row>
    <row r="113" spans="1:8" ht="12.75" customHeight="1" x14ac:dyDescent="0.25">
      <c r="A113" s="852" t="s">
        <v>1178</v>
      </c>
      <c r="C113" s="853">
        <v>-2424537</v>
      </c>
      <c r="D113" s="879">
        <v>-2552776</v>
      </c>
      <c r="E113" s="853">
        <v>-2409788</v>
      </c>
      <c r="F113" s="853">
        <v>-2463804</v>
      </c>
      <c r="G113" s="853">
        <v>-2520379</v>
      </c>
      <c r="H113" s="853">
        <v>-2578016</v>
      </c>
    </row>
    <row r="114" spans="1:8" ht="12.75" customHeight="1" x14ac:dyDescent="0.25">
      <c r="A114" s="852" t="s">
        <v>1179</v>
      </c>
      <c r="C114" s="853">
        <v>-6174744</v>
      </c>
      <c r="D114" s="879">
        <v>-6297128</v>
      </c>
      <c r="E114" s="853">
        <v>-5230889</v>
      </c>
      <c r="F114" s="853">
        <v>-5322951</v>
      </c>
      <c r="G114" s="853">
        <v>-5414701</v>
      </c>
      <c r="H114" s="853">
        <v>-5508300</v>
      </c>
    </row>
    <row r="115" spans="1:8" ht="12.75" customHeight="1" x14ac:dyDescent="0.25">
      <c r="A115" s="852" t="s">
        <v>1180</v>
      </c>
      <c r="C115" s="853">
        <v>-4783353</v>
      </c>
      <c r="D115" s="879">
        <v>-6010476</v>
      </c>
      <c r="E115" s="853">
        <v>-5059852</v>
      </c>
      <c r="F115" s="853">
        <v>-5239623</v>
      </c>
      <c r="G115" s="853">
        <v>-5419178</v>
      </c>
      <c r="H115" s="853">
        <v>-5456519</v>
      </c>
    </row>
    <row r="116" spans="1:8" x14ac:dyDescent="0.25">
      <c r="C116" s="854"/>
      <c r="D116" s="880"/>
      <c r="E116" s="854"/>
      <c r="F116" s="854"/>
      <c r="G116" s="854"/>
      <c r="H116" s="854"/>
    </row>
    <row r="117" spans="1:8" x14ac:dyDescent="0.25">
      <c r="A117" s="849" t="s">
        <v>1181</v>
      </c>
      <c r="C117" s="855">
        <f t="shared" ref="C117:H117" si="9">SUM(C110:C116)</f>
        <v>-35199115</v>
      </c>
      <c r="D117" s="881">
        <f t="shared" si="9"/>
        <v>-36700361</v>
      </c>
      <c r="E117" s="855">
        <f t="shared" si="9"/>
        <v>-35596902.960000001</v>
      </c>
      <c r="F117" s="855">
        <f t="shared" si="9"/>
        <v>-36534448.475000001</v>
      </c>
      <c r="G117" s="855">
        <f t="shared" si="9"/>
        <v>-37666846.274999999</v>
      </c>
      <c r="H117" s="855">
        <f t="shared" si="9"/>
        <v>-38480425.424999997</v>
      </c>
    </row>
    <row r="118" spans="1:8" x14ac:dyDescent="0.25">
      <c r="C118" s="853"/>
      <c r="D118" s="879"/>
      <c r="E118" s="853"/>
      <c r="F118" s="853"/>
      <c r="G118" s="853"/>
      <c r="H118" s="853"/>
    </row>
    <row r="119" spans="1:8" ht="26.4" x14ac:dyDescent="0.25">
      <c r="C119" s="850" t="s">
        <v>1168</v>
      </c>
      <c r="D119" s="877" t="s">
        <v>1169</v>
      </c>
      <c r="E119" s="850" t="s">
        <v>1170</v>
      </c>
      <c r="F119" s="851" t="s">
        <v>1172</v>
      </c>
      <c r="G119" s="851" t="s">
        <v>1173</v>
      </c>
      <c r="H119" s="851" t="s">
        <v>1174</v>
      </c>
    </row>
    <row r="120" spans="1:8" x14ac:dyDescent="0.25">
      <c r="A120" s="849" t="s">
        <v>925</v>
      </c>
      <c r="C120" s="851"/>
      <c r="D120" s="878"/>
      <c r="E120" s="851"/>
      <c r="F120" s="851"/>
      <c r="G120" s="851"/>
      <c r="H120" s="851"/>
    </row>
    <row r="121" spans="1:8" ht="12.75" customHeight="1" x14ac:dyDescent="0.25">
      <c r="A121" s="852" t="s">
        <v>1182</v>
      </c>
      <c r="C121" s="853">
        <v>11231316</v>
      </c>
      <c r="D121" s="879">
        <v>11427663</v>
      </c>
      <c r="E121" s="853">
        <v>11563034</v>
      </c>
      <c r="F121" s="853">
        <v>11981640</v>
      </c>
      <c r="G121" s="853">
        <v>12314493</v>
      </c>
      <c r="H121" s="853">
        <v>12673002</v>
      </c>
    </row>
    <row r="122" spans="1:8" ht="12.75" customHeight="1" x14ac:dyDescent="0.25">
      <c r="A122" s="852" t="s">
        <v>27</v>
      </c>
      <c r="C122" s="853">
        <v>10912698</v>
      </c>
      <c r="D122" s="879">
        <v>12164705</v>
      </c>
      <c r="E122" s="853">
        <v>12097192</v>
      </c>
      <c r="F122" s="853">
        <v>12434807</v>
      </c>
      <c r="G122" s="853">
        <v>12721978</v>
      </c>
      <c r="H122" s="853">
        <v>13020086</v>
      </c>
    </row>
    <row r="123" spans="1:8" ht="12.75" customHeight="1" x14ac:dyDescent="0.25">
      <c r="A123" s="852" t="s">
        <v>1183</v>
      </c>
      <c r="C123" s="853">
        <v>2286850</v>
      </c>
      <c r="D123" s="879">
        <v>2333742</v>
      </c>
      <c r="E123" s="853">
        <v>2395631</v>
      </c>
      <c r="F123" s="853">
        <v>2446074</v>
      </c>
      <c r="G123" s="853">
        <v>2498007</v>
      </c>
      <c r="H123" s="853">
        <v>2561640</v>
      </c>
    </row>
    <row r="124" spans="1:8" ht="12.75" customHeight="1" x14ac:dyDescent="0.25">
      <c r="A124" s="852" t="s">
        <v>926</v>
      </c>
      <c r="C124" s="853">
        <v>592127</v>
      </c>
      <c r="D124" s="879">
        <v>592127</v>
      </c>
      <c r="E124" s="853">
        <v>588937</v>
      </c>
      <c r="F124" s="853">
        <v>586087</v>
      </c>
      <c r="G124" s="853">
        <v>583331</v>
      </c>
      <c r="H124" s="853">
        <v>580354</v>
      </c>
    </row>
    <row r="125" spans="1:8" ht="12.75" customHeight="1" x14ac:dyDescent="0.25">
      <c r="A125" s="852" t="s">
        <v>1077</v>
      </c>
      <c r="C125" s="853">
        <v>1763353</v>
      </c>
      <c r="D125" s="879">
        <v>1763353</v>
      </c>
      <c r="E125" s="853">
        <v>1835177</v>
      </c>
      <c r="F125" s="853">
        <v>1869220</v>
      </c>
      <c r="G125" s="853">
        <v>1904465</v>
      </c>
      <c r="H125" s="853">
        <v>1940571</v>
      </c>
    </row>
    <row r="126" spans="1:8" ht="12.75" customHeight="1" x14ac:dyDescent="0.25">
      <c r="A126" s="852" t="s">
        <v>584</v>
      </c>
      <c r="C126" s="853">
        <v>8510646</v>
      </c>
      <c r="D126" s="879">
        <v>8510646</v>
      </c>
      <c r="E126" s="853">
        <v>7355778</v>
      </c>
      <c r="F126" s="853">
        <v>7537786</v>
      </c>
      <c r="G126" s="853">
        <v>7724289</v>
      </c>
      <c r="H126" s="853">
        <v>7915435</v>
      </c>
    </row>
    <row r="127" spans="1:8" x14ac:dyDescent="0.25">
      <c r="C127" s="854"/>
      <c r="D127" s="880"/>
      <c r="E127" s="854"/>
      <c r="F127" s="854"/>
      <c r="G127" s="854"/>
      <c r="H127" s="854"/>
    </row>
    <row r="128" spans="1:8" x14ac:dyDescent="0.25">
      <c r="A128" s="849" t="s">
        <v>1184</v>
      </c>
      <c r="C128" s="855">
        <f t="shared" ref="C128:H128" si="10">SUM(C121:C127)</f>
        <v>35296990</v>
      </c>
      <c r="D128" s="881">
        <f t="shared" si="10"/>
        <v>36792236</v>
      </c>
      <c r="E128" s="855">
        <f t="shared" si="10"/>
        <v>35835749</v>
      </c>
      <c r="F128" s="855">
        <f t="shared" si="10"/>
        <v>36855614</v>
      </c>
      <c r="G128" s="855">
        <f t="shared" si="10"/>
        <v>37746563</v>
      </c>
      <c r="H128" s="855">
        <f t="shared" si="10"/>
        <v>38691088</v>
      </c>
    </row>
    <row r="129" spans="1:9" x14ac:dyDescent="0.25">
      <c r="C129" s="854"/>
      <c r="D129" s="880"/>
      <c r="E129" s="854"/>
      <c r="F129" s="854"/>
      <c r="G129" s="854"/>
      <c r="H129" s="854"/>
    </row>
    <row r="130" spans="1:9" x14ac:dyDescent="0.25">
      <c r="A130" s="849" t="s">
        <v>1185</v>
      </c>
      <c r="C130" s="855">
        <f t="shared" ref="C130:H130" si="11">C117+C128</f>
        <v>97875</v>
      </c>
      <c r="D130" s="881">
        <f t="shared" si="11"/>
        <v>91875</v>
      </c>
      <c r="E130" s="855">
        <f t="shared" si="11"/>
        <v>238846.03999999911</v>
      </c>
      <c r="F130" s="855">
        <f t="shared" si="11"/>
        <v>321165.52499999851</v>
      </c>
      <c r="G130" s="855">
        <f t="shared" si="11"/>
        <v>79716.72500000149</v>
      </c>
      <c r="H130" s="855">
        <f t="shared" si="11"/>
        <v>210662.57500000298</v>
      </c>
    </row>
    <row r="131" spans="1:9" x14ac:dyDescent="0.25">
      <c r="A131" s="849"/>
      <c r="C131" s="855"/>
      <c r="D131" s="881"/>
      <c r="E131" s="855"/>
      <c r="F131" s="855"/>
      <c r="G131" s="855"/>
      <c r="H131" s="855"/>
    </row>
    <row r="132" spans="1:9" x14ac:dyDescent="0.25">
      <c r="A132" s="849"/>
      <c r="C132" s="855"/>
      <c r="D132" s="881"/>
      <c r="E132" s="855"/>
      <c r="F132" s="855"/>
      <c r="G132" s="855"/>
      <c r="H132" s="855"/>
    </row>
    <row r="133" spans="1:9" x14ac:dyDescent="0.25">
      <c r="A133" s="849"/>
      <c r="C133" s="855"/>
      <c r="D133" s="881"/>
      <c r="E133" s="855"/>
      <c r="F133" s="855"/>
      <c r="G133" s="855"/>
      <c r="H133" s="855"/>
    </row>
    <row r="134" spans="1:9" x14ac:dyDescent="0.25">
      <c r="A134" s="849" t="s">
        <v>1164</v>
      </c>
      <c r="B134" s="849" t="s">
        <v>1189</v>
      </c>
    </row>
    <row r="135" spans="1:9" x14ac:dyDescent="0.25">
      <c r="A135" s="849" t="s">
        <v>1166</v>
      </c>
      <c r="B135" s="849" t="s">
        <v>1190</v>
      </c>
      <c r="F135" s="803" t="s">
        <v>1492</v>
      </c>
    </row>
    <row r="136" spans="1:9" x14ac:dyDescent="0.25">
      <c r="B136" s="852" t="s">
        <v>12</v>
      </c>
      <c r="F136" s="1333">
        <v>-3097543</v>
      </c>
      <c r="G136" s="1333">
        <v>-3174733</v>
      </c>
      <c r="H136" s="1333">
        <v>-3254153</v>
      </c>
      <c r="I136" s="1226" t="s">
        <v>1390</v>
      </c>
    </row>
    <row r="137" spans="1:9" ht="26.4" x14ac:dyDescent="0.25">
      <c r="C137" s="850" t="s">
        <v>1168</v>
      </c>
      <c r="D137" s="877" t="s">
        <v>1169</v>
      </c>
      <c r="E137" s="850" t="s">
        <v>1170</v>
      </c>
      <c r="F137" s="851" t="s">
        <v>1172</v>
      </c>
      <c r="G137" s="851" t="s">
        <v>1173</v>
      </c>
      <c r="H137" s="851" t="s">
        <v>1174</v>
      </c>
    </row>
    <row r="138" spans="1:9" x14ac:dyDescent="0.25">
      <c r="A138" s="849" t="s">
        <v>1175</v>
      </c>
      <c r="C138" s="851"/>
      <c r="D138" s="878"/>
      <c r="E138" s="851"/>
      <c r="F138" s="851"/>
      <c r="G138" s="851"/>
      <c r="H138" s="851"/>
    </row>
    <row r="139" spans="1:9" x14ac:dyDescent="0.25">
      <c r="A139" s="852" t="s">
        <v>12</v>
      </c>
      <c r="C139" s="853">
        <v>-3052303</v>
      </c>
      <c r="D139" s="879">
        <v>-3062303</v>
      </c>
      <c r="E139" s="853">
        <v>-3203300</v>
      </c>
      <c r="F139" s="1333">
        <f>-3283000</f>
        <v>-3283000</v>
      </c>
      <c r="G139" s="1333">
        <f>F139*(1+'LTFP Assumptions'!$H12)</f>
        <v>-3348660</v>
      </c>
      <c r="H139" s="1333">
        <f>G139*(1+'LTFP Assumptions'!$H12)</f>
        <v>-3415633.2</v>
      </c>
      <c r="I139" s="803" t="s">
        <v>1390</v>
      </c>
    </row>
    <row r="140" spans="1:9" x14ac:dyDescent="0.25">
      <c r="C140" s="854"/>
      <c r="D140" s="880"/>
      <c r="E140" s="854"/>
      <c r="F140" s="854"/>
      <c r="G140" s="854"/>
      <c r="H140" s="854"/>
    </row>
    <row r="141" spans="1:9" x14ac:dyDescent="0.25">
      <c r="A141" s="849" t="s">
        <v>1181</v>
      </c>
      <c r="C141" s="855">
        <f t="shared" ref="C141:H141" si="12">SUM(C139:C140)</f>
        <v>-3052303</v>
      </c>
      <c r="D141" s="881">
        <f t="shared" si="12"/>
        <v>-3062303</v>
      </c>
      <c r="E141" s="855">
        <f t="shared" si="12"/>
        <v>-3203300</v>
      </c>
      <c r="F141" s="855">
        <f t="shared" si="12"/>
        <v>-3283000</v>
      </c>
      <c r="G141" s="855">
        <f t="shared" si="12"/>
        <v>-3348660</v>
      </c>
      <c r="H141" s="855">
        <f t="shared" si="12"/>
        <v>-3415633.2</v>
      </c>
    </row>
    <row r="142" spans="1:9" x14ac:dyDescent="0.25">
      <c r="B142" s="852" t="s">
        <v>926</v>
      </c>
      <c r="C142" s="853"/>
      <c r="D142" s="879"/>
      <c r="E142" s="853"/>
      <c r="F142" s="1333">
        <v>834235</v>
      </c>
      <c r="G142" s="1333">
        <v>784235</v>
      </c>
      <c r="H142" s="1333">
        <v>734235</v>
      </c>
      <c r="I142" s="1226" t="s">
        <v>1390</v>
      </c>
    </row>
    <row r="143" spans="1:9" ht="26.4" x14ac:dyDescent="0.25">
      <c r="C143" s="850" t="s">
        <v>1168</v>
      </c>
      <c r="D143" s="877" t="s">
        <v>1169</v>
      </c>
      <c r="E143" s="850" t="s">
        <v>1170</v>
      </c>
      <c r="F143" s="851" t="s">
        <v>1172</v>
      </c>
      <c r="G143" s="851" t="s">
        <v>1173</v>
      </c>
      <c r="H143" s="851" t="s">
        <v>1174</v>
      </c>
    </row>
    <row r="144" spans="1:9" x14ac:dyDescent="0.25">
      <c r="A144" s="849" t="s">
        <v>925</v>
      </c>
      <c r="C144" s="851"/>
      <c r="D144" s="878"/>
      <c r="E144" s="851"/>
      <c r="F144" s="851"/>
      <c r="G144" s="851"/>
      <c r="H144" s="851"/>
    </row>
    <row r="145" spans="1:9" ht="12.75" customHeight="1" x14ac:dyDescent="0.25">
      <c r="A145" s="852" t="s">
        <v>1182</v>
      </c>
      <c r="C145" s="853">
        <v>80000</v>
      </c>
      <c r="D145" s="879">
        <v>80000</v>
      </c>
      <c r="E145" s="853">
        <v>81424</v>
      </c>
      <c r="F145" s="853">
        <v>83866</v>
      </c>
      <c r="G145" s="853">
        <v>86382</v>
      </c>
      <c r="H145" s="853">
        <v>88974</v>
      </c>
    </row>
    <row r="146" spans="1:9" ht="12.75" customHeight="1" x14ac:dyDescent="0.25">
      <c r="A146" s="852" t="s">
        <v>27</v>
      </c>
      <c r="C146" s="853">
        <v>577150</v>
      </c>
      <c r="D146" s="879">
        <v>570800</v>
      </c>
      <c r="E146" s="853">
        <v>563575</v>
      </c>
      <c r="F146" s="853">
        <v>545531</v>
      </c>
      <c r="G146" s="853">
        <v>556716</v>
      </c>
      <c r="H146" s="853">
        <v>568158</v>
      </c>
    </row>
    <row r="147" spans="1:9" ht="12.75" customHeight="1" x14ac:dyDescent="0.25">
      <c r="A147" s="852" t="s">
        <v>1183</v>
      </c>
      <c r="C147" s="853">
        <v>359043</v>
      </c>
      <c r="D147" s="879">
        <v>375393</v>
      </c>
      <c r="E147" s="853">
        <v>379600</v>
      </c>
      <c r="F147" s="853">
        <v>379696</v>
      </c>
      <c r="G147" s="853">
        <v>387221</v>
      </c>
      <c r="H147" s="853">
        <v>394903</v>
      </c>
    </row>
    <row r="148" spans="1:9" ht="12.75" customHeight="1" x14ac:dyDescent="0.25">
      <c r="A148" s="852" t="s">
        <v>926</v>
      </c>
      <c r="C148" s="853">
        <v>908235</v>
      </c>
      <c r="D148" s="879">
        <v>908235</v>
      </c>
      <c r="E148" s="853">
        <v>908235</v>
      </c>
      <c r="F148" s="1333">
        <v>908000</v>
      </c>
      <c r="G148" s="1333">
        <v>908000</v>
      </c>
      <c r="H148" s="1333">
        <v>908000</v>
      </c>
      <c r="I148" s="1226" t="s">
        <v>1390</v>
      </c>
    </row>
    <row r="149" spans="1:9" ht="12.75" customHeight="1" x14ac:dyDescent="0.25">
      <c r="A149" s="852" t="s">
        <v>1077</v>
      </c>
      <c r="C149" s="853">
        <v>1000000</v>
      </c>
      <c r="D149" s="879">
        <v>1000000</v>
      </c>
      <c r="E149" s="853">
        <v>1100000</v>
      </c>
      <c r="F149" s="853">
        <v>1200000</v>
      </c>
      <c r="G149" s="853">
        <v>1300000</v>
      </c>
      <c r="H149" s="853">
        <v>1400000</v>
      </c>
    </row>
    <row r="150" spans="1:9" ht="12.75" customHeight="1" x14ac:dyDescent="0.25">
      <c r="A150" s="852" t="s">
        <v>584</v>
      </c>
      <c r="C150" s="853">
        <v>0</v>
      </c>
      <c r="D150" s="879">
        <v>0</v>
      </c>
      <c r="E150" s="853">
        <v>269687</v>
      </c>
      <c r="F150" s="853">
        <v>275995</v>
      </c>
      <c r="G150" s="853">
        <v>280655</v>
      </c>
      <c r="H150" s="853">
        <v>289069</v>
      </c>
    </row>
    <row r="151" spans="1:9" x14ac:dyDescent="0.25">
      <c r="C151" s="854"/>
      <c r="D151" s="880"/>
      <c r="E151" s="854"/>
      <c r="F151" s="854"/>
      <c r="G151" s="854"/>
      <c r="H151" s="854"/>
    </row>
    <row r="152" spans="1:9" x14ac:dyDescent="0.25">
      <c r="A152" s="849" t="s">
        <v>1184</v>
      </c>
      <c r="C152" s="855">
        <f t="shared" ref="C152:H152" si="13">SUM(C145:C151)</f>
        <v>2924428</v>
      </c>
      <c r="D152" s="881">
        <f t="shared" si="13"/>
        <v>2934428</v>
      </c>
      <c r="E152" s="855">
        <f t="shared" si="13"/>
        <v>3302521</v>
      </c>
      <c r="F152" s="855">
        <f t="shared" si="13"/>
        <v>3393088</v>
      </c>
      <c r="G152" s="855">
        <f t="shared" si="13"/>
        <v>3518974</v>
      </c>
      <c r="H152" s="855">
        <f t="shared" si="13"/>
        <v>3649104</v>
      </c>
    </row>
    <row r="153" spans="1:9" x14ac:dyDescent="0.25">
      <c r="C153" s="854"/>
      <c r="D153" s="880"/>
      <c r="E153" s="854"/>
      <c r="F153" s="854"/>
      <c r="G153" s="854"/>
      <c r="H153" s="854"/>
    </row>
    <row r="154" spans="1:9" x14ac:dyDescent="0.25">
      <c r="A154" s="849" t="s">
        <v>1185</v>
      </c>
      <c r="C154" s="855">
        <f t="shared" ref="C154:H154" si="14">C141+C152</f>
        <v>-127875</v>
      </c>
      <c r="D154" s="881">
        <f t="shared" si="14"/>
        <v>-127875</v>
      </c>
      <c r="E154" s="855">
        <f t="shared" si="14"/>
        <v>99221</v>
      </c>
      <c r="F154" s="855">
        <f t="shared" si="14"/>
        <v>110088</v>
      </c>
      <c r="G154" s="855">
        <f t="shared" si="14"/>
        <v>170314</v>
      </c>
      <c r="H154" s="855">
        <f t="shared" si="14"/>
        <v>233470.79999999981</v>
      </c>
    </row>
    <row r="157" spans="1:9" s="1118" customFormat="1" x14ac:dyDescent="0.25">
      <c r="A157" s="1129"/>
      <c r="B157" s="1129"/>
      <c r="C157" s="1129"/>
      <c r="D157" s="1128"/>
      <c r="E157" s="1129"/>
      <c r="F157" s="1129"/>
      <c r="G157" s="1129"/>
      <c r="H157" s="1129"/>
    </row>
    <row r="158" spans="1:9" s="1118" customFormat="1" x14ac:dyDescent="0.25">
      <c r="A158" s="1146" t="s">
        <v>1163</v>
      </c>
      <c r="B158" s="1146"/>
      <c r="C158" s="1146"/>
      <c r="D158" s="1146"/>
      <c r="E158" s="1146"/>
      <c r="F158" s="1146"/>
      <c r="G158" s="1146"/>
      <c r="H158" s="1146"/>
    </row>
    <row r="159" spans="1:9" s="1118" customFormat="1" x14ac:dyDescent="0.25">
      <c r="A159" s="1147" t="s">
        <v>1369</v>
      </c>
      <c r="B159" s="1147"/>
      <c r="C159" s="1147"/>
      <c r="D159" s="1147"/>
      <c r="E159" s="1147"/>
      <c r="F159" s="1147"/>
      <c r="G159" s="1147"/>
      <c r="H159" s="1147"/>
    </row>
    <row r="160" spans="1:9" s="1118" customFormat="1" x14ac:dyDescent="0.25">
      <c r="A160" s="1128"/>
      <c r="B160" s="1128"/>
      <c r="C160" s="1128"/>
      <c r="D160" s="1144"/>
      <c r="E160" s="1128"/>
      <c r="F160" s="1128"/>
      <c r="G160" s="1128"/>
      <c r="H160" s="1128"/>
    </row>
    <row r="161" spans="1:8" s="1118" customFormat="1" x14ac:dyDescent="0.25">
      <c r="A161" s="1132" t="s">
        <v>1164</v>
      </c>
      <c r="B161" s="1132" t="s">
        <v>1366</v>
      </c>
      <c r="C161" s="1128"/>
      <c r="D161" s="1144"/>
      <c r="E161" s="1128"/>
      <c r="F161" s="1128"/>
      <c r="G161" s="1128"/>
      <c r="H161" s="1128"/>
    </row>
    <row r="162" spans="1:8" s="1118" customFormat="1" x14ac:dyDescent="0.25">
      <c r="A162" s="1132" t="s">
        <v>1367</v>
      </c>
      <c r="B162" s="1132" t="s">
        <v>1241</v>
      </c>
      <c r="C162" s="1128"/>
      <c r="D162" s="1144"/>
      <c r="E162" s="1128"/>
      <c r="F162" s="1128"/>
      <c r="G162" s="1128"/>
      <c r="H162" s="1128"/>
    </row>
    <row r="163" spans="1:8" s="1118" customFormat="1" x14ac:dyDescent="0.25">
      <c r="A163" s="1132" t="s">
        <v>1166</v>
      </c>
      <c r="B163" s="1132" t="s">
        <v>1241</v>
      </c>
      <c r="C163" s="1128"/>
      <c r="D163" s="1144"/>
      <c r="E163" s="1128"/>
      <c r="F163" s="1128"/>
      <c r="G163" s="1128"/>
      <c r="H163" s="1128"/>
    </row>
    <row r="164" spans="1:8" s="1118" customFormat="1" x14ac:dyDescent="0.25">
      <c r="A164" s="1131"/>
      <c r="B164" s="1129"/>
      <c r="C164" s="1134"/>
      <c r="D164" s="1134"/>
      <c r="E164" s="1134"/>
      <c r="F164" s="1134"/>
      <c r="G164" s="1134"/>
      <c r="H164" s="1134"/>
    </row>
    <row r="165" spans="1:8" s="1118" customFormat="1" ht="26.4" x14ac:dyDescent="0.25">
      <c r="A165" s="1128"/>
      <c r="B165" s="1128"/>
      <c r="C165" s="1136" t="s">
        <v>1168</v>
      </c>
      <c r="D165" s="1136" t="s">
        <v>1169</v>
      </c>
      <c r="E165" s="1136" t="s">
        <v>1170</v>
      </c>
      <c r="F165" s="1133" t="s">
        <v>1172</v>
      </c>
      <c r="G165" s="1133" t="s">
        <v>1173</v>
      </c>
      <c r="H165" s="1133" t="s">
        <v>1174</v>
      </c>
    </row>
    <row r="166" spans="1:8" s="1118" customFormat="1" x14ac:dyDescent="0.25">
      <c r="A166" s="1132" t="s">
        <v>1175</v>
      </c>
      <c r="B166" s="1128"/>
      <c r="C166" s="1133"/>
      <c r="D166" s="1133"/>
      <c r="E166" s="1133"/>
      <c r="F166" s="1133"/>
      <c r="G166" s="1133"/>
      <c r="H166" s="1133"/>
    </row>
    <row r="167" spans="1:8" s="1118" customFormat="1" x14ac:dyDescent="0.25">
      <c r="A167" s="1131" t="s">
        <v>1176</v>
      </c>
      <c r="B167" s="1128"/>
      <c r="C167" s="1134">
        <v>-1580000</v>
      </c>
      <c r="D167" s="1134">
        <v>-1580000</v>
      </c>
      <c r="E167" s="1134">
        <v>-1485000</v>
      </c>
      <c r="F167" s="1134">
        <v>-1498365</v>
      </c>
      <c r="G167" s="1134">
        <v>-1511850</v>
      </c>
      <c r="H167" s="1134">
        <v>-1525456</v>
      </c>
    </row>
    <row r="168" spans="1:8" s="1118" customFormat="1" x14ac:dyDescent="0.25">
      <c r="A168" s="1131" t="s">
        <v>12</v>
      </c>
      <c r="B168" s="1128"/>
      <c r="C168" s="1134">
        <v>-3719150</v>
      </c>
      <c r="D168" s="1134">
        <v>-3719150</v>
      </c>
      <c r="E168" s="1134">
        <v>-3922375</v>
      </c>
      <c r="F168" s="1134">
        <v>-4115482</v>
      </c>
      <c r="G168" s="1134">
        <v>-4318173</v>
      </c>
      <c r="H168" s="1134">
        <v>-4530943</v>
      </c>
    </row>
    <row r="169" spans="1:8" s="1118" customFormat="1" x14ac:dyDescent="0.25">
      <c r="A169" s="1131" t="s">
        <v>1177</v>
      </c>
      <c r="B169" s="1128"/>
      <c r="C169" s="1134">
        <v>-868000</v>
      </c>
      <c r="D169" s="1134">
        <v>-868000</v>
      </c>
      <c r="E169" s="1134">
        <v>-819000</v>
      </c>
      <c r="F169" s="1134">
        <v>-739620</v>
      </c>
      <c r="G169" s="1134">
        <v>-740552</v>
      </c>
      <c r="H169" s="1134">
        <v>-740897</v>
      </c>
    </row>
    <row r="170" spans="1:8" s="1118" customFormat="1" x14ac:dyDescent="0.25">
      <c r="A170" s="1131" t="s">
        <v>1179</v>
      </c>
      <c r="B170" s="1128"/>
      <c r="C170" s="1134">
        <v>-38500</v>
      </c>
      <c r="D170" s="1134">
        <v>-38500</v>
      </c>
      <c r="E170" s="1134">
        <v>-34500</v>
      </c>
      <c r="F170" s="1134">
        <v>-35190</v>
      </c>
      <c r="G170" s="1134">
        <v>-35893</v>
      </c>
      <c r="H170" s="1134">
        <v>-36611</v>
      </c>
    </row>
    <row r="171" spans="1:8" s="1118" customFormat="1" x14ac:dyDescent="0.25">
      <c r="A171" s="1128"/>
      <c r="B171" s="1128"/>
      <c r="C171" s="1145"/>
      <c r="D171" s="1145"/>
      <c r="E171" s="1145"/>
      <c r="F171" s="1145"/>
      <c r="G171" s="1145"/>
      <c r="H171" s="1145"/>
    </row>
    <row r="172" spans="1:8" s="1118" customFormat="1" x14ac:dyDescent="0.25">
      <c r="A172" s="1132" t="s">
        <v>1181</v>
      </c>
      <c r="B172" s="1128"/>
      <c r="C172" s="1135">
        <v>-6205650</v>
      </c>
      <c r="D172" s="1135">
        <v>-6205650</v>
      </c>
      <c r="E172" s="1135">
        <v>-6260875</v>
      </c>
      <c r="F172" s="1135">
        <v>-6388657</v>
      </c>
      <c r="G172" s="1135">
        <v>-6606468</v>
      </c>
      <c r="H172" s="1135">
        <v>-6833907</v>
      </c>
    </row>
    <row r="173" spans="1:8" s="1118" customFormat="1" x14ac:dyDescent="0.25">
      <c r="A173" s="1132"/>
      <c r="B173" s="1128"/>
      <c r="C173" s="1135"/>
      <c r="D173" s="1135"/>
      <c r="E173" s="1135"/>
      <c r="F173" s="1135"/>
      <c r="G173" s="1135"/>
      <c r="H173" s="1135"/>
    </row>
    <row r="174" spans="1:8" s="1118" customFormat="1" x14ac:dyDescent="0.25">
      <c r="A174" s="1132"/>
      <c r="B174" s="1128"/>
      <c r="C174" s="1135"/>
      <c r="D174" s="1135"/>
      <c r="E174" s="1135"/>
      <c r="F174" s="1135"/>
      <c r="G174" s="1135"/>
      <c r="H174" s="1135"/>
    </row>
    <row r="175" spans="1:8" s="1118" customFormat="1" x14ac:dyDescent="0.25">
      <c r="A175" s="1128"/>
      <c r="B175" s="1128"/>
      <c r="C175" s="1134"/>
      <c r="D175" s="1134"/>
      <c r="E175" s="1134"/>
      <c r="F175" s="1134"/>
      <c r="G175" s="1134"/>
      <c r="H175" s="1134"/>
    </row>
    <row r="176" spans="1:8" s="1118" customFormat="1" ht="26.4" x14ac:dyDescent="0.25">
      <c r="A176" s="1128"/>
      <c r="B176" s="1128"/>
      <c r="C176" s="1136" t="s">
        <v>1168</v>
      </c>
      <c r="D176" s="1136" t="s">
        <v>1169</v>
      </c>
      <c r="E176" s="1136" t="s">
        <v>1170</v>
      </c>
      <c r="F176" s="1133" t="s">
        <v>1172</v>
      </c>
      <c r="G176" s="1133" t="s">
        <v>1173</v>
      </c>
      <c r="H176" s="1133" t="s">
        <v>1174</v>
      </c>
    </row>
    <row r="177" spans="1:8" s="1118" customFormat="1" x14ac:dyDescent="0.25">
      <c r="A177" s="1132" t="s">
        <v>925</v>
      </c>
      <c r="B177" s="1128"/>
      <c r="C177" s="1133"/>
      <c r="D177" s="1133"/>
      <c r="E177" s="1133"/>
      <c r="F177" s="1133"/>
      <c r="G177" s="1133"/>
      <c r="H177" s="1133"/>
    </row>
    <row r="178" spans="1:8" s="1118" customFormat="1" x14ac:dyDescent="0.25">
      <c r="A178" s="1131" t="s">
        <v>1182</v>
      </c>
      <c r="B178" s="1128"/>
      <c r="C178" s="1134">
        <v>977890</v>
      </c>
      <c r="D178" s="1134">
        <v>977890</v>
      </c>
      <c r="E178" s="1134">
        <v>1129550</v>
      </c>
      <c r="F178" s="1134">
        <v>1172491</v>
      </c>
      <c r="G178" s="1134">
        <v>1217242</v>
      </c>
      <c r="H178" s="1134">
        <v>1263922</v>
      </c>
    </row>
    <row r="179" spans="1:8" s="1118" customFormat="1" x14ac:dyDescent="0.25">
      <c r="A179" s="1131" t="s">
        <v>27</v>
      </c>
      <c r="B179" s="1128"/>
      <c r="C179" s="1134">
        <v>1785200</v>
      </c>
      <c r="D179" s="1134">
        <v>1785200</v>
      </c>
      <c r="E179" s="1134">
        <v>1589600</v>
      </c>
      <c r="F179" s="1134">
        <v>1632152</v>
      </c>
      <c r="G179" s="1134">
        <v>1676305</v>
      </c>
      <c r="H179" s="1134">
        <v>1722162</v>
      </c>
    </row>
    <row r="180" spans="1:8" s="1118" customFormat="1" x14ac:dyDescent="0.25">
      <c r="A180" s="1131" t="s">
        <v>1183</v>
      </c>
      <c r="B180" s="1128"/>
      <c r="C180" s="1134">
        <v>348000</v>
      </c>
      <c r="D180" s="1134">
        <v>348000</v>
      </c>
      <c r="E180" s="1134">
        <v>302500</v>
      </c>
      <c r="F180" s="1134">
        <v>315810</v>
      </c>
      <c r="G180" s="1134">
        <v>329811</v>
      </c>
      <c r="H180" s="1134">
        <v>344552</v>
      </c>
    </row>
    <row r="181" spans="1:8" s="1118" customFormat="1" x14ac:dyDescent="0.25">
      <c r="A181" s="1131" t="s">
        <v>926</v>
      </c>
      <c r="B181" s="1128"/>
      <c r="C181" s="1134">
        <v>161286</v>
      </c>
      <c r="D181" s="1134">
        <v>161286</v>
      </c>
      <c r="E181" s="1134">
        <v>144540</v>
      </c>
      <c r="F181" s="1134">
        <v>120660</v>
      </c>
      <c r="G181" s="1134">
        <v>102289</v>
      </c>
      <c r="H181" s="1134">
        <v>81014</v>
      </c>
    </row>
    <row r="182" spans="1:8" s="1118" customFormat="1" x14ac:dyDescent="0.25">
      <c r="A182" s="1131" t="s">
        <v>1077</v>
      </c>
      <c r="B182" s="1128"/>
      <c r="C182" s="1134">
        <v>1228000</v>
      </c>
      <c r="D182" s="1134">
        <v>1228000</v>
      </c>
      <c r="E182" s="1134">
        <v>1254700</v>
      </c>
      <c r="F182" s="1134">
        <v>1282067</v>
      </c>
      <c r="G182" s="1134">
        <v>1310118</v>
      </c>
      <c r="H182" s="1134">
        <v>1338871</v>
      </c>
    </row>
    <row r="183" spans="1:8" s="1118" customFormat="1" x14ac:dyDescent="0.25">
      <c r="A183" s="1131" t="s">
        <v>584</v>
      </c>
      <c r="B183" s="1128"/>
      <c r="C183" s="1134">
        <v>1501272</v>
      </c>
      <c r="D183" s="1134">
        <v>1501272</v>
      </c>
      <c r="E183" s="1134">
        <v>1518100</v>
      </c>
      <c r="F183" s="1134">
        <v>1555950</v>
      </c>
      <c r="G183" s="1134">
        <v>1594848</v>
      </c>
      <c r="H183" s="1134">
        <v>1634718</v>
      </c>
    </row>
    <row r="184" spans="1:8" s="1118" customFormat="1" x14ac:dyDescent="0.25">
      <c r="A184" s="1128"/>
      <c r="B184" s="1128"/>
      <c r="C184" s="1145"/>
      <c r="D184" s="1145"/>
      <c r="E184" s="1145"/>
      <c r="F184" s="1145"/>
      <c r="G184" s="1145"/>
      <c r="H184" s="1145"/>
    </row>
    <row r="185" spans="1:8" s="1118" customFormat="1" x14ac:dyDescent="0.25">
      <c r="A185" s="1132" t="s">
        <v>1184</v>
      </c>
      <c r="B185" s="1128"/>
      <c r="C185" s="1135">
        <v>6001648</v>
      </c>
      <c r="D185" s="1135">
        <v>6001648</v>
      </c>
      <c r="E185" s="1135">
        <v>5938990</v>
      </c>
      <c r="F185" s="1135">
        <v>6079130</v>
      </c>
      <c r="G185" s="1135">
        <v>6230613</v>
      </c>
      <c r="H185" s="1135">
        <v>6385239</v>
      </c>
    </row>
    <row r="186" spans="1:8" s="1118" customFormat="1" x14ac:dyDescent="0.25">
      <c r="A186" s="1128"/>
      <c r="B186" s="1128"/>
      <c r="C186" s="1145"/>
      <c r="D186" s="1145"/>
      <c r="E186" s="1145"/>
      <c r="F186" s="1145"/>
      <c r="G186" s="1145"/>
      <c r="H186" s="1145"/>
    </row>
    <row r="187" spans="1:8" s="1118" customFormat="1" x14ac:dyDescent="0.25">
      <c r="A187" s="1132" t="s">
        <v>1185</v>
      </c>
      <c r="B187" s="1128"/>
      <c r="C187" s="1135">
        <v>-204002</v>
      </c>
      <c r="D187" s="1135">
        <v>-204002</v>
      </c>
      <c r="E187" s="1135">
        <v>-321885</v>
      </c>
      <c r="F187" s="1135">
        <v>-309527</v>
      </c>
      <c r="G187" s="1135">
        <v>-375855</v>
      </c>
      <c r="H187" s="1135">
        <v>-448668</v>
      </c>
    </row>
    <row r="188" spans="1:8" s="1118" customFormat="1" x14ac:dyDescent="0.25">
      <c r="A188" s="1132"/>
      <c r="B188" s="1128"/>
      <c r="C188" s="1135"/>
      <c r="D188" s="1135"/>
      <c r="E188" s="1135"/>
      <c r="F188" s="1135"/>
      <c r="G188" s="1135"/>
      <c r="H188" s="1135"/>
    </row>
    <row r="189" spans="1:8" s="1118" customFormat="1" x14ac:dyDescent="0.25">
      <c r="A189" s="1132"/>
      <c r="B189" s="1128"/>
      <c r="C189" s="1135"/>
      <c r="D189" s="1135"/>
      <c r="E189" s="1135"/>
      <c r="F189" s="1135"/>
      <c r="G189" s="1135"/>
      <c r="H189" s="1135"/>
    </row>
    <row r="190" spans="1:8" s="1118" customFormat="1" x14ac:dyDescent="0.25">
      <c r="A190" s="1146" t="s">
        <v>1163</v>
      </c>
      <c r="B190" s="1146"/>
      <c r="C190" s="1146"/>
      <c r="D190" s="1146"/>
      <c r="E190" s="1146"/>
      <c r="F190" s="1146"/>
      <c r="G190" s="1146"/>
      <c r="H190" s="1146"/>
    </row>
    <row r="191" spans="1:8" s="1118" customFormat="1" x14ac:dyDescent="0.25">
      <c r="A191" s="1147" t="s">
        <v>1369</v>
      </c>
      <c r="B191" s="1147"/>
      <c r="C191" s="1147"/>
      <c r="D191" s="1147"/>
      <c r="E191" s="1147"/>
      <c r="F191" s="1147"/>
      <c r="G191" s="1147"/>
      <c r="H191" s="1147"/>
    </row>
    <row r="192" spans="1:8" s="1118" customFormat="1" x14ac:dyDescent="0.25">
      <c r="A192" s="1132"/>
      <c r="B192" s="1132"/>
      <c r="C192" s="1129"/>
      <c r="D192" s="1128"/>
      <c r="E192" s="1129"/>
      <c r="F192" s="1129"/>
      <c r="G192" s="1129"/>
      <c r="H192" s="1129"/>
    </row>
    <row r="193" spans="1:8" s="1118" customFormat="1" x14ac:dyDescent="0.25">
      <c r="A193" s="1132" t="s">
        <v>1164</v>
      </c>
      <c r="B193" s="1132" t="s">
        <v>1368</v>
      </c>
      <c r="C193" s="1128"/>
      <c r="D193" s="1144"/>
      <c r="E193" s="1128"/>
      <c r="F193" s="1128"/>
      <c r="G193" s="1128"/>
      <c r="H193" s="1128"/>
    </row>
    <row r="194" spans="1:8" s="1118" customFormat="1" x14ac:dyDescent="0.25">
      <c r="A194" s="1132" t="s">
        <v>1367</v>
      </c>
      <c r="B194" s="1132" t="s">
        <v>1243</v>
      </c>
      <c r="C194" s="1128"/>
      <c r="D194" s="1144"/>
      <c r="E194" s="1128"/>
      <c r="F194" s="1128"/>
      <c r="G194" s="1128"/>
      <c r="H194" s="1128"/>
    </row>
    <row r="195" spans="1:8" s="1118" customFormat="1" x14ac:dyDescent="0.25">
      <c r="A195" s="1132" t="s">
        <v>1166</v>
      </c>
      <c r="B195" s="1132" t="s">
        <v>1243</v>
      </c>
      <c r="C195" s="1128"/>
      <c r="D195" s="1144"/>
      <c r="E195" s="1128"/>
      <c r="F195" s="1128"/>
      <c r="G195" s="1128"/>
      <c r="H195" s="1128"/>
    </row>
    <row r="196" spans="1:8" s="1118" customFormat="1" x14ac:dyDescent="0.25">
      <c r="A196" s="1131"/>
      <c r="B196" s="1129"/>
      <c r="C196" s="1134"/>
      <c r="D196" s="1134"/>
      <c r="E196" s="1134"/>
      <c r="F196" s="1134"/>
      <c r="G196" s="1134"/>
      <c r="H196" s="1134"/>
    </row>
    <row r="197" spans="1:8" s="1118" customFormat="1" ht="26.4" x14ac:dyDescent="0.25">
      <c r="A197" s="1128"/>
      <c r="B197" s="1128"/>
      <c r="C197" s="1136" t="s">
        <v>1168</v>
      </c>
      <c r="D197" s="1136" t="s">
        <v>1169</v>
      </c>
      <c r="E197" s="1136" t="s">
        <v>1170</v>
      </c>
      <c r="F197" s="1133" t="s">
        <v>1172</v>
      </c>
      <c r="G197" s="1133" t="s">
        <v>1173</v>
      </c>
      <c r="H197" s="1133" t="s">
        <v>1174</v>
      </c>
    </row>
    <row r="198" spans="1:8" s="1118" customFormat="1" x14ac:dyDescent="0.25">
      <c r="A198" s="1132" t="s">
        <v>1175</v>
      </c>
      <c r="B198" s="1128"/>
      <c r="C198" s="1133"/>
      <c r="D198" s="1133"/>
      <c r="E198" s="1133"/>
      <c r="F198" s="1133"/>
      <c r="G198" s="1133"/>
      <c r="H198" s="1133"/>
    </row>
    <row r="199" spans="1:8" s="1118" customFormat="1" x14ac:dyDescent="0.25">
      <c r="A199" s="1131" t="s">
        <v>1176</v>
      </c>
      <c r="B199" s="1128"/>
      <c r="C199" s="1134">
        <v>-4001500</v>
      </c>
      <c r="D199" s="1134">
        <v>-4001500</v>
      </c>
      <c r="E199" s="1134">
        <v>-3866000</v>
      </c>
      <c r="F199" s="1134">
        <v>-4129430</v>
      </c>
      <c r="G199" s="1134">
        <v>-4236212</v>
      </c>
      <c r="H199" s="1134">
        <v>-4349657</v>
      </c>
    </row>
    <row r="200" spans="1:8" s="1118" customFormat="1" x14ac:dyDescent="0.25">
      <c r="A200" s="1131" t="s">
        <v>12</v>
      </c>
      <c r="B200" s="1128"/>
      <c r="C200" s="1134">
        <v>-322700</v>
      </c>
      <c r="D200" s="1134">
        <v>-322700</v>
      </c>
      <c r="E200" s="1134">
        <v>-364500</v>
      </c>
      <c r="F200" s="1134">
        <v>-375290</v>
      </c>
      <c r="G200" s="1134">
        <v>-386400</v>
      </c>
      <c r="H200" s="1134">
        <v>-397839</v>
      </c>
    </row>
    <row r="201" spans="1:8" s="1118" customFormat="1" x14ac:dyDescent="0.25">
      <c r="A201" s="1131" t="s">
        <v>1177</v>
      </c>
      <c r="B201" s="1128"/>
      <c r="C201" s="1134">
        <v>-455000</v>
      </c>
      <c r="D201" s="1134">
        <v>-455000</v>
      </c>
      <c r="E201" s="1134">
        <v>-405000</v>
      </c>
      <c r="F201" s="1134">
        <v>-290750</v>
      </c>
      <c r="G201" s="1134">
        <v>-216522</v>
      </c>
      <c r="H201" s="1134">
        <v>-177318</v>
      </c>
    </row>
    <row r="202" spans="1:8" s="1118" customFormat="1" x14ac:dyDescent="0.25">
      <c r="A202" s="1131" t="s">
        <v>1179</v>
      </c>
      <c r="B202" s="1128"/>
      <c r="C202" s="1134">
        <v>-37500</v>
      </c>
      <c r="D202" s="1134">
        <v>-37500</v>
      </c>
      <c r="E202" s="1134">
        <v>-35000</v>
      </c>
      <c r="F202" s="1134">
        <v>-35700</v>
      </c>
      <c r="G202" s="1134">
        <v>-36414</v>
      </c>
      <c r="H202" s="1134">
        <v>-37142</v>
      </c>
    </row>
    <row r="203" spans="1:8" s="1118" customFormat="1" x14ac:dyDescent="0.25">
      <c r="A203" s="1128"/>
      <c r="B203" s="1128"/>
      <c r="C203" s="1145"/>
      <c r="D203" s="1145"/>
      <c r="E203" s="1145"/>
      <c r="F203" s="1145"/>
      <c r="G203" s="1145"/>
      <c r="H203" s="1145"/>
    </row>
    <row r="204" spans="1:8" s="1118" customFormat="1" x14ac:dyDescent="0.25">
      <c r="A204" s="1132" t="s">
        <v>1181</v>
      </c>
      <c r="B204" s="1128"/>
      <c r="C204" s="1135">
        <v>-4816700</v>
      </c>
      <c r="D204" s="1135">
        <v>-4816700</v>
      </c>
      <c r="E204" s="1135">
        <v>-4670500</v>
      </c>
      <c r="F204" s="1135">
        <v>-4831170</v>
      </c>
      <c r="G204" s="1135">
        <v>-4875548</v>
      </c>
      <c r="H204" s="1135">
        <v>-4961956</v>
      </c>
    </row>
    <row r="205" spans="1:8" s="1118" customFormat="1" x14ac:dyDescent="0.25">
      <c r="A205" s="1128"/>
      <c r="B205" s="1128"/>
      <c r="C205" s="1134"/>
      <c r="D205" s="1134"/>
      <c r="E205" s="1134"/>
      <c r="F205" s="1134"/>
      <c r="G205" s="1134"/>
      <c r="H205" s="1134"/>
    </row>
    <row r="206" spans="1:8" s="1118" customFormat="1" ht="26.4" x14ac:dyDescent="0.25">
      <c r="A206" s="1128"/>
      <c r="B206" s="1128"/>
      <c r="C206" s="1136" t="s">
        <v>1168</v>
      </c>
      <c r="D206" s="1136" t="s">
        <v>1169</v>
      </c>
      <c r="E206" s="1136" t="s">
        <v>1170</v>
      </c>
      <c r="F206" s="1133" t="s">
        <v>1172</v>
      </c>
      <c r="G206" s="1133" t="s">
        <v>1173</v>
      </c>
      <c r="H206" s="1133" t="s">
        <v>1174</v>
      </c>
    </row>
    <row r="207" spans="1:8" s="1118" customFormat="1" x14ac:dyDescent="0.25">
      <c r="A207" s="1132" t="s">
        <v>925</v>
      </c>
      <c r="B207" s="1128"/>
      <c r="C207" s="1133"/>
      <c r="D207" s="1133"/>
      <c r="E207" s="1133"/>
      <c r="F207" s="1133"/>
      <c r="G207" s="1133"/>
      <c r="H207" s="1133"/>
    </row>
    <row r="208" spans="1:8" s="1118" customFormat="1" x14ac:dyDescent="0.25">
      <c r="A208" s="1131" t="s">
        <v>1182</v>
      </c>
      <c r="B208" s="1128"/>
      <c r="C208" s="1134">
        <v>804931</v>
      </c>
      <c r="D208" s="1134">
        <v>804931</v>
      </c>
      <c r="E208" s="1134">
        <v>797731</v>
      </c>
      <c r="F208" s="1134">
        <v>825329</v>
      </c>
      <c r="G208" s="1134">
        <v>854687</v>
      </c>
      <c r="H208" s="1134">
        <v>885203</v>
      </c>
    </row>
    <row r="209" spans="1:8" s="1118" customFormat="1" x14ac:dyDescent="0.25">
      <c r="A209" s="1131" t="s">
        <v>27</v>
      </c>
      <c r="B209" s="1128"/>
      <c r="C209" s="1134">
        <v>939500</v>
      </c>
      <c r="D209" s="1134">
        <v>939500</v>
      </c>
      <c r="E209" s="1134">
        <v>924500</v>
      </c>
      <c r="F209" s="1134">
        <v>856690</v>
      </c>
      <c r="G209" s="1134">
        <v>890434</v>
      </c>
      <c r="H209" s="1134">
        <v>925819</v>
      </c>
    </row>
    <row r="210" spans="1:8" s="1118" customFormat="1" x14ac:dyDescent="0.25">
      <c r="A210" s="1131" t="s">
        <v>1183</v>
      </c>
      <c r="B210" s="1128"/>
      <c r="C210" s="1134">
        <v>210950</v>
      </c>
      <c r="D210" s="1134">
        <v>210950</v>
      </c>
      <c r="E210" s="1134">
        <v>229550</v>
      </c>
      <c r="F210" s="1134">
        <v>234141</v>
      </c>
      <c r="G210" s="1134">
        <v>238905</v>
      </c>
      <c r="H210" s="1134">
        <v>243574</v>
      </c>
    </row>
    <row r="211" spans="1:8" s="1118" customFormat="1" x14ac:dyDescent="0.25">
      <c r="A211" s="1131" t="s">
        <v>926</v>
      </c>
      <c r="B211" s="1128"/>
      <c r="C211" s="1134">
        <v>54210</v>
      </c>
      <c r="D211" s="1134">
        <v>54210</v>
      </c>
      <c r="E211" s="1134">
        <v>485000</v>
      </c>
      <c r="F211" s="1134">
        <v>813040</v>
      </c>
      <c r="G211" s="1134">
        <v>810450</v>
      </c>
      <c r="H211" s="1134">
        <v>807782</v>
      </c>
    </row>
    <row r="212" spans="1:8" s="1118" customFormat="1" x14ac:dyDescent="0.25">
      <c r="A212" s="1131" t="s">
        <v>1077</v>
      </c>
      <c r="B212" s="1128"/>
      <c r="C212" s="1134">
        <v>792000</v>
      </c>
      <c r="D212" s="1134">
        <v>792000</v>
      </c>
      <c r="E212" s="1134">
        <v>807475</v>
      </c>
      <c r="F212" s="1134">
        <v>823336</v>
      </c>
      <c r="G212" s="1134">
        <v>839595</v>
      </c>
      <c r="H212" s="1134">
        <v>856260</v>
      </c>
    </row>
    <row r="213" spans="1:8" s="1118" customFormat="1" x14ac:dyDescent="0.25">
      <c r="A213" s="1131" t="s">
        <v>584</v>
      </c>
      <c r="B213" s="1128"/>
      <c r="C213" s="1134">
        <v>1275067</v>
      </c>
      <c r="D213" s="1134">
        <v>1275067</v>
      </c>
      <c r="E213" s="1134">
        <v>1268000</v>
      </c>
      <c r="F213" s="1134">
        <v>1458450</v>
      </c>
      <c r="G213" s="1134">
        <v>1479911</v>
      </c>
      <c r="H213" s="1134">
        <v>1499384</v>
      </c>
    </row>
    <row r="214" spans="1:8" s="1118" customFormat="1" x14ac:dyDescent="0.25">
      <c r="A214" s="1128"/>
      <c r="B214" s="1128"/>
      <c r="C214" s="1145"/>
      <c r="D214" s="1145"/>
      <c r="E214" s="1145"/>
      <c r="F214" s="1145"/>
      <c r="G214" s="1145"/>
      <c r="H214" s="1145"/>
    </row>
    <row r="215" spans="1:8" s="1118" customFormat="1" x14ac:dyDescent="0.25">
      <c r="A215" s="1132" t="s">
        <v>1184</v>
      </c>
      <c r="B215" s="1128"/>
      <c r="C215" s="1135">
        <v>4076658</v>
      </c>
      <c r="D215" s="1135">
        <v>4076658</v>
      </c>
      <c r="E215" s="1135">
        <v>4512256</v>
      </c>
      <c r="F215" s="1135">
        <v>5010986</v>
      </c>
      <c r="G215" s="1135">
        <v>5113982</v>
      </c>
      <c r="H215" s="1135">
        <v>5218022</v>
      </c>
    </row>
    <row r="216" spans="1:8" s="1118" customFormat="1" x14ac:dyDescent="0.25">
      <c r="A216" s="1128"/>
      <c r="B216" s="1128"/>
      <c r="C216" s="1145"/>
      <c r="D216" s="1145"/>
      <c r="E216" s="1145"/>
      <c r="F216" s="1145"/>
      <c r="G216" s="1145"/>
      <c r="H216" s="1145"/>
    </row>
    <row r="217" spans="1:8" s="1118" customFormat="1" x14ac:dyDescent="0.25">
      <c r="A217" s="1132" t="s">
        <v>1185</v>
      </c>
      <c r="B217" s="1128"/>
      <c r="C217" s="1135">
        <v>-740042</v>
      </c>
      <c r="D217" s="1135">
        <v>-740042</v>
      </c>
      <c r="E217" s="1135">
        <v>-158244</v>
      </c>
      <c r="F217" s="1135">
        <v>179816</v>
      </c>
      <c r="G217" s="1135">
        <v>238434</v>
      </c>
      <c r="H217" s="1135">
        <v>256066</v>
      </c>
    </row>
    <row r="218" spans="1:8" s="1118" customFormat="1" x14ac:dyDescent="0.25">
      <c r="A218" s="1132"/>
      <c r="B218" s="1128"/>
      <c r="C218" s="1135"/>
      <c r="D218" s="1135"/>
      <c r="E218" s="1135"/>
      <c r="F218" s="1135"/>
      <c r="G218" s="1135"/>
      <c r="H218" s="1135"/>
    </row>
    <row r="219" spans="1:8" s="1118" customFormat="1" x14ac:dyDescent="0.25">
      <c r="A219" s="1132"/>
      <c r="B219" s="1128"/>
      <c r="C219" s="1135"/>
      <c r="D219" s="1135"/>
      <c r="E219" s="1135"/>
      <c r="F219" s="1135"/>
      <c r="G219" s="1135"/>
      <c r="H219" s="1135"/>
    </row>
    <row r="220" spans="1:8" s="1118" customFormat="1" x14ac:dyDescent="0.25">
      <c r="A220" s="1146" t="s">
        <v>1163</v>
      </c>
      <c r="B220" s="1146"/>
      <c r="C220" s="1146"/>
      <c r="D220" s="1146"/>
      <c r="E220" s="1146"/>
      <c r="F220" s="1146"/>
      <c r="G220" s="1146"/>
      <c r="H220" s="1146"/>
    </row>
    <row r="221" spans="1:8" s="1118" customFormat="1" x14ac:dyDescent="0.25">
      <c r="A221" s="1147" t="s">
        <v>1369</v>
      </c>
      <c r="B221" s="1147"/>
      <c r="C221" s="1147"/>
      <c r="D221" s="1147"/>
      <c r="E221" s="1147"/>
      <c r="F221" s="1147"/>
      <c r="G221" s="1147"/>
      <c r="H221" s="1147"/>
    </row>
    <row r="222" spans="1:8" s="1118" customFormat="1" x14ac:dyDescent="0.25">
      <c r="A222" s="1137"/>
      <c r="B222" s="1137"/>
      <c r="C222" s="1142"/>
      <c r="D222" s="1143"/>
      <c r="E222" s="1142"/>
      <c r="F222" s="1142"/>
      <c r="G222" s="1142"/>
      <c r="H222" s="1142"/>
    </row>
    <row r="223" spans="1:8" s="1118" customFormat="1" x14ac:dyDescent="0.25">
      <c r="A223" s="1132" t="s">
        <v>1164</v>
      </c>
      <c r="B223" s="1132" t="s">
        <v>1079</v>
      </c>
      <c r="C223" s="1128"/>
      <c r="D223" s="1144"/>
      <c r="E223" s="1128"/>
      <c r="F223" s="1128"/>
      <c r="G223" s="1128"/>
      <c r="H223" s="1128"/>
    </row>
    <row r="224" spans="1:8" s="1118" customFormat="1" x14ac:dyDescent="0.25">
      <c r="A224" s="1132" t="s">
        <v>1367</v>
      </c>
      <c r="B224" s="1132" t="s">
        <v>1328</v>
      </c>
      <c r="C224" s="1128"/>
      <c r="D224" s="1144"/>
      <c r="E224" s="1128"/>
      <c r="F224" s="1128"/>
      <c r="G224" s="1128"/>
      <c r="H224" s="1128"/>
    </row>
    <row r="225" spans="1:8" s="1118" customFormat="1" x14ac:dyDescent="0.25">
      <c r="A225" s="1132" t="s">
        <v>1166</v>
      </c>
      <c r="B225" s="1132" t="s">
        <v>1236</v>
      </c>
      <c r="C225" s="1128"/>
      <c r="D225" s="1144"/>
      <c r="E225" s="1128"/>
      <c r="F225" s="1128"/>
      <c r="G225" s="1128"/>
      <c r="H225" s="1128"/>
    </row>
    <row r="226" spans="1:8" s="1118" customFormat="1" x14ac:dyDescent="0.25">
      <c r="A226" s="1142"/>
      <c r="B226" s="1142"/>
      <c r="C226" s="1138"/>
      <c r="D226" s="1138"/>
      <c r="E226" s="1138"/>
      <c r="F226" s="1139"/>
      <c r="G226" s="1139"/>
      <c r="H226" s="1139"/>
    </row>
    <row r="227" spans="1:8" s="1118" customFormat="1" ht="26.4" x14ac:dyDescent="0.25">
      <c r="A227" s="1128"/>
      <c r="B227" s="1128"/>
      <c r="C227" s="1136" t="s">
        <v>1168</v>
      </c>
      <c r="D227" s="1136" t="s">
        <v>1169</v>
      </c>
      <c r="E227" s="1136" t="s">
        <v>1170</v>
      </c>
      <c r="F227" s="1133" t="s">
        <v>1172</v>
      </c>
      <c r="G227" s="1133" t="s">
        <v>1173</v>
      </c>
      <c r="H227" s="1133" t="s">
        <v>1174</v>
      </c>
    </row>
    <row r="228" spans="1:8" s="1118" customFormat="1" x14ac:dyDescent="0.25">
      <c r="A228" s="1132" t="s">
        <v>1175</v>
      </c>
      <c r="B228" s="1128"/>
      <c r="C228" s="1133"/>
      <c r="D228" s="1133"/>
      <c r="E228" s="1133"/>
      <c r="F228" s="1133"/>
      <c r="G228" s="1133"/>
      <c r="H228" s="1133"/>
    </row>
    <row r="229" spans="1:8" s="1118" customFormat="1" x14ac:dyDescent="0.25">
      <c r="A229" s="1131" t="s">
        <v>12</v>
      </c>
      <c r="B229" s="1128"/>
      <c r="C229" s="1134">
        <v>-558995</v>
      </c>
      <c r="D229" s="1134">
        <v>-558995</v>
      </c>
      <c r="E229" s="1134">
        <v>-574641</v>
      </c>
      <c r="F229" s="1134">
        <v>-527685</v>
      </c>
      <c r="G229" s="1134">
        <v>-540641</v>
      </c>
      <c r="H229" s="1134">
        <v>-554209</v>
      </c>
    </row>
    <row r="230" spans="1:8" s="1118" customFormat="1" x14ac:dyDescent="0.25">
      <c r="A230" s="1128"/>
      <c r="B230" s="1128"/>
      <c r="C230" s="1145"/>
      <c r="D230" s="1145"/>
      <c r="E230" s="1145"/>
      <c r="F230" s="1145"/>
      <c r="G230" s="1145"/>
      <c r="H230" s="1145"/>
    </row>
    <row r="231" spans="1:8" s="1118" customFormat="1" x14ac:dyDescent="0.25">
      <c r="A231" s="1132" t="s">
        <v>1181</v>
      </c>
      <c r="B231" s="1128"/>
      <c r="C231" s="1135">
        <v>-558995</v>
      </c>
      <c r="D231" s="1135">
        <v>-558995</v>
      </c>
      <c r="E231" s="1135">
        <v>-574641</v>
      </c>
      <c r="F231" s="1135">
        <v>-527685</v>
      </c>
      <c r="G231" s="1135">
        <v>-540641</v>
      </c>
      <c r="H231" s="1135">
        <v>-554209</v>
      </c>
    </row>
    <row r="232" spans="1:8" s="1118" customFormat="1" x14ac:dyDescent="0.25">
      <c r="A232" s="1132"/>
      <c r="B232" s="1128"/>
      <c r="C232" s="1135"/>
      <c r="D232" s="1135"/>
      <c r="E232" s="1135"/>
      <c r="F232" s="1135"/>
      <c r="G232" s="1135"/>
      <c r="H232" s="1135"/>
    </row>
    <row r="233" spans="1:8" s="1118" customFormat="1" x14ac:dyDescent="0.25">
      <c r="A233" s="1132"/>
      <c r="B233" s="1128"/>
      <c r="C233" s="1135"/>
      <c r="D233" s="1135"/>
      <c r="E233" s="1135"/>
      <c r="F233" s="1135"/>
      <c r="G233" s="1135"/>
      <c r="H233" s="1135"/>
    </row>
    <row r="234" spans="1:8" s="1118" customFormat="1" x14ac:dyDescent="0.25">
      <c r="A234" s="1128"/>
      <c r="B234" s="1128"/>
      <c r="C234" s="1134"/>
      <c r="D234" s="1134"/>
      <c r="E234" s="1134"/>
      <c r="F234" s="1134"/>
      <c r="G234" s="1134"/>
      <c r="H234" s="1134"/>
    </row>
    <row r="235" spans="1:8" s="1118" customFormat="1" ht="26.4" x14ac:dyDescent="0.25">
      <c r="A235" s="1128"/>
      <c r="B235" s="1128"/>
      <c r="C235" s="1136" t="s">
        <v>1168</v>
      </c>
      <c r="D235" s="1136" t="s">
        <v>1169</v>
      </c>
      <c r="E235" s="1136" t="s">
        <v>1170</v>
      </c>
      <c r="F235" s="1133" t="s">
        <v>1172</v>
      </c>
      <c r="G235" s="1133" t="s">
        <v>1173</v>
      </c>
      <c r="H235" s="1133" t="s">
        <v>1174</v>
      </c>
    </row>
    <row r="236" spans="1:8" s="1118" customFormat="1" x14ac:dyDescent="0.25">
      <c r="A236" s="1132" t="s">
        <v>925</v>
      </c>
      <c r="B236" s="1128"/>
      <c r="C236" s="1133"/>
      <c r="D236" s="1133"/>
      <c r="E236" s="1133"/>
      <c r="F236" s="1133"/>
      <c r="G236" s="1133"/>
      <c r="H236" s="1133"/>
    </row>
    <row r="237" spans="1:8" s="1118" customFormat="1" x14ac:dyDescent="0.25">
      <c r="A237" s="1131" t="s">
        <v>1182</v>
      </c>
      <c r="B237" s="1128"/>
      <c r="C237" s="1134">
        <v>40000</v>
      </c>
      <c r="D237" s="1134">
        <v>40000</v>
      </c>
      <c r="E237" s="1134">
        <v>40657</v>
      </c>
      <c r="F237" s="1134">
        <v>41876</v>
      </c>
      <c r="G237" s="1134">
        <v>43133</v>
      </c>
      <c r="H237" s="1134">
        <v>44427</v>
      </c>
    </row>
    <row r="238" spans="1:8" s="1118" customFormat="1" x14ac:dyDescent="0.25">
      <c r="A238" s="1131" t="s">
        <v>27</v>
      </c>
      <c r="B238" s="1128"/>
      <c r="C238" s="1134">
        <v>194000</v>
      </c>
      <c r="D238" s="1134">
        <v>194000</v>
      </c>
      <c r="E238" s="1134">
        <v>194675</v>
      </c>
      <c r="F238" s="1134">
        <v>196793</v>
      </c>
      <c r="G238" s="1134">
        <v>201008</v>
      </c>
      <c r="H238" s="1134">
        <v>205338</v>
      </c>
    </row>
    <row r="239" spans="1:8" s="1118" customFormat="1" x14ac:dyDescent="0.25">
      <c r="A239" s="1131" t="s">
        <v>1183</v>
      </c>
      <c r="B239" s="1128"/>
      <c r="C239" s="1134">
        <v>139700</v>
      </c>
      <c r="D239" s="1134">
        <v>139700</v>
      </c>
      <c r="E239" s="1134">
        <v>169900</v>
      </c>
      <c r="F239" s="1134">
        <v>173248</v>
      </c>
      <c r="G239" s="1134">
        <v>176656</v>
      </c>
      <c r="H239" s="1134">
        <v>180139</v>
      </c>
    </row>
    <row r="240" spans="1:8" s="1118" customFormat="1" x14ac:dyDescent="0.25">
      <c r="A240" s="1131" t="s">
        <v>926</v>
      </c>
      <c r="B240" s="1128"/>
      <c r="C240" s="1134">
        <v>150285</v>
      </c>
      <c r="D240" s="1134">
        <v>150285</v>
      </c>
      <c r="E240" s="1134">
        <v>150285</v>
      </c>
      <c r="F240" s="1134">
        <v>150285</v>
      </c>
      <c r="G240" s="1134">
        <v>150285</v>
      </c>
      <c r="H240" s="1134">
        <v>150285</v>
      </c>
    </row>
    <row r="241" spans="1:8" s="1118" customFormat="1" x14ac:dyDescent="0.25">
      <c r="A241" s="1131" t="s">
        <v>584</v>
      </c>
      <c r="B241" s="1128"/>
      <c r="C241" s="1134">
        <v>0</v>
      </c>
      <c r="D241" s="1134">
        <v>0</v>
      </c>
      <c r="E241" s="1134">
        <v>269687</v>
      </c>
      <c r="F241" s="1134">
        <v>275995</v>
      </c>
      <c r="G241" s="1134">
        <v>280655</v>
      </c>
      <c r="H241" s="1134">
        <v>289069</v>
      </c>
    </row>
    <row r="242" spans="1:8" s="1118" customFormat="1" x14ac:dyDescent="0.25">
      <c r="A242" s="1128"/>
      <c r="B242" s="1128"/>
      <c r="C242" s="1145"/>
      <c r="D242" s="1145"/>
      <c r="E242" s="1145"/>
      <c r="F242" s="1145"/>
      <c r="G242" s="1145"/>
      <c r="H242" s="1145"/>
    </row>
    <row r="243" spans="1:8" s="1118" customFormat="1" x14ac:dyDescent="0.25">
      <c r="A243" s="1132" t="s">
        <v>1184</v>
      </c>
      <c r="B243" s="1128"/>
      <c r="C243" s="1135">
        <v>523985</v>
      </c>
      <c r="D243" s="1135">
        <v>523985</v>
      </c>
      <c r="E243" s="1135">
        <v>825204</v>
      </c>
      <c r="F243" s="1135">
        <v>838197</v>
      </c>
      <c r="G243" s="1135">
        <v>851737</v>
      </c>
      <c r="H243" s="1135">
        <v>869258</v>
      </c>
    </row>
    <row r="244" spans="1:8" s="1118" customFormat="1" x14ac:dyDescent="0.25">
      <c r="A244" s="1128"/>
      <c r="B244" s="1128"/>
      <c r="C244" s="1145"/>
      <c r="D244" s="1145"/>
      <c r="E244" s="1145"/>
      <c r="F244" s="1145"/>
      <c r="G244" s="1145"/>
      <c r="H244" s="1145"/>
    </row>
    <row r="245" spans="1:8" s="1118" customFormat="1" x14ac:dyDescent="0.25">
      <c r="A245" s="1132" t="s">
        <v>1185</v>
      </c>
      <c r="B245" s="1128"/>
      <c r="C245" s="1135">
        <v>-35010</v>
      </c>
      <c r="D245" s="1135">
        <v>-35010</v>
      </c>
      <c r="E245" s="1135">
        <v>250563</v>
      </c>
      <c r="F245" s="1135">
        <v>310512</v>
      </c>
      <c r="G245" s="1135">
        <v>311096</v>
      </c>
      <c r="H245" s="1135">
        <v>315049</v>
      </c>
    </row>
    <row r="246" spans="1:8" s="1118" customFormat="1" x14ac:dyDescent="0.25">
      <c r="A246" s="1132"/>
      <c r="B246" s="1128"/>
      <c r="C246" s="1135"/>
      <c r="D246" s="1135"/>
      <c r="E246" s="1135"/>
      <c r="F246" s="1135"/>
      <c r="G246" s="1135"/>
      <c r="H246" s="1135"/>
    </row>
    <row r="247" spans="1:8" s="1118" customFormat="1" x14ac:dyDescent="0.25">
      <c r="A247" s="1129"/>
      <c r="B247" s="1129"/>
      <c r="C247" s="1129"/>
      <c r="D247" s="1130"/>
      <c r="E247" s="1129"/>
      <c r="F247" s="1129"/>
      <c r="G247" s="1129"/>
      <c r="H247" s="1129"/>
    </row>
    <row r="248" spans="1:8" s="1118" customFormat="1" x14ac:dyDescent="0.25">
      <c r="A248" s="1129"/>
      <c r="B248" s="1129"/>
      <c r="C248" s="1129"/>
      <c r="D248" s="1130"/>
      <c r="E248" s="1129"/>
      <c r="F248" s="1129"/>
      <c r="G248" s="1129"/>
      <c r="H248" s="1129"/>
    </row>
    <row r="249" spans="1:8" s="1118" customFormat="1" x14ac:dyDescent="0.25">
      <c r="A249" s="1146" t="s">
        <v>1163</v>
      </c>
      <c r="B249" s="1146"/>
      <c r="C249" s="1146"/>
      <c r="D249" s="1146"/>
      <c r="E249" s="1146"/>
      <c r="F249" s="1146"/>
      <c r="G249" s="1146"/>
      <c r="H249" s="1146"/>
    </row>
    <row r="250" spans="1:8" s="1118" customFormat="1" x14ac:dyDescent="0.25">
      <c r="A250" s="1147" t="s">
        <v>1369</v>
      </c>
      <c r="B250" s="1147"/>
      <c r="C250" s="1147"/>
      <c r="D250" s="1147"/>
      <c r="E250" s="1147"/>
      <c r="F250" s="1147"/>
      <c r="G250" s="1147"/>
      <c r="H250" s="1147"/>
    </row>
    <row r="251" spans="1:8" s="1118" customFormat="1" x14ac:dyDescent="0.25">
      <c r="A251" s="1137"/>
      <c r="B251" s="1137"/>
      <c r="C251" s="1142"/>
      <c r="D251" s="1143"/>
      <c r="E251" s="1142"/>
      <c r="F251" s="1142"/>
      <c r="G251" s="1142"/>
      <c r="H251" s="1142"/>
    </row>
    <row r="252" spans="1:8" s="1118" customFormat="1" x14ac:dyDescent="0.25">
      <c r="A252" s="1132" t="s">
        <v>1164</v>
      </c>
      <c r="B252" s="1132" t="s">
        <v>1079</v>
      </c>
      <c r="C252" s="1128"/>
      <c r="D252" s="1144"/>
      <c r="E252" s="1128"/>
      <c r="F252" s="1128"/>
      <c r="G252" s="1128"/>
      <c r="H252" s="1128"/>
    </row>
    <row r="253" spans="1:8" s="1118" customFormat="1" x14ac:dyDescent="0.25">
      <c r="A253" s="1132" t="s">
        <v>1367</v>
      </c>
      <c r="B253" s="1132" t="s">
        <v>1328</v>
      </c>
      <c r="C253" s="1128"/>
      <c r="D253" s="1144"/>
      <c r="E253" s="1128"/>
      <c r="F253" s="1128"/>
      <c r="G253" s="1128"/>
      <c r="H253" s="1128"/>
    </row>
    <row r="254" spans="1:8" s="1118" customFormat="1" x14ac:dyDescent="0.25">
      <c r="A254" s="1132" t="s">
        <v>1166</v>
      </c>
      <c r="B254" s="1132" t="s">
        <v>1238</v>
      </c>
      <c r="C254" s="1128"/>
      <c r="D254" s="1144"/>
      <c r="E254" s="1128"/>
      <c r="F254" s="1128"/>
      <c r="G254" s="1128"/>
      <c r="H254" s="1128"/>
    </row>
    <row r="255" spans="1:8" s="1118" customFormat="1" x14ac:dyDescent="0.25">
      <c r="A255" s="1141"/>
      <c r="B255" s="1142"/>
      <c r="C255" s="1140"/>
      <c r="D255" s="1140"/>
      <c r="E255" s="1140"/>
      <c r="F255" s="1140"/>
      <c r="G255" s="1140"/>
      <c r="H255" s="1140"/>
    </row>
    <row r="256" spans="1:8" s="1118" customFormat="1" ht="26.4" x14ac:dyDescent="0.25">
      <c r="A256" s="1128"/>
      <c r="B256" s="1128"/>
      <c r="C256" s="1136" t="s">
        <v>1168</v>
      </c>
      <c r="D256" s="1136" t="s">
        <v>1169</v>
      </c>
      <c r="E256" s="1136" t="s">
        <v>1170</v>
      </c>
      <c r="F256" s="1133" t="s">
        <v>1172</v>
      </c>
      <c r="G256" s="1133" t="s">
        <v>1173</v>
      </c>
      <c r="H256" s="1133" t="s">
        <v>1174</v>
      </c>
    </row>
    <row r="257" spans="1:8" s="1118" customFormat="1" x14ac:dyDescent="0.25">
      <c r="A257" s="1132" t="s">
        <v>1175</v>
      </c>
      <c r="B257" s="1128"/>
      <c r="C257" s="1133"/>
      <c r="D257" s="1133"/>
      <c r="E257" s="1133"/>
      <c r="F257" s="1133"/>
      <c r="G257" s="1133"/>
      <c r="H257" s="1133"/>
    </row>
    <row r="258" spans="1:8" s="1118" customFormat="1" x14ac:dyDescent="0.25">
      <c r="A258" s="1131" t="s">
        <v>12</v>
      </c>
      <c r="B258" s="1128"/>
      <c r="C258" s="1134">
        <v>-2493308</v>
      </c>
      <c r="D258" s="1134">
        <v>-2503308</v>
      </c>
      <c r="E258" s="1134">
        <v>-2628659</v>
      </c>
      <c r="F258" s="1134">
        <v>-2569858</v>
      </c>
      <c r="G258" s="1134">
        <v>-2634092</v>
      </c>
      <c r="H258" s="1134">
        <v>-2699944</v>
      </c>
    </row>
    <row r="259" spans="1:8" s="1118" customFormat="1" x14ac:dyDescent="0.25">
      <c r="A259" s="1128"/>
      <c r="B259" s="1128"/>
      <c r="C259" s="1145"/>
      <c r="D259" s="1145"/>
      <c r="E259" s="1145"/>
      <c r="F259" s="1145"/>
      <c r="G259" s="1145"/>
      <c r="H259" s="1145"/>
    </row>
    <row r="260" spans="1:8" s="1118" customFormat="1" x14ac:dyDescent="0.25">
      <c r="A260" s="1132" t="s">
        <v>1181</v>
      </c>
      <c r="B260" s="1128"/>
      <c r="C260" s="1135">
        <v>-2493308</v>
      </c>
      <c r="D260" s="1135">
        <v>-2503308</v>
      </c>
      <c r="E260" s="1135">
        <v>-2628659</v>
      </c>
      <c r="F260" s="1135">
        <v>-2569858</v>
      </c>
      <c r="G260" s="1135">
        <v>-2634092</v>
      </c>
      <c r="H260" s="1135">
        <v>-2699944</v>
      </c>
    </row>
    <row r="261" spans="1:8" s="1118" customFormat="1" x14ac:dyDescent="0.25">
      <c r="A261" s="1128"/>
      <c r="B261" s="1128"/>
      <c r="C261" s="1134"/>
      <c r="D261" s="1134"/>
      <c r="E261" s="1134"/>
      <c r="F261" s="1134"/>
      <c r="G261" s="1134"/>
      <c r="H261" s="1134"/>
    </row>
    <row r="262" spans="1:8" s="1118" customFormat="1" ht="26.4" x14ac:dyDescent="0.25">
      <c r="A262" s="1128"/>
      <c r="B262" s="1128"/>
      <c r="C262" s="1136" t="s">
        <v>1168</v>
      </c>
      <c r="D262" s="1136" t="s">
        <v>1169</v>
      </c>
      <c r="E262" s="1136" t="s">
        <v>1170</v>
      </c>
      <c r="F262" s="1133" t="s">
        <v>1172</v>
      </c>
      <c r="G262" s="1133" t="s">
        <v>1173</v>
      </c>
      <c r="H262" s="1133" t="s">
        <v>1174</v>
      </c>
    </row>
    <row r="263" spans="1:8" s="1118" customFormat="1" x14ac:dyDescent="0.25">
      <c r="A263" s="1132" t="s">
        <v>925</v>
      </c>
      <c r="B263" s="1128"/>
      <c r="C263" s="1133"/>
      <c r="D263" s="1133"/>
      <c r="E263" s="1133"/>
      <c r="F263" s="1133"/>
      <c r="G263" s="1133"/>
      <c r="H263" s="1133"/>
    </row>
    <row r="264" spans="1:8" s="1118" customFormat="1" x14ac:dyDescent="0.25">
      <c r="A264" s="1131" t="s">
        <v>1182</v>
      </c>
      <c r="B264" s="1128"/>
      <c r="C264" s="1134">
        <v>40000</v>
      </c>
      <c r="D264" s="1134">
        <v>40000</v>
      </c>
      <c r="E264" s="1134">
        <v>40767</v>
      </c>
      <c r="F264" s="1134">
        <v>41990</v>
      </c>
      <c r="G264" s="1134">
        <v>43249</v>
      </c>
      <c r="H264" s="1134">
        <v>44547</v>
      </c>
    </row>
    <row r="265" spans="1:8" s="1118" customFormat="1" x14ac:dyDescent="0.25">
      <c r="A265" s="1131" t="s">
        <v>27</v>
      </c>
      <c r="B265" s="1128"/>
      <c r="C265" s="1134">
        <v>383150</v>
      </c>
      <c r="D265" s="1134">
        <v>376800</v>
      </c>
      <c r="E265" s="1134">
        <v>368900</v>
      </c>
      <c r="F265" s="1134">
        <v>348738</v>
      </c>
      <c r="G265" s="1134">
        <v>355708</v>
      </c>
      <c r="H265" s="1134">
        <v>362820</v>
      </c>
    </row>
    <row r="266" spans="1:8" s="1118" customFormat="1" x14ac:dyDescent="0.25">
      <c r="A266" s="1131" t="s">
        <v>1183</v>
      </c>
      <c r="B266" s="1128"/>
      <c r="C266" s="1134">
        <v>219343</v>
      </c>
      <c r="D266" s="1134">
        <v>235693</v>
      </c>
      <c r="E266" s="1134">
        <v>209700</v>
      </c>
      <c r="F266" s="1134">
        <v>206448</v>
      </c>
      <c r="G266" s="1134">
        <v>210565</v>
      </c>
      <c r="H266" s="1134">
        <v>214764</v>
      </c>
    </row>
    <row r="267" spans="1:8" s="1118" customFormat="1" x14ac:dyDescent="0.25">
      <c r="A267" s="1131" t="s">
        <v>926</v>
      </c>
      <c r="B267" s="1128"/>
      <c r="C267" s="1134">
        <v>757950</v>
      </c>
      <c r="D267" s="1134">
        <v>757950</v>
      </c>
      <c r="E267" s="1134">
        <v>757950</v>
      </c>
      <c r="F267" s="1134">
        <v>683950</v>
      </c>
      <c r="G267" s="1134">
        <v>633950</v>
      </c>
      <c r="H267" s="1134">
        <v>583950</v>
      </c>
    </row>
    <row r="268" spans="1:8" s="1118" customFormat="1" x14ac:dyDescent="0.25">
      <c r="A268" s="1131" t="s">
        <v>1077</v>
      </c>
      <c r="B268" s="1128"/>
      <c r="C268" s="1134">
        <v>1000000</v>
      </c>
      <c r="D268" s="1134">
        <v>1000000</v>
      </c>
      <c r="E268" s="1134">
        <v>1100000</v>
      </c>
      <c r="F268" s="1134">
        <v>1200000</v>
      </c>
      <c r="G268" s="1134">
        <v>1300000</v>
      </c>
      <c r="H268" s="1134">
        <v>1400000</v>
      </c>
    </row>
    <row r="269" spans="1:8" s="1118" customFormat="1" x14ac:dyDescent="0.25">
      <c r="A269" s="1128"/>
      <c r="B269" s="1128"/>
      <c r="C269" s="1145"/>
      <c r="D269" s="1145"/>
      <c r="E269" s="1145"/>
      <c r="F269" s="1145"/>
      <c r="G269" s="1145"/>
      <c r="H269" s="1145"/>
    </row>
    <row r="270" spans="1:8" s="1118" customFormat="1" x14ac:dyDescent="0.25">
      <c r="A270" s="1132" t="s">
        <v>1184</v>
      </c>
      <c r="B270" s="1128"/>
      <c r="C270" s="1135">
        <v>2400443</v>
      </c>
      <c r="D270" s="1135">
        <v>2410443</v>
      </c>
      <c r="E270" s="1135">
        <v>2477317</v>
      </c>
      <c r="F270" s="1135">
        <v>2481126</v>
      </c>
      <c r="G270" s="1135">
        <v>2543472</v>
      </c>
      <c r="H270" s="1135">
        <v>2606081</v>
      </c>
    </row>
    <row r="271" spans="1:8" s="1118" customFormat="1" x14ac:dyDescent="0.25">
      <c r="A271" s="1128"/>
      <c r="B271" s="1128"/>
      <c r="C271" s="1145"/>
      <c r="D271" s="1145"/>
      <c r="E271" s="1145"/>
      <c r="F271" s="1145"/>
      <c r="G271" s="1145"/>
      <c r="H271" s="1145"/>
    </row>
    <row r="272" spans="1:8" s="1118" customFormat="1" x14ac:dyDescent="0.25">
      <c r="A272" s="1132" t="s">
        <v>1185</v>
      </c>
      <c r="B272" s="1128"/>
      <c r="C272" s="1135">
        <v>-92865</v>
      </c>
      <c r="D272" s="1135">
        <v>-92865</v>
      </c>
      <c r="E272" s="1135">
        <v>-151342</v>
      </c>
      <c r="F272" s="1135">
        <v>-88732</v>
      </c>
      <c r="G272" s="1135">
        <v>-90620</v>
      </c>
      <c r="H272" s="1135">
        <v>-93863</v>
      </c>
    </row>
    <row r="273" spans="1:8" s="1118" customFormat="1" x14ac:dyDescent="0.25">
      <c r="A273" s="1132"/>
      <c r="B273" s="1128"/>
      <c r="C273" s="1135"/>
      <c r="D273" s="1135"/>
      <c r="E273" s="1135"/>
      <c r="F273" s="1135"/>
      <c r="G273" s="1135"/>
      <c r="H273" s="1135"/>
    </row>
    <row r="274" spans="1:8" s="1118" customFormat="1" x14ac:dyDescent="0.25">
      <c r="D274" s="1119"/>
    </row>
    <row r="275" spans="1:8" s="1118" customFormat="1" x14ac:dyDescent="0.25">
      <c r="D275" s="1119"/>
    </row>
    <row r="276" spans="1:8" s="1118" customFormat="1" x14ac:dyDescent="0.25">
      <c r="D276" s="1119"/>
    </row>
    <row r="277" spans="1:8" s="1118" customFormat="1" x14ac:dyDescent="0.25">
      <c r="D277" s="1119"/>
    </row>
    <row r="278" spans="1:8" s="1118" customFormat="1" x14ac:dyDescent="0.25">
      <c r="D278" s="1119"/>
    </row>
    <row r="279" spans="1:8" s="1118" customFormat="1" x14ac:dyDescent="0.25">
      <c r="D279" s="1119"/>
    </row>
    <row r="280" spans="1:8" s="1118" customFormat="1" x14ac:dyDescent="0.25">
      <c r="D280" s="1119"/>
    </row>
    <row r="281" spans="1:8" s="1118" customFormat="1" x14ac:dyDescent="0.25">
      <c r="D281" s="1119"/>
    </row>
    <row r="282" spans="1:8" s="1118" customFormat="1" x14ac:dyDescent="0.25">
      <c r="D282" s="1119"/>
    </row>
    <row r="283" spans="1:8" s="1118" customFormat="1" x14ac:dyDescent="0.25">
      <c r="D283" s="1119"/>
    </row>
    <row r="284" spans="1:8" s="1118" customFormat="1" x14ac:dyDescent="0.25">
      <c r="D284" s="1119"/>
    </row>
    <row r="285" spans="1:8" s="1118" customFormat="1" x14ac:dyDescent="0.25">
      <c r="D285" s="1119"/>
    </row>
    <row r="286" spans="1:8" s="1118" customFormat="1" x14ac:dyDescent="0.25">
      <c r="D286" s="1119"/>
    </row>
    <row r="287" spans="1:8" s="1118" customFormat="1" x14ac:dyDescent="0.25">
      <c r="D287" s="1119"/>
    </row>
    <row r="288" spans="1:8" s="1118" customFormat="1" x14ac:dyDescent="0.25">
      <c r="D288" s="1119"/>
    </row>
    <row r="289" spans="4:4" s="1118" customFormat="1" x14ac:dyDescent="0.25">
      <c r="D289" s="1119"/>
    </row>
    <row r="290" spans="4:4" s="1118" customFormat="1" x14ac:dyDescent="0.25">
      <c r="D290" s="1119"/>
    </row>
    <row r="291" spans="4:4" s="1118" customFormat="1" x14ac:dyDescent="0.25">
      <c r="D291" s="1119"/>
    </row>
    <row r="292" spans="4:4" s="1118" customFormat="1" x14ac:dyDescent="0.25">
      <c r="D292" s="1119"/>
    </row>
    <row r="293" spans="4:4" s="1118" customFormat="1" x14ac:dyDescent="0.25">
      <c r="D293" s="1119"/>
    </row>
    <row r="294" spans="4:4" s="1118" customFormat="1" x14ac:dyDescent="0.25">
      <c r="D294" s="1119"/>
    </row>
    <row r="295" spans="4:4" s="1118" customFormat="1" x14ac:dyDescent="0.25">
      <c r="D295" s="1119"/>
    </row>
    <row r="296" spans="4:4" s="1118" customFormat="1" x14ac:dyDescent="0.25">
      <c r="D296" s="1119"/>
    </row>
    <row r="297" spans="4:4" s="1118" customFormat="1" x14ac:dyDescent="0.25">
      <c r="D297" s="1119"/>
    </row>
    <row r="298" spans="4:4" s="1118" customFormat="1" x14ac:dyDescent="0.25">
      <c r="D298" s="1119"/>
    </row>
    <row r="299" spans="4:4" s="1118" customFormat="1" x14ac:dyDescent="0.25">
      <c r="D299" s="1119"/>
    </row>
    <row r="300" spans="4:4" s="1118" customFormat="1" x14ac:dyDescent="0.25">
      <c r="D300" s="1119"/>
    </row>
    <row r="301" spans="4:4" s="1118" customFormat="1" x14ac:dyDescent="0.25">
      <c r="D301" s="1119"/>
    </row>
    <row r="302" spans="4:4" s="1118" customFormat="1" x14ac:dyDescent="0.25">
      <c r="D302" s="1119"/>
    </row>
    <row r="303" spans="4:4" s="1118" customFormat="1" x14ac:dyDescent="0.25">
      <c r="D303" s="1119"/>
    </row>
    <row r="304" spans="4:4" s="1118" customFormat="1" x14ac:dyDescent="0.25">
      <c r="D304" s="1119"/>
    </row>
    <row r="305" spans="1:8" s="1118" customFormat="1" x14ac:dyDescent="0.25">
      <c r="D305" s="1119"/>
    </row>
    <row r="306" spans="1:8" s="1118" customFormat="1" x14ac:dyDescent="0.25">
      <c r="D306" s="1119"/>
    </row>
    <row r="309" spans="1:8" x14ac:dyDescent="0.25">
      <c r="A309" s="872" t="s">
        <v>1191</v>
      </c>
    </row>
    <row r="311" spans="1:8" ht="26.4" x14ac:dyDescent="0.25">
      <c r="C311" s="850" t="s">
        <v>1168</v>
      </c>
      <c r="D311" s="877" t="s">
        <v>1169</v>
      </c>
      <c r="E311" s="850" t="s">
        <v>1170</v>
      </c>
      <c r="F311" s="851" t="s">
        <v>1172</v>
      </c>
      <c r="G311" s="851" t="s">
        <v>1173</v>
      </c>
      <c r="H311" s="851" t="s">
        <v>1174</v>
      </c>
    </row>
    <row r="312" spans="1:8" x14ac:dyDescent="0.25">
      <c r="C312" s="851"/>
      <c r="D312" s="878"/>
      <c r="E312" s="851"/>
      <c r="F312" s="851"/>
      <c r="G312" s="851"/>
      <c r="H312" s="851"/>
    </row>
    <row r="313" spans="1:8" x14ac:dyDescent="0.25">
      <c r="A313" s="874" t="s">
        <v>1192</v>
      </c>
      <c r="B313" s="849"/>
      <c r="C313" s="855"/>
      <c r="D313" s="881"/>
      <c r="E313" s="855"/>
      <c r="F313" s="855"/>
      <c r="G313" s="855"/>
      <c r="H313" s="855"/>
    </row>
    <row r="314" spans="1:8" x14ac:dyDescent="0.25">
      <c r="A314" s="875"/>
      <c r="B314" s="875" t="s">
        <v>992</v>
      </c>
      <c r="C314" s="876">
        <v>-2048427</v>
      </c>
      <c r="D314" s="888">
        <v>-2048427</v>
      </c>
      <c r="E314" s="876">
        <v>-2165062</v>
      </c>
      <c r="F314" s="876">
        <v>-2215206</v>
      </c>
      <c r="G314" s="876">
        <v>-2266820</v>
      </c>
      <c r="H314" s="876">
        <v>-2319369</v>
      </c>
    </row>
    <row r="315" spans="1:8" x14ac:dyDescent="0.25">
      <c r="A315" s="875"/>
      <c r="B315" s="875" t="s">
        <v>925</v>
      </c>
      <c r="C315" s="876">
        <v>2048427</v>
      </c>
      <c r="D315" s="888">
        <v>2048427</v>
      </c>
      <c r="E315" s="876">
        <v>2165062</v>
      </c>
      <c r="F315" s="876">
        <v>2215206</v>
      </c>
      <c r="G315" s="876">
        <v>2266820</v>
      </c>
      <c r="H315" s="876">
        <v>2319369</v>
      </c>
    </row>
    <row r="316" spans="1:8" x14ac:dyDescent="0.25">
      <c r="A316" s="849" t="s">
        <v>1193</v>
      </c>
      <c r="B316" s="849"/>
      <c r="C316" s="855">
        <f t="shared" ref="C316:H316" si="15">SUBTOTAL(9,C314:C315)</f>
        <v>0</v>
      </c>
      <c r="D316" s="881">
        <f t="shared" si="15"/>
        <v>0</v>
      </c>
      <c r="E316" s="855">
        <f t="shared" si="15"/>
        <v>0</v>
      </c>
      <c r="F316" s="855">
        <f t="shared" si="15"/>
        <v>0</v>
      </c>
      <c r="G316" s="855">
        <f t="shared" si="15"/>
        <v>0</v>
      </c>
      <c r="H316" s="855">
        <f t="shared" si="15"/>
        <v>0</v>
      </c>
    </row>
    <row r="317" spans="1:8" x14ac:dyDescent="0.25">
      <c r="A317" s="849"/>
      <c r="B317" s="849"/>
      <c r="C317" s="855"/>
      <c r="D317" s="881"/>
      <c r="E317" s="855"/>
      <c r="F317" s="855"/>
      <c r="G317" s="855"/>
      <c r="H317" s="855"/>
    </row>
    <row r="318" spans="1:8" x14ac:dyDescent="0.25">
      <c r="A318" s="874" t="s">
        <v>1194</v>
      </c>
      <c r="B318" s="849"/>
      <c r="C318" s="855"/>
      <c r="D318" s="881"/>
      <c r="E318" s="855"/>
      <c r="F318" s="855"/>
      <c r="G318" s="855"/>
      <c r="H318" s="855"/>
    </row>
    <row r="319" spans="1:8" x14ac:dyDescent="0.25">
      <c r="A319" s="875"/>
      <c r="B319" s="875" t="s">
        <v>992</v>
      </c>
      <c r="C319" s="876">
        <v>-20000</v>
      </c>
      <c r="D319" s="888">
        <v>-20000</v>
      </c>
      <c r="E319" s="876">
        <v>-20000</v>
      </c>
      <c r="F319" s="876">
        <v>-20400</v>
      </c>
      <c r="G319" s="876">
        <v>-20800</v>
      </c>
      <c r="H319" s="876">
        <v>-21220</v>
      </c>
    </row>
    <row r="320" spans="1:8" x14ac:dyDescent="0.25">
      <c r="A320" s="875"/>
      <c r="B320" s="875" t="s">
        <v>925</v>
      </c>
      <c r="C320" s="876">
        <v>1424527</v>
      </c>
      <c r="D320" s="888">
        <v>1424527</v>
      </c>
      <c r="E320" s="876">
        <v>1569753</v>
      </c>
      <c r="F320" s="876">
        <v>1609709</v>
      </c>
      <c r="G320" s="876">
        <v>1650703</v>
      </c>
      <c r="H320" s="876">
        <v>1693799</v>
      </c>
    </row>
    <row r="321" spans="1:8" x14ac:dyDescent="0.25">
      <c r="A321" s="849" t="s">
        <v>1195</v>
      </c>
      <c r="B321" s="849"/>
      <c r="C321" s="855">
        <f t="shared" ref="C321:H321" si="16">SUBTOTAL(9,C319:C320)</f>
        <v>1404527</v>
      </c>
      <c r="D321" s="881">
        <f t="shared" si="16"/>
        <v>1404527</v>
      </c>
      <c r="E321" s="855">
        <f t="shared" si="16"/>
        <v>1549753</v>
      </c>
      <c r="F321" s="855">
        <f t="shared" si="16"/>
        <v>1589309</v>
      </c>
      <c r="G321" s="855">
        <f t="shared" si="16"/>
        <v>1629903</v>
      </c>
      <c r="H321" s="855">
        <f t="shared" si="16"/>
        <v>1672579</v>
      </c>
    </row>
    <row r="322" spans="1:8" x14ac:dyDescent="0.25">
      <c r="A322" s="849"/>
      <c r="B322" s="849"/>
      <c r="C322" s="855"/>
      <c r="D322" s="881"/>
      <c r="E322" s="855"/>
      <c r="F322" s="855"/>
      <c r="G322" s="855"/>
      <c r="H322" s="855"/>
    </row>
    <row r="323" spans="1:8" x14ac:dyDescent="0.25">
      <c r="A323" s="874" t="s">
        <v>1196</v>
      </c>
      <c r="B323" s="849"/>
      <c r="C323" s="855"/>
      <c r="D323" s="881"/>
      <c r="E323" s="855"/>
      <c r="F323" s="855"/>
      <c r="G323" s="855"/>
      <c r="H323" s="855"/>
    </row>
    <row r="324" spans="1:8" x14ac:dyDescent="0.25">
      <c r="A324" s="875"/>
      <c r="B324" s="875" t="s">
        <v>992</v>
      </c>
      <c r="C324" s="876">
        <v>-651050</v>
      </c>
      <c r="D324" s="888">
        <v>-651050</v>
      </c>
      <c r="E324" s="876">
        <v>-631100</v>
      </c>
      <c r="F324" s="876">
        <v>-615822</v>
      </c>
      <c r="G324" s="876">
        <v>-628135</v>
      </c>
      <c r="H324" s="876">
        <v>-683968</v>
      </c>
    </row>
    <row r="325" spans="1:8" x14ac:dyDescent="0.25">
      <c r="A325" s="875"/>
      <c r="B325" s="875" t="s">
        <v>925</v>
      </c>
      <c r="C325" s="876">
        <v>1265575</v>
      </c>
      <c r="D325" s="888">
        <v>1265575</v>
      </c>
      <c r="E325" s="876">
        <v>1215308</v>
      </c>
      <c r="F325" s="876">
        <v>1227638</v>
      </c>
      <c r="G325" s="876">
        <v>1264166</v>
      </c>
      <c r="H325" s="876">
        <v>1359552</v>
      </c>
    </row>
    <row r="326" spans="1:8" x14ac:dyDescent="0.25">
      <c r="A326" s="849" t="s">
        <v>1197</v>
      </c>
      <c r="B326" s="849"/>
      <c r="C326" s="855">
        <f t="shared" ref="C326:H326" si="17">SUBTOTAL(9,C324:C325)</f>
        <v>614525</v>
      </c>
      <c r="D326" s="881">
        <f t="shared" si="17"/>
        <v>614525</v>
      </c>
      <c r="E326" s="855">
        <f t="shared" si="17"/>
        <v>584208</v>
      </c>
      <c r="F326" s="855">
        <f t="shared" si="17"/>
        <v>611816</v>
      </c>
      <c r="G326" s="855">
        <f t="shared" si="17"/>
        <v>636031</v>
      </c>
      <c r="H326" s="855">
        <f t="shared" si="17"/>
        <v>675584</v>
      </c>
    </row>
    <row r="327" spans="1:8" x14ac:dyDescent="0.25">
      <c r="A327" s="849"/>
      <c r="B327" s="849"/>
      <c r="C327" s="855"/>
      <c r="D327" s="881"/>
      <c r="E327" s="855"/>
      <c r="F327" s="855"/>
      <c r="G327" s="855"/>
      <c r="H327" s="855"/>
    </row>
    <row r="328" spans="1:8" x14ac:dyDescent="0.25">
      <c r="A328" s="874" t="s">
        <v>1198</v>
      </c>
      <c r="B328" s="849"/>
      <c r="C328" s="855"/>
      <c r="D328" s="881"/>
      <c r="E328" s="855"/>
      <c r="F328" s="855"/>
      <c r="G328" s="855"/>
      <c r="H328" s="855"/>
    </row>
    <row r="329" spans="1:8" x14ac:dyDescent="0.25">
      <c r="A329" s="875"/>
      <c r="B329" s="875" t="s">
        <v>992</v>
      </c>
      <c r="C329" s="876">
        <v>-3595787</v>
      </c>
      <c r="D329" s="888">
        <v>-3599787</v>
      </c>
      <c r="E329" s="876">
        <v>-3148346</v>
      </c>
      <c r="F329" s="876">
        <v>-3180955</v>
      </c>
      <c r="G329" s="876">
        <v>-3214203</v>
      </c>
      <c r="H329" s="876">
        <v>-3248106</v>
      </c>
    </row>
    <row r="330" spans="1:8" x14ac:dyDescent="0.25">
      <c r="A330" s="875"/>
      <c r="B330" s="875" t="s">
        <v>925</v>
      </c>
      <c r="C330" s="876">
        <v>10866668</v>
      </c>
      <c r="D330" s="888">
        <v>11140093</v>
      </c>
      <c r="E330" s="876">
        <v>10070171</v>
      </c>
      <c r="F330" s="876">
        <v>10333668</v>
      </c>
      <c r="G330" s="876">
        <v>10525108</v>
      </c>
      <c r="H330" s="876">
        <v>10720468</v>
      </c>
    </row>
    <row r="331" spans="1:8" x14ac:dyDescent="0.25">
      <c r="A331" s="849" t="s">
        <v>1199</v>
      </c>
      <c r="B331" s="849"/>
      <c r="C331" s="855">
        <f t="shared" ref="C331:H331" si="18">SUBTOTAL(9,C329:C330)</f>
        <v>7270881</v>
      </c>
      <c r="D331" s="881">
        <f t="shared" si="18"/>
        <v>7540306</v>
      </c>
      <c r="E331" s="855">
        <f t="shared" si="18"/>
        <v>6921825</v>
      </c>
      <c r="F331" s="855">
        <f t="shared" si="18"/>
        <v>7152713</v>
      </c>
      <c r="G331" s="855">
        <f t="shared" si="18"/>
        <v>7310905</v>
      </c>
      <c r="H331" s="855">
        <f t="shared" si="18"/>
        <v>7472362</v>
      </c>
    </row>
    <row r="332" spans="1:8" x14ac:dyDescent="0.25">
      <c r="A332" s="849"/>
      <c r="B332" s="849"/>
      <c r="C332" s="855"/>
      <c r="D332" s="881"/>
      <c r="E332" s="855"/>
      <c r="F332" s="855"/>
      <c r="G332" s="855"/>
      <c r="H332" s="855"/>
    </row>
    <row r="333" spans="1:8" x14ac:dyDescent="0.25">
      <c r="A333" s="874" t="s">
        <v>1200</v>
      </c>
      <c r="B333" s="849"/>
      <c r="C333" s="855"/>
      <c r="D333" s="881"/>
      <c r="E333" s="855"/>
      <c r="F333" s="855"/>
      <c r="G333" s="855"/>
      <c r="H333" s="855"/>
    </row>
    <row r="334" spans="1:8" x14ac:dyDescent="0.25">
      <c r="A334" s="875"/>
      <c r="B334" s="875" t="s">
        <v>992</v>
      </c>
      <c r="C334" s="876">
        <v>0</v>
      </c>
      <c r="D334" s="888">
        <v>-37730</v>
      </c>
      <c r="E334" s="876"/>
      <c r="F334" s="876"/>
      <c r="G334" s="876"/>
      <c r="H334" s="876"/>
    </row>
    <row r="335" spans="1:8" x14ac:dyDescent="0.25">
      <c r="A335" s="875"/>
      <c r="B335" s="875" t="s">
        <v>925</v>
      </c>
      <c r="C335" s="876">
        <v>767406</v>
      </c>
      <c r="D335" s="888">
        <v>1033167</v>
      </c>
      <c r="E335" s="876">
        <v>747296</v>
      </c>
      <c r="F335" s="876">
        <v>766561</v>
      </c>
      <c r="G335" s="876">
        <v>786342</v>
      </c>
      <c r="H335" s="876">
        <v>806652</v>
      </c>
    </row>
    <row r="336" spans="1:8" x14ac:dyDescent="0.25">
      <c r="A336" s="849" t="s">
        <v>1201</v>
      </c>
      <c r="B336" s="849"/>
      <c r="C336" s="855">
        <f t="shared" ref="C336:H336" si="19">SUBTOTAL(9,C334:C335)</f>
        <v>767406</v>
      </c>
      <c r="D336" s="881">
        <f t="shared" si="19"/>
        <v>995437</v>
      </c>
      <c r="E336" s="855">
        <f t="shared" si="19"/>
        <v>747296</v>
      </c>
      <c r="F336" s="855">
        <f t="shared" si="19"/>
        <v>766561</v>
      </c>
      <c r="G336" s="855">
        <f t="shared" si="19"/>
        <v>786342</v>
      </c>
      <c r="H336" s="855">
        <f t="shared" si="19"/>
        <v>806652</v>
      </c>
    </row>
    <row r="337" spans="1:8" x14ac:dyDescent="0.25">
      <c r="A337" s="849"/>
      <c r="B337" s="849"/>
      <c r="C337" s="855"/>
      <c r="D337" s="881"/>
      <c r="E337" s="855"/>
      <c r="F337" s="855"/>
      <c r="G337" s="855"/>
      <c r="H337" s="855"/>
    </row>
    <row r="338" spans="1:8" x14ac:dyDescent="0.25">
      <c r="A338" s="874" t="s">
        <v>1202</v>
      </c>
      <c r="B338" s="849"/>
      <c r="C338" s="855"/>
      <c r="D338" s="881"/>
      <c r="E338" s="855"/>
      <c r="F338" s="855"/>
      <c r="G338" s="855"/>
      <c r="H338" s="855"/>
    </row>
    <row r="339" spans="1:8" x14ac:dyDescent="0.25">
      <c r="A339" s="875"/>
      <c r="B339" s="875" t="s">
        <v>992</v>
      </c>
      <c r="C339" s="876">
        <v>-2355651</v>
      </c>
      <c r="D339" s="888">
        <v>-2355651</v>
      </c>
      <c r="E339" s="876">
        <v>-2431841</v>
      </c>
      <c r="F339" s="876">
        <v>-2625199</v>
      </c>
      <c r="G339" s="876">
        <v>-2722713</v>
      </c>
      <c r="H339" s="876">
        <v>-2829937</v>
      </c>
    </row>
    <row r="340" spans="1:8" x14ac:dyDescent="0.25">
      <c r="A340" s="875"/>
      <c r="B340" s="875" t="s">
        <v>925</v>
      </c>
      <c r="C340" s="876">
        <v>2355651</v>
      </c>
      <c r="D340" s="888">
        <v>2355651</v>
      </c>
      <c r="E340" s="876">
        <v>2431841</v>
      </c>
      <c r="F340" s="876">
        <v>2625199</v>
      </c>
      <c r="G340" s="876">
        <v>2722713</v>
      </c>
      <c r="H340" s="876">
        <v>2829937</v>
      </c>
    </row>
    <row r="341" spans="1:8" x14ac:dyDescent="0.25">
      <c r="A341" s="849" t="s">
        <v>1203</v>
      </c>
      <c r="B341" s="849"/>
      <c r="C341" s="855">
        <f t="shared" ref="C341:H341" si="20">SUBTOTAL(9,C339:C340)</f>
        <v>0</v>
      </c>
      <c r="D341" s="881">
        <f t="shared" si="20"/>
        <v>0</v>
      </c>
      <c r="E341" s="855">
        <f t="shared" si="20"/>
        <v>0</v>
      </c>
      <c r="F341" s="855">
        <f t="shared" si="20"/>
        <v>0</v>
      </c>
      <c r="G341" s="855">
        <f t="shared" si="20"/>
        <v>0</v>
      </c>
      <c r="H341" s="855">
        <f t="shared" si="20"/>
        <v>0</v>
      </c>
    </row>
    <row r="342" spans="1:8" x14ac:dyDescent="0.25">
      <c r="A342" s="849"/>
      <c r="B342" s="849"/>
      <c r="C342" s="855"/>
      <c r="D342" s="881"/>
      <c r="E342" s="855"/>
      <c r="F342" s="855"/>
      <c r="G342" s="855"/>
      <c r="H342" s="855"/>
    </row>
    <row r="343" spans="1:8" x14ac:dyDescent="0.25">
      <c r="A343" s="874" t="s">
        <v>1204</v>
      </c>
      <c r="B343" s="849"/>
      <c r="C343" s="855"/>
      <c r="D343" s="881"/>
      <c r="E343" s="855"/>
      <c r="F343" s="855"/>
      <c r="G343" s="855"/>
      <c r="H343" s="855"/>
    </row>
    <row r="344" spans="1:8" x14ac:dyDescent="0.25">
      <c r="A344" s="875"/>
      <c r="B344" s="875" t="s">
        <v>992</v>
      </c>
      <c r="C344" s="876">
        <v>-4891957</v>
      </c>
      <c r="D344" s="888">
        <v>-4975491</v>
      </c>
      <c r="E344" s="876">
        <v>-5297219</v>
      </c>
      <c r="F344" s="876">
        <v>-5406689</v>
      </c>
      <c r="G344" s="876">
        <v>-5519482</v>
      </c>
      <c r="H344" s="876">
        <v>-5632462</v>
      </c>
    </row>
    <row r="345" spans="1:8" x14ac:dyDescent="0.25">
      <c r="A345" s="875"/>
      <c r="B345" s="875" t="s">
        <v>925</v>
      </c>
      <c r="C345" s="876">
        <v>4297037</v>
      </c>
      <c r="D345" s="888">
        <v>4677733.71</v>
      </c>
      <c r="E345" s="876">
        <v>4611607</v>
      </c>
      <c r="F345" s="876">
        <v>4716261</v>
      </c>
      <c r="G345" s="876">
        <v>4823995</v>
      </c>
      <c r="H345" s="876">
        <v>4934964</v>
      </c>
    </row>
    <row r="346" spans="1:8" x14ac:dyDescent="0.25">
      <c r="A346" s="849" t="s">
        <v>1205</v>
      </c>
      <c r="B346" s="849"/>
      <c r="C346" s="855">
        <f t="shared" ref="C346:H346" si="21">SUBTOTAL(9,C344:C345)</f>
        <v>-594920</v>
      </c>
      <c r="D346" s="881">
        <f t="shared" si="21"/>
        <v>-297757.29000000004</v>
      </c>
      <c r="E346" s="855">
        <f t="shared" si="21"/>
        <v>-685612</v>
      </c>
      <c r="F346" s="855">
        <f t="shared" si="21"/>
        <v>-690428</v>
      </c>
      <c r="G346" s="855">
        <f t="shared" si="21"/>
        <v>-695487</v>
      </c>
      <c r="H346" s="855">
        <f t="shared" si="21"/>
        <v>-697498</v>
      </c>
    </row>
    <row r="347" spans="1:8" x14ac:dyDescent="0.25">
      <c r="A347" s="849"/>
      <c r="B347" s="849"/>
      <c r="C347" s="855"/>
      <c r="D347" s="881"/>
      <c r="E347" s="855"/>
      <c r="F347" s="855"/>
      <c r="G347" s="855"/>
      <c r="H347" s="855"/>
    </row>
    <row r="348" spans="1:8" x14ac:dyDescent="0.25">
      <c r="A348" s="849"/>
      <c r="B348" s="849"/>
      <c r="C348" s="855"/>
      <c r="D348" s="881"/>
      <c r="E348" s="855"/>
      <c r="F348" s="855"/>
      <c r="G348" s="855"/>
      <c r="H348" s="855"/>
    </row>
    <row r="349" spans="1:8" x14ac:dyDescent="0.25">
      <c r="A349" s="849"/>
      <c r="B349" s="849"/>
      <c r="C349" s="855"/>
      <c r="D349" s="881"/>
      <c r="E349" s="855"/>
      <c r="F349" s="855"/>
      <c r="G349" s="855"/>
      <c r="H349" s="855"/>
    </row>
    <row r="350" spans="1:8" x14ac:dyDescent="0.25">
      <c r="A350" s="872" t="s">
        <v>1191</v>
      </c>
    </row>
    <row r="352" spans="1:8" ht="26.4" x14ac:dyDescent="0.25">
      <c r="C352" s="850" t="s">
        <v>1168</v>
      </c>
      <c r="D352" s="877" t="s">
        <v>1169</v>
      </c>
      <c r="E352" s="850" t="s">
        <v>1170</v>
      </c>
      <c r="F352" s="851" t="s">
        <v>1172</v>
      </c>
      <c r="G352" s="851" t="s">
        <v>1173</v>
      </c>
      <c r="H352" s="851" t="s">
        <v>1174</v>
      </c>
    </row>
    <row r="353" spans="1:8" x14ac:dyDescent="0.25">
      <c r="A353" s="849"/>
      <c r="B353" s="849"/>
      <c r="C353" s="855"/>
      <c r="D353" s="881"/>
      <c r="E353" s="855"/>
      <c r="F353" s="855"/>
      <c r="G353" s="855"/>
      <c r="H353" s="855"/>
    </row>
    <row r="354" spans="1:8" x14ac:dyDescent="0.25">
      <c r="A354" s="874" t="s">
        <v>1206</v>
      </c>
      <c r="B354" s="849"/>
      <c r="C354" s="855"/>
      <c r="D354" s="881"/>
      <c r="E354" s="855"/>
      <c r="F354" s="855"/>
      <c r="G354" s="855"/>
      <c r="H354" s="855"/>
    </row>
    <row r="355" spans="1:8" x14ac:dyDescent="0.25">
      <c r="A355" s="875"/>
      <c r="B355" s="875" t="s">
        <v>992</v>
      </c>
      <c r="C355" s="876">
        <v>-260000</v>
      </c>
      <c r="D355" s="888">
        <v>-260000</v>
      </c>
      <c r="E355" s="876">
        <v>-88000</v>
      </c>
      <c r="F355" s="876">
        <v>-89730</v>
      </c>
      <c r="G355" s="876">
        <v>-91493</v>
      </c>
      <c r="H355" s="876">
        <v>-93293</v>
      </c>
    </row>
    <row r="356" spans="1:8" x14ac:dyDescent="0.25">
      <c r="A356" s="875"/>
      <c r="B356" s="875" t="s">
        <v>925</v>
      </c>
      <c r="C356" s="876">
        <v>752404</v>
      </c>
      <c r="D356" s="888">
        <v>794734</v>
      </c>
      <c r="E356" s="876">
        <v>1115548</v>
      </c>
      <c r="F356" s="876">
        <v>1141315</v>
      </c>
      <c r="G356" s="876">
        <v>1167515</v>
      </c>
      <c r="H356" s="876">
        <v>1194171</v>
      </c>
    </row>
    <row r="357" spans="1:8" x14ac:dyDescent="0.25">
      <c r="A357" s="849" t="s">
        <v>1207</v>
      </c>
      <c r="B357" s="849"/>
      <c r="C357" s="855">
        <f t="shared" ref="C357:H357" si="22">SUBTOTAL(9,C355:C356)</f>
        <v>492404</v>
      </c>
      <c r="D357" s="881">
        <f t="shared" si="22"/>
        <v>534734</v>
      </c>
      <c r="E357" s="855">
        <f t="shared" si="22"/>
        <v>1027548</v>
      </c>
      <c r="F357" s="855">
        <f t="shared" si="22"/>
        <v>1051585</v>
      </c>
      <c r="G357" s="855">
        <f t="shared" si="22"/>
        <v>1076022</v>
      </c>
      <c r="H357" s="855">
        <f t="shared" si="22"/>
        <v>1100878</v>
      </c>
    </row>
    <row r="358" spans="1:8" x14ac:dyDescent="0.25">
      <c r="A358" s="849"/>
      <c r="B358" s="849"/>
      <c r="C358" s="855"/>
      <c r="D358" s="881"/>
      <c r="E358" s="855"/>
      <c r="F358" s="855"/>
      <c r="G358" s="855"/>
      <c r="H358" s="855"/>
    </row>
    <row r="359" spans="1:8" x14ac:dyDescent="0.25">
      <c r="A359" s="874" t="s">
        <v>1208</v>
      </c>
      <c r="B359" s="849"/>
      <c r="C359" s="855"/>
      <c r="D359" s="881"/>
      <c r="E359" s="855"/>
      <c r="F359" s="855"/>
      <c r="G359" s="855"/>
      <c r="H359" s="855"/>
    </row>
    <row r="360" spans="1:8" x14ac:dyDescent="0.25">
      <c r="A360" s="875"/>
      <c r="B360" s="875" t="s">
        <v>992</v>
      </c>
      <c r="C360" s="876">
        <v>-42000</v>
      </c>
      <c r="D360" s="888">
        <v>-42000</v>
      </c>
      <c r="E360" s="876">
        <v>-42000</v>
      </c>
      <c r="F360" s="876">
        <v>-42840</v>
      </c>
      <c r="G360" s="876">
        <v>-43696</v>
      </c>
      <c r="H360" s="876">
        <v>-44570</v>
      </c>
    </row>
    <row r="361" spans="1:8" x14ac:dyDescent="0.25">
      <c r="A361" s="875"/>
      <c r="B361" s="875" t="s">
        <v>925</v>
      </c>
      <c r="C361" s="876">
        <v>709564</v>
      </c>
      <c r="D361" s="888">
        <v>700958</v>
      </c>
      <c r="E361" s="876">
        <v>675005</v>
      </c>
      <c r="F361" s="876">
        <v>692890</v>
      </c>
      <c r="G361" s="876">
        <v>711260</v>
      </c>
      <c r="H361" s="876">
        <v>730135</v>
      </c>
    </row>
    <row r="362" spans="1:8" x14ac:dyDescent="0.25">
      <c r="A362" s="849" t="s">
        <v>1209</v>
      </c>
      <c r="B362" s="849"/>
      <c r="C362" s="855">
        <f t="shared" ref="C362:H362" si="23">SUBTOTAL(9,C360:C361)</f>
        <v>667564</v>
      </c>
      <c r="D362" s="881">
        <f t="shared" si="23"/>
        <v>658958</v>
      </c>
      <c r="E362" s="855">
        <f t="shared" si="23"/>
        <v>633005</v>
      </c>
      <c r="F362" s="855">
        <f t="shared" si="23"/>
        <v>650050</v>
      </c>
      <c r="G362" s="855">
        <f t="shared" si="23"/>
        <v>667564</v>
      </c>
      <c r="H362" s="855">
        <f t="shared" si="23"/>
        <v>685565</v>
      </c>
    </row>
    <row r="363" spans="1:8" x14ac:dyDescent="0.25">
      <c r="A363" s="849"/>
      <c r="B363" s="849"/>
      <c r="C363" s="855"/>
      <c r="D363" s="881"/>
      <c r="E363" s="855"/>
      <c r="F363" s="855"/>
      <c r="G363" s="855"/>
      <c r="H363" s="855"/>
    </row>
    <row r="364" spans="1:8" x14ac:dyDescent="0.25">
      <c r="A364" s="874" t="s">
        <v>1210</v>
      </c>
      <c r="B364" s="849"/>
      <c r="C364" s="855"/>
      <c r="D364" s="881"/>
      <c r="E364" s="855"/>
      <c r="F364" s="855"/>
      <c r="G364" s="855"/>
      <c r="H364" s="855"/>
    </row>
    <row r="365" spans="1:8" x14ac:dyDescent="0.25">
      <c r="A365" s="875"/>
      <c r="B365" s="875" t="s">
        <v>992</v>
      </c>
      <c r="C365" s="876">
        <v>-272210</v>
      </c>
      <c r="D365" s="888">
        <v>-252450</v>
      </c>
      <c r="E365" s="876">
        <v>-215000</v>
      </c>
      <c r="F365" s="876">
        <v>-219300</v>
      </c>
      <c r="G365" s="876">
        <v>-223679</v>
      </c>
      <c r="H365" s="876">
        <v>-228152</v>
      </c>
    </row>
    <row r="366" spans="1:8" x14ac:dyDescent="0.25">
      <c r="A366" s="875"/>
      <c r="B366" s="875" t="s">
        <v>925</v>
      </c>
      <c r="C366" s="876">
        <v>1988102</v>
      </c>
      <c r="D366" s="888">
        <v>1995202</v>
      </c>
      <c r="E366" s="876">
        <v>1963610</v>
      </c>
      <c r="F366" s="876">
        <v>2032491</v>
      </c>
      <c r="G366" s="876">
        <v>2102137</v>
      </c>
      <c r="H366" s="876">
        <v>2172844</v>
      </c>
    </row>
    <row r="367" spans="1:8" x14ac:dyDescent="0.25">
      <c r="A367" s="849" t="s">
        <v>1211</v>
      </c>
      <c r="B367" s="849"/>
      <c r="C367" s="855">
        <f t="shared" ref="C367:H367" si="24">SUBTOTAL(9,C365:C366)</f>
        <v>1715892</v>
      </c>
      <c r="D367" s="881">
        <f t="shared" si="24"/>
        <v>1742752</v>
      </c>
      <c r="E367" s="855">
        <f t="shared" si="24"/>
        <v>1748610</v>
      </c>
      <c r="F367" s="855">
        <f t="shared" si="24"/>
        <v>1813191</v>
      </c>
      <c r="G367" s="855">
        <f t="shared" si="24"/>
        <v>1878458</v>
      </c>
      <c r="H367" s="855">
        <f t="shared" si="24"/>
        <v>1944692</v>
      </c>
    </row>
    <row r="368" spans="1:8" x14ac:dyDescent="0.25">
      <c r="A368" s="849"/>
      <c r="B368" s="849"/>
      <c r="C368" s="855"/>
      <c r="D368" s="881"/>
      <c r="E368" s="855"/>
      <c r="F368" s="855"/>
      <c r="G368" s="855"/>
      <c r="H368" s="855"/>
    </row>
    <row r="369" spans="1:8" x14ac:dyDescent="0.25">
      <c r="A369" s="874" t="s">
        <v>1212</v>
      </c>
      <c r="B369" s="849"/>
      <c r="C369" s="855"/>
      <c r="D369" s="881"/>
      <c r="E369" s="855"/>
      <c r="F369" s="855"/>
      <c r="G369" s="855"/>
      <c r="H369" s="855"/>
    </row>
    <row r="370" spans="1:8" x14ac:dyDescent="0.25">
      <c r="A370" s="875"/>
      <c r="B370" s="875" t="s">
        <v>992</v>
      </c>
      <c r="C370" s="876">
        <v>-19231237</v>
      </c>
      <c r="D370" s="888">
        <v>-20616945</v>
      </c>
      <c r="E370" s="876">
        <v>-19990799</v>
      </c>
      <c r="F370" s="876">
        <v>-20771660</v>
      </c>
      <c r="G370" s="876">
        <v>-21983462</v>
      </c>
      <c r="H370" s="876">
        <v>-22764156</v>
      </c>
    </row>
    <row r="371" spans="1:8" x14ac:dyDescent="0.25">
      <c r="A371" s="875"/>
      <c r="B371" s="875" t="s">
        <v>925</v>
      </c>
      <c r="C371" s="876">
        <v>1198762</v>
      </c>
      <c r="D371" s="888">
        <v>1261228</v>
      </c>
      <c r="E371" s="876">
        <v>1227452</v>
      </c>
      <c r="F371" s="876">
        <v>1255155</v>
      </c>
      <c r="G371" s="876">
        <v>1283632</v>
      </c>
      <c r="H371" s="876">
        <v>1312911</v>
      </c>
    </row>
    <row r="372" spans="1:8" x14ac:dyDescent="0.25">
      <c r="A372" s="849" t="s">
        <v>1213</v>
      </c>
      <c r="B372" s="849"/>
      <c r="C372" s="855">
        <f t="shared" ref="C372:H372" si="25">SUBTOTAL(9,C370:C371)</f>
        <v>-18032475</v>
      </c>
      <c r="D372" s="881">
        <f t="shared" si="25"/>
        <v>-19355717</v>
      </c>
      <c r="E372" s="855">
        <f t="shared" si="25"/>
        <v>-18763347</v>
      </c>
      <c r="F372" s="855">
        <f t="shared" si="25"/>
        <v>-19516505</v>
      </c>
      <c r="G372" s="855">
        <f t="shared" si="25"/>
        <v>-20699830</v>
      </c>
      <c r="H372" s="855">
        <f t="shared" si="25"/>
        <v>-21451245</v>
      </c>
    </row>
    <row r="373" spans="1:8" x14ac:dyDescent="0.25">
      <c r="A373" s="849"/>
      <c r="B373" s="849"/>
      <c r="C373" s="855"/>
      <c r="D373" s="881"/>
      <c r="E373" s="855"/>
      <c r="F373" s="855"/>
      <c r="G373" s="855"/>
      <c r="H373" s="855"/>
    </row>
    <row r="374" spans="1:8" x14ac:dyDescent="0.25">
      <c r="A374" s="874" t="s">
        <v>1214</v>
      </c>
      <c r="B374" s="849"/>
      <c r="C374" s="855"/>
      <c r="D374" s="881"/>
      <c r="E374" s="855"/>
      <c r="F374" s="855"/>
      <c r="G374" s="855"/>
      <c r="H374" s="855"/>
    </row>
    <row r="375" spans="1:8" x14ac:dyDescent="0.25">
      <c r="A375" s="875"/>
      <c r="B375" s="875" t="s">
        <v>992</v>
      </c>
      <c r="C375" s="876">
        <v>-39500</v>
      </c>
      <c r="D375" s="888">
        <v>-39500</v>
      </c>
      <c r="E375" s="876">
        <v>-26700</v>
      </c>
      <c r="F375" s="876">
        <v>-27234</v>
      </c>
      <c r="G375" s="876">
        <v>-27777</v>
      </c>
      <c r="H375" s="876">
        <v>-28352</v>
      </c>
    </row>
    <row r="376" spans="1:8" x14ac:dyDescent="0.25">
      <c r="A376" s="875"/>
      <c r="B376" s="875" t="s">
        <v>925</v>
      </c>
      <c r="C376" s="876">
        <v>311153</v>
      </c>
      <c r="D376" s="888">
        <v>319153</v>
      </c>
      <c r="E376" s="876">
        <v>316482</v>
      </c>
      <c r="F376" s="876">
        <v>324387</v>
      </c>
      <c r="G376" s="876">
        <v>332772</v>
      </c>
      <c r="H376" s="876">
        <v>341393</v>
      </c>
    </row>
    <row r="377" spans="1:8" x14ac:dyDescent="0.25">
      <c r="A377" s="849" t="s">
        <v>1215</v>
      </c>
      <c r="B377" s="849"/>
      <c r="C377" s="855">
        <f t="shared" ref="C377:H377" si="26">SUBTOTAL(9,C375:C376)</f>
        <v>271653</v>
      </c>
      <c r="D377" s="881">
        <f t="shared" si="26"/>
        <v>279653</v>
      </c>
      <c r="E377" s="855">
        <f t="shared" si="26"/>
        <v>289782</v>
      </c>
      <c r="F377" s="855">
        <f t="shared" si="26"/>
        <v>297153</v>
      </c>
      <c r="G377" s="855">
        <f t="shared" si="26"/>
        <v>304995</v>
      </c>
      <c r="H377" s="855">
        <f t="shared" si="26"/>
        <v>313041</v>
      </c>
    </row>
    <row r="378" spans="1:8" x14ac:dyDescent="0.25">
      <c r="A378" s="849"/>
      <c r="B378" s="849"/>
      <c r="C378" s="855"/>
      <c r="D378" s="881"/>
      <c r="E378" s="855"/>
      <c r="F378" s="855"/>
      <c r="G378" s="855"/>
      <c r="H378" s="855"/>
    </row>
    <row r="379" spans="1:8" x14ac:dyDescent="0.25">
      <c r="A379" s="874" t="s">
        <v>1216</v>
      </c>
      <c r="B379" s="849"/>
      <c r="C379" s="855"/>
      <c r="D379" s="881"/>
      <c r="E379" s="855"/>
      <c r="F379" s="855"/>
      <c r="G379" s="855"/>
      <c r="H379" s="855"/>
    </row>
    <row r="380" spans="1:8" x14ac:dyDescent="0.25">
      <c r="A380" s="875"/>
      <c r="B380" s="875" t="s">
        <v>992</v>
      </c>
      <c r="C380" s="876">
        <v>-190100</v>
      </c>
      <c r="D380" s="888">
        <v>-190100</v>
      </c>
      <c r="E380" s="876">
        <v>-178250</v>
      </c>
      <c r="F380" s="876">
        <v>-181811</v>
      </c>
      <c r="G380" s="876">
        <v>-183562</v>
      </c>
      <c r="H380" s="876">
        <v>-189147</v>
      </c>
    </row>
    <row r="381" spans="1:8" x14ac:dyDescent="0.25">
      <c r="A381" s="875"/>
      <c r="B381" s="875" t="s">
        <v>925</v>
      </c>
      <c r="C381" s="876">
        <v>791662</v>
      </c>
      <c r="D381" s="888">
        <v>793462</v>
      </c>
      <c r="E381" s="876">
        <v>804872</v>
      </c>
      <c r="F381" s="876">
        <v>826782</v>
      </c>
      <c r="G381" s="876">
        <v>849292</v>
      </c>
      <c r="H381" s="876">
        <v>872435</v>
      </c>
    </row>
    <row r="382" spans="1:8" x14ac:dyDescent="0.25">
      <c r="A382" s="849" t="s">
        <v>1217</v>
      </c>
      <c r="B382" s="849"/>
      <c r="C382" s="855">
        <f t="shared" ref="C382:H382" si="27">SUBTOTAL(9,C380:C381)</f>
        <v>601562</v>
      </c>
      <c r="D382" s="881">
        <f t="shared" si="27"/>
        <v>603362</v>
      </c>
      <c r="E382" s="855">
        <f t="shared" si="27"/>
        <v>626622</v>
      </c>
      <c r="F382" s="855">
        <f t="shared" si="27"/>
        <v>644971</v>
      </c>
      <c r="G382" s="855">
        <f t="shared" si="27"/>
        <v>665730</v>
      </c>
      <c r="H382" s="855">
        <f t="shared" si="27"/>
        <v>683288</v>
      </c>
    </row>
    <row r="383" spans="1:8" x14ac:dyDescent="0.25">
      <c r="A383" s="849"/>
      <c r="B383" s="849"/>
      <c r="C383" s="855"/>
      <c r="D383" s="881"/>
      <c r="E383" s="855"/>
      <c r="F383" s="855"/>
      <c r="G383" s="855"/>
      <c r="H383" s="855"/>
    </row>
    <row r="384" spans="1:8" x14ac:dyDescent="0.25">
      <c r="A384" s="874" t="s">
        <v>1218</v>
      </c>
      <c r="B384" s="849"/>
      <c r="C384" s="855"/>
      <c r="D384" s="881"/>
      <c r="E384" s="855"/>
      <c r="F384" s="855"/>
      <c r="G384" s="855"/>
      <c r="H384" s="855"/>
    </row>
    <row r="385" spans="1:8" x14ac:dyDescent="0.25">
      <c r="A385" s="875"/>
      <c r="B385" s="875" t="s">
        <v>925</v>
      </c>
      <c r="C385" s="876">
        <v>681706</v>
      </c>
      <c r="D385" s="888">
        <v>716706</v>
      </c>
      <c r="E385" s="876">
        <v>904851</v>
      </c>
      <c r="F385" s="876">
        <v>927168</v>
      </c>
      <c r="G385" s="876">
        <v>950432</v>
      </c>
      <c r="H385" s="876">
        <v>940878</v>
      </c>
    </row>
    <row r="386" spans="1:8" x14ac:dyDescent="0.25">
      <c r="A386" s="849" t="s">
        <v>1219</v>
      </c>
      <c r="B386" s="849"/>
      <c r="C386" s="855">
        <f t="shared" ref="C386:H386" si="28">SUBTOTAL(9,C385:C385)</f>
        <v>681706</v>
      </c>
      <c r="D386" s="881">
        <f t="shared" si="28"/>
        <v>716706</v>
      </c>
      <c r="E386" s="855">
        <f t="shared" si="28"/>
        <v>904851</v>
      </c>
      <c r="F386" s="855">
        <f t="shared" si="28"/>
        <v>927168</v>
      </c>
      <c r="G386" s="855">
        <f t="shared" si="28"/>
        <v>950432</v>
      </c>
      <c r="H386" s="855">
        <f t="shared" si="28"/>
        <v>940878</v>
      </c>
    </row>
    <row r="387" spans="1:8" x14ac:dyDescent="0.25">
      <c r="A387" s="849"/>
      <c r="B387" s="849"/>
      <c r="C387" s="855"/>
      <c r="D387" s="881"/>
      <c r="E387" s="855"/>
      <c r="F387" s="855"/>
      <c r="G387" s="855"/>
      <c r="H387" s="855"/>
    </row>
    <row r="388" spans="1:8" x14ac:dyDescent="0.25">
      <c r="A388" s="874" t="s">
        <v>1220</v>
      </c>
      <c r="B388" s="849"/>
      <c r="C388" s="855"/>
      <c r="D388" s="881"/>
      <c r="E388" s="855"/>
      <c r="F388" s="855"/>
      <c r="G388" s="855"/>
      <c r="H388" s="855"/>
    </row>
    <row r="389" spans="1:8" x14ac:dyDescent="0.25">
      <c r="A389" s="875"/>
      <c r="B389" s="875" t="s">
        <v>925</v>
      </c>
      <c r="C389" s="876">
        <v>683403</v>
      </c>
      <c r="D389" s="888">
        <v>683403</v>
      </c>
      <c r="E389" s="876">
        <v>697378</v>
      </c>
      <c r="F389" s="876">
        <v>711232</v>
      </c>
      <c r="G389" s="876">
        <v>725453</v>
      </c>
      <c r="H389" s="876">
        <v>739961</v>
      </c>
    </row>
    <row r="390" spans="1:8" x14ac:dyDescent="0.25">
      <c r="A390" s="849" t="s">
        <v>1221</v>
      </c>
      <c r="B390" s="849"/>
      <c r="C390" s="855">
        <f t="shared" ref="C390:H390" si="29">SUBTOTAL(9,C389:C389)</f>
        <v>683403</v>
      </c>
      <c r="D390" s="881">
        <f t="shared" si="29"/>
        <v>683403</v>
      </c>
      <c r="E390" s="855">
        <f t="shared" si="29"/>
        <v>697378</v>
      </c>
      <c r="F390" s="855">
        <f t="shared" si="29"/>
        <v>711232</v>
      </c>
      <c r="G390" s="855">
        <f t="shared" si="29"/>
        <v>725453</v>
      </c>
      <c r="H390" s="855">
        <f t="shared" si="29"/>
        <v>739961</v>
      </c>
    </row>
    <row r="391" spans="1:8" x14ac:dyDescent="0.25">
      <c r="A391" s="849"/>
      <c r="B391" s="849"/>
      <c r="C391" s="855"/>
      <c r="D391" s="881"/>
      <c r="E391" s="855"/>
      <c r="F391" s="855"/>
      <c r="G391" s="855"/>
      <c r="H391" s="855"/>
    </row>
    <row r="392" spans="1:8" x14ac:dyDescent="0.25">
      <c r="A392" s="849"/>
      <c r="B392" s="849"/>
      <c r="C392" s="855"/>
      <c r="D392" s="881"/>
      <c r="E392" s="855"/>
      <c r="F392" s="855"/>
      <c r="G392" s="855"/>
      <c r="H392" s="855"/>
    </row>
    <row r="393" spans="1:8" x14ac:dyDescent="0.25">
      <c r="A393" s="872" t="s">
        <v>1191</v>
      </c>
    </row>
    <row r="395" spans="1:8" ht="26.4" x14ac:dyDescent="0.25">
      <c r="C395" s="850" t="s">
        <v>1168</v>
      </c>
      <c r="D395" s="877" t="s">
        <v>1169</v>
      </c>
      <c r="E395" s="850" t="s">
        <v>1170</v>
      </c>
      <c r="F395" s="851" t="s">
        <v>1172</v>
      </c>
      <c r="G395" s="851" t="s">
        <v>1173</v>
      </c>
      <c r="H395" s="851" t="s">
        <v>1174</v>
      </c>
    </row>
    <row r="396" spans="1:8" x14ac:dyDescent="0.25">
      <c r="A396" s="849"/>
      <c r="B396" s="849"/>
      <c r="C396" s="855"/>
      <c r="D396" s="881"/>
      <c r="E396" s="855"/>
      <c r="F396" s="855"/>
      <c r="G396" s="855"/>
      <c r="H396" s="855"/>
    </row>
    <row r="397" spans="1:8" x14ac:dyDescent="0.25">
      <c r="A397" s="874" t="s">
        <v>1222</v>
      </c>
      <c r="B397" s="849"/>
      <c r="C397" s="855"/>
      <c r="D397" s="881"/>
      <c r="E397" s="855"/>
      <c r="F397" s="855"/>
      <c r="G397" s="855"/>
      <c r="H397" s="855"/>
    </row>
    <row r="398" spans="1:8" x14ac:dyDescent="0.25">
      <c r="A398" s="875"/>
      <c r="B398" s="875" t="s">
        <v>992</v>
      </c>
      <c r="C398" s="876">
        <v>-234000</v>
      </c>
      <c r="D398" s="888">
        <v>-192038</v>
      </c>
      <c r="E398" s="876">
        <v>-195000</v>
      </c>
      <c r="F398" s="876">
        <v>-198900</v>
      </c>
      <c r="G398" s="876">
        <v>-202878</v>
      </c>
      <c r="H398" s="876">
        <v>-206935</v>
      </c>
    </row>
    <row r="399" spans="1:8" x14ac:dyDescent="0.25">
      <c r="A399" s="875"/>
      <c r="B399" s="875" t="s">
        <v>925</v>
      </c>
      <c r="C399" s="876">
        <v>809643</v>
      </c>
      <c r="D399" s="888">
        <v>872961</v>
      </c>
      <c r="E399" s="876">
        <v>860976</v>
      </c>
      <c r="F399" s="876">
        <v>879134</v>
      </c>
      <c r="G399" s="876">
        <v>897885</v>
      </c>
      <c r="H399" s="876">
        <v>917043</v>
      </c>
    </row>
    <row r="400" spans="1:8" x14ac:dyDescent="0.25">
      <c r="A400" s="849" t="s">
        <v>1223</v>
      </c>
      <c r="B400" s="849"/>
      <c r="C400" s="855">
        <f t="shared" ref="C400:H400" si="30">SUBTOTAL(9,C398:C399)</f>
        <v>575643</v>
      </c>
      <c r="D400" s="881">
        <f t="shared" si="30"/>
        <v>680923</v>
      </c>
      <c r="E400" s="855">
        <f t="shared" si="30"/>
        <v>665976</v>
      </c>
      <c r="F400" s="855">
        <f t="shared" si="30"/>
        <v>680234</v>
      </c>
      <c r="G400" s="855">
        <f t="shared" si="30"/>
        <v>695007</v>
      </c>
      <c r="H400" s="855">
        <f t="shared" si="30"/>
        <v>710108</v>
      </c>
    </row>
    <row r="401" spans="1:8" x14ac:dyDescent="0.25">
      <c r="A401" s="849"/>
      <c r="B401" s="849"/>
      <c r="C401" s="855"/>
      <c r="D401" s="881"/>
      <c r="E401" s="855"/>
      <c r="F401" s="855"/>
      <c r="G401" s="855"/>
      <c r="H401" s="855"/>
    </row>
    <row r="402" spans="1:8" x14ac:dyDescent="0.25">
      <c r="A402" s="874" t="s">
        <v>1224</v>
      </c>
      <c r="B402" s="849"/>
      <c r="C402" s="855"/>
      <c r="D402" s="881"/>
      <c r="E402" s="855"/>
      <c r="F402" s="855"/>
      <c r="G402" s="855"/>
      <c r="H402" s="855"/>
    </row>
    <row r="403" spans="1:8" x14ac:dyDescent="0.25">
      <c r="A403" s="875"/>
      <c r="B403" s="875" t="s">
        <v>992</v>
      </c>
      <c r="C403" s="876">
        <v>-532750</v>
      </c>
      <c r="D403" s="888">
        <v>-562873</v>
      </c>
      <c r="E403" s="876">
        <v>-545050</v>
      </c>
      <c r="F403" s="876">
        <v>-556201</v>
      </c>
      <c r="G403" s="876">
        <v>-567569</v>
      </c>
      <c r="H403" s="876">
        <v>-579192</v>
      </c>
    </row>
    <row r="404" spans="1:8" x14ac:dyDescent="0.25">
      <c r="A404" s="875"/>
      <c r="B404" s="875" t="s">
        <v>925</v>
      </c>
      <c r="C404" s="876">
        <v>710643</v>
      </c>
      <c r="D404" s="888">
        <v>764729</v>
      </c>
      <c r="E404" s="876">
        <v>860199</v>
      </c>
      <c r="F404" s="876">
        <v>882190</v>
      </c>
      <c r="G404" s="876">
        <v>904769</v>
      </c>
      <c r="H404" s="876">
        <v>927958</v>
      </c>
    </row>
    <row r="405" spans="1:8" x14ac:dyDescent="0.25">
      <c r="A405" s="849" t="s">
        <v>1225</v>
      </c>
      <c r="B405" s="849"/>
      <c r="C405" s="855">
        <f t="shared" ref="C405:H405" si="31">SUBTOTAL(9,C403:C404)</f>
        <v>177893</v>
      </c>
      <c r="D405" s="881">
        <f t="shared" si="31"/>
        <v>201856</v>
      </c>
      <c r="E405" s="855">
        <f t="shared" si="31"/>
        <v>315149</v>
      </c>
      <c r="F405" s="855">
        <f t="shared" si="31"/>
        <v>325989</v>
      </c>
      <c r="G405" s="855">
        <f t="shared" si="31"/>
        <v>337200</v>
      </c>
      <c r="H405" s="855">
        <f t="shared" si="31"/>
        <v>348766</v>
      </c>
    </row>
    <row r="406" spans="1:8" x14ac:dyDescent="0.25">
      <c r="A406" s="849"/>
      <c r="B406" s="849"/>
      <c r="C406" s="855"/>
      <c r="D406" s="881"/>
      <c r="E406" s="855"/>
      <c r="F406" s="855"/>
      <c r="G406" s="855"/>
      <c r="H406" s="855"/>
    </row>
    <row r="407" spans="1:8" x14ac:dyDescent="0.25">
      <c r="A407" s="874" t="s">
        <v>1226</v>
      </c>
      <c r="B407" s="849"/>
      <c r="C407" s="855"/>
      <c r="D407" s="881"/>
      <c r="E407" s="855"/>
      <c r="F407" s="855"/>
      <c r="G407" s="855"/>
      <c r="H407" s="855"/>
    </row>
    <row r="408" spans="1:8" x14ac:dyDescent="0.25">
      <c r="A408" s="875"/>
      <c r="B408" s="875" t="s">
        <v>992</v>
      </c>
      <c r="C408" s="876">
        <v>-135200</v>
      </c>
      <c r="D408" s="888">
        <v>-135200</v>
      </c>
      <c r="E408" s="876">
        <v>-94000</v>
      </c>
      <c r="F408" s="876">
        <v>-95880</v>
      </c>
      <c r="G408" s="876">
        <v>-97795</v>
      </c>
      <c r="H408" s="876">
        <v>-99750</v>
      </c>
    </row>
    <row r="409" spans="1:8" x14ac:dyDescent="0.25">
      <c r="A409" s="875"/>
      <c r="B409" s="875" t="s">
        <v>925</v>
      </c>
      <c r="C409" s="876">
        <v>264956</v>
      </c>
      <c r="D409" s="888">
        <v>258862</v>
      </c>
      <c r="E409" s="876">
        <v>256360</v>
      </c>
      <c r="F409" s="876">
        <v>263519</v>
      </c>
      <c r="G409" s="876">
        <v>270880</v>
      </c>
      <c r="H409" s="876">
        <v>278449</v>
      </c>
    </row>
    <row r="410" spans="1:8" x14ac:dyDescent="0.25">
      <c r="A410" s="849" t="s">
        <v>1227</v>
      </c>
      <c r="B410" s="849"/>
      <c r="C410" s="855">
        <f t="shared" ref="C410:H410" si="32">SUBTOTAL(9,C408:C409)</f>
        <v>129756</v>
      </c>
      <c r="D410" s="881">
        <f t="shared" si="32"/>
        <v>123662</v>
      </c>
      <c r="E410" s="855">
        <f t="shared" si="32"/>
        <v>162360</v>
      </c>
      <c r="F410" s="855">
        <f t="shared" si="32"/>
        <v>167639</v>
      </c>
      <c r="G410" s="855">
        <f t="shared" si="32"/>
        <v>173085</v>
      </c>
      <c r="H410" s="855">
        <f t="shared" si="32"/>
        <v>178699</v>
      </c>
    </row>
    <row r="411" spans="1:8" x14ac:dyDescent="0.25">
      <c r="A411" s="849"/>
      <c r="B411" s="849"/>
      <c r="C411" s="855"/>
      <c r="D411" s="881"/>
      <c r="E411" s="855"/>
      <c r="F411" s="855"/>
      <c r="G411" s="855"/>
      <c r="H411" s="855"/>
    </row>
    <row r="412" spans="1:8" x14ac:dyDescent="0.25">
      <c r="A412" s="874" t="s">
        <v>1228</v>
      </c>
      <c r="B412" s="849"/>
      <c r="C412" s="855"/>
      <c r="D412" s="881"/>
      <c r="E412" s="855"/>
      <c r="F412" s="855"/>
      <c r="G412" s="855"/>
      <c r="H412" s="855"/>
    </row>
    <row r="413" spans="1:8" x14ac:dyDescent="0.25">
      <c r="A413" s="875"/>
      <c r="B413" s="875" t="s">
        <v>992</v>
      </c>
      <c r="C413" s="876">
        <v>-15000</v>
      </c>
      <c r="D413" s="888">
        <v>-15000</v>
      </c>
      <c r="E413" s="876">
        <v>-33500</v>
      </c>
      <c r="F413" s="876">
        <v>-34170</v>
      </c>
      <c r="G413" s="876">
        <v>-34853</v>
      </c>
      <c r="H413" s="876">
        <v>-35550</v>
      </c>
    </row>
    <row r="414" spans="1:8" x14ac:dyDescent="0.25">
      <c r="A414" s="875"/>
      <c r="B414" s="875" t="s">
        <v>925</v>
      </c>
      <c r="C414" s="876">
        <v>680698</v>
      </c>
      <c r="D414" s="888">
        <v>856254</v>
      </c>
      <c r="E414" s="876">
        <v>596948</v>
      </c>
      <c r="F414" s="876">
        <v>610025</v>
      </c>
      <c r="G414" s="876">
        <v>623387</v>
      </c>
      <c r="H414" s="876">
        <v>637043</v>
      </c>
    </row>
    <row r="415" spans="1:8" x14ac:dyDescent="0.25">
      <c r="A415" s="849" t="s">
        <v>1229</v>
      </c>
      <c r="B415" s="849"/>
      <c r="C415" s="855">
        <f t="shared" ref="C415:H415" si="33">SUBTOTAL(9,C413:C414)</f>
        <v>665698</v>
      </c>
      <c r="D415" s="881">
        <f t="shared" si="33"/>
        <v>841254</v>
      </c>
      <c r="E415" s="855">
        <f t="shared" si="33"/>
        <v>563448</v>
      </c>
      <c r="F415" s="855">
        <f t="shared" si="33"/>
        <v>575855</v>
      </c>
      <c r="G415" s="855">
        <f t="shared" si="33"/>
        <v>588534</v>
      </c>
      <c r="H415" s="855">
        <f t="shared" si="33"/>
        <v>601493</v>
      </c>
    </row>
    <row r="416" spans="1:8" x14ac:dyDescent="0.25">
      <c r="A416" s="849"/>
      <c r="B416" s="849"/>
      <c r="C416" s="855"/>
      <c r="D416" s="881"/>
      <c r="E416" s="855"/>
      <c r="F416" s="855"/>
      <c r="G416" s="855"/>
      <c r="H416" s="855"/>
    </row>
    <row r="417" spans="1:8" x14ac:dyDescent="0.25">
      <c r="A417" s="874" t="s">
        <v>1230</v>
      </c>
      <c r="B417" s="849"/>
      <c r="C417" s="855"/>
      <c r="D417" s="881"/>
      <c r="E417" s="855"/>
      <c r="F417" s="855"/>
      <c r="G417" s="855"/>
      <c r="H417" s="855"/>
    </row>
    <row r="418" spans="1:8" x14ac:dyDescent="0.25">
      <c r="A418" s="875"/>
      <c r="B418" s="875" t="s">
        <v>992</v>
      </c>
      <c r="C418" s="876">
        <v>-40000</v>
      </c>
      <c r="D418" s="888">
        <v>-40000</v>
      </c>
      <c r="E418" s="876">
        <v>0</v>
      </c>
      <c r="F418" s="876">
        <v>0</v>
      </c>
      <c r="G418" s="876">
        <v>0</v>
      </c>
      <c r="H418" s="876">
        <v>0</v>
      </c>
    </row>
    <row r="419" spans="1:8" x14ac:dyDescent="0.25">
      <c r="A419" s="875"/>
      <c r="B419" s="875" t="s">
        <v>925</v>
      </c>
      <c r="C419" s="876">
        <v>936555</v>
      </c>
      <c r="D419" s="888">
        <v>931555</v>
      </c>
      <c r="E419" s="876">
        <v>835541</v>
      </c>
      <c r="F419" s="876">
        <v>856301</v>
      </c>
      <c r="G419" s="876">
        <v>877695</v>
      </c>
      <c r="H419" s="876">
        <v>899580</v>
      </c>
    </row>
    <row r="420" spans="1:8" x14ac:dyDescent="0.25">
      <c r="A420" s="849" t="s">
        <v>1231</v>
      </c>
      <c r="B420" s="849"/>
      <c r="C420" s="855">
        <f t="shared" ref="C420:H420" si="34">SUBTOTAL(9,C418:C419)</f>
        <v>896555</v>
      </c>
      <c r="D420" s="881">
        <f t="shared" si="34"/>
        <v>891555</v>
      </c>
      <c r="E420" s="855">
        <f t="shared" si="34"/>
        <v>835541</v>
      </c>
      <c r="F420" s="855">
        <f t="shared" si="34"/>
        <v>856301</v>
      </c>
      <c r="G420" s="855">
        <f t="shared" si="34"/>
        <v>877695</v>
      </c>
      <c r="H420" s="855">
        <f t="shared" si="34"/>
        <v>899580</v>
      </c>
    </row>
    <row r="421" spans="1:8" x14ac:dyDescent="0.25">
      <c r="A421" s="849"/>
      <c r="B421" s="849"/>
      <c r="C421" s="855"/>
      <c r="D421" s="881"/>
      <c r="E421" s="855"/>
      <c r="F421" s="855"/>
      <c r="G421" s="855"/>
      <c r="H421" s="855"/>
    </row>
    <row r="422" spans="1:8" x14ac:dyDescent="0.25">
      <c r="A422" s="874" t="s">
        <v>1232</v>
      </c>
      <c r="B422" s="849"/>
      <c r="C422" s="855"/>
      <c r="D422" s="881"/>
      <c r="E422" s="855"/>
      <c r="F422" s="855"/>
      <c r="G422" s="855"/>
      <c r="H422" s="855"/>
    </row>
    <row r="423" spans="1:8" x14ac:dyDescent="0.25">
      <c r="A423" s="875"/>
      <c r="B423" s="875" t="s">
        <v>992</v>
      </c>
      <c r="C423" s="876">
        <v>-700</v>
      </c>
      <c r="D423" s="888">
        <v>-700</v>
      </c>
      <c r="E423" s="876"/>
      <c r="F423" s="876"/>
      <c r="G423" s="876"/>
      <c r="H423" s="876"/>
    </row>
    <row r="424" spans="1:8" x14ac:dyDescent="0.25">
      <c r="A424" s="875"/>
      <c r="B424" s="875" t="s">
        <v>925</v>
      </c>
      <c r="C424" s="876">
        <v>1039102</v>
      </c>
      <c r="D424" s="888">
        <v>1058102</v>
      </c>
      <c r="E424" s="876">
        <v>1065256</v>
      </c>
      <c r="F424" s="876">
        <v>1093332</v>
      </c>
      <c r="G424" s="876">
        <v>1121982</v>
      </c>
      <c r="H424" s="876">
        <v>1151410</v>
      </c>
    </row>
    <row r="425" spans="1:8" x14ac:dyDescent="0.25">
      <c r="A425" s="849" t="s">
        <v>1233</v>
      </c>
      <c r="B425" s="849"/>
      <c r="C425" s="855">
        <f t="shared" ref="C425:H425" si="35">SUBTOTAL(9,C423:C424)</f>
        <v>1038402</v>
      </c>
      <c r="D425" s="881">
        <f t="shared" si="35"/>
        <v>1057402</v>
      </c>
      <c r="E425" s="855">
        <f t="shared" si="35"/>
        <v>1065256</v>
      </c>
      <c r="F425" s="855">
        <f t="shared" si="35"/>
        <v>1093332</v>
      </c>
      <c r="G425" s="855">
        <f t="shared" si="35"/>
        <v>1121982</v>
      </c>
      <c r="H425" s="855">
        <f t="shared" si="35"/>
        <v>1151410</v>
      </c>
    </row>
    <row r="426" spans="1:8" x14ac:dyDescent="0.25">
      <c r="A426" s="849"/>
      <c r="B426" s="849"/>
      <c r="C426" s="855"/>
      <c r="D426" s="881"/>
      <c r="E426" s="855"/>
      <c r="F426" s="855"/>
      <c r="G426" s="855"/>
      <c r="H426" s="855"/>
    </row>
    <row r="427" spans="1:8" x14ac:dyDescent="0.25">
      <c r="A427" s="874" t="s">
        <v>1234</v>
      </c>
      <c r="B427" s="849"/>
      <c r="C427" s="855"/>
      <c r="D427" s="881"/>
      <c r="E427" s="855"/>
      <c r="F427" s="855"/>
      <c r="G427" s="855"/>
      <c r="H427" s="855"/>
    </row>
    <row r="428" spans="1:8" x14ac:dyDescent="0.25">
      <c r="A428" s="875"/>
      <c r="B428" s="875" t="s">
        <v>992</v>
      </c>
      <c r="C428" s="876">
        <v>-643546</v>
      </c>
      <c r="D428" s="888">
        <v>-669637</v>
      </c>
      <c r="E428" s="876">
        <v>-491509</v>
      </c>
      <c r="F428" s="876">
        <v>-502530</v>
      </c>
      <c r="G428" s="876">
        <v>-513801</v>
      </c>
      <c r="H428" s="876">
        <v>-525328</v>
      </c>
    </row>
    <row r="429" spans="1:8" x14ac:dyDescent="0.25">
      <c r="A429" s="875"/>
      <c r="B429" s="875" t="s">
        <v>925</v>
      </c>
      <c r="C429" s="876">
        <v>713346</v>
      </c>
      <c r="D429" s="888">
        <v>843971</v>
      </c>
      <c r="E429" s="876">
        <v>844233</v>
      </c>
      <c r="F429" s="876">
        <v>865451</v>
      </c>
      <c r="G429" s="876">
        <v>887625</v>
      </c>
      <c r="H429" s="876">
        <v>910136</v>
      </c>
    </row>
    <row r="430" spans="1:8" x14ac:dyDescent="0.25">
      <c r="A430" s="849" t="s">
        <v>1235</v>
      </c>
      <c r="B430" s="849"/>
      <c r="C430" s="855">
        <f t="shared" ref="C430:H430" si="36">SUBTOTAL(9,C428:C429)</f>
        <v>69800</v>
      </c>
      <c r="D430" s="881">
        <f t="shared" si="36"/>
        <v>174334</v>
      </c>
      <c r="E430" s="855">
        <f t="shared" si="36"/>
        <v>352724</v>
      </c>
      <c r="F430" s="855">
        <f t="shared" si="36"/>
        <v>362921</v>
      </c>
      <c r="G430" s="855">
        <f t="shared" si="36"/>
        <v>373824</v>
      </c>
      <c r="H430" s="855">
        <f t="shared" si="36"/>
        <v>384808</v>
      </c>
    </row>
    <row r="431" spans="1:8" x14ac:dyDescent="0.25">
      <c r="A431" s="849"/>
      <c r="B431" s="849"/>
      <c r="C431" s="855"/>
      <c r="D431" s="881"/>
      <c r="E431" s="855"/>
      <c r="F431" s="855"/>
      <c r="G431" s="855"/>
      <c r="H431" s="855"/>
    </row>
    <row r="432" spans="1:8" x14ac:dyDescent="0.25">
      <c r="A432" s="872" t="s">
        <v>1191</v>
      </c>
    </row>
    <row r="434" spans="1:8" ht="26.4" x14ac:dyDescent="0.25">
      <c r="C434" s="850" t="s">
        <v>1168</v>
      </c>
      <c r="D434" s="877" t="s">
        <v>1169</v>
      </c>
      <c r="E434" s="850" t="s">
        <v>1170</v>
      </c>
      <c r="F434" s="851" t="s">
        <v>1172</v>
      </c>
      <c r="G434" s="851" t="s">
        <v>1173</v>
      </c>
      <c r="H434" s="851" t="s">
        <v>1174</v>
      </c>
    </row>
    <row r="435" spans="1:8" x14ac:dyDescent="0.25">
      <c r="A435" s="849"/>
      <c r="B435" s="849"/>
      <c r="C435" s="855"/>
      <c r="D435" s="881"/>
      <c r="E435" s="855"/>
      <c r="F435" s="855"/>
      <c r="G435" s="855"/>
      <c r="H435" s="855"/>
    </row>
    <row r="436" spans="1:8" x14ac:dyDescent="0.25">
      <c r="A436" s="874" t="s">
        <v>1236</v>
      </c>
      <c r="B436" s="849"/>
      <c r="C436" s="855"/>
      <c r="D436" s="881"/>
      <c r="E436" s="855"/>
      <c r="F436" s="855"/>
      <c r="G436" s="855"/>
      <c r="H436" s="855"/>
    </row>
    <row r="437" spans="1:8" x14ac:dyDescent="0.25">
      <c r="A437" s="875"/>
      <c r="B437" s="875" t="s">
        <v>992</v>
      </c>
      <c r="C437" s="876">
        <v>-558995</v>
      </c>
      <c r="D437" s="888">
        <v>-558995</v>
      </c>
      <c r="E437" s="876">
        <v>-574641</v>
      </c>
      <c r="F437" s="876">
        <v>-527685</v>
      </c>
      <c r="G437" s="876">
        <v>-540641</v>
      </c>
      <c r="H437" s="876">
        <v>-554209</v>
      </c>
    </row>
    <row r="438" spans="1:8" x14ac:dyDescent="0.25">
      <c r="A438" s="875"/>
      <c r="B438" s="875" t="s">
        <v>925</v>
      </c>
      <c r="C438" s="876">
        <v>523985</v>
      </c>
      <c r="D438" s="888">
        <v>523985</v>
      </c>
      <c r="E438" s="876">
        <v>825204</v>
      </c>
      <c r="F438" s="876">
        <v>838197</v>
      </c>
      <c r="G438" s="876">
        <v>851737</v>
      </c>
      <c r="H438" s="876">
        <v>869258</v>
      </c>
    </row>
    <row r="439" spans="1:8" x14ac:dyDescent="0.25">
      <c r="A439" s="849" t="s">
        <v>1237</v>
      </c>
      <c r="B439" s="849"/>
      <c r="C439" s="855">
        <f t="shared" ref="C439:H439" si="37">SUBTOTAL(9,C437:C438)</f>
        <v>-35010</v>
      </c>
      <c r="D439" s="881">
        <f t="shared" si="37"/>
        <v>-35010</v>
      </c>
      <c r="E439" s="855">
        <f t="shared" si="37"/>
        <v>250563</v>
      </c>
      <c r="F439" s="855">
        <f t="shared" si="37"/>
        <v>310512</v>
      </c>
      <c r="G439" s="855">
        <f t="shared" si="37"/>
        <v>311096</v>
      </c>
      <c r="H439" s="855">
        <f t="shared" si="37"/>
        <v>315049</v>
      </c>
    </row>
    <row r="440" spans="1:8" x14ac:dyDescent="0.25">
      <c r="A440" s="849"/>
      <c r="B440" s="849"/>
      <c r="C440" s="855"/>
      <c r="D440" s="881"/>
      <c r="E440" s="855"/>
      <c r="F440" s="855"/>
      <c r="G440" s="855"/>
      <c r="H440" s="855"/>
    </row>
    <row r="441" spans="1:8" x14ac:dyDescent="0.25">
      <c r="A441" s="874" t="s">
        <v>1238</v>
      </c>
      <c r="B441" s="849"/>
      <c r="C441" s="855"/>
      <c r="D441" s="881"/>
      <c r="E441" s="855"/>
      <c r="F441" s="855"/>
      <c r="G441" s="855"/>
      <c r="H441" s="855"/>
    </row>
    <row r="442" spans="1:8" x14ac:dyDescent="0.25">
      <c r="A442" s="875"/>
      <c r="B442" s="875" t="s">
        <v>992</v>
      </c>
      <c r="C442" s="876">
        <v>-2493308</v>
      </c>
      <c r="D442" s="888">
        <v>-2503308</v>
      </c>
      <c r="E442" s="876">
        <v>-2628659</v>
      </c>
      <c r="F442" s="876">
        <v>-2569858</v>
      </c>
      <c r="G442" s="876">
        <v>-2634092</v>
      </c>
      <c r="H442" s="876">
        <v>-2699944</v>
      </c>
    </row>
    <row r="443" spans="1:8" x14ac:dyDescent="0.25">
      <c r="A443" s="875"/>
      <c r="B443" s="875" t="s">
        <v>925</v>
      </c>
      <c r="C443" s="876">
        <v>2400443</v>
      </c>
      <c r="D443" s="888">
        <v>2410443</v>
      </c>
      <c r="E443" s="876">
        <v>2477317</v>
      </c>
      <c r="F443" s="876">
        <v>2481126</v>
      </c>
      <c r="G443" s="876">
        <v>2543472</v>
      </c>
      <c r="H443" s="876">
        <v>2606081</v>
      </c>
    </row>
    <row r="444" spans="1:8" x14ac:dyDescent="0.25">
      <c r="A444" s="849" t="s">
        <v>1239</v>
      </c>
      <c r="B444" s="849"/>
      <c r="C444" s="855">
        <f t="shared" ref="C444:H444" si="38">SUBTOTAL(9,C442:C443)</f>
        <v>-92865</v>
      </c>
      <c r="D444" s="881">
        <f t="shared" si="38"/>
        <v>-92865</v>
      </c>
      <c r="E444" s="855">
        <f t="shared" si="38"/>
        <v>-151342</v>
      </c>
      <c r="F444" s="855">
        <f t="shared" si="38"/>
        <v>-88732</v>
      </c>
      <c r="G444" s="855">
        <f t="shared" si="38"/>
        <v>-90620</v>
      </c>
      <c r="H444" s="855">
        <f t="shared" si="38"/>
        <v>-93863</v>
      </c>
    </row>
    <row r="445" spans="1:8" x14ac:dyDescent="0.25">
      <c r="F445" s="853"/>
    </row>
    <row r="446" spans="1:8" x14ac:dyDescent="0.25">
      <c r="A446" s="872" t="s">
        <v>1250</v>
      </c>
      <c r="F446" s="853"/>
    </row>
    <row r="447" spans="1:8" x14ac:dyDescent="0.25">
      <c r="F447" s="853"/>
    </row>
    <row r="448" spans="1:8" x14ac:dyDescent="0.25">
      <c r="A448" s="874" t="s">
        <v>1241</v>
      </c>
      <c r="B448" s="849"/>
      <c r="C448" s="855"/>
      <c r="D448" s="881"/>
      <c r="E448" s="855"/>
      <c r="F448" s="855"/>
      <c r="G448" s="855"/>
      <c r="H448" s="855"/>
    </row>
    <row r="449" spans="1:8" x14ac:dyDescent="0.25">
      <c r="A449" s="875"/>
      <c r="B449" s="875" t="s">
        <v>992</v>
      </c>
      <c r="C449" s="876">
        <v>-6205650</v>
      </c>
      <c r="D449" s="888">
        <v>-6205650</v>
      </c>
      <c r="E449" s="876">
        <v>-6260875</v>
      </c>
      <c r="F449" s="876">
        <v>-6388657</v>
      </c>
      <c r="G449" s="876">
        <v>-6606468</v>
      </c>
      <c r="H449" s="876">
        <v>-6833907</v>
      </c>
    </row>
    <row r="450" spans="1:8" x14ac:dyDescent="0.25">
      <c r="A450" s="875"/>
      <c r="B450" s="875" t="s">
        <v>925</v>
      </c>
      <c r="C450" s="876">
        <v>6001648</v>
      </c>
      <c r="D450" s="888">
        <v>6001648</v>
      </c>
      <c r="E450" s="876">
        <v>5938990</v>
      </c>
      <c r="F450" s="876">
        <v>6079130</v>
      </c>
      <c r="G450" s="876">
        <v>6230613</v>
      </c>
      <c r="H450" s="876">
        <v>6385239</v>
      </c>
    </row>
    <row r="451" spans="1:8" x14ac:dyDescent="0.25">
      <c r="A451" s="849" t="s">
        <v>1242</v>
      </c>
      <c r="B451" s="849"/>
      <c r="C451" s="855">
        <f t="shared" ref="C451:H451" si="39">SUBTOTAL(9,C449:C450)</f>
        <v>-204002</v>
      </c>
      <c r="D451" s="881">
        <f t="shared" si="39"/>
        <v>-204002</v>
      </c>
      <c r="E451" s="855">
        <f t="shared" si="39"/>
        <v>-321885</v>
      </c>
      <c r="F451" s="855">
        <f t="shared" si="39"/>
        <v>-309527</v>
      </c>
      <c r="G451" s="855">
        <f t="shared" si="39"/>
        <v>-375855</v>
      </c>
      <c r="H451" s="855">
        <f t="shared" si="39"/>
        <v>-448668</v>
      </c>
    </row>
    <row r="452" spans="1:8" x14ac:dyDescent="0.25">
      <c r="A452" s="849"/>
      <c r="B452" s="849"/>
      <c r="C452" s="855"/>
      <c r="D452" s="881"/>
      <c r="E452" s="855"/>
      <c r="F452" s="855"/>
      <c r="G452" s="855"/>
      <c r="H452" s="855"/>
    </row>
    <row r="453" spans="1:8" x14ac:dyDescent="0.25">
      <c r="A453" s="874" t="s">
        <v>1243</v>
      </c>
      <c r="B453" s="849"/>
      <c r="C453" s="855"/>
      <c r="D453" s="881"/>
      <c r="E453" s="855"/>
      <c r="F453" s="855"/>
      <c r="G453" s="855"/>
      <c r="H453" s="855"/>
    </row>
    <row r="454" spans="1:8" x14ac:dyDescent="0.25">
      <c r="A454" s="875"/>
      <c r="B454" s="875" t="s">
        <v>992</v>
      </c>
      <c r="C454" s="876">
        <v>-4816700</v>
      </c>
      <c r="D454" s="888">
        <v>-4816700</v>
      </c>
      <c r="E454" s="876">
        <v>-4670500</v>
      </c>
      <c r="F454" s="876">
        <v>-4831170</v>
      </c>
      <c r="G454" s="876">
        <v>-4875548</v>
      </c>
      <c r="H454" s="876">
        <v>-4961956</v>
      </c>
    </row>
    <row r="455" spans="1:8" x14ac:dyDescent="0.25">
      <c r="A455" s="875"/>
      <c r="B455" s="875" t="s">
        <v>925</v>
      </c>
      <c r="C455" s="876">
        <v>4076658</v>
      </c>
      <c r="D455" s="888">
        <v>4076658</v>
      </c>
      <c r="E455" s="876">
        <v>4512256</v>
      </c>
      <c r="F455" s="876">
        <v>5010986</v>
      </c>
      <c r="G455" s="876">
        <v>5113982</v>
      </c>
      <c r="H455" s="876">
        <v>5218022</v>
      </c>
    </row>
    <row r="456" spans="1:8" x14ac:dyDescent="0.25">
      <c r="A456" s="849" t="s">
        <v>1244</v>
      </c>
      <c r="B456" s="849"/>
      <c r="C456" s="855">
        <f t="shared" ref="C456:H456" si="40">SUBTOTAL(9,C454:C455)</f>
        <v>-740042</v>
      </c>
      <c r="D456" s="881">
        <f t="shared" si="40"/>
        <v>-740042</v>
      </c>
      <c r="E456" s="855">
        <f t="shared" si="40"/>
        <v>-158244</v>
      </c>
      <c r="F456" s="855">
        <f t="shared" si="40"/>
        <v>179816</v>
      </c>
      <c r="G456" s="855">
        <f t="shared" si="40"/>
        <v>238434</v>
      </c>
      <c r="H456" s="855">
        <f t="shared" si="40"/>
        <v>256066</v>
      </c>
    </row>
    <row r="457" spans="1:8" x14ac:dyDescent="0.25">
      <c r="A457" s="849"/>
      <c r="B457" s="849"/>
      <c r="C457" s="855"/>
      <c r="D457" s="881"/>
      <c r="E457" s="855"/>
      <c r="F457" s="855"/>
      <c r="G457" s="855"/>
      <c r="H457" s="855"/>
    </row>
  </sheetData>
  <mergeCells count="1">
    <mergeCell ref="A1:H1"/>
  </mergeCells>
  <pageMargins left="0.74803149606299213" right="0.74803149606299213" top="0.98425196850393704" bottom="0.98425196850393704" header="0.51181102362204722" footer="0.51181102362204722"/>
  <pageSetup paperSize="9" scale="80" orientation="landscape" r:id="rId1"/>
  <headerFooter alignWithMargins="0"/>
  <rowBreaks count="4" manualBreakCount="4">
    <brk id="54" max="16383" man="1"/>
    <brk id="132" max="16383" man="1"/>
    <brk id="306" max="16383" man="1"/>
    <brk id="431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"/>
  <sheetViews>
    <sheetView showOutlineSymbols="0" topLeftCell="A7" zoomScaleNormal="100" workbookViewId="0">
      <selection activeCell="B10" sqref="B10"/>
    </sheetView>
  </sheetViews>
  <sheetFormatPr defaultRowHeight="13.2" outlineLevelRow="2" outlineLevelCol="2" x14ac:dyDescent="0.25"/>
  <cols>
    <col min="1" max="1" width="21" style="803" customWidth="1"/>
    <col min="2" max="2" width="29.44140625" style="803" customWidth="1"/>
    <col min="3" max="5" width="16.6640625" style="803" customWidth="1"/>
    <col min="6" max="7" width="16.33203125" style="803" customWidth="1"/>
    <col min="8" max="8" width="17.44140625" style="803" bestFit="1" customWidth="1"/>
    <col min="9" max="9" width="16.6640625" style="803" bestFit="1" customWidth="1"/>
    <col min="10" max="10" width="9.109375" style="803"/>
    <col min="11" max="11" width="9.109375" style="803" outlineLevel="2"/>
    <col min="12" max="256" width="9.109375" style="803"/>
    <col min="257" max="257" width="21" style="803" customWidth="1"/>
    <col min="258" max="258" width="29.44140625" style="803" customWidth="1"/>
    <col min="259" max="261" width="16.6640625" style="803" customWidth="1"/>
    <col min="262" max="262" width="0" style="803" hidden="1" customWidth="1"/>
    <col min="263" max="263" width="16.33203125" style="803" customWidth="1"/>
    <col min="264" max="264" width="17.44140625" style="803" bestFit="1" customWidth="1"/>
    <col min="265" max="265" width="16.6640625" style="803" bestFit="1" customWidth="1"/>
    <col min="266" max="512" width="9.109375" style="803"/>
    <col min="513" max="513" width="21" style="803" customWidth="1"/>
    <col min="514" max="514" width="29.44140625" style="803" customWidth="1"/>
    <col min="515" max="517" width="16.6640625" style="803" customWidth="1"/>
    <col min="518" max="518" width="0" style="803" hidden="1" customWidth="1"/>
    <col min="519" max="519" width="16.33203125" style="803" customWidth="1"/>
    <col min="520" max="520" width="17.44140625" style="803" bestFit="1" customWidth="1"/>
    <col min="521" max="521" width="16.6640625" style="803" bestFit="1" customWidth="1"/>
    <col min="522" max="768" width="9.109375" style="803"/>
    <col min="769" max="769" width="21" style="803" customWidth="1"/>
    <col min="770" max="770" width="29.44140625" style="803" customWidth="1"/>
    <col min="771" max="773" width="16.6640625" style="803" customWidth="1"/>
    <col min="774" max="774" width="0" style="803" hidden="1" customWidth="1"/>
    <col min="775" max="775" width="16.33203125" style="803" customWidth="1"/>
    <col min="776" max="776" width="17.44140625" style="803" bestFit="1" customWidth="1"/>
    <col min="777" max="777" width="16.6640625" style="803" bestFit="1" customWidth="1"/>
    <col min="778" max="1024" width="9.109375" style="803"/>
    <col min="1025" max="1025" width="21" style="803" customWidth="1"/>
    <col min="1026" max="1026" width="29.44140625" style="803" customWidth="1"/>
    <col min="1027" max="1029" width="16.6640625" style="803" customWidth="1"/>
    <col min="1030" max="1030" width="0" style="803" hidden="1" customWidth="1"/>
    <col min="1031" max="1031" width="16.33203125" style="803" customWidth="1"/>
    <col min="1032" max="1032" width="17.44140625" style="803" bestFit="1" customWidth="1"/>
    <col min="1033" max="1033" width="16.6640625" style="803" bestFit="1" customWidth="1"/>
    <col min="1034" max="1280" width="9.109375" style="803"/>
    <col min="1281" max="1281" width="21" style="803" customWidth="1"/>
    <col min="1282" max="1282" width="29.44140625" style="803" customWidth="1"/>
    <col min="1283" max="1285" width="16.6640625" style="803" customWidth="1"/>
    <col min="1286" max="1286" width="0" style="803" hidden="1" customWidth="1"/>
    <col min="1287" max="1287" width="16.33203125" style="803" customWidth="1"/>
    <col min="1288" max="1288" width="17.44140625" style="803" bestFit="1" customWidth="1"/>
    <col min="1289" max="1289" width="16.6640625" style="803" bestFit="1" customWidth="1"/>
    <col min="1290" max="1536" width="9.109375" style="803"/>
    <col min="1537" max="1537" width="21" style="803" customWidth="1"/>
    <col min="1538" max="1538" width="29.44140625" style="803" customWidth="1"/>
    <col min="1539" max="1541" width="16.6640625" style="803" customWidth="1"/>
    <col min="1542" max="1542" width="0" style="803" hidden="1" customWidth="1"/>
    <col min="1543" max="1543" width="16.33203125" style="803" customWidth="1"/>
    <col min="1544" max="1544" width="17.44140625" style="803" bestFit="1" customWidth="1"/>
    <col min="1545" max="1545" width="16.6640625" style="803" bestFit="1" customWidth="1"/>
    <col min="1546" max="1792" width="9.109375" style="803"/>
    <col min="1793" max="1793" width="21" style="803" customWidth="1"/>
    <col min="1794" max="1794" width="29.44140625" style="803" customWidth="1"/>
    <col min="1795" max="1797" width="16.6640625" style="803" customWidth="1"/>
    <col min="1798" max="1798" width="0" style="803" hidden="1" customWidth="1"/>
    <col min="1799" max="1799" width="16.33203125" style="803" customWidth="1"/>
    <col min="1800" max="1800" width="17.44140625" style="803" bestFit="1" customWidth="1"/>
    <col min="1801" max="1801" width="16.6640625" style="803" bestFit="1" customWidth="1"/>
    <col min="1802" max="2048" width="9.109375" style="803"/>
    <col min="2049" max="2049" width="21" style="803" customWidth="1"/>
    <col min="2050" max="2050" width="29.44140625" style="803" customWidth="1"/>
    <col min="2051" max="2053" width="16.6640625" style="803" customWidth="1"/>
    <col min="2054" max="2054" width="0" style="803" hidden="1" customWidth="1"/>
    <col min="2055" max="2055" width="16.33203125" style="803" customWidth="1"/>
    <col min="2056" max="2056" width="17.44140625" style="803" bestFit="1" customWidth="1"/>
    <col min="2057" max="2057" width="16.6640625" style="803" bestFit="1" customWidth="1"/>
    <col min="2058" max="2304" width="9.109375" style="803"/>
    <col min="2305" max="2305" width="21" style="803" customWidth="1"/>
    <col min="2306" max="2306" width="29.44140625" style="803" customWidth="1"/>
    <col min="2307" max="2309" width="16.6640625" style="803" customWidth="1"/>
    <col min="2310" max="2310" width="0" style="803" hidden="1" customWidth="1"/>
    <col min="2311" max="2311" width="16.33203125" style="803" customWidth="1"/>
    <col min="2312" max="2312" width="17.44140625" style="803" bestFit="1" customWidth="1"/>
    <col min="2313" max="2313" width="16.6640625" style="803" bestFit="1" customWidth="1"/>
    <col min="2314" max="2560" width="9.109375" style="803"/>
    <col min="2561" max="2561" width="21" style="803" customWidth="1"/>
    <col min="2562" max="2562" width="29.44140625" style="803" customWidth="1"/>
    <col min="2563" max="2565" width="16.6640625" style="803" customWidth="1"/>
    <col min="2566" max="2566" width="0" style="803" hidden="1" customWidth="1"/>
    <col min="2567" max="2567" width="16.33203125" style="803" customWidth="1"/>
    <col min="2568" max="2568" width="17.44140625" style="803" bestFit="1" customWidth="1"/>
    <col min="2569" max="2569" width="16.6640625" style="803" bestFit="1" customWidth="1"/>
    <col min="2570" max="2816" width="9.109375" style="803"/>
    <col min="2817" max="2817" width="21" style="803" customWidth="1"/>
    <col min="2818" max="2818" width="29.44140625" style="803" customWidth="1"/>
    <col min="2819" max="2821" width="16.6640625" style="803" customWidth="1"/>
    <col min="2822" max="2822" width="0" style="803" hidden="1" customWidth="1"/>
    <col min="2823" max="2823" width="16.33203125" style="803" customWidth="1"/>
    <col min="2824" max="2824" width="17.44140625" style="803" bestFit="1" customWidth="1"/>
    <col min="2825" max="2825" width="16.6640625" style="803" bestFit="1" customWidth="1"/>
    <col min="2826" max="3072" width="9.109375" style="803"/>
    <col min="3073" max="3073" width="21" style="803" customWidth="1"/>
    <col min="3074" max="3074" width="29.44140625" style="803" customWidth="1"/>
    <col min="3075" max="3077" width="16.6640625" style="803" customWidth="1"/>
    <col min="3078" max="3078" width="0" style="803" hidden="1" customWidth="1"/>
    <col min="3079" max="3079" width="16.33203125" style="803" customWidth="1"/>
    <col min="3080" max="3080" width="17.44140625" style="803" bestFit="1" customWidth="1"/>
    <col min="3081" max="3081" width="16.6640625" style="803" bestFit="1" customWidth="1"/>
    <col min="3082" max="3328" width="9.109375" style="803"/>
    <col min="3329" max="3329" width="21" style="803" customWidth="1"/>
    <col min="3330" max="3330" width="29.44140625" style="803" customWidth="1"/>
    <col min="3331" max="3333" width="16.6640625" style="803" customWidth="1"/>
    <col min="3334" max="3334" width="0" style="803" hidden="1" customWidth="1"/>
    <col min="3335" max="3335" width="16.33203125" style="803" customWidth="1"/>
    <col min="3336" max="3336" width="17.44140625" style="803" bestFit="1" customWidth="1"/>
    <col min="3337" max="3337" width="16.6640625" style="803" bestFit="1" customWidth="1"/>
    <col min="3338" max="3584" width="9.109375" style="803"/>
    <col min="3585" max="3585" width="21" style="803" customWidth="1"/>
    <col min="3586" max="3586" width="29.44140625" style="803" customWidth="1"/>
    <col min="3587" max="3589" width="16.6640625" style="803" customWidth="1"/>
    <col min="3590" max="3590" width="0" style="803" hidden="1" customWidth="1"/>
    <col min="3591" max="3591" width="16.33203125" style="803" customWidth="1"/>
    <col min="3592" max="3592" width="17.44140625" style="803" bestFit="1" customWidth="1"/>
    <col min="3593" max="3593" width="16.6640625" style="803" bestFit="1" customWidth="1"/>
    <col min="3594" max="3840" width="9.109375" style="803"/>
    <col min="3841" max="3841" width="21" style="803" customWidth="1"/>
    <col min="3842" max="3842" width="29.44140625" style="803" customWidth="1"/>
    <col min="3843" max="3845" width="16.6640625" style="803" customWidth="1"/>
    <col min="3846" max="3846" width="0" style="803" hidden="1" customWidth="1"/>
    <col min="3847" max="3847" width="16.33203125" style="803" customWidth="1"/>
    <col min="3848" max="3848" width="17.44140625" style="803" bestFit="1" customWidth="1"/>
    <col min="3849" max="3849" width="16.6640625" style="803" bestFit="1" customWidth="1"/>
    <col min="3850" max="4096" width="9.109375" style="803"/>
    <col min="4097" max="4097" width="21" style="803" customWidth="1"/>
    <col min="4098" max="4098" width="29.44140625" style="803" customWidth="1"/>
    <col min="4099" max="4101" width="16.6640625" style="803" customWidth="1"/>
    <col min="4102" max="4102" width="0" style="803" hidden="1" customWidth="1"/>
    <col min="4103" max="4103" width="16.33203125" style="803" customWidth="1"/>
    <col min="4104" max="4104" width="17.44140625" style="803" bestFit="1" customWidth="1"/>
    <col min="4105" max="4105" width="16.6640625" style="803" bestFit="1" customWidth="1"/>
    <col min="4106" max="4352" width="9.109375" style="803"/>
    <col min="4353" max="4353" width="21" style="803" customWidth="1"/>
    <col min="4354" max="4354" width="29.44140625" style="803" customWidth="1"/>
    <col min="4355" max="4357" width="16.6640625" style="803" customWidth="1"/>
    <col min="4358" max="4358" width="0" style="803" hidden="1" customWidth="1"/>
    <col min="4359" max="4359" width="16.33203125" style="803" customWidth="1"/>
    <col min="4360" max="4360" width="17.44140625" style="803" bestFit="1" customWidth="1"/>
    <col min="4361" max="4361" width="16.6640625" style="803" bestFit="1" customWidth="1"/>
    <col min="4362" max="4608" width="9.109375" style="803"/>
    <col min="4609" max="4609" width="21" style="803" customWidth="1"/>
    <col min="4610" max="4610" width="29.44140625" style="803" customWidth="1"/>
    <col min="4611" max="4613" width="16.6640625" style="803" customWidth="1"/>
    <col min="4614" max="4614" width="0" style="803" hidden="1" customWidth="1"/>
    <col min="4615" max="4615" width="16.33203125" style="803" customWidth="1"/>
    <col min="4616" max="4616" width="17.44140625" style="803" bestFit="1" customWidth="1"/>
    <col min="4617" max="4617" width="16.6640625" style="803" bestFit="1" customWidth="1"/>
    <col min="4618" max="4864" width="9.109375" style="803"/>
    <col min="4865" max="4865" width="21" style="803" customWidth="1"/>
    <col min="4866" max="4866" width="29.44140625" style="803" customWidth="1"/>
    <col min="4867" max="4869" width="16.6640625" style="803" customWidth="1"/>
    <col min="4870" max="4870" width="0" style="803" hidden="1" customWidth="1"/>
    <col min="4871" max="4871" width="16.33203125" style="803" customWidth="1"/>
    <col min="4872" max="4872" width="17.44140625" style="803" bestFit="1" customWidth="1"/>
    <col min="4873" max="4873" width="16.6640625" style="803" bestFit="1" customWidth="1"/>
    <col min="4874" max="5120" width="9.109375" style="803"/>
    <col min="5121" max="5121" width="21" style="803" customWidth="1"/>
    <col min="5122" max="5122" width="29.44140625" style="803" customWidth="1"/>
    <col min="5123" max="5125" width="16.6640625" style="803" customWidth="1"/>
    <col min="5126" max="5126" width="0" style="803" hidden="1" customWidth="1"/>
    <col min="5127" max="5127" width="16.33203125" style="803" customWidth="1"/>
    <col min="5128" max="5128" width="17.44140625" style="803" bestFit="1" customWidth="1"/>
    <col min="5129" max="5129" width="16.6640625" style="803" bestFit="1" customWidth="1"/>
    <col min="5130" max="5376" width="9.109375" style="803"/>
    <col min="5377" max="5377" width="21" style="803" customWidth="1"/>
    <col min="5378" max="5378" width="29.44140625" style="803" customWidth="1"/>
    <col min="5379" max="5381" width="16.6640625" style="803" customWidth="1"/>
    <col min="5382" max="5382" width="0" style="803" hidden="1" customWidth="1"/>
    <col min="5383" max="5383" width="16.33203125" style="803" customWidth="1"/>
    <col min="5384" max="5384" width="17.44140625" style="803" bestFit="1" customWidth="1"/>
    <col min="5385" max="5385" width="16.6640625" style="803" bestFit="1" customWidth="1"/>
    <col min="5386" max="5632" width="9.109375" style="803"/>
    <col min="5633" max="5633" width="21" style="803" customWidth="1"/>
    <col min="5634" max="5634" width="29.44140625" style="803" customWidth="1"/>
    <col min="5635" max="5637" width="16.6640625" style="803" customWidth="1"/>
    <col min="5638" max="5638" width="0" style="803" hidden="1" customWidth="1"/>
    <col min="5639" max="5639" width="16.33203125" style="803" customWidth="1"/>
    <col min="5640" max="5640" width="17.44140625" style="803" bestFit="1" customWidth="1"/>
    <col min="5641" max="5641" width="16.6640625" style="803" bestFit="1" customWidth="1"/>
    <col min="5642" max="5888" width="9.109375" style="803"/>
    <col min="5889" max="5889" width="21" style="803" customWidth="1"/>
    <col min="5890" max="5890" width="29.44140625" style="803" customWidth="1"/>
    <col min="5891" max="5893" width="16.6640625" style="803" customWidth="1"/>
    <col min="5894" max="5894" width="0" style="803" hidden="1" customWidth="1"/>
    <col min="5895" max="5895" width="16.33203125" style="803" customWidth="1"/>
    <col min="5896" max="5896" width="17.44140625" style="803" bestFit="1" customWidth="1"/>
    <col min="5897" max="5897" width="16.6640625" style="803" bestFit="1" customWidth="1"/>
    <col min="5898" max="6144" width="9.109375" style="803"/>
    <col min="6145" max="6145" width="21" style="803" customWidth="1"/>
    <col min="6146" max="6146" width="29.44140625" style="803" customWidth="1"/>
    <col min="6147" max="6149" width="16.6640625" style="803" customWidth="1"/>
    <col min="6150" max="6150" width="0" style="803" hidden="1" customWidth="1"/>
    <col min="6151" max="6151" width="16.33203125" style="803" customWidth="1"/>
    <col min="6152" max="6152" width="17.44140625" style="803" bestFit="1" customWidth="1"/>
    <col min="6153" max="6153" width="16.6640625" style="803" bestFit="1" customWidth="1"/>
    <col min="6154" max="6400" width="9.109375" style="803"/>
    <col min="6401" max="6401" width="21" style="803" customWidth="1"/>
    <col min="6402" max="6402" width="29.44140625" style="803" customWidth="1"/>
    <col min="6403" max="6405" width="16.6640625" style="803" customWidth="1"/>
    <col min="6406" max="6406" width="0" style="803" hidden="1" customWidth="1"/>
    <col min="6407" max="6407" width="16.33203125" style="803" customWidth="1"/>
    <col min="6408" max="6408" width="17.44140625" style="803" bestFit="1" customWidth="1"/>
    <col min="6409" max="6409" width="16.6640625" style="803" bestFit="1" customWidth="1"/>
    <col min="6410" max="6656" width="9.109375" style="803"/>
    <col min="6657" max="6657" width="21" style="803" customWidth="1"/>
    <col min="6658" max="6658" width="29.44140625" style="803" customWidth="1"/>
    <col min="6659" max="6661" width="16.6640625" style="803" customWidth="1"/>
    <col min="6662" max="6662" width="0" style="803" hidden="1" customWidth="1"/>
    <col min="6663" max="6663" width="16.33203125" style="803" customWidth="1"/>
    <col min="6664" max="6664" width="17.44140625" style="803" bestFit="1" customWidth="1"/>
    <col min="6665" max="6665" width="16.6640625" style="803" bestFit="1" customWidth="1"/>
    <col min="6666" max="6912" width="9.109375" style="803"/>
    <col min="6913" max="6913" width="21" style="803" customWidth="1"/>
    <col min="6914" max="6914" width="29.44140625" style="803" customWidth="1"/>
    <col min="6915" max="6917" width="16.6640625" style="803" customWidth="1"/>
    <col min="6918" max="6918" width="0" style="803" hidden="1" customWidth="1"/>
    <col min="6919" max="6919" width="16.33203125" style="803" customWidth="1"/>
    <col min="6920" max="6920" width="17.44140625" style="803" bestFit="1" customWidth="1"/>
    <col min="6921" max="6921" width="16.6640625" style="803" bestFit="1" customWidth="1"/>
    <col min="6922" max="7168" width="9.109375" style="803"/>
    <col min="7169" max="7169" width="21" style="803" customWidth="1"/>
    <col min="7170" max="7170" width="29.44140625" style="803" customWidth="1"/>
    <col min="7171" max="7173" width="16.6640625" style="803" customWidth="1"/>
    <col min="7174" max="7174" width="0" style="803" hidden="1" customWidth="1"/>
    <col min="7175" max="7175" width="16.33203125" style="803" customWidth="1"/>
    <col min="7176" max="7176" width="17.44140625" style="803" bestFit="1" customWidth="1"/>
    <col min="7177" max="7177" width="16.6640625" style="803" bestFit="1" customWidth="1"/>
    <col min="7178" max="7424" width="9.109375" style="803"/>
    <col min="7425" max="7425" width="21" style="803" customWidth="1"/>
    <col min="7426" max="7426" width="29.44140625" style="803" customWidth="1"/>
    <col min="7427" max="7429" width="16.6640625" style="803" customWidth="1"/>
    <col min="7430" max="7430" width="0" style="803" hidden="1" customWidth="1"/>
    <col min="7431" max="7431" width="16.33203125" style="803" customWidth="1"/>
    <col min="7432" max="7432" width="17.44140625" style="803" bestFit="1" customWidth="1"/>
    <col min="7433" max="7433" width="16.6640625" style="803" bestFit="1" customWidth="1"/>
    <col min="7434" max="7680" width="9.109375" style="803"/>
    <col min="7681" max="7681" width="21" style="803" customWidth="1"/>
    <col min="7682" max="7682" width="29.44140625" style="803" customWidth="1"/>
    <col min="7683" max="7685" width="16.6640625" style="803" customWidth="1"/>
    <col min="7686" max="7686" width="0" style="803" hidden="1" customWidth="1"/>
    <col min="7687" max="7687" width="16.33203125" style="803" customWidth="1"/>
    <col min="7688" max="7688" width="17.44140625" style="803" bestFit="1" customWidth="1"/>
    <col min="7689" max="7689" width="16.6640625" style="803" bestFit="1" customWidth="1"/>
    <col min="7690" max="7936" width="9.109375" style="803"/>
    <col min="7937" max="7937" width="21" style="803" customWidth="1"/>
    <col min="7938" max="7938" width="29.44140625" style="803" customWidth="1"/>
    <col min="7939" max="7941" width="16.6640625" style="803" customWidth="1"/>
    <col min="7942" max="7942" width="0" style="803" hidden="1" customWidth="1"/>
    <col min="7943" max="7943" width="16.33203125" style="803" customWidth="1"/>
    <col min="7944" max="7944" width="17.44140625" style="803" bestFit="1" customWidth="1"/>
    <col min="7945" max="7945" width="16.6640625" style="803" bestFit="1" customWidth="1"/>
    <col min="7946" max="8192" width="9.109375" style="803"/>
    <col min="8193" max="8193" width="21" style="803" customWidth="1"/>
    <col min="8194" max="8194" width="29.44140625" style="803" customWidth="1"/>
    <col min="8195" max="8197" width="16.6640625" style="803" customWidth="1"/>
    <col min="8198" max="8198" width="0" style="803" hidden="1" customWidth="1"/>
    <col min="8199" max="8199" width="16.33203125" style="803" customWidth="1"/>
    <col min="8200" max="8200" width="17.44140625" style="803" bestFit="1" customWidth="1"/>
    <col min="8201" max="8201" width="16.6640625" style="803" bestFit="1" customWidth="1"/>
    <col min="8202" max="8448" width="9.109375" style="803"/>
    <col min="8449" max="8449" width="21" style="803" customWidth="1"/>
    <col min="8450" max="8450" width="29.44140625" style="803" customWidth="1"/>
    <col min="8451" max="8453" width="16.6640625" style="803" customWidth="1"/>
    <col min="8454" max="8454" width="0" style="803" hidden="1" customWidth="1"/>
    <col min="8455" max="8455" width="16.33203125" style="803" customWidth="1"/>
    <col min="8456" max="8456" width="17.44140625" style="803" bestFit="1" customWidth="1"/>
    <col min="8457" max="8457" width="16.6640625" style="803" bestFit="1" customWidth="1"/>
    <col min="8458" max="8704" width="9.109375" style="803"/>
    <col min="8705" max="8705" width="21" style="803" customWidth="1"/>
    <col min="8706" max="8706" width="29.44140625" style="803" customWidth="1"/>
    <col min="8707" max="8709" width="16.6640625" style="803" customWidth="1"/>
    <col min="8710" max="8710" width="0" style="803" hidden="1" customWidth="1"/>
    <col min="8711" max="8711" width="16.33203125" style="803" customWidth="1"/>
    <col min="8712" max="8712" width="17.44140625" style="803" bestFit="1" customWidth="1"/>
    <col min="8713" max="8713" width="16.6640625" style="803" bestFit="1" customWidth="1"/>
    <col min="8714" max="8960" width="9.109375" style="803"/>
    <col min="8961" max="8961" width="21" style="803" customWidth="1"/>
    <col min="8962" max="8962" width="29.44140625" style="803" customWidth="1"/>
    <col min="8963" max="8965" width="16.6640625" style="803" customWidth="1"/>
    <col min="8966" max="8966" width="0" style="803" hidden="1" customWidth="1"/>
    <col min="8967" max="8967" width="16.33203125" style="803" customWidth="1"/>
    <col min="8968" max="8968" width="17.44140625" style="803" bestFit="1" customWidth="1"/>
    <col min="8969" max="8969" width="16.6640625" style="803" bestFit="1" customWidth="1"/>
    <col min="8970" max="9216" width="9.109375" style="803"/>
    <col min="9217" max="9217" width="21" style="803" customWidth="1"/>
    <col min="9218" max="9218" width="29.44140625" style="803" customWidth="1"/>
    <col min="9219" max="9221" width="16.6640625" style="803" customWidth="1"/>
    <col min="9222" max="9222" width="0" style="803" hidden="1" customWidth="1"/>
    <col min="9223" max="9223" width="16.33203125" style="803" customWidth="1"/>
    <col min="9224" max="9224" width="17.44140625" style="803" bestFit="1" customWidth="1"/>
    <col min="9225" max="9225" width="16.6640625" style="803" bestFit="1" customWidth="1"/>
    <col min="9226" max="9472" width="9.109375" style="803"/>
    <col min="9473" max="9473" width="21" style="803" customWidth="1"/>
    <col min="9474" max="9474" width="29.44140625" style="803" customWidth="1"/>
    <col min="9475" max="9477" width="16.6640625" style="803" customWidth="1"/>
    <col min="9478" max="9478" width="0" style="803" hidden="1" customWidth="1"/>
    <col min="9479" max="9479" width="16.33203125" style="803" customWidth="1"/>
    <col min="9480" max="9480" width="17.44140625" style="803" bestFit="1" customWidth="1"/>
    <col min="9481" max="9481" width="16.6640625" style="803" bestFit="1" customWidth="1"/>
    <col min="9482" max="9728" width="9.109375" style="803"/>
    <col min="9729" max="9729" width="21" style="803" customWidth="1"/>
    <col min="9730" max="9730" width="29.44140625" style="803" customWidth="1"/>
    <col min="9731" max="9733" width="16.6640625" style="803" customWidth="1"/>
    <col min="9734" max="9734" width="0" style="803" hidden="1" customWidth="1"/>
    <col min="9735" max="9735" width="16.33203125" style="803" customWidth="1"/>
    <col min="9736" max="9736" width="17.44140625" style="803" bestFit="1" customWidth="1"/>
    <col min="9737" max="9737" width="16.6640625" style="803" bestFit="1" customWidth="1"/>
    <col min="9738" max="9984" width="9.109375" style="803"/>
    <col min="9985" max="9985" width="21" style="803" customWidth="1"/>
    <col min="9986" max="9986" width="29.44140625" style="803" customWidth="1"/>
    <col min="9987" max="9989" width="16.6640625" style="803" customWidth="1"/>
    <col min="9990" max="9990" width="0" style="803" hidden="1" customWidth="1"/>
    <col min="9991" max="9991" width="16.33203125" style="803" customWidth="1"/>
    <col min="9992" max="9992" width="17.44140625" style="803" bestFit="1" customWidth="1"/>
    <col min="9993" max="9993" width="16.6640625" style="803" bestFit="1" customWidth="1"/>
    <col min="9994" max="10240" width="9.109375" style="803"/>
    <col min="10241" max="10241" width="21" style="803" customWidth="1"/>
    <col min="10242" max="10242" width="29.44140625" style="803" customWidth="1"/>
    <col min="10243" max="10245" width="16.6640625" style="803" customWidth="1"/>
    <col min="10246" max="10246" width="0" style="803" hidden="1" customWidth="1"/>
    <col min="10247" max="10247" width="16.33203125" style="803" customWidth="1"/>
    <col min="10248" max="10248" width="17.44140625" style="803" bestFit="1" customWidth="1"/>
    <col min="10249" max="10249" width="16.6640625" style="803" bestFit="1" customWidth="1"/>
    <col min="10250" max="10496" width="9.109375" style="803"/>
    <col min="10497" max="10497" width="21" style="803" customWidth="1"/>
    <col min="10498" max="10498" width="29.44140625" style="803" customWidth="1"/>
    <col min="10499" max="10501" width="16.6640625" style="803" customWidth="1"/>
    <col min="10502" max="10502" width="0" style="803" hidden="1" customWidth="1"/>
    <col min="10503" max="10503" width="16.33203125" style="803" customWidth="1"/>
    <col min="10504" max="10504" width="17.44140625" style="803" bestFit="1" customWidth="1"/>
    <col min="10505" max="10505" width="16.6640625" style="803" bestFit="1" customWidth="1"/>
    <col min="10506" max="10752" width="9.109375" style="803"/>
    <col min="10753" max="10753" width="21" style="803" customWidth="1"/>
    <col min="10754" max="10754" width="29.44140625" style="803" customWidth="1"/>
    <col min="10755" max="10757" width="16.6640625" style="803" customWidth="1"/>
    <col min="10758" max="10758" width="0" style="803" hidden="1" customWidth="1"/>
    <col min="10759" max="10759" width="16.33203125" style="803" customWidth="1"/>
    <col min="10760" max="10760" width="17.44140625" style="803" bestFit="1" customWidth="1"/>
    <col min="10761" max="10761" width="16.6640625" style="803" bestFit="1" customWidth="1"/>
    <col min="10762" max="11008" width="9.109375" style="803"/>
    <col min="11009" max="11009" width="21" style="803" customWidth="1"/>
    <col min="11010" max="11010" width="29.44140625" style="803" customWidth="1"/>
    <col min="11011" max="11013" width="16.6640625" style="803" customWidth="1"/>
    <col min="11014" max="11014" width="0" style="803" hidden="1" customWidth="1"/>
    <col min="11015" max="11015" width="16.33203125" style="803" customWidth="1"/>
    <col min="11016" max="11016" width="17.44140625" style="803" bestFit="1" customWidth="1"/>
    <col min="11017" max="11017" width="16.6640625" style="803" bestFit="1" customWidth="1"/>
    <col min="11018" max="11264" width="9.109375" style="803"/>
    <col min="11265" max="11265" width="21" style="803" customWidth="1"/>
    <col min="11266" max="11266" width="29.44140625" style="803" customWidth="1"/>
    <col min="11267" max="11269" width="16.6640625" style="803" customWidth="1"/>
    <col min="11270" max="11270" width="0" style="803" hidden="1" customWidth="1"/>
    <col min="11271" max="11271" width="16.33203125" style="803" customWidth="1"/>
    <col min="11272" max="11272" width="17.44140625" style="803" bestFit="1" customWidth="1"/>
    <col min="11273" max="11273" width="16.6640625" style="803" bestFit="1" customWidth="1"/>
    <col min="11274" max="11520" width="9.109375" style="803"/>
    <col min="11521" max="11521" width="21" style="803" customWidth="1"/>
    <col min="11522" max="11522" width="29.44140625" style="803" customWidth="1"/>
    <col min="11523" max="11525" width="16.6640625" style="803" customWidth="1"/>
    <col min="11526" max="11526" width="0" style="803" hidden="1" customWidth="1"/>
    <col min="11527" max="11527" width="16.33203125" style="803" customWidth="1"/>
    <col min="11528" max="11528" width="17.44140625" style="803" bestFit="1" customWidth="1"/>
    <col min="11529" max="11529" width="16.6640625" style="803" bestFit="1" customWidth="1"/>
    <col min="11530" max="11776" width="9.109375" style="803"/>
    <col min="11777" max="11777" width="21" style="803" customWidth="1"/>
    <col min="11778" max="11778" width="29.44140625" style="803" customWidth="1"/>
    <col min="11779" max="11781" width="16.6640625" style="803" customWidth="1"/>
    <col min="11782" max="11782" width="0" style="803" hidden="1" customWidth="1"/>
    <col min="11783" max="11783" width="16.33203125" style="803" customWidth="1"/>
    <col min="11784" max="11784" width="17.44140625" style="803" bestFit="1" customWidth="1"/>
    <col min="11785" max="11785" width="16.6640625" style="803" bestFit="1" customWidth="1"/>
    <col min="11786" max="12032" width="9.109375" style="803"/>
    <col min="12033" max="12033" width="21" style="803" customWidth="1"/>
    <col min="12034" max="12034" width="29.44140625" style="803" customWidth="1"/>
    <col min="12035" max="12037" width="16.6640625" style="803" customWidth="1"/>
    <col min="12038" max="12038" width="0" style="803" hidden="1" customWidth="1"/>
    <col min="12039" max="12039" width="16.33203125" style="803" customWidth="1"/>
    <col min="12040" max="12040" width="17.44140625" style="803" bestFit="1" customWidth="1"/>
    <col min="12041" max="12041" width="16.6640625" style="803" bestFit="1" customWidth="1"/>
    <col min="12042" max="12288" width="9.109375" style="803"/>
    <col min="12289" max="12289" width="21" style="803" customWidth="1"/>
    <col min="12290" max="12290" width="29.44140625" style="803" customWidth="1"/>
    <col min="12291" max="12293" width="16.6640625" style="803" customWidth="1"/>
    <col min="12294" max="12294" width="0" style="803" hidden="1" customWidth="1"/>
    <col min="12295" max="12295" width="16.33203125" style="803" customWidth="1"/>
    <col min="12296" max="12296" width="17.44140625" style="803" bestFit="1" customWidth="1"/>
    <col min="12297" max="12297" width="16.6640625" style="803" bestFit="1" customWidth="1"/>
    <col min="12298" max="12544" width="9.109375" style="803"/>
    <col min="12545" max="12545" width="21" style="803" customWidth="1"/>
    <col min="12546" max="12546" width="29.44140625" style="803" customWidth="1"/>
    <col min="12547" max="12549" width="16.6640625" style="803" customWidth="1"/>
    <col min="12550" max="12550" width="0" style="803" hidden="1" customWidth="1"/>
    <col min="12551" max="12551" width="16.33203125" style="803" customWidth="1"/>
    <col min="12552" max="12552" width="17.44140625" style="803" bestFit="1" customWidth="1"/>
    <col min="12553" max="12553" width="16.6640625" style="803" bestFit="1" customWidth="1"/>
    <col min="12554" max="12800" width="9.109375" style="803"/>
    <col min="12801" max="12801" width="21" style="803" customWidth="1"/>
    <col min="12802" max="12802" width="29.44140625" style="803" customWidth="1"/>
    <col min="12803" max="12805" width="16.6640625" style="803" customWidth="1"/>
    <col min="12806" max="12806" width="0" style="803" hidden="1" customWidth="1"/>
    <col min="12807" max="12807" width="16.33203125" style="803" customWidth="1"/>
    <col min="12808" max="12808" width="17.44140625" style="803" bestFit="1" customWidth="1"/>
    <col min="12809" max="12809" width="16.6640625" style="803" bestFit="1" customWidth="1"/>
    <col min="12810" max="13056" width="9.109375" style="803"/>
    <col min="13057" max="13057" width="21" style="803" customWidth="1"/>
    <col min="13058" max="13058" width="29.44140625" style="803" customWidth="1"/>
    <col min="13059" max="13061" width="16.6640625" style="803" customWidth="1"/>
    <col min="13062" max="13062" width="0" style="803" hidden="1" customWidth="1"/>
    <col min="13063" max="13063" width="16.33203125" style="803" customWidth="1"/>
    <col min="13064" max="13064" width="17.44140625" style="803" bestFit="1" customWidth="1"/>
    <col min="13065" max="13065" width="16.6640625" style="803" bestFit="1" customWidth="1"/>
    <col min="13066" max="13312" width="9.109375" style="803"/>
    <col min="13313" max="13313" width="21" style="803" customWidth="1"/>
    <col min="13314" max="13314" width="29.44140625" style="803" customWidth="1"/>
    <col min="13315" max="13317" width="16.6640625" style="803" customWidth="1"/>
    <col min="13318" max="13318" width="0" style="803" hidden="1" customWidth="1"/>
    <col min="13319" max="13319" width="16.33203125" style="803" customWidth="1"/>
    <col min="13320" max="13320" width="17.44140625" style="803" bestFit="1" customWidth="1"/>
    <col min="13321" max="13321" width="16.6640625" style="803" bestFit="1" customWidth="1"/>
    <col min="13322" max="13568" width="9.109375" style="803"/>
    <col min="13569" max="13569" width="21" style="803" customWidth="1"/>
    <col min="13570" max="13570" width="29.44140625" style="803" customWidth="1"/>
    <col min="13571" max="13573" width="16.6640625" style="803" customWidth="1"/>
    <col min="13574" max="13574" width="0" style="803" hidden="1" customWidth="1"/>
    <col min="13575" max="13575" width="16.33203125" style="803" customWidth="1"/>
    <col min="13576" max="13576" width="17.44140625" style="803" bestFit="1" customWidth="1"/>
    <col min="13577" max="13577" width="16.6640625" style="803" bestFit="1" customWidth="1"/>
    <col min="13578" max="13824" width="9.109375" style="803"/>
    <col min="13825" max="13825" width="21" style="803" customWidth="1"/>
    <col min="13826" max="13826" width="29.44140625" style="803" customWidth="1"/>
    <col min="13827" max="13829" width="16.6640625" style="803" customWidth="1"/>
    <col min="13830" max="13830" width="0" style="803" hidden="1" customWidth="1"/>
    <col min="13831" max="13831" width="16.33203125" style="803" customWidth="1"/>
    <col min="13832" max="13832" width="17.44140625" style="803" bestFit="1" customWidth="1"/>
    <col min="13833" max="13833" width="16.6640625" style="803" bestFit="1" customWidth="1"/>
    <col min="13834" max="14080" width="9.109375" style="803"/>
    <col min="14081" max="14081" width="21" style="803" customWidth="1"/>
    <col min="14082" max="14082" width="29.44140625" style="803" customWidth="1"/>
    <col min="14083" max="14085" width="16.6640625" style="803" customWidth="1"/>
    <col min="14086" max="14086" width="0" style="803" hidden="1" customWidth="1"/>
    <col min="14087" max="14087" width="16.33203125" style="803" customWidth="1"/>
    <col min="14088" max="14088" width="17.44140625" style="803" bestFit="1" customWidth="1"/>
    <col min="14089" max="14089" width="16.6640625" style="803" bestFit="1" customWidth="1"/>
    <col min="14090" max="14336" width="9.109375" style="803"/>
    <col min="14337" max="14337" width="21" style="803" customWidth="1"/>
    <col min="14338" max="14338" width="29.44140625" style="803" customWidth="1"/>
    <col min="14339" max="14341" width="16.6640625" style="803" customWidth="1"/>
    <col min="14342" max="14342" width="0" style="803" hidden="1" customWidth="1"/>
    <col min="14343" max="14343" width="16.33203125" style="803" customWidth="1"/>
    <col min="14344" max="14344" width="17.44140625" style="803" bestFit="1" customWidth="1"/>
    <col min="14345" max="14345" width="16.6640625" style="803" bestFit="1" customWidth="1"/>
    <col min="14346" max="14592" width="9.109375" style="803"/>
    <col min="14593" max="14593" width="21" style="803" customWidth="1"/>
    <col min="14594" max="14594" width="29.44140625" style="803" customWidth="1"/>
    <col min="14595" max="14597" width="16.6640625" style="803" customWidth="1"/>
    <col min="14598" max="14598" width="0" style="803" hidden="1" customWidth="1"/>
    <col min="14599" max="14599" width="16.33203125" style="803" customWidth="1"/>
    <col min="14600" max="14600" width="17.44140625" style="803" bestFit="1" customWidth="1"/>
    <col min="14601" max="14601" width="16.6640625" style="803" bestFit="1" customWidth="1"/>
    <col min="14602" max="14848" width="9.109375" style="803"/>
    <col min="14849" max="14849" width="21" style="803" customWidth="1"/>
    <col min="14850" max="14850" width="29.44140625" style="803" customWidth="1"/>
    <col min="14851" max="14853" width="16.6640625" style="803" customWidth="1"/>
    <col min="14854" max="14854" width="0" style="803" hidden="1" customWidth="1"/>
    <col min="14855" max="14855" width="16.33203125" style="803" customWidth="1"/>
    <col min="14856" max="14856" width="17.44140625" style="803" bestFit="1" customWidth="1"/>
    <col min="14857" max="14857" width="16.6640625" style="803" bestFit="1" customWidth="1"/>
    <col min="14858" max="15104" width="9.109375" style="803"/>
    <col min="15105" max="15105" width="21" style="803" customWidth="1"/>
    <col min="15106" max="15106" width="29.44140625" style="803" customWidth="1"/>
    <col min="15107" max="15109" width="16.6640625" style="803" customWidth="1"/>
    <col min="15110" max="15110" width="0" style="803" hidden="1" customWidth="1"/>
    <col min="15111" max="15111" width="16.33203125" style="803" customWidth="1"/>
    <col min="15112" max="15112" width="17.44140625" style="803" bestFit="1" customWidth="1"/>
    <col min="15113" max="15113" width="16.6640625" style="803" bestFit="1" customWidth="1"/>
    <col min="15114" max="15360" width="9.109375" style="803"/>
    <col min="15361" max="15361" width="21" style="803" customWidth="1"/>
    <col min="15362" max="15362" width="29.44140625" style="803" customWidth="1"/>
    <col min="15363" max="15365" width="16.6640625" style="803" customWidth="1"/>
    <col min="15366" max="15366" width="0" style="803" hidden="1" customWidth="1"/>
    <col min="15367" max="15367" width="16.33203125" style="803" customWidth="1"/>
    <col min="15368" max="15368" width="17.44140625" style="803" bestFit="1" customWidth="1"/>
    <col min="15369" max="15369" width="16.6640625" style="803" bestFit="1" customWidth="1"/>
    <col min="15370" max="15616" width="9.109375" style="803"/>
    <col min="15617" max="15617" width="21" style="803" customWidth="1"/>
    <col min="15618" max="15618" width="29.44140625" style="803" customWidth="1"/>
    <col min="15619" max="15621" width="16.6640625" style="803" customWidth="1"/>
    <col min="15622" max="15622" width="0" style="803" hidden="1" customWidth="1"/>
    <col min="15623" max="15623" width="16.33203125" style="803" customWidth="1"/>
    <col min="15624" max="15624" width="17.44140625" style="803" bestFit="1" customWidth="1"/>
    <col min="15625" max="15625" width="16.6640625" style="803" bestFit="1" customWidth="1"/>
    <col min="15626" max="15872" width="9.109375" style="803"/>
    <col min="15873" max="15873" width="21" style="803" customWidth="1"/>
    <col min="15874" max="15874" width="29.44140625" style="803" customWidth="1"/>
    <col min="15875" max="15877" width="16.6640625" style="803" customWidth="1"/>
    <col min="15878" max="15878" width="0" style="803" hidden="1" customWidth="1"/>
    <col min="15879" max="15879" width="16.33203125" style="803" customWidth="1"/>
    <col min="15880" max="15880" width="17.44140625" style="803" bestFit="1" customWidth="1"/>
    <col min="15881" max="15881" width="16.6640625" style="803" bestFit="1" customWidth="1"/>
    <col min="15882" max="16128" width="9.109375" style="803"/>
    <col min="16129" max="16129" width="21" style="803" customWidth="1"/>
    <col min="16130" max="16130" width="29.44140625" style="803" customWidth="1"/>
    <col min="16131" max="16133" width="16.6640625" style="803" customWidth="1"/>
    <col min="16134" max="16134" width="0" style="803" hidden="1" customWidth="1"/>
    <col min="16135" max="16135" width="16.33203125" style="803" customWidth="1"/>
    <col min="16136" max="16136" width="17.44140625" style="803" bestFit="1" customWidth="1"/>
    <col min="16137" max="16137" width="16.6640625" style="803" bestFit="1" customWidth="1"/>
    <col min="16138" max="16384" width="9.109375" style="803"/>
  </cols>
  <sheetData>
    <row r="1" spans="1:11" ht="12.75" x14ac:dyDescent="0.2">
      <c r="A1" s="1561" t="s">
        <v>1163</v>
      </c>
      <c r="B1" s="1561"/>
      <c r="C1" s="1561"/>
      <c r="D1" s="1561"/>
      <c r="E1" s="1561"/>
      <c r="F1" s="1561"/>
      <c r="G1" s="1561"/>
      <c r="H1" s="1561"/>
      <c r="I1" s="1561"/>
    </row>
    <row r="3" spans="1:11" ht="12.75" x14ac:dyDescent="0.2">
      <c r="A3" s="849" t="s">
        <v>1164</v>
      </c>
      <c r="B3" s="849" t="s">
        <v>1165</v>
      </c>
    </row>
    <row r="4" spans="1:11" ht="12.75" x14ac:dyDescent="0.2">
      <c r="A4" s="849" t="s">
        <v>1166</v>
      </c>
      <c r="B4" s="849" t="s">
        <v>1167</v>
      </c>
    </row>
    <row r="6" spans="1:11" ht="25.5" customHeight="1" x14ac:dyDescent="0.25">
      <c r="C6" s="1305" t="s">
        <v>1168</v>
      </c>
      <c r="D6" s="1304" t="s">
        <v>1169</v>
      </c>
      <c r="E6" s="1305" t="s">
        <v>1170</v>
      </c>
      <c r="F6" s="1306" t="s">
        <v>1171</v>
      </c>
      <c r="G6" s="1306" t="s">
        <v>1172</v>
      </c>
      <c r="H6" s="1306" t="s">
        <v>1173</v>
      </c>
      <c r="I6" s="1306" t="s">
        <v>1174</v>
      </c>
      <c r="J6" s="1588" t="s">
        <v>1375</v>
      </c>
      <c r="K6" s="1588"/>
    </row>
    <row r="7" spans="1:11" x14ac:dyDescent="0.25">
      <c r="A7" s="849" t="s">
        <v>1175</v>
      </c>
      <c r="C7" s="1306"/>
      <c r="D7" s="1301"/>
      <c r="E7" s="1306"/>
      <c r="F7" s="1306"/>
      <c r="G7" s="1306"/>
      <c r="H7" s="1306"/>
      <c r="I7" s="1306"/>
      <c r="J7" s="1588"/>
      <c r="K7" s="1588"/>
    </row>
    <row r="8" spans="1:11" ht="12.75" customHeight="1" x14ac:dyDescent="0.2">
      <c r="A8" s="852" t="s">
        <v>1176</v>
      </c>
      <c r="C8" s="1300">
        <v>-20031815</v>
      </c>
      <c r="D8" s="1302">
        <v>-20031815</v>
      </c>
      <c r="E8" s="1300">
        <v>-20914977</v>
      </c>
      <c r="F8" s="1300"/>
      <c r="G8" s="1300">
        <v>-21983957</v>
      </c>
      <c r="H8" s="1300">
        <v>-23213715</v>
      </c>
      <c r="I8" s="1300">
        <v>-24181232</v>
      </c>
    </row>
    <row r="9" spans="1:11" ht="12.75" customHeight="1" x14ac:dyDescent="0.2">
      <c r="A9" s="852" t="s">
        <v>12</v>
      </c>
      <c r="C9" s="1300">
        <v>-13528819</v>
      </c>
      <c r="D9" s="1302">
        <v>-13548819</v>
      </c>
      <c r="E9" s="1300">
        <v>-14184400</v>
      </c>
      <c r="F9" s="1300"/>
      <c r="G9" s="1300">
        <v>-14288015</v>
      </c>
      <c r="H9" s="1300">
        <v>-14861233</v>
      </c>
      <c r="I9" s="1300">
        <v>-15697496</v>
      </c>
    </row>
    <row r="10" spans="1:11" ht="12.75" customHeight="1" x14ac:dyDescent="0.2">
      <c r="A10" s="852" t="s">
        <v>1177</v>
      </c>
      <c r="C10" s="1300">
        <v>-2254500</v>
      </c>
      <c r="D10" s="1302">
        <v>-2268000</v>
      </c>
      <c r="E10" s="1300">
        <v>-2162209</v>
      </c>
      <c r="F10" s="1300"/>
      <c r="G10" s="1300">
        <v>-1977563</v>
      </c>
      <c r="H10" s="1300">
        <v>-1913963</v>
      </c>
      <c r="I10" s="1300">
        <v>-1883648</v>
      </c>
    </row>
    <row r="11" spans="1:11" ht="12.75" customHeight="1" x14ac:dyDescent="0.2">
      <c r="A11" s="852" t="s">
        <v>1178</v>
      </c>
      <c r="C11" s="1300">
        <v>-2424537</v>
      </c>
      <c r="D11" s="1302">
        <v>-2552776</v>
      </c>
      <c r="E11" s="1300">
        <v>-2409788</v>
      </c>
      <c r="F11" s="1300"/>
      <c r="G11" s="1300">
        <v>-2463804</v>
      </c>
      <c r="H11" s="1300">
        <v>-2520379</v>
      </c>
      <c r="I11" s="1300">
        <v>-2578016</v>
      </c>
    </row>
    <row r="12" spans="1:11" ht="12.75" customHeight="1" x14ac:dyDescent="0.2">
      <c r="A12" s="852" t="s">
        <v>1179</v>
      </c>
      <c r="C12" s="1300">
        <v>-6250744</v>
      </c>
      <c r="D12" s="1302">
        <v>-6373128</v>
      </c>
      <c r="E12" s="1300">
        <v>-5300389</v>
      </c>
      <c r="F12" s="1300"/>
      <c r="G12" s="1300">
        <v>-5393841</v>
      </c>
      <c r="H12" s="1300">
        <v>-5487008</v>
      </c>
      <c r="I12" s="1300">
        <v>-5582053</v>
      </c>
    </row>
    <row r="13" spans="1:11" ht="12.75" customHeight="1" x14ac:dyDescent="0.2">
      <c r="A13" s="852" t="s">
        <v>1180</v>
      </c>
      <c r="C13" s="1300">
        <v>-4783353</v>
      </c>
      <c r="D13" s="1302">
        <v>-6010476</v>
      </c>
      <c r="E13" s="1300">
        <v>-5059852</v>
      </c>
      <c r="F13" s="1300"/>
      <c r="G13" s="1300">
        <v>-5239623</v>
      </c>
      <c r="H13" s="1300">
        <v>-5419178</v>
      </c>
      <c r="I13" s="1300">
        <v>-5456519</v>
      </c>
    </row>
    <row r="14" spans="1:11" ht="12.75" x14ac:dyDescent="0.2">
      <c r="C14" s="1309"/>
      <c r="D14" s="1307"/>
      <c r="E14" s="1309"/>
      <c r="F14" s="1309"/>
      <c r="G14" s="1309"/>
      <c r="H14" s="1309"/>
      <c r="I14" s="1309"/>
    </row>
    <row r="15" spans="1:11" ht="12.75" x14ac:dyDescent="0.2">
      <c r="A15" s="849" t="s">
        <v>1181</v>
      </c>
      <c r="C15" s="1308">
        <v>-49273768</v>
      </c>
      <c r="D15" s="1303">
        <v>-50785014</v>
      </c>
      <c r="E15" s="1308">
        <v>-50031615</v>
      </c>
      <c r="F15" s="1308">
        <v>0</v>
      </c>
      <c r="G15" s="1308">
        <v>-51346803</v>
      </c>
      <c r="H15" s="1308">
        <v>-53415476</v>
      </c>
      <c r="I15" s="1308">
        <v>-55378964</v>
      </c>
    </row>
    <row r="16" spans="1:11" ht="12.75" x14ac:dyDescent="0.2">
      <c r="A16" s="849"/>
      <c r="C16" s="855"/>
      <c r="D16" s="855"/>
      <c r="E16" s="855"/>
      <c r="F16" s="855"/>
      <c r="G16" s="855"/>
      <c r="H16" s="855"/>
      <c r="I16" s="855"/>
    </row>
    <row r="17" spans="1:9" ht="12.75" x14ac:dyDescent="0.2">
      <c r="A17" s="849"/>
      <c r="C17" s="855"/>
      <c r="D17" s="855"/>
      <c r="E17" s="855"/>
      <c r="F17" s="855"/>
      <c r="G17" s="855"/>
      <c r="H17" s="855"/>
      <c r="I17" s="855"/>
    </row>
    <row r="18" spans="1:9" ht="12.75" x14ac:dyDescent="0.2">
      <c r="A18" s="849"/>
      <c r="C18" s="855"/>
      <c r="D18" s="855"/>
      <c r="E18" s="855"/>
      <c r="F18" s="855"/>
      <c r="G18" s="855"/>
      <c r="H18" s="855"/>
      <c r="I18" s="855"/>
    </row>
    <row r="19" spans="1:9" ht="12.75" x14ac:dyDescent="0.2">
      <c r="C19" s="853"/>
      <c r="D19" s="853"/>
      <c r="E19" s="853"/>
      <c r="F19" s="853"/>
      <c r="G19" s="853"/>
      <c r="H19" s="853"/>
      <c r="I19" s="853"/>
    </row>
    <row r="20" spans="1:9" ht="25.5" x14ac:dyDescent="0.2">
      <c r="C20" s="1317" t="s">
        <v>1168</v>
      </c>
      <c r="D20" s="1316" t="s">
        <v>1169</v>
      </c>
      <c r="E20" s="1317" t="s">
        <v>1170</v>
      </c>
      <c r="F20" s="1318" t="s">
        <v>1171</v>
      </c>
      <c r="G20" s="1318" t="s">
        <v>1172</v>
      </c>
      <c r="H20" s="1318" t="s">
        <v>1173</v>
      </c>
      <c r="I20" s="1318" t="s">
        <v>1174</v>
      </c>
    </row>
    <row r="21" spans="1:9" ht="12.75" x14ac:dyDescent="0.2">
      <c r="A21" s="849" t="s">
        <v>925</v>
      </c>
      <c r="C21" s="1318"/>
      <c r="D21" s="1313"/>
      <c r="E21" s="1318"/>
      <c r="F21" s="1318"/>
      <c r="G21" s="1318"/>
      <c r="H21" s="1318"/>
      <c r="I21" s="1318"/>
    </row>
    <row r="22" spans="1:9" ht="12.75" customHeight="1" x14ac:dyDescent="0.2">
      <c r="A22" s="852" t="s">
        <v>1182</v>
      </c>
      <c r="C22" s="1312">
        <v>13094137</v>
      </c>
      <c r="D22" s="1314">
        <v>13290484</v>
      </c>
      <c r="E22" s="1312">
        <v>13571739</v>
      </c>
      <c r="F22" s="1311"/>
      <c r="G22" s="1312">
        <v>13889526</v>
      </c>
      <c r="H22" s="1312">
        <v>14469790</v>
      </c>
      <c r="I22" s="1312">
        <v>15160101</v>
      </c>
    </row>
    <row r="23" spans="1:9" ht="12.75" customHeight="1" x14ac:dyDescent="0.2">
      <c r="A23" s="852" t="s">
        <v>27</v>
      </c>
      <c r="C23" s="1312">
        <v>14214548</v>
      </c>
      <c r="D23" s="1314">
        <v>15460205</v>
      </c>
      <c r="E23" s="1312">
        <v>15174867</v>
      </c>
      <c r="F23" s="1311"/>
      <c r="G23" s="1312">
        <v>15414205</v>
      </c>
      <c r="H23" s="1312">
        <v>15841372</v>
      </c>
      <c r="I23" s="1312">
        <v>16614664</v>
      </c>
    </row>
    <row r="24" spans="1:9" ht="12.75" customHeight="1" x14ac:dyDescent="0.2">
      <c r="A24" s="852" t="s">
        <v>1183</v>
      </c>
      <c r="C24" s="1312">
        <v>3204843</v>
      </c>
      <c r="D24" s="1314">
        <v>3268085</v>
      </c>
      <c r="E24" s="1312">
        <v>3307281</v>
      </c>
      <c r="F24" s="1311"/>
      <c r="G24" s="1312">
        <v>3375721</v>
      </c>
      <c r="H24" s="1312">
        <v>3469520</v>
      </c>
      <c r="I24" s="1312">
        <v>3637997</v>
      </c>
    </row>
    <row r="25" spans="1:9" ht="12.75" customHeight="1" x14ac:dyDescent="0.2">
      <c r="A25" s="852" t="s">
        <v>926</v>
      </c>
      <c r="C25" s="1312">
        <v>1715858</v>
      </c>
      <c r="D25" s="1314">
        <v>1715858</v>
      </c>
      <c r="E25" s="1312">
        <v>2126712</v>
      </c>
      <c r="F25" s="1311"/>
      <c r="G25" s="1312">
        <v>2354022</v>
      </c>
      <c r="H25" s="1312">
        <v>2419970</v>
      </c>
      <c r="I25" s="1312">
        <v>2641417</v>
      </c>
    </row>
    <row r="26" spans="1:9" ht="12.75" customHeight="1" x14ac:dyDescent="0.2">
      <c r="A26" s="852" t="s">
        <v>1077</v>
      </c>
      <c r="C26" s="1312">
        <v>4783353</v>
      </c>
      <c r="D26" s="1314">
        <v>4783353</v>
      </c>
      <c r="E26" s="1312">
        <v>4997352</v>
      </c>
      <c r="F26" s="1311"/>
      <c r="G26" s="1312">
        <v>5174623</v>
      </c>
      <c r="H26" s="1312">
        <v>5354178</v>
      </c>
      <c r="I26" s="1312">
        <v>5535702</v>
      </c>
    </row>
    <row r="27" spans="1:9" ht="12.75" customHeight="1" x14ac:dyDescent="0.2">
      <c r="A27" s="852" t="s">
        <v>584</v>
      </c>
      <c r="C27" s="1312">
        <v>11286985</v>
      </c>
      <c r="D27" s="1314">
        <v>11286985</v>
      </c>
      <c r="E27" s="1312">
        <v>10411565</v>
      </c>
      <c r="F27" s="1311"/>
      <c r="G27" s="1312">
        <v>10771184</v>
      </c>
      <c r="H27" s="1312">
        <v>11149532</v>
      </c>
      <c r="I27" s="1312">
        <v>11530181</v>
      </c>
    </row>
    <row r="28" spans="1:9" ht="12.75" x14ac:dyDescent="0.2">
      <c r="C28" s="1321"/>
      <c r="D28" s="1319"/>
      <c r="E28" s="1321"/>
      <c r="F28" s="1321"/>
      <c r="G28" s="1321"/>
      <c r="H28" s="1321"/>
      <c r="I28" s="1321"/>
    </row>
    <row r="29" spans="1:9" ht="12.75" x14ac:dyDescent="0.2">
      <c r="A29" s="849" t="s">
        <v>1184</v>
      </c>
      <c r="C29" s="1320">
        <v>48299724</v>
      </c>
      <c r="D29" s="1315">
        <v>49804970</v>
      </c>
      <c r="E29" s="1320">
        <v>49589516</v>
      </c>
      <c r="F29" s="1320">
        <v>0</v>
      </c>
      <c r="G29" s="1320">
        <v>50979281</v>
      </c>
      <c r="H29" s="1320">
        <v>52704362</v>
      </c>
      <c r="I29" s="1320">
        <v>55120062</v>
      </c>
    </row>
    <row r="30" spans="1:9" ht="12.75" x14ac:dyDescent="0.2">
      <c r="C30" s="1321"/>
      <c r="D30" s="1319"/>
      <c r="E30" s="1321"/>
      <c r="F30" s="1321"/>
      <c r="G30" s="1321"/>
      <c r="H30" s="1321"/>
      <c r="I30" s="1321"/>
    </row>
    <row r="31" spans="1:9" ht="12.75" x14ac:dyDescent="0.2">
      <c r="A31" s="849" t="s">
        <v>1185</v>
      </c>
      <c r="C31" s="1320">
        <v>-974044</v>
      </c>
      <c r="D31" s="1315">
        <v>-980044</v>
      </c>
      <c r="E31" s="1320">
        <v>-442099</v>
      </c>
      <c r="F31" s="1320">
        <v>0</v>
      </c>
      <c r="G31" s="1320">
        <v>-367522</v>
      </c>
      <c r="H31" s="1320">
        <v>-711114</v>
      </c>
      <c r="I31" s="1320">
        <v>-258902</v>
      </c>
    </row>
    <row r="32" spans="1:9" ht="12.75" x14ac:dyDescent="0.2">
      <c r="C32" s="853"/>
      <c r="D32" s="853"/>
      <c r="E32" s="853"/>
      <c r="F32" s="853"/>
      <c r="G32" s="853"/>
      <c r="H32" s="853"/>
      <c r="I32" s="853"/>
    </row>
    <row r="33" spans="1:9" ht="12.75" x14ac:dyDescent="0.2">
      <c r="C33" s="853"/>
      <c r="D33" s="853"/>
      <c r="E33" s="853"/>
      <c r="F33" s="853"/>
      <c r="G33" s="853"/>
      <c r="H33" s="853"/>
      <c r="I33" s="853"/>
    </row>
    <row r="34" spans="1:9" ht="12.75" hidden="1" outlineLevel="2" x14ac:dyDescent="0.2">
      <c r="A34" s="856" t="s">
        <v>1164</v>
      </c>
      <c r="B34" s="857" t="s">
        <v>1186</v>
      </c>
      <c r="C34" s="858"/>
      <c r="D34" s="858"/>
      <c r="E34" s="858"/>
      <c r="F34" s="858"/>
      <c r="G34" s="858"/>
      <c r="H34" s="858"/>
      <c r="I34" s="859"/>
    </row>
    <row r="35" spans="1:9" ht="12.75" hidden="1" outlineLevel="2" x14ac:dyDescent="0.2">
      <c r="A35" s="860"/>
      <c r="B35" s="849"/>
      <c r="I35" s="861"/>
    </row>
    <row r="36" spans="1:9" ht="12.75" hidden="1" outlineLevel="2" x14ac:dyDescent="0.2">
      <c r="A36" s="862"/>
      <c r="I36" s="861"/>
    </row>
    <row r="37" spans="1:9" ht="25.5" hidden="1" outlineLevel="2" x14ac:dyDescent="0.2">
      <c r="A37" s="862"/>
      <c r="C37" s="850" t="s">
        <v>1168</v>
      </c>
      <c r="D37" s="850" t="s">
        <v>1169</v>
      </c>
      <c r="E37" s="850" t="s">
        <v>1170</v>
      </c>
      <c r="F37" s="851" t="s">
        <v>1171</v>
      </c>
      <c r="G37" s="851" t="s">
        <v>1172</v>
      </c>
      <c r="H37" s="851" t="s">
        <v>1173</v>
      </c>
      <c r="I37" s="863" t="s">
        <v>1174</v>
      </c>
    </row>
    <row r="38" spans="1:9" ht="12.75" hidden="1" outlineLevel="2" x14ac:dyDescent="0.2">
      <c r="A38" s="860" t="s">
        <v>1175</v>
      </c>
      <c r="C38" s="851"/>
      <c r="D38" s="851"/>
      <c r="E38" s="851"/>
      <c r="F38" s="851"/>
      <c r="G38" s="851"/>
      <c r="H38" s="851"/>
      <c r="I38" s="863"/>
    </row>
    <row r="39" spans="1:9" ht="12.75" hidden="1" customHeight="1" outlineLevel="2" x14ac:dyDescent="0.2">
      <c r="A39" s="864" t="s">
        <v>1176</v>
      </c>
      <c r="C39" s="853">
        <f>C70+C101</f>
        <v>20031.814999999999</v>
      </c>
      <c r="D39" s="853">
        <f t="shared" ref="D39:I39" si="0">D70+D101</f>
        <v>20031.814999999999</v>
      </c>
      <c r="E39" s="853">
        <f t="shared" si="0"/>
        <v>20914.976999999999</v>
      </c>
      <c r="F39" s="853">
        <f t="shared" si="0"/>
        <v>0</v>
      </c>
      <c r="G39" s="853">
        <f t="shared" si="0"/>
        <v>21983.956999999999</v>
      </c>
      <c r="H39" s="853">
        <f t="shared" si="0"/>
        <v>23213.715</v>
      </c>
      <c r="I39" s="865">
        <f t="shared" si="0"/>
        <v>24181.232</v>
      </c>
    </row>
    <row r="40" spans="1:9" ht="12.75" hidden="1" customHeight="1" outlineLevel="2" x14ac:dyDescent="0.2">
      <c r="A40" s="864" t="s">
        <v>12</v>
      </c>
      <c r="C40" s="853">
        <f t="shared" ref="C40:I44" si="1">C71+C102</f>
        <v>13528.819</v>
      </c>
      <c r="D40" s="853">
        <f t="shared" si="1"/>
        <v>13548.819</v>
      </c>
      <c r="E40" s="853">
        <f t="shared" si="1"/>
        <v>14184.4</v>
      </c>
      <c r="F40" s="853">
        <f t="shared" si="1"/>
        <v>0</v>
      </c>
      <c r="G40" s="853">
        <f t="shared" si="1"/>
        <v>14288.014999999999</v>
      </c>
      <c r="H40" s="853">
        <f t="shared" si="1"/>
        <v>14861.233</v>
      </c>
      <c r="I40" s="865">
        <f t="shared" si="1"/>
        <v>15697.495999999999</v>
      </c>
    </row>
    <row r="41" spans="1:9" ht="12.75" hidden="1" customHeight="1" outlineLevel="2" x14ac:dyDescent="0.2">
      <c r="A41" s="864" t="s">
        <v>1177</v>
      </c>
      <c r="C41" s="853">
        <f t="shared" si="1"/>
        <v>2254.5</v>
      </c>
      <c r="D41" s="853">
        <f t="shared" si="1"/>
        <v>2268</v>
      </c>
      <c r="E41" s="853">
        <f t="shared" si="1"/>
        <v>2162.2089999999998</v>
      </c>
      <c r="F41" s="853">
        <f t="shared" si="1"/>
        <v>0</v>
      </c>
      <c r="G41" s="853">
        <f t="shared" si="1"/>
        <v>1977.5630000000001</v>
      </c>
      <c r="H41" s="853">
        <f t="shared" si="1"/>
        <v>1913.963</v>
      </c>
      <c r="I41" s="865">
        <f t="shared" si="1"/>
        <v>1883.6479999999999</v>
      </c>
    </row>
    <row r="42" spans="1:9" ht="12.75" hidden="1" customHeight="1" outlineLevel="2" x14ac:dyDescent="0.2">
      <c r="A42" s="864" t="s">
        <v>1178</v>
      </c>
      <c r="C42" s="853">
        <f t="shared" si="1"/>
        <v>2424.5369999999998</v>
      </c>
      <c r="D42" s="853">
        <f t="shared" si="1"/>
        <v>2552.7759999999998</v>
      </c>
      <c r="E42" s="853">
        <f t="shared" si="1"/>
        <v>2409.788</v>
      </c>
      <c r="F42" s="853">
        <f t="shared" si="1"/>
        <v>0</v>
      </c>
      <c r="G42" s="853">
        <f t="shared" si="1"/>
        <v>2463.8040000000001</v>
      </c>
      <c r="H42" s="853">
        <f t="shared" si="1"/>
        <v>2520.3789999999999</v>
      </c>
      <c r="I42" s="865">
        <f t="shared" si="1"/>
        <v>2578.0160000000001</v>
      </c>
    </row>
    <row r="43" spans="1:9" ht="12.75" hidden="1" customHeight="1" outlineLevel="2" x14ac:dyDescent="0.2">
      <c r="A43" s="864" t="s">
        <v>1179</v>
      </c>
      <c r="C43" s="853">
        <f t="shared" si="1"/>
        <v>6250.7439999999997</v>
      </c>
      <c r="D43" s="853">
        <f t="shared" si="1"/>
        <v>6373.1279999999997</v>
      </c>
      <c r="E43" s="853">
        <f t="shared" si="1"/>
        <v>5300.3890000000001</v>
      </c>
      <c r="F43" s="853">
        <f t="shared" si="1"/>
        <v>0</v>
      </c>
      <c r="G43" s="853">
        <f t="shared" si="1"/>
        <v>5393.8410000000003</v>
      </c>
      <c r="H43" s="853">
        <f t="shared" si="1"/>
        <v>5487.0079999999998</v>
      </c>
      <c r="I43" s="865">
        <f t="shared" si="1"/>
        <v>5582.0529999999999</v>
      </c>
    </row>
    <row r="44" spans="1:9" ht="12.75" hidden="1" customHeight="1" outlineLevel="2" x14ac:dyDescent="0.2">
      <c r="A44" s="864" t="s">
        <v>1180</v>
      </c>
      <c r="C44" s="853">
        <f t="shared" si="1"/>
        <v>4783.3530000000001</v>
      </c>
      <c r="D44" s="853">
        <f t="shared" si="1"/>
        <v>6010.4759999999997</v>
      </c>
      <c r="E44" s="853">
        <f t="shared" si="1"/>
        <v>5059.8519999999999</v>
      </c>
      <c r="F44" s="853">
        <f t="shared" si="1"/>
        <v>0</v>
      </c>
      <c r="G44" s="853">
        <f t="shared" si="1"/>
        <v>5239.6229999999996</v>
      </c>
      <c r="H44" s="853">
        <f t="shared" si="1"/>
        <v>5419.1779999999999</v>
      </c>
      <c r="I44" s="865">
        <f t="shared" si="1"/>
        <v>5456.5190000000002</v>
      </c>
    </row>
    <row r="45" spans="1:9" ht="12.75" hidden="1" outlineLevel="2" x14ac:dyDescent="0.2">
      <c r="A45" s="862"/>
      <c r="C45" s="854"/>
      <c r="D45" s="854"/>
      <c r="E45" s="854"/>
      <c r="F45" s="854"/>
      <c r="G45" s="854"/>
      <c r="H45" s="854"/>
      <c r="I45" s="866"/>
    </row>
    <row r="46" spans="1:9" ht="12.75" hidden="1" outlineLevel="2" x14ac:dyDescent="0.2">
      <c r="A46" s="860" t="s">
        <v>1181</v>
      </c>
      <c r="C46" s="855">
        <f t="shared" ref="C46:I46" si="2">SUM(C39:C45)</f>
        <v>49273.767999999996</v>
      </c>
      <c r="D46" s="855">
        <f t="shared" si="2"/>
        <v>50785.013999999996</v>
      </c>
      <c r="E46" s="855">
        <f t="shared" si="2"/>
        <v>50031.615000000005</v>
      </c>
      <c r="F46" s="855">
        <f t="shared" si="2"/>
        <v>0</v>
      </c>
      <c r="G46" s="855">
        <f t="shared" si="2"/>
        <v>51346.802999999993</v>
      </c>
      <c r="H46" s="855">
        <f t="shared" si="2"/>
        <v>53415.47600000001</v>
      </c>
      <c r="I46" s="867">
        <f t="shared" si="2"/>
        <v>55378.964000000007</v>
      </c>
    </row>
    <row r="47" spans="1:9" ht="12.75" hidden="1" outlineLevel="2" x14ac:dyDescent="0.2">
      <c r="A47" s="860"/>
      <c r="C47" s="855"/>
      <c r="D47" s="855"/>
      <c r="E47" s="855"/>
      <c r="F47" s="855"/>
      <c r="G47" s="855"/>
      <c r="H47" s="855"/>
      <c r="I47" s="867"/>
    </row>
    <row r="48" spans="1:9" ht="12.75" hidden="1" outlineLevel="2" x14ac:dyDescent="0.2">
      <c r="A48" s="860"/>
      <c r="C48" s="855"/>
      <c r="D48" s="855"/>
      <c r="E48" s="855"/>
      <c r="F48" s="855"/>
      <c r="G48" s="855"/>
      <c r="H48" s="855"/>
      <c r="I48" s="867"/>
    </row>
    <row r="49" spans="1:9" ht="12.75" hidden="1" outlineLevel="2" x14ac:dyDescent="0.2">
      <c r="A49" s="860"/>
      <c r="C49" s="855"/>
      <c r="D49" s="855"/>
      <c r="E49" s="855"/>
      <c r="F49" s="855"/>
      <c r="G49" s="855"/>
      <c r="H49" s="855"/>
      <c r="I49" s="867"/>
    </row>
    <row r="50" spans="1:9" ht="12.75" hidden="1" outlineLevel="2" x14ac:dyDescent="0.2">
      <c r="A50" s="862"/>
      <c r="C50" s="853"/>
      <c r="D50" s="853"/>
      <c r="E50" s="853"/>
      <c r="F50" s="853"/>
      <c r="G50" s="853"/>
      <c r="H50" s="853"/>
      <c r="I50" s="865"/>
    </row>
    <row r="51" spans="1:9" ht="25.5" hidden="1" outlineLevel="2" x14ac:dyDescent="0.2">
      <c r="A51" s="862"/>
      <c r="C51" s="850" t="s">
        <v>1168</v>
      </c>
      <c r="D51" s="850" t="s">
        <v>1169</v>
      </c>
      <c r="E51" s="850" t="s">
        <v>1170</v>
      </c>
      <c r="F51" s="851" t="s">
        <v>1171</v>
      </c>
      <c r="G51" s="851" t="s">
        <v>1172</v>
      </c>
      <c r="H51" s="851" t="s">
        <v>1173</v>
      </c>
      <c r="I51" s="863" t="s">
        <v>1174</v>
      </c>
    </row>
    <row r="52" spans="1:9" ht="12.75" hidden="1" outlineLevel="2" x14ac:dyDescent="0.2">
      <c r="A52" s="860" t="s">
        <v>925</v>
      </c>
      <c r="C52" s="851"/>
      <c r="D52" s="851"/>
      <c r="E52" s="851"/>
      <c r="F52" s="851"/>
      <c r="G52" s="851"/>
      <c r="H52" s="851"/>
      <c r="I52" s="863"/>
    </row>
    <row r="53" spans="1:9" ht="12.75" hidden="1" customHeight="1" outlineLevel="2" x14ac:dyDescent="0.2">
      <c r="A53" s="864" t="s">
        <v>1182</v>
      </c>
      <c r="C53" s="853">
        <f t="shared" ref="C53:I58" si="3">C84+C115</f>
        <v>13094.137000000001</v>
      </c>
      <c r="D53" s="853">
        <f t="shared" si="3"/>
        <v>13290.484</v>
      </c>
      <c r="E53" s="853">
        <f t="shared" si="3"/>
        <v>13571.739</v>
      </c>
      <c r="F53" s="853">
        <f t="shared" si="3"/>
        <v>0</v>
      </c>
      <c r="G53" s="853">
        <f t="shared" si="3"/>
        <v>13889.526</v>
      </c>
      <c r="H53" s="853">
        <f t="shared" si="3"/>
        <v>14469.79</v>
      </c>
      <c r="I53" s="865">
        <f t="shared" si="3"/>
        <v>15160.101000000001</v>
      </c>
    </row>
    <row r="54" spans="1:9" ht="12.75" hidden="1" customHeight="1" outlineLevel="2" x14ac:dyDescent="0.2">
      <c r="A54" s="864" t="s">
        <v>27</v>
      </c>
      <c r="C54" s="853">
        <f t="shared" si="3"/>
        <v>14214.548000000001</v>
      </c>
      <c r="D54" s="853">
        <f t="shared" si="3"/>
        <v>15460.205</v>
      </c>
      <c r="E54" s="853">
        <f t="shared" si="3"/>
        <v>15174.867</v>
      </c>
      <c r="F54" s="853">
        <f t="shared" si="3"/>
        <v>0</v>
      </c>
      <c r="G54" s="853">
        <f t="shared" si="3"/>
        <v>15414.205</v>
      </c>
      <c r="H54" s="853">
        <f t="shared" si="3"/>
        <v>15841.371999999999</v>
      </c>
      <c r="I54" s="865">
        <f t="shared" si="3"/>
        <v>16614.664000000001</v>
      </c>
    </row>
    <row r="55" spans="1:9" ht="12.75" hidden="1" customHeight="1" outlineLevel="2" x14ac:dyDescent="0.2">
      <c r="A55" s="864" t="s">
        <v>1183</v>
      </c>
      <c r="C55" s="853">
        <f t="shared" si="3"/>
        <v>3204.8429999999998</v>
      </c>
      <c r="D55" s="853">
        <f t="shared" si="3"/>
        <v>3268.085</v>
      </c>
      <c r="E55" s="853">
        <f t="shared" si="3"/>
        <v>3307.2809999999999</v>
      </c>
      <c r="F55" s="853">
        <f t="shared" si="3"/>
        <v>0</v>
      </c>
      <c r="G55" s="853">
        <f t="shared" si="3"/>
        <v>3375.721</v>
      </c>
      <c r="H55" s="853">
        <f t="shared" si="3"/>
        <v>3469.52</v>
      </c>
      <c r="I55" s="865">
        <f t="shared" si="3"/>
        <v>3637.9969999999998</v>
      </c>
    </row>
    <row r="56" spans="1:9" ht="12.75" hidden="1" customHeight="1" outlineLevel="2" x14ac:dyDescent="0.2">
      <c r="A56" s="864" t="s">
        <v>926</v>
      </c>
      <c r="C56" s="853">
        <f t="shared" si="3"/>
        <v>1715.8579999999999</v>
      </c>
      <c r="D56" s="853">
        <f t="shared" si="3"/>
        <v>1715.8579999999999</v>
      </c>
      <c r="E56" s="853">
        <f t="shared" si="3"/>
        <v>2126.712</v>
      </c>
      <c r="F56" s="853">
        <f t="shared" si="3"/>
        <v>0</v>
      </c>
      <c r="G56" s="853">
        <f t="shared" si="3"/>
        <v>2354.0219999999999</v>
      </c>
      <c r="H56" s="853">
        <f t="shared" si="3"/>
        <v>2419.9699999999998</v>
      </c>
      <c r="I56" s="865">
        <f t="shared" si="3"/>
        <v>2641.4169999999999</v>
      </c>
    </row>
    <row r="57" spans="1:9" ht="12.75" hidden="1" customHeight="1" outlineLevel="2" x14ac:dyDescent="0.2">
      <c r="A57" s="864" t="s">
        <v>1077</v>
      </c>
      <c r="C57" s="853">
        <f t="shared" si="3"/>
        <v>4783.3530000000001</v>
      </c>
      <c r="D57" s="853">
        <f t="shared" si="3"/>
        <v>4783.3530000000001</v>
      </c>
      <c r="E57" s="853">
        <f t="shared" si="3"/>
        <v>4997.3519999999999</v>
      </c>
      <c r="F57" s="853">
        <f t="shared" si="3"/>
        <v>0</v>
      </c>
      <c r="G57" s="853">
        <f t="shared" si="3"/>
        <v>5174.6229999999996</v>
      </c>
      <c r="H57" s="853">
        <f t="shared" si="3"/>
        <v>5354.1779999999999</v>
      </c>
      <c r="I57" s="865">
        <f t="shared" si="3"/>
        <v>5535.7020000000002</v>
      </c>
    </row>
    <row r="58" spans="1:9" ht="12.75" hidden="1" customHeight="1" outlineLevel="2" x14ac:dyDescent="0.2">
      <c r="A58" s="864" t="s">
        <v>584</v>
      </c>
      <c r="C58" s="853">
        <f t="shared" si="3"/>
        <v>11286.985000000001</v>
      </c>
      <c r="D58" s="853">
        <f t="shared" si="3"/>
        <v>11286.985000000001</v>
      </c>
      <c r="E58" s="853">
        <f t="shared" si="3"/>
        <v>10411.565000000001</v>
      </c>
      <c r="F58" s="853">
        <f t="shared" si="3"/>
        <v>0</v>
      </c>
      <c r="G58" s="853">
        <f t="shared" si="3"/>
        <v>10771.183999999999</v>
      </c>
      <c r="H58" s="853">
        <f t="shared" si="3"/>
        <v>11149.531999999999</v>
      </c>
      <c r="I58" s="865">
        <f t="shared" si="3"/>
        <v>11530.181</v>
      </c>
    </row>
    <row r="59" spans="1:9" ht="12.75" hidden="1" outlineLevel="2" x14ac:dyDescent="0.2">
      <c r="A59" s="862"/>
      <c r="C59" s="854"/>
      <c r="D59" s="854"/>
      <c r="E59" s="854"/>
      <c r="F59" s="854"/>
      <c r="G59" s="854"/>
      <c r="H59" s="854"/>
      <c r="I59" s="866"/>
    </row>
    <row r="60" spans="1:9" ht="12.75" hidden="1" outlineLevel="2" x14ac:dyDescent="0.2">
      <c r="A60" s="860" t="s">
        <v>1184</v>
      </c>
      <c r="C60" s="855">
        <f t="shared" ref="C60:I60" si="4">SUM(C53:C59)</f>
        <v>48299.724000000002</v>
      </c>
      <c r="D60" s="855">
        <f t="shared" si="4"/>
        <v>49804.97</v>
      </c>
      <c r="E60" s="855">
        <f t="shared" si="4"/>
        <v>49589.516000000003</v>
      </c>
      <c r="F60" s="855">
        <f t="shared" si="4"/>
        <v>0</v>
      </c>
      <c r="G60" s="855">
        <f t="shared" si="4"/>
        <v>50979.281000000003</v>
      </c>
      <c r="H60" s="855">
        <f t="shared" si="4"/>
        <v>52704.362000000001</v>
      </c>
      <c r="I60" s="867">
        <f t="shared" si="4"/>
        <v>55120.062000000005</v>
      </c>
    </row>
    <row r="61" spans="1:9" ht="12.75" hidden="1" outlineLevel="2" x14ac:dyDescent="0.2">
      <c r="A61" s="862"/>
      <c r="C61" s="854"/>
      <c r="D61" s="854"/>
      <c r="E61" s="854"/>
      <c r="F61" s="854"/>
      <c r="G61" s="854"/>
      <c r="H61" s="854"/>
      <c r="I61" s="866"/>
    </row>
    <row r="62" spans="1:9" ht="12.75" hidden="1" outlineLevel="2" x14ac:dyDescent="0.2">
      <c r="A62" s="860" t="s">
        <v>1185</v>
      </c>
      <c r="C62" s="855">
        <f>C46-C60</f>
        <v>974.04399999999441</v>
      </c>
      <c r="D62" s="855">
        <f t="shared" ref="D62:I62" si="5">D46-D60</f>
        <v>980.04399999999441</v>
      </c>
      <c r="E62" s="855">
        <f t="shared" si="5"/>
        <v>442.09900000000198</v>
      </c>
      <c r="F62" s="855">
        <f t="shared" si="5"/>
        <v>0</v>
      </c>
      <c r="G62" s="855">
        <f t="shared" si="5"/>
        <v>367.52199999998993</v>
      </c>
      <c r="H62" s="855">
        <f t="shared" si="5"/>
        <v>711.11400000000867</v>
      </c>
      <c r="I62" s="867">
        <f t="shared" si="5"/>
        <v>258.90200000000186</v>
      </c>
    </row>
    <row r="63" spans="1:9" ht="13.5" hidden="1" outlineLevel="2" thickBot="1" x14ac:dyDescent="0.25">
      <c r="A63" s="868"/>
      <c r="B63" s="869"/>
      <c r="C63" s="870"/>
      <c r="D63" s="870"/>
      <c r="E63" s="870"/>
      <c r="F63" s="870"/>
      <c r="G63" s="870"/>
      <c r="H63" s="870"/>
      <c r="I63" s="871"/>
    </row>
    <row r="64" spans="1:9" ht="13.5" hidden="1" outlineLevel="2" thickBot="1" x14ac:dyDescent="0.25">
      <c r="C64" s="853"/>
      <c r="D64" s="853"/>
      <c r="E64" s="853"/>
      <c r="F64" s="853"/>
      <c r="G64" s="853"/>
      <c r="H64" s="853"/>
      <c r="I64" s="853"/>
    </row>
    <row r="65" spans="1:11" ht="12.75" hidden="1" outlineLevel="2" x14ac:dyDescent="0.2">
      <c r="A65" s="856" t="s">
        <v>1164</v>
      </c>
      <c r="B65" s="857" t="s">
        <v>1187</v>
      </c>
      <c r="C65" s="858"/>
      <c r="D65" s="858"/>
      <c r="E65" s="858"/>
      <c r="F65" s="858"/>
      <c r="G65" s="858"/>
      <c r="H65" s="858"/>
      <c r="I65" s="859"/>
    </row>
    <row r="66" spans="1:11" ht="12.75" hidden="1" outlineLevel="2" x14ac:dyDescent="0.2">
      <c r="A66" s="860"/>
      <c r="B66" s="849"/>
      <c r="I66" s="861"/>
    </row>
    <row r="67" spans="1:11" ht="12.75" hidden="1" outlineLevel="2" x14ac:dyDescent="0.2">
      <c r="A67" s="862"/>
      <c r="I67" s="861"/>
    </row>
    <row r="68" spans="1:11" ht="25.5" hidden="1" outlineLevel="2" x14ac:dyDescent="0.2">
      <c r="A68" s="862"/>
      <c r="C68" s="850" t="s">
        <v>1168</v>
      </c>
      <c r="D68" s="850" t="s">
        <v>1169</v>
      </c>
      <c r="E68" s="850" t="s">
        <v>1170</v>
      </c>
      <c r="F68" s="851" t="s">
        <v>1171</v>
      </c>
      <c r="G68" s="851" t="s">
        <v>1172</v>
      </c>
      <c r="H68" s="851" t="s">
        <v>1173</v>
      </c>
      <c r="I68" s="863" t="s">
        <v>1174</v>
      </c>
    </row>
    <row r="69" spans="1:11" ht="12.75" hidden="1" outlineLevel="2" x14ac:dyDescent="0.2">
      <c r="A69" s="860" t="s">
        <v>1175</v>
      </c>
      <c r="C69" s="851"/>
      <c r="D69" s="851"/>
      <c r="E69" s="851"/>
      <c r="F69" s="851"/>
      <c r="G69" s="851"/>
      <c r="H69" s="851"/>
      <c r="I69" s="863"/>
    </row>
    <row r="70" spans="1:11" ht="12.75" hidden="1" outlineLevel="2" x14ac:dyDescent="0.2">
      <c r="A70" s="864" t="s">
        <v>1176</v>
      </c>
      <c r="C70" s="853">
        <f>-(C130)/1000</f>
        <v>14450.315000000001</v>
      </c>
      <c r="D70" s="853">
        <f t="shared" ref="D70:I70" si="6">-(D130)/1000</f>
        <v>14450.315000000001</v>
      </c>
      <c r="E70" s="853">
        <f t="shared" si="6"/>
        <v>15563.977000000001</v>
      </c>
      <c r="F70" s="853">
        <f t="shared" si="6"/>
        <v>0</v>
      </c>
      <c r="G70" s="853">
        <f t="shared" si="6"/>
        <v>16356.162</v>
      </c>
      <c r="H70" s="853">
        <f t="shared" si="6"/>
        <v>17465.652999999998</v>
      </c>
      <c r="I70" s="865">
        <f t="shared" si="6"/>
        <v>18306.118999999999</v>
      </c>
    </row>
    <row r="71" spans="1:11" ht="12.75" hidden="1" outlineLevel="2" x14ac:dyDescent="0.2">
      <c r="A71" s="864" t="s">
        <v>12</v>
      </c>
      <c r="C71" s="853">
        <f>-(C131+C163)/1000</f>
        <v>9486.9689999999991</v>
      </c>
      <c r="D71" s="853">
        <f t="shared" ref="D71:I71" si="7">-(D131+D163)/1000</f>
        <v>9506.9689999999991</v>
      </c>
      <c r="E71" s="853">
        <f t="shared" si="7"/>
        <v>9897.5249999999996</v>
      </c>
      <c r="F71" s="853">
        <f t="shared" si="7"/>
        <v>0</v>
      </c>
      <c r="G71" s="853">
        <f t="shared" si="7"/>
        <v>9797.2430000000004</v>
      </c>
      <c r="H71" s="853">
        <f t="shared" si="7"/>
        <v>10156.66</v>
      </c>
      <c r="I71" s="865">
        <f t="shared" si="7"/>
        <v>10768.714</v>
      </c>
    </row>
    <row r="72" spans="1:11" ht="12.75" hidden="1" outlineLevel="2" x14ac:dyDescent="0.2">
      <c r="A72" s="864" t="s">
        <v>1177</v>
      </c>
      <c r="C72" s="853">
        <f>-C132/1000</f>
        <v>931.5</v>
      </c>
      <c r="D72" s="853">
        <f t="shared" ref="D72:I73" si="8">-D132/1000</f>
        <v>945</v>
      </c>
      <c r="E72" s="853">
        <f t="shared" si="8"/>
        <v>938.20899999999995</v>
      </c>
      <c r="F72" s="853">
        <f t="shared" si="8"/>
        <v>0</v>
      </c>
      <c r="G72" s="853">
        <f t="shared" si="8"/>
        <v>947.19299999999998</v>
      </c>
      <c r="H72" s="853">
        <f t="shared" si="8"/>
        <v>956.88900000000001</v>
      </c>
      <c r="I72" s="865">
        <f t="shared" si="8"/>
        <v>965.43299999999999</v>
      </c>
    </row>
    <row r="73" spans="1:11" ht="12.75" hidden="1" outlineLevel="2" x14ac:dyDescent="0.2">
      <c r="A73" s="864" t="s">
        <v>1178</v>
      </c>
      <c r="C73" s="853">
        <f>-C133/1000</f>
        <v>2424.5369999999998</v>
      </c>
      <c r="D73" s="853">
        <f t="shared" si="8"/>
        <v>2552.7759999999998</v>
      </c>
      <c r="E73" s="853">
        <f t="shared" si="8"/>
        <v>2409.788</v>
      </c>
      <c r="F73" s="853">
        <f t="shared" si="8"/>
        <v>0</v>
      </c>
      <c r="G73" s="853">
        <f t="shared" si="8"/>
        <v>2463.8040000000001</v>
      </c>
      <c r="H73" s="853">
        <f t="shared" si="8"/>
        <v>2520.3789999999999</v>
      </c>
      <c r="I73" s="865">
        <f t="shared" si="8"/>
        <v>2578.0160000000001</v>
      </c>
    </row>
    <row r="74" spans="1:11" ht="12.75" hidden="1" outlineLevel="2" x14ac:dyDescent="0.2">
      <c r="A74" s="864" t="s">
        <v>1179</v>
      </c>
      <c r="C74" s="853">
        <f t="shared" ref="C74:I75" si="9">-C134/1000</f>
        <v>6174.7439999999997</v>
      </c>
      <c r="D74" s="853">
        <f t="shared" si="9"/>
        <v>6297.1279999999997</v>
      </c>
      <c r="E74" s="853">
        <f t="shared" si="9"/>
        <v>5230.8890000000001</v>
      </c>
      <c r="F74" s="853">
        <f t="shared" si="9"/>
        <v>0</v>
      </c>
      <c r="G74" s="853">
        <f t="shared" si="9"/>
        <v>5322.951</v>
      </c>
      <c r="H74" s="853">
        <f t="shared" si="9"/>
        <v>5414.701</v>
      </c>
      <c r="I74" s="865">
        <f t="shared" si="9"/>
        <v>5508.3</v>
      </c>
    </row>
    <row r="75" spans="1:11" ht="12.75" hidden="1" outlineLevel="2" x14ac:dyDescent="0.2">
      <c r="A75" s="864" t="s">
        <v>1180</v>
      </c>
      <c r="C75" s="853">
        <f t="shared" si="9"/>
        <v>4783.3530000000001</v>
      </c>
      <c r="D75" s="853">
        <f t="shared" si="9"/>
        <v>6010.4759999999997</v>
      </c>
      <c r="E75" s="853">
        <f t="shared" si="9"/>
        <v>5059.8519999999999</v>
      </c>
      <c r="F75" s="853">
        <f t="shared" si="9"/>
        <v>0</v>
      </c>
      <c r="G75" s="853">
        <f t="shared" si="9"/>
        <v>5239.6229999999996</v>
      </c>
      <c r="H75" s="853">
        <f t="shared" si="9"/>
        <v>5419.1779999999999</v>
      </c>
      <c r="I75" s="865">
        <f t="shared" si="9"/>
        <v>5456.5190000000002</v>
      </c>
      <c r="J75" s="803" t="s">
        <v>1254</v>
      </c>
      <c r="K75" s="889"/>
    </row>
    <row r="76" spans="1:11" ht="12.75" hidden="1" outlineLevel="2" x14ac:dyDescent="0.2">
      <c r="A76" s="862"/>
      <c r="C76" s="854"/>
      <c r="D76" s="854"/>
      <c r="E76" s="854"/>
      <c r="F76" s="854"/>
      <c r="G76" s="854"/>
      <c r="H76" s="854"/>
      <c r="I76" s="866"/>
      <c r="K76" s="889"/>
    </row>
    <row r="77" spans="1:11" ht="12.75" hidden="1" outlineLevel="2" x14ac:dyDescent="0.2">
      <c r="A77" s="860" t="s">
        <v>1181</v>
      </c>
      <c r="C77" s="855">
        <f t="shared" ref="C77:I77" si="10">SUM(C70:C76)</f>
        <v>38251.418000000005</v>
      </c>
      <c r="D77" s="855">
        <f t="shared" si="10"/>
        <v>39762.663999999997</v>
      </c>
      <c r="E77" s="855">
        <f t="shared" si="10"/>
        <v>39100.239999999998</v>
      </c>
      <c r="F77" s="855">
        <f t="shared" si="10"/>
        <v>0</v>
      </c>
      <c r="G77" s="855">
        <f t="shared" si="10"/>
        <v>40126.975999999995</v>
      </c>
      <c r="H77" s="855">
        <f t="shared" si="10"/>
        <v>41933.46</v>
      </c>
      <c r="I77" s="867">
        <f t="shared" si="10"/>
        <v>43583.101000000002</v>
      </c>
      <c r="K77" s="1562" t="s">
        <v>1255</v>
      </c>
    </row>
    <row r="78" spans="1:11" ht="12.75" hidden="1" outlineLevel="2" x14ac:dyDescent="0.2">
      <c r="A78" s="860"/>
      <c r="C78" s="855"/>
      <c r="D78" s="855"/>
      <c r="E78" s="855"/>
      <c r="F78" s="855"/>
      <c r="G78" s="855"/>
      <c r="H78" s="855"/>
      <c r="I78" s="867"/>
      <c r="K78" s="1562"/>
    </row>
    <row r="79" spans="1:11" ht="12.75" hidden="1" outlineLevel="2" x14ac:dyDescent="0.2">
      <c r="A79" s="860"/>
      <c r="C79" s="855"/>
      <c r="D79" s="855"/>
      <c r="E79" s="855"/>
      <c r="F79" s="855"/>
      <c r="G79" s="855"/>
      <c r="H79" s="855"/>
      <c r="I79" s="867"/>
      <c r="K79" s="1562"/>
    </row>
    <row r="80" spans="1:11" ht="12.75" hidden="1" outlineLevel="2" x14ac:dyDescent="0.2">
      <c r="A80" s="860"/>
      <c r="C80" s="855"/>
      <c r="D80" s="855"/>
      <c r="E80" s="855"/>
      <c r="F80" s="855"/>
      <c r="G80" s="855"/>
      <c r="H80" s="855"/>
      <c r="I80" s="867"/>
      <c r="K80" s="1562"/>
    </row>
    <row r="81" spans="1:11" ht="12.75" hidden="1" outlineLevel="2" x14ac:dyDescent="0.2">
      <c r="A81" s="862"/>
      <c r="C81" s="853"/>
      <c r="D81" s="853"/>
      <c r="E81" s="853"/>
      <c r="F81" s="853"/>
      <c r="G81" s="853"/>
      <c r="H81" s="853"/>
      <c r="I81" s="865"/>
      <c r="K81" s="1562"/>
    </row>
    <row r="82" spans="1:11" ht="25.5" hidden="1" outlineLevel="2" x14ac:dyDescent="0.2">
      <c r="A82" s="862"/>
      <c r="C82" s="850" t="s">
        <v>1168</v>
      </c>
      <c r="D82" s="850" t="s">
        <v>1169</v>
      </c>
      <c r="E82" s="850" t="s">
        <v>1170</v>
      </c>
      <c r="F82" s="851" t="s">
        <v>1171</v>
      </c>
      <c r="G82" s="851" t="s">
        <v>1172</v>
      </c>
      <c r="H82" s="851" t="s">
        <v>1173</v>
      </c>
      <c r="I82" s="863" t="s">
        <v>1174</v>
      </c>
      <c r="K82" s="1562"/>
    </row>
    <row r="83" spans="1:11" ht="12.75" hidden="1" outlineLevel="2" x14ac:dyDescent="0.2">
      <c r="A83" s="860" t="s">
        <v>925</v>
      </c>
      <c r="C83" s="851"/>
      <c r="D83" s="851"/>
      <c r="E83" s="851"/>
      <c r="F83" s="851"/>
      <c r="G83" s="851"/>
      <c r="H83" s="851"/>
      <c r="I83" s="863"/>
      <c r="K83" s="1562"/>
    </row>
    <row r="84" spans="1:11" ht="12.75" hidden="1" outlineLevel="2" x14ac:dyDescent="0.2">
      <c r="A84" s="864" t="s">
        <v>1182</v>
      </c>
      <c r="C84" s="853">
        <f>(C144+C172)/1000</f>
        <v>11311.316000000001</v>
      </c>
      <c r="D84" s="853">
        <f t="shared" ref="D84:I86" si="11">(D144+D172)/1000</f>
        <v>11507.663</v>
      </c>
      <c r="E84" s="853">
        <f t="shared" si="11"/>
        <v>11644.458000000001</v>
      </c>
      <c r="F84" s="853">
        <f t="shared" si="11"/>
        <v>0</v>
      </c>
      <c r="G84" s="853">
        <f t="shared" si="11"/>
        <v>11891.706</v>
      </c>
      <c r="H84" s="853">
        <f t="shared" si="11"/>
        <v>12397.861000000001</v>
      </c>
      <c r="I84" s="865">
        <f t="shared" si="11"/>
        <v>13010.976000000001</v>
      </c>
      <c r="K84" s="1562"/>
    </row>
    <row r="85" spans="1:11" ht="12.75" hidden="1" outlineLevel="2" x14ac:dyDescent="0.2">
      <c r="A85" s="864" t="s">
        <v>27</v>
      </c>
      <c r="C85" s="853">
        <f>(C145+C173)/1000</f>
        <v>11489.848</v>
      </c>
      <c r="D85" s="853">
        <f t="shared" si="11"/>
        <v>12735.504999999999</v>
      </c>
      <c r="E85" s="853">
        <f t="shared" si="11"/>
        <v>12660.767</v>
      </c>
      <c r="F85" s="853">
        <f t="shared" si="11"/>
        <v>0</v>
      </c>
      <c r="G85" s="853">
        <f t="shared" si="11"/>
        <v>12925.362999999999</v>
      </c>
      <c r="H85" s="853">
        <f t="shared" si="11"/>
        <v>13274.633</v>
      </c>
      <c r="I85" s="865">
        <f t="shared" si="11"/>
        <v>13966.683000000001</v>
      </c>
      <c r="K85" s="1562"/>
    </row>
    <row r="86" spans="1:11" ht="12.75" hidden="1" outlineLevel="2" x14ac:dyDescent="0.2">
      <c r="A86" s="864" t="s">
        <v>1183</v>
      </c>
      <c r="C86" s="853">
        <f>(C146+C174)/1000</f>
        <v>2645.893</v>
      </c>
      <c r="D86" s="853">
        <f t="shared" si="11"/>
        <v>2709.1350000000002</v>
      </c>
      <c r="E86" s="853">
        <f t="shared" si="11"/>
        <v>2775.2310000000002</v>
      </c>
      <c r="F86" s="853">
        <f t="shared" si="11"/>
        <v>0</v>
      </c>
      <c r="G86" s="853">
        <f t="shared" si="11"/>
        <v>2825.77</v>
      </c>
      <c r="H86" s="853">
        <f t="shared" si="11"/>
        <v>2900.8040000000001</v>
      </c>
      <c r="I86" s="865">
        <f t="shared" si="11"/>
        <v>3049.8710000000001</v>
      </c>
      <c r="K86" s="1562"/>
    </row>
    <row r="87" spans="1:11" ht="12.75" hidden="1" outlineLevel="2" x14ac:dyDescent="0.2">
      <c r="A87" s="864" t="s">
        <v>926</v>
      </c>
      <c r="C87" s="853">
        <f t="shared" ref="C87:I89" si="12">(C147+C175)/1000</f>
        <v>1500.3620000000001</v>
      </c>
      <c r="D87" s="853">
        <f t="shared" si="12"/>
        <v>1500.3620000000001</v>
      </c>
      <c r="E87" s="853">
        <f t="shared" si="12"/>
        <v>1497.172</v>
      </c>
      <c r="F87" s="853">
        <f t="shared" si="12"/>
        <v>0</v>
      </c>
      <c r="G87" s="853">
        <f t="shared" si="12"/>
        <v>1494.3219999999999</v>
      </c>
      <c r="H87" s="853">
        <f t="shared" si="12"/>
        <v>1631.231</v>
      </c>
      <c r="I87" s="865">
        <f t="shared" si="12"/>
        <v>1926.6210000000001</v>
      </c>
      <c r="K87" s="1562"/>
    </row>
    <row r="88" spans="1:11" ht="12.75" hidden="1" outlineLevel="2" x14ac:dyDescent="0.2">
      <c r="A88" s="864" t="s">
        <v>1077</v>
      </c>
      <c r="C88" s="853">
        <f t="shared" si="12"/>
        <v>2763.3530000000001</v>
      </c>
      <c r="D88" s="853">
        <f t="shared" si="12"/>
        <v>2763.3530000000001</v>
      </c>
      <c r="E88" s="853">
        <f t="shared" si="12"/>
        <v>2935.1770000000001</v>
      </c>
      <c r="F88" s="853">
        <f t="shared" si="12"/>
        <v>0</v>
      </c>
      <c r="G88" s="853">
        <f t="shared" si="12"/>
        <v>3069.22</v>
      </c>
      <c r="H88" s="853">
        <f t="shared" si="12"/>
        <v>3204.4650000000001</v>
      </c>
      <c r="I88" s="865">
        <f t="shared" si="12"/>
        <v>3340.5709999999999</v>
      </c>
      <c r="J88" s="803" t="s">
        <v>1251</v>
      </c>
      <c r="K88" s="1562"/>
    </row>
    <row r="89" spans="1:11" ht="12.75" hidden="1" outlineLevel="2" x14ac:dyDescent="0.2">
      <c r="A89" s="864" t="s">
        <v>584</v>
      </c>
      <c r="C89" s="853">
        <f t="shared" si="12"/>
        <v>8510.6460000000006</v>
      </c>
      <c r="D89" s="853">
        <f t="shared" si="12"/>
        <v>8510.6460000000006</v>
      </c>
      <c r="E89" s="853">
        <f t="shared" si="12"/>
        <v>7625.4650000000001</v>
      </c>
      <c r="F89" s="853">
        <f t="shared" si="12"/>
        <v>0</v>
      </c>
      <c r="G89" s="853">
        <f t="shared" si="12"/>
        <v>7756.7839999999997</v>
      </c>
      <c r="H89" s="853">
        <f t="shared" si="12"/>
        <v>8074.7730000000001</v>
      </c>
      <c r="I89" s="865">
        <f t="shared" si="12"/>
        <v>8396.0789999999997</v>
      </c>
      <c r="K89" s="889"/>
    </row>
    <row r="90" spans="1:11" ht="12.75" hidden="1" outlineLevel="2" x14ac:dyDescent="0.2">
      <c r="A90" s="862"/>
      <c r="C90" s="854"/>
      <c r="D90" s="854"/>
      <c r="E90" s="854"/>
      <c r="F90" s="854"/>
      <c r="G90" s="854"/>
      <c r="H90" s="854"/>
      <c r="I90" s="866"/>
    </row>
    <row r="91" spans="1:11" ht="12.75" hidden="1" outlineLevel="2" x14ac:dyDescent="0.2">
      <c r="A91" s="860" t="s">
        <v>1184</v>
      </c>
      <c r="C91" s="855">
        <f t="shared" ref="C91:I91" si="13">SUM(C84:C90)</f>
        <v>38221.418000000005</v>
      </c>
      <c r="D91" s="855">
        <f t="shared" si="13"/>
        <v>39726.664000000004</v>
      </c>
      <c r="E91" s="855">
        <f t="shared" si="13"/>
        <v>39138.269999999997</v>
      </c>
      <c r="F91" s="855">
        <f t="shared" si="13"/>
        <v>0</v>
      </c>
      <c r="G91" s="855">
        <f t="shared" si="13"/>
        <v>39963.165000000001</v>
      </c>
      <c r="H91" s="855">
        <f t="shared" si="13"/>
        <v>41483.767</v>
      </c>
      <c r="I91" s="867">
        <f t="shared" si="13"/>
        <v>43690.800999999992</v>
      </c>
    </row>
    <row r="92" spans="1:11" ht="12.75" hidden="1" outlineLevel="2" x14ac:dyDescent="0.2">
      <c r="A92" s="862"/>
      <c r="C92" s="854"/>
      <c r="D92" s="854"/>
      <c r="E92" s="854"/>
      <c r="F92" s="854"/>
      <c r="G92" s="854"/>
      <c r="H92" s="854"/>
      <c r="I92" s="866"/>
    </row>
    <row r="93" spans="1:11" ht="12.75" hidden="1" outlineLevel="2" x14ac:dyDescent="0.2">
      <c r="A93" s="860" t="s">
        <v>1185</v>
      </c>
      <c r="C93" s="855">
        <f>C77-C91</f>
        <v>30</v>
      </c>
      <c r="D93" s="855">
        <f t="shared" ref="D93:I93" si="14">D77-D91</f>
        <v>35.999999999992724</v>
      </c>
      <c r="E93" s="855">
        <f t="shared" si="14"/>
        <v>-38.029999999998836</v>
      </c>
      <c r="F93" s="855">
        <f t="shared" si="14"/>
        <v>0</v>
      </c>
      <c r="G93" s="855">
        <f t="shared" si="14"/>
        <v>163.81099999999424</v>
      </c>
      <c r="H93" s="855">
        <f t="shared" si="14"/>
        <v>449.6929999999993</v>
      </c>
      <c r="I93" s="867">
        <f t="shared" si="14"/>
        <v>-107.69999999998981</v>
      </c>
    </row>
    <row r="94" spans="1:11" ht="13.5" hidden="1" outlineLevel="2" thickBot="1" x14ac:dyDescent="0.25">
      <c r="A94" s="868"/>
      <c r="B94" s="869"/>
      <c r="C94" s="870"/>
      <c r="D94" s="870"/>
      <c r="E94" s="870"/>
      <c r="F94" s="870"/>
      <c r="G94" s="870"/>
      <c r="H94" s="870"/>
      <c r="I94" s="871"/>
    </row>
    <row r="95" spans="1:11" ht="13.5" hidden="1" outlineLevel="2" thickBot="1" x14ac:dyDescent="0.25">
      <c r="C95" s="853"/>
      <c r="D95" s="853"/>
      <c r="E95" s="853"/>
      <c r="F95" s="853"/>
      <c r="G95" s="853"/>
      <c r="H95" s="853"/>
      <c r="I95" s="853"/>
    </row>
    <row r="96" spans="1:11" ht="12.75" hidden="1" outlineLevel="2" x14ac:dyDescent="0.2">
      <c r="A96" s="856" t="s">
        <v>1164</v>
      </c>
      <c r="B96" s="857" t="s">
        <v>1078</v>
      </c>
      <c r="C96" s="858"/>
      <c r="D96" s="858"/>
      <c r="E96" s="858"/>
      <c r="F96" s="858"/>
      <c r="G96" s="858"/>
      <c r="H96" s="858"/>
      <c r="I96" s="859"/>
    </row>
    <row r="97" spans="1:9" ht="12.75" hidden="1" outlineLevel="2" x14ac:dyDescent="0.2">
      <c r="A97" s="860"/>
      <c r="B97" s="849"/>
      <c r="I97" s="861"/>
    </row>
    <row r="98" spans="1:9" ht="12.75" hidden="1" outlineLevel="2" x14ac:dyDescent="0.2">
      <c r="A98" s="862"/>
      <c r="I98" s="861"/>
    </row>
    <row r="99" spans="1:9" ht="25.5" hidden="1" outlineLevel="2" x14ac:dyDescent="0.2">
      <c r="A99" s="862"/>
      <c r="C99" s="850" t="s">
        <v>1168</v>
      </c>
      <c r="D99" s="850" t="s">
        <v>1169</v>
      </c>
      <c r="E99" s="850" t="s">
        <v>1170</v>
      </c>
      <c r="F99" s="851" t="s">
        <v>1171</v>
      </c>
      <c r="G99" s="851" t="s">
        <v>1172</v>
      </c>
      <c r="H99" s="851" t="s">
        <v>1173</v>
      </c>
      <c r="I99" s="863" t="s">
        <v>1174</v>
      </c>
    </row>
    <row r="100" spans="1:9" ht="12.75" hidden="1" outlineLevel="2" x14ac:dyDescent="0.2">
      <c r="A100" s="860" t="s">
        <v>1175</v>
      </c>
      <c r="C100" s="851"/>
      <c r="D100" s="851"/>
      <c r="E100" s="851"/>
      <c r="F100" s="851"/>
      <c r="G100" s="851"/>
      <c r="H100" s="851"/>
      <c r="I100" s="863"/>
    </row>
    <row r="101" spans="1:9" ht="12.75" hidden="1" outlineLevel="2" x14ac:dyDescent="0.2">
      <c r="A101" s="864" t="s">
        <v>1176</v>
      </c>
      <c r="C101" s="853">
        <f>-C8/1000-C70</f>
        <v>5581.4999999999982</v>
      </c>
      <c r="D101" s="853">
        <f t="shared" ref="D101:I101" si="15">-D8/1000-D70</f>
        <v>5581.4999999999982</v>
      </c>
      <c r="E101" s="853">
        <f t="shared" si="15"/>
        <v>5350.9999999999982</v>
      </c>
      <c r="F101" s="853">
        <f t="shared" si="15"/>
        <v>0</v>
      </c>
      <c r="G101" s="853">
        <f t="shared" si="15"/>
        <v>5627.7949999999983</v>
      </c>
      <c r="H101" s="853">
        <f t="shared" si="15"/>
        <v>5748.0620000000017</v>
      </c>
      <c r="I101" s="865">
        <f t="shared" si="15"/>
        <v>5875.1130000000012</v>
      </c>
    </row>
    <row r="102" spans="1:9" ht="12.75" hidden="1" outlineLevel="2" x14ac:dyDescent="0.2">
      <c r="A102" s="864" t="s">
        <v>12</v>
      </c>
      <c r="C102" s="853">
        <f t="shared" ref="C102:I106" si="16">-C9/1000-C71</f>
        <v>4041.8500000000004</v>
      </c>
      <c r="D102" s="853">
        <f t="shared" si="16"/>
        <v>4041.8500000000004</v>
      </c>
      <c r="E102" s="853">
        <f t="shared" si="16"/>
        <v>4286.875</v>
      </c>
      <c r="F102" s="853">
        <f t="shared" si="16"/>
        <v>0</v>
      </c>
      <c r="G102" s="853">
        <f t="shared" si="16"/>
        <v>4490.771999999999</v>
      </c>
      <c r="H102" s="853">
        <f t="shared" si="16"/>
        <v>4704.5730000000003</v>
      </c>
      <c r="I102" s="865">
        <f t="shared" si="16"/>
        <v>4928.7819999999992</v>
      </c>
    </row>
    <row r="103" spans="1:9" ht="12.75" hidden="1" outlineLevel="2" x14ac:dyDescent="0.2">
      <c r="A103" s="864" t="s">
        <v>1177</v>
      </c>
      <c r="C103" s="853">
        <f t="shared" si="16"/>
        <v>1323</v>
      </c>
      <c r="D103" s="853">
        <f t="shared" si="16"/>
        <v>1323</v>
      </c>
      <c r="E103" s="853">
        <f t="shared" si="16"/>
        <v>1224</v>
      </c>
      <c r="F103" s="853">
        <f t="shared" si="16"/>
        <v>0</v>
      </c>
      <c r="G103" s="853">
        <f t="shared" si="16"/>
        <v>1030.3700000000001</v>
      </c>
      <c r="H103" s="853">
        <f t="shared" si="16"/>
        <v>957.07399999999996</v>
      </c>
      <c r="I103" s="865">
        <f t="shared" si="16"/>
        <v>918.21499999999992</v>
      </c>
    </row>
    <row r="104" spans="1:9" ht="12.75" hidden="1" outlineLevel="2" x14ac:dyDescent="0.2">
      <c r="A104" s="864" t="s">
        <v>1178</v>
      </c>
      <c r="C104" s="853">
        <f t="shared" si="16"/>
        <v>0</v>
      </c>
      <c r="D104" s="853">
        <f t="shared" si="16"/>
        <v>0</v>
      </c>
      <c r="E104" s="853">
        <f t="shared" si="16"/>
        <v>0</v>
      </c>
      <c r="F104" s="853">
        <f t="shared" si="16"/>
        <v>0</v>
      </c>
      <c r="G104" s="853">
        <f t="shared" si="16"/>
        <v>0</v>
      </c>
      <c r="H104" s="853">
        <f t="shared" si="16"/>
        <v>0</v>
      </c>
      <c r="I104" s="865">
        <f t="shared" si="16"/>
        <v>0</v>
      </c>
    </row>
    <row r="105" spans="1:9" ht="12.75" hidden="1" outlineLevel="2" x14ac:dyDescent="0.2">
      <c r="A105" s="864" t="s">
        <v>1179</v>
      </c>
      <c r="C105" s="853">
        <f t="shared" si="16"/>
        <v>76</v>
      </c>
      <c r="D105" s="853">
        <f t="shared" si="16"/>
        <v>76</v>
      </c>
      <c r="E105" s="853">
        <f t="shared" si="16"/>
        <v>69.5</v>
      </c>
      <c r="F105" s="853">
        <f t="shared" si="16"/>
        <v>0</v>
      </c>
      <c r="G105" s="853">
        <f t="shared" si="16"/>
        <v>70.890000000000327</v>
      </c>
      <c r="H105" s="853">
        <f t="shared" si="16"/>
        <v>72.306999999999789</v>
      </c>
      <c r="I105" s="865">
        <f t="shared" si="16"/>
        <v>73.752999999999702</v>
      </c>
    </row>
    <row r="106" spans="1:9" ht="12.75" hidden="1" outlineLevel="2" x14ac:dyDescent="0.2">
      <c r="A106" s="864" t="s">
        <v>1180</v>
      </c>
      <c r="C106" s="853">
        <f t="shared" si="16"/>
        <v>0</v>
      </c>
      <c r="D106" s="853">
        <f t="shared" si="16"/>
        <v>0</v>
      </c>
      <c r="E106" s="853">
        <f t="shared" si="16"/>
        <v>0</v>
      </c>
      <c r="F106" s="853">
        <f t="shared" si="16"/>
        <v>0</v>
      </c>
      <c r="G106" s="853">
        <f t="shared" si="16"/>
        <v>0</v>
      </c>
      <c r="H106" s="853">
        <f t="shared" si="16"/>
        <v>0</v>
      </c>
      <c r="I106" s="865">
        <f t="shared" si="16"/>
        <v>0</v>
      </c>
    </row>
    <row r="107" spans="1:9" ht="12.75" hidden="1" outlineLevel="2" x14ac:dyDescent="0.2">
      <c r="A107" s="862"/>
      <c r="C107" s="854"/>
      <c r="D107" s="854"/>
      <c r="E107" s="854"/>
      <c r="F107" s="854"/>
      <c r="G107" s="854"/>
      <c r="H107" s="854"/>
      <c r="I107" s="866"/>
    </row>
    <row r="108" spans="1:9" ht="12.75" hidden="1" outlineLevel="2" x14ac:dyDescent="0.2">
      <c r="A108" s="860" t="s">
        <v>1181</v>
      </c>
      <c r="C108" s="855">
        <f t="shared" ref="C108:I108" si="17">SUM(C101:C107)</f>
        <v>11022.349999999999</v>
      </c>
      <c r="D108" s="855">
        <f t="shared" si="17"/>
        <v>11022.349999999999</v>
      </c>
      <c r="E108" s="855">
        <f t="shared" si="17"/>
        <v>10931.374999999998</v>
      </c>
      <c r="F108" s="855">
        <f t="shared" si="17"/>
        <v>0</v>
      </c>
      <c r="G108" s="855">
        <f t="shared" si="17"/>
        <v>11219.826999999997</v>
      </c>
      <c r="H108" s="855">
        <f t="shared" si="17"/>
        <v>11482.016000000003</v>
      </c>
      <c r="I108" s="867">
        <f t="shared" si="17"/>
        <v>11795.863000000001</v>
      </c>
    </row>
    <row r="109" spans="1:9" ht="12.75" hidden="1" outlineLevel="2" x14ac:dyDescent="0.2">
      <c r="A109" s="860"/>
      <c r="C109" s="855"/>
      <c r="D109" s="855"/>
      <c r="E109" s="855"/>
      <c r="F109" s="855"/>
      <c r="G109" s="855"/>
      <c r="H109" s="855"/>
      <c r="I109" s="867"/>
    </row>
    <row r="110" spans="1:9" ht="12.75" hidden="1" outlineLevel="2" x14ac:dyDescent="0.2">
      <c r="A110" s="860"/>
      <c r="C110" s="855"/>
      <c r="D110" s="855"/>
      <c r="E110" s="855"/>
      <c r="F110" s="855"/>
      <c r="G110" s="855"/>
      <c r="H110" s="855"/>
      <c r="I110" s="867"/>
    </row>
    <row r="111" spans="1:9" ht="12.75" hidden="1" outlineLevel="2" x14ac:dyDescent="0.2">
      <c r="A111" s="860"/>
      <c r="C111" s="855"/>
      <c r="D111" s="855"/>
      <c r="E111" s="855"/>
      <c r="F111" s="855"/>
      <c r="G111" s="855"/>
      <c r="H111" s="855"/>
      <c r="I111" s="867"/>
    </row>
    <row r="112" spans="1:9" ht="12.75" hidden="1" outlineLevel="2" x14ac:dyDescent="0.2">
      <c r="A112" s="862"/>
      <c r="C112" s="853"/>
      <c r="D112" s="853"/>
      <c r="E112" s="853"/>
      <c r="F112" s="853"/>
      <c r="G112" s="853"/>
      <c r="H112" s="853"/>
      <c r="I112" s="865"/>
    </row>
    <row r="113" spans="1:11" ht="25.5" hidden="1" outlineLevel="2" x14ac:dyDescent="0.2">
      <c r="A113" s="862"/>
      <c r="C113" s="850" t="s">
        <v>1168</v>
      </c>
      <c r="D113" s="850" t="s">
        <v>1169</v>
      </c>
      <c r="E113" s="850" t="s">
        <v>1170</v>
      </c>
      <c r="F113" s="851" t="s">
        <v>1171</v>
      </c>
      <c r="G113" s="851" t="s">
        <v>1172</v>
      </c>
      <c r="H113" s="851" t="s">
        <v>1173</v>
      </c>
      <c r="I113" s="863" t="s">
        <v>1174</v>
      </c>
    </row>
    <row r="114" spans="1:11" ht="12.75" hidden="1" outlineLevel="2" x14ac:dyDescent="0.2">
      <c r="A114" s="860" t="s">
        <v>925</v>
      </c>
      <c r="C114" s="851"/>
      <c r="D114" s="851"/>
      <c r="E114" s="851"/>
      <c r="F114" s="851"/>
      <c r="G114" s="851"/>
      <c r="H114" s="851"/>
      <c r="I114" s="863"/>
    </row>
    <row r="115" spans="1:11" ht="12.75" hidden="1" outlineLevel="2" x14ac:dyDescent="0.2">
      <c r="A115" s="864" t="s">
        <v>1182</v>
      </c>
      <c r="C115" s="853">
        <f>C22/1000-C84</f>
        <v>1782.8209999999999</v>
      </c>
      <c r="D115" s="853">
        <f t="shared" ref="D115:I115" si="18">D22/1000-D84</f>
        <v>1782.8209999999999</v>
      </c>
      <c r="E115" s="853">
        <f t="shared" si="18"/>
        <v>1927.280999999999</v>
      </c>
      <c r="F115" s="853">
        <f t="shared" si="18"/>
        <v>0</v>
      </c>
      <c r="G115" s="853">
        <f t="shared" si="18"/>
        <v>1997.8199999999997</v>
      </c>
      <c r="H115" s="853">
        <f t="shared" si="18"/>
        <v>2071.9290000000001</v>
      </c>
      <c r="I115" s="865">
        <f t="shared" si="18"/>
        <v>2149.125</v>
      </c>
    </row>
    <row r="116" spans="1:11" ht="12.75" hidden="1" outlineLevel="2" x14ac:dyDescent="0.2">
      <c r="A116" s="864" t="s">
        <v>27</v>
      </c>
      <c r="C116" s="853">
        <f t="shared" ref="C116:I120" si="19">C23/1000-C85</f>
        <v>2724.7000000000007</v>
      </c>
      <c r="D116" s="853">
        <f t="shared" si="19"/>
        <v>2724.7000000000007</v>
      </c>
      <c r="E116" s="853">
        <f t="shared" si="19"/>
        <v>2514.1000000000004</v>
      </c>
      <c r="F116" s="853">
        <f t="shared" si="19"/>
        <v>0</v>
      </c>
      <c r="G116" s="853">
        <f t="shared" si="19"/>
        <v>2488.8420000000006</v>
      </c>
      <c r="H116" s="853">
        <f t="shared" si="19"/>
        <v>2566.7389999999996</v>
      </c>
      <c r="I116" s="865">
        <f t="shared" si="19"/>
        <v>2647.9809999999998</v>
      </c>
    </row>
    <row r="117" spans="1:11" ht="12.75" hidden="1" outlineLevel="2" x14ac:dyDescent="0.2">
      <c r="A117" s="864" t="s">
        <v>1183</v>
      </c>
      <c r="C117" s="853">
        <f t="shared" si="19"/>
        <v>558.94999999999982</v>
      </c>
      <c r="D117" s="853">
        <f t="shared" si="19"/>
        <v>558.94999999999982</v>
      </c>
      <c r="E117" s="853">
        <f t="shared" si="19"/>
        <v>532.04999999999973</v>
      </c>
      <c r="F117" s="853">
        <f t="shared" si="19"/>
        <v>0</v>
      </c>
      <c r="G117" s="853">
        <f t="shared" si="19"/>
        <v>549.95100000000002</v>
      </c>
      <c r="H117" s="853">
        <f t="shared" si="19"/>
        <v>568.71599999999989</v>
      </c>
      <c r="I117" s="865">
        <f t="shared" si="19"/>
        <v>588.12599999999975</v>
      </c>
    </row>
    <row r="118" spans="1:11" ht="12.75" hidden="1" outlineLevel="2" x14ac:dyDescent="0.2">
      <c r="A118" s="864" t="s">
        <v>926</v>
      </c>
      <c r="C118" s="853">
        <f t="shared" si="19"/>
        <v>215.49599999999987</v>
      </c>
      <c r="D118" s="853">
        <f t="shared" si="19"/>
        <v>215.49599999999987</v>
      </c>
      <c r="E118" s="853">
        <f t="shared" si="19"/>
        <v>629.54</v>
      </c>
      <c r="F118" s="853">
        <f t="shared" si="19"/>
        <v>0</v>
      </c>
      <c r="G118" s="853">
        <f t="shared" si="19"/>
        <v>859.7</v>
      </c>
      <c r="H118" s="853">
        <f t="shared" si="19"/>
        <v>788.73899999999981</v>
      </c>
      <c r="I118" s="865">
        <f t="shared" si="19"/>
        <v>714.79599999999982</v>
      </c>
    </row>
    <row r="119" spans="1:11" ht="12.75" hidden="1" outlineLevel="2" x14ac:dyDescent="0.2">
      <c r="A119" s="864" t="s">
        <v>1077</v>
      </c>
      <c r="C119" s="853">
        <f t="shared" si="19"/>
        <v>2020</v>
      </c>
      <c r="D119" s="853">
        <f t="shared" si="19"/>
        <v>2020</v>
      </c>
      <c r="E119" s="853">
        <f t="shared" si="19"/>
        <v>2062.1749999999997</v>
      </c>
      <c r="F119" s="853">
        <f t="shared" si="19"/>
        <v>0</v>
      </c>
      <c r="G119" s="853">
        <f t="shared" si="19"/>
        <v>2105.4029999999998</v>
      </c>
      <c r="H119" s="853">
        <f t="shared" si="19"/>
        <v>2149.7129999999997</v>
      </c>
      <c r="I119" s="865">
        <f t="shared" si="19"/>
        <v>2195.1310000000003</v>
      </c>
    </row>
    <row r="120" spans="1:11" ht="12.75" hidden="1" outlineLevel="2" x14ac:dyDescent="0.2">
      <c r="A120" s="864" t="s">
        <v>584</v>
      </c>
      <c r="C120" s="853">
        <f t="shared" si="19"/>
        <v>2776.3389999999999</v>
      </c>
      <c r="D120" s="853">
        <f t="shared" si="19"/>
        <v>2776.3389999999999</v>
      </c>
      <c r="E120" s="853">
        <f t="shared" si="19"/>
        <v>2786.1000000000004</v>
      </c>
      <c r="F120" s="853">
        <f t="shared" si="19"/>
        <v>0</v>
      </c>
      <c r="G120" s="853">
        <f t="shared" si="19"/>
        <v>3014.3999999999996</v>
      </c>
      <c r="H120" s="853">
        <f t="shared" si="19"/>
        <v>3074.7589999999991</v>
      </c>
      <c r="I120" s="865">
        <f t="shared" si="19"/>
        <v>3134.1020000000008</v>
      </c>
    </row>
    <row r="121" spans="1:11" ht="12.75" hidden="1" outlineLevel="2" x14ac:dyDescent="0.2">
      <c r="A121" s="862"/>
      <c r="C121" s="854"/>
      <c r="D121" s="854"/>
      <c r="E121" s="854"/>
      <c r="F121" s="854"/>
      <c r="G121" s="854"/>
      <c r="H121" s="854"/>
      <c r="I121" s="866"/>
    </row>
    <row r="122" spans="1:11" ht="12.75" hidden="1" outlineLevel="2" x14ac:dyDescent="0.2">
      <c r="A122" s="860" t="s">
        <v>1184</v>
      </c>
      <c r="C122" s="855">
        <f t="shared" ref="C122:I122" si="20">SUM(C115:C121)</f>
        <v>10078.306</v>
      </c>
      <c r="D122" s="855">
        <f t="shared" si="20"/>
        <v>10078.306</v>
      </c>
      <c r="E122" s="855">
        <f t="shared" si="20"/>
        <v>10451.245999999999</v>
      </c>
      <c r="F122" s="855">
        <f t="shared" si="20"/>
        <v>0</v>
      </c>
      <c r="G122" s="855">
        <f t="shared" si="20"/>
        <v>11016.116</v>
      </c>
      <c r="H122" s="855">
        <f t="shared" si="20"/>
        <v>11220.594999999998</v>
      </c>
      <c r="I122" s="867">
        <f t="shared" si="20"/>
        <v>11429.261</v>
      </c>
    </row>
    <row r="123" spans="1:11" ht="12.75" hidden="1" outlineLevel="2" x14ac:dyDescent="0.2">
      <c r="A123" s="862"/>
      <c r="C123" s="854"/>
      <c r="D123" s="854"/>
      <c r="E123" s="854"/>
      <c r="F123" s="854"/>
      <c r="G123" s="854"/>
      <c r="H123" s="854"/>
      <c r="I123" s="866"/>
    </row>
    <row r="124" spans="1:11" ht="12.75" hidden="1" outlineLevel="2" x14ac:dyDescent="0.2">
      <c r="A124" s="860" t="s">
        <v>1185</v>
      </c>
      <c r="C124" s="855">
        <f>C108-C122</f>
        <v>944.04399999999805</v>
      </c>
      <c r="D124" s="855">
        <f t="shared" ref="D124:I124" si="21">D108-D122</f>
        <v>944.04399999999805</v>
      </c>
      <c r="E124" s="855">
        <f t="shared" si="21"/>
        <v>480.128999999999</v>
      </c>
      <c r="F124" s="855">
        <f t="shared" si="21"/>
        <v>0</v>
      </c>
      <c r="G124" s="855">
        <f t="shared" si="21"/>
        <v>203.71099999999751</v>
      </c>
      <c r="H124" s="855">
        <f t="shared" si="21"/>
        <v>261.42100000000573</v>
      </c>
      <c r="I124" s="867">
        <f t="shared" si="21"/>
        <v>366.60200000000077</v>
      </c>
    </row>
    <row r="125" spans="1:11" ht="13.5" hidden="1" outlineLevel="2" thickBot="1" x14ac:dyDescent="0.25">
      <c r="A125" s="868"/>
      <c r="B125" s="869"/>
      <c r="C125" s="870"/>
      <c r="D125" s="870"/>
      <c r="E125" s="870"/>
      <c r="F125" s="870"/>
      <c r="G125" s="870"/>
      <c r="H125" s="870"/>
      <c r="I125" s="871"/>
    </row>
    <row r="126" spans="1:11" ht="12.75" x14ac:dyDescent="0.2">
      <c r="A126" s="849" t="s">
        <v>1166</v>
      </c>
      <c r="B126" s="849" t="s">
        <v>1188</v>
      </c>
    </row>
    <row r="128" spans="1:11" ht="26.4" x14ac:dyDescent="0.25">
      <c r="C128" s="1285" t="s">
        <v>1168</v>
      </c>
      <c r="D128" s="1284" t="s">
        <v>1169</v>
      </c>
      <c r="E128" s="1285" t="s">
        <v>1170</v>
      </c>
      <c r="F128" s="1286" t="s">
        <v>1171</v>
      </c>
      <c r="G128" s="1286" t="s">
        <v>1172</v>
      </c>
      <c r="H128" s="1286" t="s">
        <v>1173</v>
      </c>
      <c r="I128" s="1286" t="s">
        <v>1174</v>
      </c>
      <c r="J128" s="1588" t="s">
        <v>1375</v>
      </c>
      <c r="K128" s="1588"/>
    </row>
    <row r="129" spans="1:11" x14ac:dyDescent="0.25">
      <c r="A129" s="849" t="s">
        <v>1175</v>
      </c>
      <c r="C129" s="1286"/>
      <c r="D129" s="1281"/>
      <c r="E129" s="1286"/>
      <c r="F129" s="1286"/>
      <c r="G129" s="1286"/>
      <c r="H129" s="1286"/>
      <c r="I129" s="1286"/>
      <c r="J129" s="1588"/>
      <c r="K129" s="1588"/>
    </row>
    <row r="130" spans="1:11" ht="12.75" customHeight="1" x14ac:dyDescent="0.2">
      <c r="A130" s="852" t="s">
        <v>1176</v>
      </c>
      <c r="C130" s="1280">
        <v>-14450315</v>
      </c>
      <c r="D130" s="1282">
        <v>-14450315</v>
      </c>
      <c r="E130" s="1280">
        <v>-15563977</v>
      </c>
      <c r="F130" s="1280"/>
      <c r="G130" s="1280">
        <v>-16356162</v>
      </c>
      <c r="H130" s="1280">
        <v>-17465653</v>
      </c>
      <c r="I130" s="1280">
        <v>-18306119</v>
      </c>
    </row>
    <row r="131" spans="1:11" ht="12.75" customHeight="1" x14ac:dyDescent="0.2">
      <c r="A131" s="852" t="s">
        <v>12</v>
      </c>
      <c r="C131" s="1280">
        <v>-6434666</v>
      </c>
      <c r="D131" s="1282">
        <v>-6444666</v>
      </c>
      <c r="E131" s="1280">
        <v>-6694225</v>
      </c>
      <c r="F131" s="1280"/>
      <c r="G131" s="1280">
        <v>-6699700</v>
      </c>
      <c r="H131" s="1280">
        <v>-6981927</v>
      </c>
      <c r="I131" s="1280">
        <v>-7514561</v>
      </c>
    </row>
    <row r="132" spans="1:11" ht="12.75" customHeight="1" x14ac:dyDescent="0.2">
      <c r="A132" s="852" t="s">
        <v>1177</v>
      </c>
      <c r="C132" s="1280">
        <v>-931500</v>
      </c>
      <c r="D132" s="1282">
        <v>-945000</v>
      </c>
      <c r="E132" s="1280">
        <v>-938209</v>
      </c>
      <c r="F132" s="1280"/>
      <c r="G132" s="1280">
        <v>-947193</v>
      </c>
      <c r="H132" s="1280">
        <v>-956889</v>
      </c>
      <c r="I132" s="1280">
        <v>-965433</v>
      </c>
    </row>
    <row r="133" spans="1:11" ht="12.75" customHeight="1" x14ac:dyDescent="0.25">
      <c r="A133" s="852" t="s">
        <v>1178</v>
      </c>
      <c r="C133" s="1280">
        <v>-2424537</v>
      </c>
      <c r="D133" s="1282">
        <v>-2552776</v>
      </c>
      <c r="E133" s="1280">
        <v>-2409788</v>
      </c>
      <c r="F133" s="1280"/>
      <c r="G133" s="1280">
        <v>-2463804</v>
      </c>
      <c r="H133" s="1280">
        <v>-2520379</v>
      </c>
      <c r="I133" s="1280">
        <v>-2578016</v>
      </c>
    </row>
    <row r="134" spans="1:11" ht="12.75" customHeight="1" x14ac:dyDescent="0.25">
      <c r="A134" s="852" t="s">
        <v>1179</v>
      </c>
      <c r="C134" s="1280">
        <v>-6174744</v>
      </c>
      <c r="D134" s="1282">
        <v>-6297128</v>
      </c>
      <c r="E134" s="1280">
        <v>-5230889</v>
      </c>
      <c r="F134" s="1280"/>
      <c r="G134" s="1280">
        <v>-5322951</v>
      </c>
      <c r="H134" s="1280">
        <v>-5414701</v>
      </c>
      <c r="I134" s="1280">
        <v>-5508300</v>
      </c>
    </row>
    <row r="135" spans="1:11" ht="12.75" customHeight="1" x14ac:dyDescent="0.25">
      <c r="A135" s="852" t="s">
        <v>1180</v>
      </c>
      <c r="C135" s="1280">
        <v>-4783353</v>
      </c>
      <c r="D135" s="1282">
        <v>-6010476</v>
      </c>
      <c r="E135" s="1280">
        <v>-5059852</v>
      </c>
      <c r="F135" s="1280"/>
      <c r="G135" s="1280">
        <v>-5239623</v>
      </c>
      <c r="H135" s="1280">
        <v>-5419178</v>
      </c>
      <c r="I135" s="1280">
        <v>-5456519</v>
      </c>
    </row>
    <row r="136" spans="1:11" x14ac:dyDescent="0.25">
      <c r="C136" s="1289"/>
      <c r="D136" s="1287"/>
      <c r="E136" s="1289"/>
      <c r="F136" s="1289"/>
      <c r="G136" s="1289"/>
      <c r="H136" s="1289"/>
      <c r="I136" s="1289"/>
    </row>
    <row r="137" spans="1:11" x14ac:dyDescent="0.25">
      <c r="A137" s="849" t="s">
        <v>1181</v>
      </c>
      <c r="C137" s="1288">
        <v>-35199115</v>
      </c>
      <c r="D137" s="1283">
        <v>-36700361</v>
      </c>
      <c r="E137" s="1288">
        <v>-35896940</v>
      </c>
      <c r="F137" s="1288">
        <v>0</v>
      </c>
      <c r="G137" s="1288">
        <v>-37029433</v>
      </c>
      <c r="H137" s="1288">
        <v>-38758727</v>
      </c>
      <c r="I137" s="1288">
        <v>-40328948</v>
      </c>
    </row>
    <row r="138" spans="1:11" x14ac:dyDescent="0.25">
      <c r="A138" s="849"/>
      <c r="C138" s="855"/>
      <c r="D138" s="855"/>
      <c r="E138" s="855"/>
      <c r="F138" s="855"/>
      <c r="G138" s="855"/>
      <c r="H138" s="855"/>
      <c r="I138" s="855"/>
    </row>
    <row r="139" spans="1:11" x14ac:dyDescent="0.25">
      <c r="A139" s="849"/>
      <c r="C139" s="855"/>
      <c r="D139" s="855"/>
      <c r="E139" s="855"/>
      <c r="F139" s="855"/>
      <c r="G139" s="855"/>
      <c r="H139" s="855"/>
      <c r="I139" s="855"/>
    </row>
    <row r="140" spans="1:11" x14ac:dyDescent="0.25">
      <c r="A140" s="849"/>
      <c r="C140" s="855"/>
      <c r="D140" s="855"/>
      <c r="E140" s="855"/>
      <c r="F140" s="855"/>
      <c r="G140" s="855"/>
      <c r="H140" s="855"/>
      <c r="I140" s="855"/>
    </row>
    <row r="141" spans="1:11" x14ac:dyDescent="0.25">
      <c r="C141" s="853"/>
      <c r="D141" s="853"/>
      <c r="E141" s="853"/>
      <c r="F141" s="853"/>
      <c r="G141" s="853"/>
      <c r="H141" s="853"/>
      <c r="I141" s="853"/>
    </row>
    <row r="142" spans="1:11" ht="26.4" x14ac:dyDescent="0.25">
      <c r="C142" s="1295" t="s">
        <v>1168</v>
      </c>
      <c r="D142" s="1294" t="s">
        <v>1169</v>
      </c>
      <c r="E142" s="1295" t="s">
        <v>1170</v>
      </c>
      <c r="F142" s="1296" t="s">
        <v>1171</v>
      </c>
      <c r="G142" s="1296" t="s">
        <v>1172</v>
      </c>
      <c r="H142" s="1296" t="s">
        <v>1173</v>
      </c>
      <c r="I142" s="1296" t="s">
        <v>1174</v>
      </c>
    </row>
    <row r="143" spans="1:11" x14ac:dyDescent="0.25">
      <c r="A143" s="849" t="s">
        <v>925</v>
      </c>
      <c r="C143" s="1296"/>
      <c r="D143" s="1291"/>
      <c r="E143" s="1296"/>
      <c r="F143" s="1296"/>
      <c r="G143" s="1296"/>
      <c r="H143" s="1296"/>
      <c r="I143" s="1296"/>
    </row>
    <row r="144" spans="1:11" ht="12.75" customHeight="1" x14ac:dyDescent="0.25">
      <c r="A144" s="852" t="s">
        <v>1182</v>
      </c>
      <c r="C144" s="1290">
        <v>11231316</v>
      </c>
      <c r="D144" s="1292">
        <v>11427663</v>
      </c>
      <c r="E144" s="1290">
        <v>11563034</v>
      </c>
      <c r="F144" s="1290"/>
      <c r="G144" s="1290">
        <v>11807840</v>
      </c>
      <c r="H144" s="1290">
        <v>12311479</v>
      </c>
      <c r="I144" s="1290">
        <v>12922002</v>
      </c>
    </row>
    <row r="145" spans="1:9" ht="12.75" customHeight="1" x14ac:dyDescent="0.25">
      <c r="A145" s="852" t="s">
        <v>27</v>
      </c>
      <c r="C145" s="1290">
        <v>10912698</v>
      </c>
      <c r="D145" s="1292">
        <v>12164705</v>
      </c>
      <c r="E145" s="1290">
        <v>12097192</v>
      </c>
      <c r="F145" s="1290"/>
      <c r="G145" s="1290">
        <v>12379832</v>
      </c>
      <c r="H145" s="1290">
        <v>12717917</v>
      </c>
      <c r="I145" s="1290">
        <v>13398525</v>
      </c>
    </row>
    <row r="146" spans="1:9" ht="12.75" customHeight="1" x14ac:dyDescent="0.25">
      <c r="A146" s="852" t="s">
        <v>1183</v>
      </c>
      <c r="C146" s="1290">
        <v>2286850</v>
      </c>
      <c r="D146" s="1292">
        <v>2333742</v>
      </c>
      <c r="E146" s="1290">
        <v>2395631</v>
      </c>
      <c r="F146" s="1290"/>
      <c r="G146" s="1290">
        <v>2446074</v>
      </c>
      <c r="H146" s="1290">
        <v>2513583</v>
      </c>
      <c r="I146" s="1290">
        <v>2654968</v>
      </c>
    </row>
    <row r="147" spans="1:9" ht="12.75" customHeight="1" x14ac:dyDescent="0.25">
      <c r="A147" s="852" t="s">
        <v>926</v>
      </c>
      <c r="C147" s="1290">
        <v>592127</v>
      </c>
      <c r="D147" s="1292">
        <v>592127</v>
      </c>
      <c r="E147" s="1290">
        <v>588937</v>
      </c>
      <c r="F147" s="1290"/>
      <c r="G147" s="1290">
        <v>586087</v>
      </c>
      <c r="H147" s="1290">
        <v>722996</v>
      </c>
      <c r="I147" s="1290">
        <v>1018386</v>
      </c>
    </row>
    <row r="148" spans="1:9" ht="12.75" customHeight="1" x14ac:dyDescent="0.25">
      <c r="A148" s="852" t="s">
        <v>1077</v>
      </c>
      <c r="C148" s="1290">
        <v>1763353</v>
      </c>
      <c r="D148" s="1292">
        <v>1763353</v>
      </c>
      <c r="E148" s="1290">
        <v>1835177</v>
      </c>
      <c r="F148" s="1290"/>
      <c r="G148" s="1290">
        <v>1869220</v>
      </c>
      <c r="H148" s="1290">
        <v>1904465</v>
      </c>
      <c r="I148" s="1290">
        <v>1940571</v>
      </c>
    </row>
    <row r="149" spans="1:9" ht="12.75" customHeight="1" x14ac:dyDescent="0.25">
      <c r="A149" s="852" t="s">
        <v>584</v>
      </c>
      <c r="C149" s="1290">
        <v>8510646</v>
      </c>
      <c r="D149" s="1292">
        <v>8510646</v>
      </c>
      <c r="E149" s="1290">
        <v>7355778</v>
      </c>
      <c r="F149" s="1290"/>
      <c r="G149" s="1290">
        <v>7480789</v>
      </c>
      <c r="H149" s="1290">
        <v>7794118</v>
      </c>
      <c r="I149" s="1290">
        <v>8107010</v>
      </c>
    </row>
    <row r="150" spans="1:9" x14ac:dyDescent="0.25">
      <c r="C150" s="1299"/>
      <c r="D150" s="1297"/>
      <c r="E150" s="1299"/>
      <c r="F150" s="1299"/>
      <c r="G150" s="1299"/>
      <c r="H150" s="1299"/>
      <c r="I150" s="1299"/>
    </row>
    <row r="151" spans="1:9" x14ac:dyDescent="0.25">
      <c r="A151" s="849" t="s">
        <v>1184</v>
      </c>
      <c r="C151" s="1298">
        <v>35296990</v>
      </c>
      <c r="D151" s="1293">
        <v>36792236</v>
      </c>
      <c r="E151" s="1298">
        <v>35835749</v>
      </c>
      <c r="F151" s="1298">
        <v>0</v>
      </c>
      <c r="G151" s="1298">
        <v>36569842</v>
      </c>
      <c r="H151" s="1298">
        <v>37964558</v>
      </c>
      <c r="I151" s="1298">
        <v>40041462</v>
      </c>
    </row>
    <row r="152" spans="1:9" x14ac:dyDescent="0.25">
      <c r="C152" s="1299"/>
      <c r="D152" s="1297"/>
      <c r="E152" s="1299"/>
      <c r="F152" s="1299"/>
      <c r="G152" s="1299"/>
      <c r="H152" s="1299"/>
      <c r="I152" s="1299"/>
    </row>
    <row r="153" spans="1:9" x14ac:dyDescent="0.25">
      <c r="A153" s="849" t="s">
        <v>1185</v>
      </c>
      <c r="C153" s="1298">
        <v>97875</v>
      </c>
      <c r="D153" s="1293">
        <v>91875</v>
      </c>
      <c r="E153" s="1298">
        <v>-61191</v>
      </c>
      <c r="F153" s="1298">
        <v>0</v>
      </c>
      <c r="G153" s="1298">
        <v>-459591</v>
      </c>
      <c r="H153" s="1298">
        <v>-794169</v>
      </c>
      <c r="I153" s="1298">
        <v>-287486</v>
      </c>
    </row>
    <row r="154" spans="1:9" x14ac:dyDescent="0.25">
      <c r="A154" s="849"/>
      <c r="C154" s="855"/>
      <c r="D154" s="855"/>
      <c r="E154" s="855"/>
      <c r="F154" s="855"/>
      <c r="G154" s="855"/>
      <c r="H154" s="855"/>
      <c r="I154" s="855"/>
    </row>
    <row r="155" spans="1:9" x14ac:dyDescent="0.25">
      <c r="A155" s="849"/>
      <c r="C155" s="855"/>
      <c r="D155" s="855"/>
      <c r="E155" s="855"/>
      <c r="F155" s="855"/>
      <c r="G155" s="855"/>
      <c r="H155" s="855"/>
      <c r="I155" s="855"/>
    </row>
    <row r="156" spans="1:9" x14ac:dyDescent="0.25">
      <c r="A156" s="849"/>
      <c r="C156" s="855"/>
      <c r="D156" s="855"/>
      <c r="E156" s="855"/>
      <c r="F156" s="855"/>
      <c r="G156" s="855"/>
      <c r="H156" s="855"/>
      <c r="I156" s="855"/>
    </row>
    <row r="157" spans="1:9" x14ac:dyDescent="0.25">
      <c r="A157" s="849" t="s">
        <v>1164</v>
      </c>
      <c r="B157" s="849" t="s">
        <v>1189</v>
      </c>
    </row>
    <row r="158" spans="1:9" x14ac:dyDescent="0.25">
      <c r="A158" s="849" t="s">
        <v>1166</v>
      </c>
      <c r="B158" s="849" t="s">
        <v>1190</v>
      </c>
    </row>
    <row r="159" spans="1:9" x14ac:dyDescent="0.25">
      <c r="A159" s="849"/>
      <c r="B159" s="849"/>
    </row>
    <row r="161" spans="1:11" ht="25.5" customHeight="1" x14ac:dyDescent="0.25">
      <c r="C161" s="1264" t="s">
        <v>1168</v>
      </c>
      <c r="D161" s="1263" t="s">
        <v>1169</v>
      </c>
      <c r="E161" s="1264" t="s">
        <v>1170</v>
      </c>
      <c r="F161" s="1265" t="s">
        <v>1171</v>
      </c>
      <c r="G161" s="1265" t="s">
        <v>1172</v>
      </c>
      <c r="H161" s="1265" t="s">
        <v>1173</v>
      </c>
      <c r="I161" s="1265" t="s">
        <v>1174</v>
      </c>
      <c r="J161" s="1588" t="s">
        <v>1375</v>
      </c>
      <c r="K161" s="1588"/>
    </row>
    <row r="162" spans="1:11" x14ac:dyDescent="0.25">
      <c r="A162" s="849" t="s">
        <v>1175</v>
      </c>
      <c r="C162" s="1265"/>
      <c r="D162" s="1260"/>
      <c r="E162" s="1265"/>
      <c r="F162" s="1265"/>
      <c r="G162" s="1265"/>
      <c r="H162" s="1265"/>
      <c r="I162" s="1265"/>
      <c r="J162" s="1588"/>
      <c r="K162" s="1588"/>
    </row>
    <row r="163" spans="1:11" x14ac:dyDescent="0.25">
      <c r="A163" s="852" t="s">
        <v>12</v>
      </c>
      <c r="C163" s="1259">
        <v>-3052303</v>
      </c>
      <c r="D163" s="1261">
        <v>-3062303</v>
      </c>
      <c r="E163" s="1259">
        <v>-3203300</v>
      </c>
      <c r="F163" s="1259"/>
      <c r="G163" s="1259">
        <v>-3097543</v>
      </c>
      <c r="H163" s="1259">
        <v>-3174733</v>
      </c>
      <c r="I163" s="1259">
        <v>-3254153</v>
      </c>
    </row>
    <row r="164" spans="1:11" x14ac:dyDescent="0.25">
      <c r="C164" s="1268"/>
      <c r="D164" s="1266"/>
      <c r="E164" s="1268"/>
      <c r="F164" s="1268"/>
      <c r="G164" s="1268"/>
      <c r="H164" s="1268"/>
      <c r="I164" s="1268"/>
    </row>
    <row r="165" spans="1:11" x14ac:dyDescent="0.25">
      <c r="A165" s="849" t="s">
        <v>1181</v>
      </c>
      <c r="C165" s="1267">
        <v>-3052303</v>
      </c>
      <c r="D165" s="1262">
        <v>-3062303</v>
      </c>
      <c r="E165" s="1267">
        <v>-3203300</v>
      </c>
      <c r="F165" s="1267">
        <v>0</v>
      </c>
      <c r="G165" s="1267">
        <v>-3097543</v>
      </c>
      <c r="H165" s="1267">
        <v>-3174733</v>
      </c>
      <c r="I165" s="1267">
        <v>-3254153</v>
      </c>
    </row>
    <row r="166" spans="1:11" x14ac:dyDescent="0.25">
      <c r="A166" s="849"/>
      <c r="C166" s="855"/>
      <c r="D166" s="855"/>
      <c r="E166" s="855"/>
      <c r="F166" s="855"/>
      <c r="G166" s="855"/>
      <c r="H166" s="855"/>
      <c r="I166" s="855"/>
    </row>
    <row r="167" spans="1:11" x14ac:dyDescent="0.25">
      <c r="A167" s="849"/>
      <c r="C167" s="855"/>
      <c r="D167" s="855"/>
      <c r="E167" s="855"/>
      <c r="F167" s="855"/>
      <c r="G167" s="855"/>
      <c r="H167" s="855"/>
      <c r="I167" s="855"/>
    </row>
    <row r="168" spans="1:11" x14ac:dyDescent="0.25">
      <c r="A168" s="849"/>
      <c r="B168" s="1395" t="s">
        <v>926</v>
      </c>
      <c r="C168" s="1396"/>
      <c r="D168" s="1396"/>
      <c r="E168" s="1396"/>
      <c r="F168" s="1396"/>
      <c r="G168" s="1397">
        <v>834235</v>
      </c>
      <c r="H168" s="1397">
        <v>784235</v>
      </c>
      <c r="I168" s="1397">
        <v>734235</v>
      </c>
      <c r="J168" s="1398" t="s">
        <v>1494</v>
      </c>
      <c r="K168" s="1398"/>
    </row>
    <row r="169" spans="1:11" x14ac:dyDescent="0.25">
      <c r="C169" s="853"/>
      <c r="D169" s="853"/>
      <c r="E169" s="853"/>
      <c r="F169" s="853"/>
      <c r="G169" s="853"/>
      <c r="H169" s="853"/>
      <c r="I169" s="853"/>
    </row>
    <row r="170" spans="1:11" ht="26.4" x14ac:dyDescent="0.25">
      <c r="C170" s="1275" t="s">
        <v>1168</v>
      </c>
      <c r="D170" s="1274" t="s">
        <v>1169</v>
      </c>
      <c r="E170" s="1275" t="s">
        <v>1170</v>
      </c>
      <c r="F170" s="1276" t="s">
        <v>1171</v>
      </c>
      <c r="G170" s="1276" t="s">
        <v>1172</v>
      </c>
      <c r="H170" s="1276" t="s">
        <v>1173</v>
      </c>
      <c r="I170" s="1276" t="s">
        <v>1174</v>
      </c>
    </row>
    <row r="171" spans="1:11" x14ac:dyDescent="0.25">
      <c r="A171" s="849" t="s">
        <v>925</v>
      </c>
      <c r="C171" s="1276"/>
      <c r="D171" s="1271"/>
      <c r="E171" s="1276"/>
      <c r="F171" s="1276"/>
      <c r="G171" s="1276"/>
      <c r="H171" s="1276"/>
      <c r="I171" s="1276"/>
    </row>
    <row r="172" spans="1:11" ht="12.75" customHeight="1" x14ac:dyDescent="0.25">
      <c r="A172" s="852" t="s">
        <v>1182</v>
      </c>
      <c r="C172" s="1270">
        <v>80000</v>
      </c>
      <c r="D172" s="1272">
        <v>80000</v>
      </c>
      <c r="E172" s="1270">
        <v>81424</v>
      </c>
      <c r="F172" s="1269"/>
      <c r="G172" s="1270">
        <v>83866</v>
      </c>
      <c r="H172" s="1270">
        <v>86382</v>
      </c>
      <c r="I172" s="1270">
        <v>88974</v>
      </c>
    </row>
    <row r="173" spans="1:11" ht="12.75" customHeight="1" x14ac:dyDescent="0.25">
      <c r="A173" s="852" t="s">
        <v>27</v>
      </c>
      <c r="C173" s="1270">
        <v>577150</v>
      </c>
      <c r="D173" s="1272">
        <v>570800</v>
      </c>
      <c r="E173" s="1270">
        <v>563575</v>
      </c>
      <c r="F173" s="1269"/>
      <c r="G173" s="1270">
        <v>545531</v>
      </c>
      <c r="H173" s="1270">
        <v>556716</v>
      </c>
      <c r="I173" s="1270">
        <v>568158</v>
      </c>
    </row>
    <row r="174" spans="1:11" ht="12.75" customHeight="1" x14ac:dyDescent="0.25">
      <c r="A174" s="852" t="s">
        <v>1183</v>
      </c>
      <c r="C174" s="1270">
        <v>359043</v>
      </c>
      <c r="D174" s="1272">
        <v>375393</v>
      </c>
      <c r="E174" s="1270">
        <v>379600</v>
      </c>
      <c r="F174" s="1269"/>
      <c r="G174" s="1270">
        <v>379696</v>
      </c>
      <c r="H174" s="1270">
        <v>387221</v>
      </c>
      <c r="I174" s="1270">
        <v>394903</v>
      </c>
    </row>
    <row r="175" spans="1:11" ht="12.75" customHeight="1" x14ac:dyDescent="0.25">
      <c r="A175" s="852" t="s">
        <v>926</v>
      </c>
      <c r="C175" s="1270">
        <v>908235</v>
      </c>
      <c r="D175" s="1272">
        <v>908235</v>
      </c>
      <c r="E175" s="1270">
        <v>908235</v>
      </c>
      <c r="F175" s="1269"/>
      <c r="G175" s="1397">
        <f>E175</f>
        <v>908235</v>
      </c>
      <c r="H175" s="1397">
        <f>G175</f>
        <v>908235</v>
      </c>
      <c r="I175" s="1397">
        <f>H175</f>
        <v>908235</v>
      </c>
      <c r="J175" s="1588" t="s">
        <v>1493</v>
      </c>
      <c r="K175" s="1588"/>
    </row>
    <row r="176" spans="1:11" ht="12.75" customHeight="1" x14ac:dyDescent="0.25">
      <c r="A176" s="852" t="s">
        <v>1077</v>
      </c>
      <c r="C176" s="1270">
        <v>1000000</v>
      </c>
      <c r="D176" s="1272">
        <v>1000000</v>
      </c>
      <c r="E176" s="1270">
        <v>1100000</v>
      </c>
      <c r="F176" s="1269"/>
      <c r="G176" s="1270">
        <v>1200000</v>
      </c>
      <c r="H176" s="1270">
        <v>1300000</v>
      </c>
      <c r="I176" s="1270">
        <v>1400000</v>
      </c>
      <c r="J176" s="1588"/>
      <c r="K176" s="1588"/>
    </row>
    <row r="177" spans="1:9" ht="12.75" customHeight="1" x14ac:dyDescent="0.25">
      <c r="A177" s="852" t="s">
        <v>584</v>
      </c>
      <c r="C177" s="1270">
        <v>0</v>
      </c>
      <c r="D177" s="1272">
        <v>0</v>
      </c>
      <c r="E177" s="1270">
        <v>269687</v>
      </c>
      <c r="F177" s="1269"/>
      <c r="G177" s="1270">
        <v>275995</v>
      </c>
      <c r="H177" s="1270">
        <v>280655</v>
      </c>
      <c r="I177" s="1270">
        <v>289069</v>
      </c>
    </row>
    <row r="178" spans="1:9" x14ac:dyDescent="0.25">
      <c r="C178" s="1279"/>
      <c r="D178" s="1277"/>
      <c r="E178" s="1279"/>
      <c r="F178" s="1279"/>
      <c r="G178" s="1279"/>
      <c r="H178" s="1279"/>
      <c r="I178" s="1279"/>
    </row>
    <row r="179" spans="1:9" x14ac:dyDescent="0.25">
      <c r="A179" s="849" t="s">
        <v>1184</v>
      </c>
      <c r="C179" s="1278">
        <v>2924428</v>
      </c>
      <c r="D179" s="1273">
        <v>2934428</v>
      </c>
      <c r="E179" s="1278">
        <v>3302521</v>
      </c>
      <c r="F179" s="1278">
        <v>0</v>
      </c>
      <c r="G179" s="1278">
        <v>3319323</v>
      </c>
      <c r="H179" s="1278">
        <v>3395209</v>
      </c>
      <c r="I179" s="1278">
        <v>3475339</v>
      </c>
    </row>
    <row r="180" spans="1:9" x14ac:dyDescent="0.25">
      <c r="C180" s="1279"/>
      <c r="D180" s="1277"/>
      <c r="E180" s="1279"/>
      <c r="F180" s="1279"/>
      <c r="G180" s="1279"/>
      <c r="H180" s="1279"/>
      <c r="I180" s="1279"/>
    </row>
    <row r="181" spans="1:9" x14ac:dyDescent="0.25">
      <c r="A181" s="849" t="s">
        <v>1185</v>
      </c>
      <c r="C181" s="1278">
        <v>-127875</v>
      </c>
      <c r="D181" s="1273">
        <v>-127875</v>
      </c>
      <c r="E181" s="1278">
        <v>99221</v>
      </c>
      <c r="F181" s="1278">
        <v>0</v>
      </c>
      <c r="G181" s="1278">
        <v>221780</v>
      </c>
      <c r="H181" s="1278">
        <v>220476</v>
      </c>
      <c r="I181" s="1278">
        <v>221186</v>
      </c>
    </row>
    <row r="183" spans="1:9" s="1062" customFormat="1" x14ac:dyDescent="0.25"/>
    <row r="184" spans="1:9" s="1062" customFormat="1" x14ac:dyDescent="0.25">
      <c r="A184" s="1561" t="s">
        <v>1163</v>
      </c>
      <c r="B184" s="1561"/>
      <c r="C184" s="1561"/>
      <c r="D184" s="1561"/>
      <c r="E184" s="1561"/>
      <c r="F184" s="1561"/>
      <c r="G184" s="1561"/>
      <c r="H184" s="1561"/>
      <c r="I184" s="1561"/>
    </row>
    <row r="185" spans="1:9" s="1062" customFormat="1" x14ac:dyDescent="0.25">
      <c r="A185" s="1092"/>
      <c r="B185" s="1092"/>
      <c r="C185" s="1092"/>
      <c r="D185" s="1098"/>
      <c r="E185" s="1092"/>
      <c r="F185" s="1092"/>
      <c r="G185" s="1092"/>
      <c r="H185" s="1092"/>
      <c r="I185" s="1092"/>
    </row>
    <row r="186" spans="1:9" s="1062" customFormat="1" x14ac:dyDescent="0.25">
      <c r="A186" s="1095" t="s">
        <v>1164</v>
      </c>
      <c r="B186" s="1095" t="s">
        <v>1366</v>
      </c>
      <c r="C186" s="1092"/>
      <c r="D186" s="1098"/>
      <c r="E186" s="1092"/>
      <c r="F186" s="1092"/>
      <c r="G186" s="1092"/>
      <c r="H186" s="1092"/>
      <c r="I186" s="1092"/>
    </row>
    <row r="187" spans="1:9" s="1062" customFormat="1" x14ac:dyDescent="0.25">
      <c r="A187" s="1095" t="s">
        <v>1367</v>
      </c>
      <c r="B187" s="1095" t="s">
        <v>1241</v>
      </c>
      <c r="C187" s="1092"/>
      <c r="D187" s="1098"/>
      <c r="E187" s="1092"/>
      <c r="F187" s="1092"/>
      <c r="G187" s="1092"/>
      <c r="H187" s="1092"/>
      <c r="I187" s="1092"/>
    </row>
    <row r="188" spans="1:9" s="1062" customFormat="1" x14ac:dyDescent="0.25">
      <c r="A188" s="1095" t="s">
        <v>1166</v>
      </c>
      <c r="B188" s="1095" t="s">
        <v>1241</v>
      </c>
      <c r="C188" s="1092"/>
      <c r="D188" s="1098"/>
      <c r="E188" s="1092"/>
      <c r="F188" s="1092"/>
      <c r="G188" s="1092"/>
      <c r="H188" s="1092"/>
      <c r="I188" s="1092"/>
    </row>
    <row r="189" spans="1:9" s="1062" customFormat="1" x14ac:dyDescent="0.25">
      <c r="A189" s="1095"/>
      <c r="B189" s="1093"/>
      <c r="C189" s="1096"/>
      <c r="D189" s="1096"/>
      <c r="E189" s="1096"/>
      <c r="F189" s="1096"/>
      <c r="G189" s="1096"/>
      <c r="H189" s="1096"/>
      <c r="I189" s="1096"/>
    </row>
    <row r="190" spans="1:9" s="1062" customFormat="1" ht="26.4" x14ac:dyDescent="0.25">
      <c r="A190" s="1092"/>
      <c r="B190" s="1092"/>
      <c r="C190" s="1257" t="s">
        <v>1168</v>
      </c>
      <c r="D190" s="1257" t="s">
        <v>1169</v>
      </c>
      <c r="E190" s="1257" t="s">
        <v>1170</v>
      </c>
      <c r="F190" s="1254" t="s">
        <v>1171</v>
      </c>
      <c r="G190" s="1254" t="s">
        <v>1172</v>
      </c>
      <c r="H190" s="1254" t="s">
        <v>1173</v>
      </c>
      <c r="I190" s="1254" t="s">
        <v>1174</v>
      </c>
    </row>
    <row r="191" spans="1:9" s="1062" customFormat="1" x14ac:dyDescent="0.25">
      <c r="A191" s="1095" t="s">
        <v>1175</v>
      </c>
      <c r="B191" s="1092"/>
      <c r="C191" s="1254"/>
      <c r="D191" s="1254"/>
      <c r="E191" s="1254"/>
      <c r="F191" s="1254"/>
      <c r="G191" s="1254"/>
      <c r="H191" s="1254"/>
      <c r="I191" s="1254"/>
    </row>
    <row r="192" spans="1:9" s="1062" customFormat="1" x14ac:dyDescent="0.25">
      <c r="A192" s="1094" t="s">
        <v>1176</v>
      </c>
      <c r="B192" s="1092"/>
      <c r="C192" s="1255">
        <v>-1580000</v>
      </c>
      <c r="D192" s="1255">
        <v>-1580000</v>
      </c>
      <c r="E192" s="1255">
        <v>-1485000</v>
      </c>
      <c r="F192" s="1255"/>
      <c r="G192" s="1255">
        <v>-1498365</v>
      </c>
      <c r="H192" s="1255">
        <v>-1511850</v>
      </c>
      <c r="I192" s="1255">
        <v>-1525456</v>
      </c>
    </row>
    <row r="193" spans="1:11" s="1062" customFormat="1" x14ac:dyDescent="0.25">
      <c r="A193" s="1094" t="s">
        <v>12</v>
      </c>
      <c r="B193" s="1092"/>
      <c r="C193" s="1255">
        <v>-3719150</v>
      </c>
      <c r="D193" s="1255">
        <v>-3719150</v>
      </c>
      <c r="E193" s="1255">
        <v>-3922375</v>
      </c>
      <c r="F193" s="1255"/>
      <c r="G193" s="1255">
        <v>-4115482</v>
      </c>
      <c r="H193" s="1255">
        <v>-4318173</v>
      </c>
      <c r="I193" s="1255">
        <v>-4530943</v>
      </c>
    </row>
    <row r="194" spans="1:11" s="1062" customFormat="1" x14ac:dyDescent="0.25">
      <c r="A194" s="1094" t="s">
        <v>1177</v>
      </c>
      <c r="B194" s="1092"/>
      <c r="C194" s="1255">
        <v>-868000</v>
      </c>
      <c r="D194" s="1255">
        <v>-868000</v>
      </c>
      <c r="E194" s="1255">
        <v>-819000</v>
      </c>
      <c r="F194" s="1255"/>
      <c r="G194" s="1255">
        <v>-739620</v>
      </c>
      <c r="H194" s="1255">
        <v>-740552</v>
      </c>
      <c r="I194" s="1255">
        <v>-740897</v>
      </c>
    </row>
    <row r="195" spans="1:11" s="1062" customFormat="1" x14ac:dyDescent="0.25">
      <c r="A195" s="1094" t="s">
        <v>1179</v>
      </c>
      <c r="B195" s="1092"/>
      <c r="C195" s="1255">
        <v>-38500</v>
      </c>
      <c r="D195" s="1255">
        <v>-38500</v>
      </c>
      <c r="E195" s="1255">
        <v>-34500</v>
      </c>
      <c r="F195" s="1255"/>
      <c r="G195" s="1255">
        <v>-35190</v>
      </c>
      <c r="H195" s="1255">
        <v>-35893</v>
      </c>
      <c r="I195" s="1255">
        <v>-36611</v>
      </c>
    </row>
    <row r="196" spans="1:11" s="1062" customFormat="1" x14ac:dyDescent="0.25">
      <c r="A196" s="1092"/>
      <c r="B196" s="1092"/>
      <c r="C196" s="1258"/>
      <c r="D196" s="1258"/>
      <c r="E196" s="1258"/>
      <c r="F196" s="1258"/>
      <c r="G196" s="1258"/>
      <c r="H196" s="1258"/>
      <c r="I196" s="1258"/>
    </row>
    <row r="197" spans="1:11" s="1062" customFormat="1" x14ac:dyDescent="0.25">
      <c r="A197" s="1095" t="s">
        <v>1181</v>
      </c>
      <c r="B197" s="1092"/>
      <c r="C197" s="1256">
        <v>-6205650</v>
      </c>
      <c r="D197" s="1256">
        <v>-6205650</v>
      </c>
      <c r="E197" s="1256">
        <v>-6260875</v>
      </c>
      <c r="F197" s="1256">
        <v>0</v>
      </c>
      <c r="G197" s="1256">
        <v>-6388657</v>
      </c>
      <c r="H197" s="1256">
        <v>-6606468</v>
      </c>
      <c r="I197" s="1256">
        <v>-6833907</v>
      </c>
    </row>
    <row r="198" spans="1:11" s="1062" customFormat="1" x14ac:dyDescent="0.25">
      <c r="A198" s="1095"/>
      <c r="B198" s="1092"/>
      <c r="C198" s="1256"/>
      <c r="D198" s="1256"/>
      <c r="E198" s="1256"/>
      <c r="F198" s="1256"/>
      <c r="G198" s="1256"/>
      <c r="H198" s="1256"/>
      <c r="I198" s="1256"/>
    </row>
    <row r="199" spans="1:11" s="1062" customFormat="1" x14ac:dyDescent="0.25">
      <c r="A199" s="1095"/>
      <c r="B199" s="1092"/>
      <c r="C199" s="1256"/>
      <c r="D199" s="1256"/>
      <c r="E199" s="1256"/>
      <c r="F199" s="1256"/>
      <c r="G199" s="1256"/>
      <c r="H199" s="1256"/>
      <c r="I199" s="1256"/>
    </row>
    <row r="200" spans="1:11" s="1062" customFormat="1" x14ac:dyDescent="0.25">
      <c r="A200" s="1092"/>
      <c r="B200" s="1092"/>
      <c r="C200" s="1255"/>
      <c r="D200" s="1255"/>
      <c r="E200" s="1255"/>
      <c r="F200" s="1255"/>
      <c r="G200" s="1255"/>
      <c r="H200" s="1255"/>
      <c r="I200" s="1255"/>
    </row>
    <row r="201" spans="1:11" s="1062" customFormat="1" ht="25.5" customHeight="1" x14ac:dyDescent="0.25">
      <c r="A201" s="1092"/>
      <c r="B201" s="1092"/>
      <c r="C201" s="1257" t="s">
        <v>1168</v>
      </c>
      <c r="D201" s="1257" t="s">
        <v>1169</v>
      </c>
      <c r="E201" s="1257" t="s">
        <v>1170</v>
      </c>
      <c r="F201" s="1254" t="s">
        <v>1171</v>
      </c>
      <c r="G201" s="1254" t="s">
        <v>1172</v>
      </c>
      <c r="H201" s="1254" t="s">
        <v>1173</v>
      </c>
      <c r="I201" s="1254" t="s">
        <v>1174</v>
      </c>
      <c r="J201" s="1588" t="s">
        <v>1375</v>
      </c>
      <c r="K201" s="1588"/>
    </row>
    <row r="202" spans="1:11" s="1062" customFormat="1" x14ac:dyDescent="0.25">
      <c r="A202" s="1095" t="s">
        <v>925</v>
      </c>
      <c r="B202" s="1092"/>
      <c r="C202" s="1254"/>
      <c r="D202" s="1254"/>
      <c r="E202" s="1254"/>
      <c r="F202" s="1254"/>
      <c r="G202" s="1254"/>
      <c r="H202" s="1254"/>
      <c r="I202" s="1254"/>
      <c r="J202" s="1588"/>
      <c r="K202" s="1588"/>
    </row>
    <row r="203" spans="1:11" s="1062" customFormat="1" x14ac:dyDescent="0.25">
      <c r="A203" s="1094" t="s">
        <v>1182</v>
      </c>
      <c r="B203" s="1092"/>
      <c r="C203" s="1255">
        <v>977890</v>
      </c>
      <c r="D203" s="1255">
        <v>977890</v>
      </c>
      <c r="E203" s="1255">
        <v>1129550</v>
      </c>
      <c r="F203" s="1255"/>
      <c r="G203" s="1255">
        <v>1172491</v>
      </c>
      <c r="H203" s="1255">
        <v>1217242</v>
      </c>
      <c r="I203" s="1255">
        <v>1263922</v>
      </c>
    </row>
    <row r="204" spans="1:11" s="1062" customFormat="1" x14ac:dyDescent="0.25">
      <c r="A204" s="1094" t="s">
        <v>27</v>
      </c>
      <c r="B204" s="1092"/>
      <c r="C204" s="1255">
        <v>1785200</v>
      </c>
      <c r="D204" s="1255">
        <v>1785200</v>
      </c>
      <c r="E204" s="1255">
        <v>1589600</v>
      </c>
      <c r="F204" s="1255"/>
      <c r="G204" s="1255">
        <v>1632152</v>
      </c>
      <c r="H204" s="1255">
        <v>1676305</v>
      </c>
      <c r="I204" s="1255">
        <v>1722162</v>
      </c>
    </row>
    <row r="205" spans="1:11" s="1062" customFormat="1" x14ac:dyDescent="0.25">
      <c r="A205" s="1094" t="s">
        <v>1183</v>
      </c>
      <c r="B205" s="1092"/>
      <c r="C205" s="1255">
        <v>348000</v>
      </c>
      <c r="D205" s="1255">
        <v>348000</v>
      </c>
      <c r="E205" s="1255">
        <v>302500</v>
      </c>
      <c r="F205" s="1255"/>
      <c r="G205" s="1255">
        <v>315810</v>
      </c>
      <c r="H205" s="1255">
        <v>329811</v>
      </c>
      <c r="I205" s="1255">
        <v>344552</v>
      </c>
    </row>
    <row r="206" spans="1:11" s="1062" customFormat="1" x14ac:dyDescent="0.25">
      <c r="A206" s="1094" t="s">
        <v>926</v>
      </c>
      <c r="B206" s="1092"/>
      <c r="C206" s="1255">
        <v>161286</v>
      </c>
      <c r="D206" s="1255">
        <v>161286</v>
      </c>
      <c r="E206" s="1255">
        <v>144540</v>
      </c>
      <c r="F206" s="1255"/>
      <c r="G206" s="1255">
        <v>120660</v>
      </c>
      <c r="H206" s="1255">
        <v>102289</v>
      </c>
      <c r="I206" s="1255">
        <v>81014</v>
      </c>
    </row>
    <row r="207" spans="1:11" s="1062" customFormat="1" x14ac:dyDescent="0.25">
      <c r="A207" s="1094" t="s">
        <v>1077</v>
      </c>
      <c r="B207" s="1092"/>
      <c r="C207" s="1255">
        <v>1228000</v>
      </c>
      <c r="D207" s="1255">
        <v>1228000</v>
      </c>
      <c r="E207" s="1255">
        <v>1254700</v>
      </c>
      <c r="F207" s="1255"/>
      <c r="G207" s="1255">
        <v>1282067</v>
      </c>
      <c r="H207" s="1255">
        <v>1310118</v>
      </c>
      <c r="I207" s="1255">
        <v>1338871</v>
      </c>
    </row>
    <row r="208" spans="1:11" s="1062" customFormat="1" x14ac:dyDescent="0.25">
      <c r="A208" s="1094" t="s">
        <v>584</v>
      </c>
      <c r="B208" s="1092"/>
      <c r="C208" s="1255">
        <v>1501272</v>
      </c>
      <c r="D208" s="1255">
        <v>1501272</v>
      </c>
      <c r="E208" s="1255">
        <v>1518100</v>
      </c>
      <c r="F208" s="1255"/>
      <c r="G208" s="1255">
        <v>1555950</v>
      </c>
      <c r="H208" s="1255">
        <v>1594848</v>
      </c>
      <c r="I208" s="1255">
        <v>1634718</v>
      </c>
    </row>
    <row r="209" spans="1:11" s="1062" customFormat="1" x14ac:dyDescent="0.25">
      <c r="A209" s="1092"/>
      <c r="B209" s="1092"/>
      <c r="C209" s="1258"/>
      <c r="D209" s="1258"/>
      <c r="E209" s="1258"/>
      <c r="F209" s="1258"/>
      <c r="G209" s="1258"/>
      <c r="H209" s="1258"/>
      <c r="I209" s="1258"/>
    </row>
    <row r="210" spans="1:11" s="1062" customFormat="1" x14ac:dyDescent="0.25">
      <c r="A210" s="1095" t="s">
        <v>1184</v>
      </c>
      <c r="B210" s="1092"/>
      <c r="C210" s="1256">
        <v>6001648</v>
      </c>
      <c r="D210" s="1256">
        <v>6001648</v>
      </c>
      <c r="E210" s="1256">
        <v>5938990</v>
      </c>
      <c r="F210" s="1256">
        <v>0</v>
      </c>
      <c r="G210" s="1256">
        <v>6079130</v>
      </c>
      <c r="H210" s="1256">
        <v>6230613</v>
      </c>
      <c r="I210" s="1256">
        <v>6385239</v>
      </c>
    </row>
    <row r="211" spans="1:11" s="1062" customFormat="1" x14ac:dyDescent="0.25">
      <c r="A211" s="1092"/>
      <c r="B211" s="1092"/>
      <c r="C211" s="1258"/>
      <c r="D211" s="1258"/>
      <c r="E211" s="1258"/>
      <c r="F211" s="1258"/>
      <c r="G211" s="1258"/>
      <c r="H211" s="1258"/>
      <c r="I211" s="1258"/>
    </row>
    <row r="212" spans="1:11" s="1062" customFormat="1" x14ac:dyDescent="0.25">
      <c r="A212" s="1095" t="s">
        <v>1185</v>
      </c>
      <c r="B212" s="1092"/>
      <c r="C212" s="1256">
        <v>-204002</v>
      </c>
      <c r="D212" s="1256">
        <v>-204002</v>
      </c>
      <c r="E212" s="1256">
        <v>-321885</v>
      </c>
      <c r="F212" s="1256">
        <v>0</v>
      </c>
      <c r="G212" s="1256">
        <v>-309527</v>
      </c>
      <c r="H212" s="1256">
        <v>-375855</v>
      </c>
      <c r="I212" s="1256">
        <v>-448668</v>
      </c>
    </row>
    <row r="213" spans="1:11" s="1062" customFormat="1" x14ac:dyDescent="0.25">
      <c r="A213" s="1095"/>
      <c r="B213" s="1092"/>
      <c r="C213" s="1097"/>
      <c r="D213" s="1097"/>
      <c r="E213" s="1097"/>
      <c r="F213" s="1097"/>
      <c r="G213" s="1097"/>
      <c r="H213" s="1097"/>
      <c r="I213" s="1097"/>
    </row>
    <row r="214" spans="1:11" s="1062" customFormat="1" x14ac:dyDescent="0.25">
      <c r="A214" s="1095"/>
      <c r="B214" s="1092"/>
      <c r="C214" s="1097"/>
      <c r="D214" s="1097"/>
      <c r="E214" s="1097"/>
      <c r="F214" s="1097"/>
      <c r="G214" s="1097"/>
      <c r="H214" s="1097"/>
      <c r="I214" s="1097"/>
    </row>
    <row r="215" spans="1:11" s="1062" customFormat="1" x14ac:dyDescent="0.25">
      <c r="A215" s="1561" t="s">
        <v>1163</v>
      </c>
      <c r="B215" s="1561"/>
      <c r="C215" s="1561"/>
      <c r="D215" s="1561"/>
      <c r="E215" s="1561"/>
      <c r="F215" s="1561"/>
      <c r="G215" s="1561"/>
      <c r="H215" s="1561"/>
      <c r="I215" s="1561"/>
    </row>
    <row r="216" spans="1:11" s="1062" customFormat="1" x14ac:dyDescent="0.25">
      <c r="A216" s="1102"/>
      <c r="B216" s="1102"/>
      <c r="C216" s="1100"/>
      <c r="D216" s="1099"/>
      <c r="E216" s="1100"/>
      <c r="F216" s="1100"/>
      <c r="G216" s="1100"/>
      <c r="H216" s="1100"/>
      <c r="I216" s="1100"/>
    </row>
    <row r="217" spans="1:11" s="1062" customFormat="1" x14ac:dyDescent="0.25">
      <c r="A217" s="1102" t="s">
        <v>1164</v>
      </c>
      <c r="B217" s="1102" t="s">
        <v>1368</v>
      </c>
      <c r="C217" s="1099"/>
      <c r="D217" s="1105"/>
      <c r="E217" s="1099"/>
      <c r="F217" s="1099"/>
      <c r="G217" s="1099"/>
      <c r="H217" s="1099"/>
      <c r="I217" s="1099"/>
    </row>
    <row r="218" spans="1:11" s="1062" customFormat="1" x14ac:dyDescent="0.25">
      <c r="A218" s="1102" t="s">
        <v>1367</v>
      </c>
      <c r="B218" s="1102" t="s">
        <v>1243</v>
      </c>
      <c r="C218" s="1099"/>
      <c r="D218" s="1105"/>
      <c r="E218" s="1099"/>
      <c r="F218" s="1099"/>
      <c r="G218" s="1099"/>
      <c r="H218" s="1099"/>
      <c r="I218" s="1099"/>
    </row>
    <row r="219" spans="1:11" s="1062" customFormat="1" x14ac:dyDescent="0.25">
      <c r="A219" s="1102" t="s">
        <v>1166</v>
      </c>
      <c r="B219" s="1102" t="s">
        <v>1243</v>
      </c>
      <c r="C219" s="1099"/>
      <c r="D219" s="1105"/>
      <c r="E219" s="1099"/>
      <c r="F219" s="1099"/>
      <c r="G219" s="1099"/>
      <c r="H219" s="1099"/>
      <c r="I219" s="1099"/>
    </row>
    <row r="220" spans="1:11" s="1062" customFormat="1" x14ac:dyDescent="0.25">
      <c r="A220" s="1102"/>
      <c r="B220" s="1100"/>
      <c r="C220" s="1103"/>
      <c r="D220" s="1103"/>
      <c r="E220" s="1103"/>
      <c r="F220" s="1103"/>
      <c r="G220" s="1103"/>
      <c r="H220" s="1103"/>
      <c r="I220" s="1103"/>
    </row>
    <row r="221" spans="1:11" s="1062" customFormat="1" ht="26.4" x14ac:dyDescent="0.25">
      <c r="A221" s="1099"/>
      <c r="B221" s="1099"/>
      <c r="C221" s="1252" t="s">
        <v>1168</v>
      </c>
      <c r="D221" s="1252" t="s">
        <v>1169</v>
      </c>
      <c r="E221" s="1252" t="s">
        <v>1170</v>
      </c>
      <c r="F221" s="1249" t="s">
        <v>1171</v>
      </c>
      <c r="G221" s="1249" t="s">
        <v>1172</v>
      </c>
      <c r="H221" s="1249" t="s">
        <v>1173</v>
      </c>
      <c r="I221" s="1249" t="s">
        <v>1174</v>
      </c>
      <c r="J221" s="1588" t="s">
        <v>1375</v>
      </c>
      <c r="K221" s="1588"/>
    </row>
    <row r="222" spans="1:11" s="1062" customFormat="1" x14ac:dyDescent="0.25">
      <c r="A222" s="1102" t="s">
        <v>1175</v>
      </c>
      <c r="B222" s="1099"/>
      <c r="C222" s="1249"/>
      <c r="D222" s="1249"/>
      <c r="E222" s="1249"/>
      <c r="F222" s="1249"/>
      <c r="G222" s="1249"/>
      <c r="H222" s="1249"/>
      <c r="I222" s="1249"/>
      <c r="J222" s="1588"/>
      <c r="K222" s="1588"/>
    </row>
    <row r="223" spans="1:11" s="1062" customFormat="1" x14ac:dyDescent="0.25">
      <c r="A223" s="1101" t="s">
        <v>1176</v>
      </c>
      <c r="B223" s="1099"/>
      <c r="C223" s="1250">
        <v>-4001500</v>
      </c>
      <c r="D223" s="1250">
        <v>-4001500</v>
      </c>
      <c r="E223" s="1250">
        <v>-3866000</v>
      </c>
      <c r="F223" s="1250"/>
      <c r="G223" s="1250">
        <v>-4129430</v>
      </c>
      <c r="H223" s="1250">
        <v>-4236212</v>
      </c>
      <c r="I223" s="1250">
        <v>-4349657</v>
      </c>
    </row>
    <row r="224" spans="1:11" s="1062" customFormat="1" x14ac:dyDescent="0.25">
      <c r="A224" s="1101" t="s">
        <v>12</v>
      </c>
      <c r="B224" s="1099"/>
      <c r="C224" s="1250">
        <v>-322700</v>
      </c>
      <c r="D224" s="1250">
        <v>-322700</v>
      </c>
      <c r="E224" s="1250">
        <v>-364500</v>
      </c>
      <c r="F224" s="1250"/>
      <c r="G224" s="1250">
        <v>-375290</v>
      </c>
      <c r="H224" s="1250">
        <v>-386400</v>
      </c>
      <c r="I224" s="1250">
        <v>-397839</v>
      </c>
    </row>
    <row r="225" spans="1:9" s="1062" customFormat="1" x14ac:dyDescent="0.25">
      <c r="A225" s="1101" t="s">
        <v>1177</v>
      </c>
      <c r="B225" s="1099"/>
      <c r="C225" s="1250">
        <v>-455000</v>
      </c>
      <c r="D225" s="1250">
        <v>-455000</v>
      </c>
      <c r="E225" s="1250">
        <v>-405000</v>
      </c>
      <c r="F225" s="1250"/>
      <c r="G225" s="1250">
        <v>-290750</v>
      </c>
      <c r="H225" s="1250">
        <v>-216522</v>
      </c>
      <c r="I225" s="1250">
        <v>-177318</v>
      </c>
    </row>
    <row r="226" spans="1:9" s="1062" customFormat="1" x14ac:dyDescent="0.25">
      <c r="A226" s="1101" t="s">
        <v>1179</v>
      </c>
      <c r="B226" s="1099"/>
      <c r="C226" s="1250">
        <v>-37500</v>
      </c>
      <c r="D226" s="1250">
        <v>-37500</v>
      </c>
      <c r="E226" s="1250">
        <v>-35000</v>
      </c>
      <c r="F226" s="1250"/>
      <c r="G226" s="1250">
        <v>-35700</v>
      </c>
      <c r="H226" s="1250">
        <v>-36414</v>
      </c>
      <c r="I226" s="1250">
        <v>-37142</v>
      </c>
    </row>
    <row r="227" spans="1:9" s="1062" customFormat="1" x14ac:dyDescent="0.25">
      <c r="A227" s="1099"/>
      <c r="B227" s="1099"/>
      <c r="C227" s="1253"/>
      <c r="D227" s="1253"/>
      <c r="E227" s="1253"/>
      <c r="F227" s="1253"/>
      <c r="G227" s="1253"/>
      <c r="H227" s="1253"/>
      <c r="I227" s="1253"/>
    </row>
    <row r="228" spans="1:9" s="1062" customFormat="1" x14ac:dyDescent="0.25">
      <c r="A228" s="1102" t="s">
        <v>1181</v>
      </c>
      <c r="B228" s="1099"/>
      <c r="C228" s="1251">
        <v>-4816700</v>
      </c>
      <c r="D228" s="1251">
        <v>-4816700</v>
      </c>
      <c r="E228" s="1251">
        <v>-4670500</v>
      </c>
      <c r="F228" s="1251">
        <v>0</v>
      </c>
      <c r="G228" s="1251">
        <v>-4831170</v>
      </c>
      <c r="H228" s="1251">
        <v>-4875548</v>
      </c>
      <c r="I228" s="1251">
        <v>-4961956</v>
      </c>
    </row>
    <row r="229" spans="1:9" s="1062" customFormat="1" x14ac:dyDescent="0.25">
      <c r="A229" s="1102"/>
      <c r="B229" s="1099"/>
      <c r="C229" s="1251"/>
      <c r="D229" s="1251"/>
      <c r="E229" s="1251"/>
      <c r="F229" s="1251"/>
      <c r="G229" s="1251"/>
      <c r="H229" s="1251"/>
      <c r="I229" s="1251"/>
    </row>
    <row r="230" spans="1:9" s="1062" customFormat="1" x14ac:dyDescent="0.25">
      <c r="A230" s="1102"/>
      <c r="B230" s="1099"/>
      <c r="C230" s="1251"/>
      <c r="D230" s="1251"/>
      <c r="E230" s="1251"/>
      <c r="F230" s="1251"/>
      <c r="G230" s="1251"/>
      <c r="H230" s="1251"/>
      <c r="I230" s="1251"/>
    </row>
    <row r="231" spans="1:9" s="1062" customFormat="1" x14ac:dyDescent="0.25">
      <c r="A231" s="1099"/>
      <c r="B231" s="1099"/>
      <c r="C231" s="1250"/>
      <c r="D231" s="1250"/>
      <c r="E231" s="1250"/>
      <c r="F231" s="1250"/>
      <c r="G231" s="1250"/>
      <c r="H231" s="1250"/>
      <c r="I231" s="1250"/>
    </row>
    <row r="232" spans="1:9" s="1062" customFormat="1" ht="26.4" x14ac:dyDescent="0.25">
      <c r="A232" s="1099"/>
      <c r="B232" s="1099"/>
      <c r="C232" s="1252" t="s">
        <v>1168</v>
      </c>
      <c r="D232" s="1252" t="s">
        <v>1169</v>
      </c>
      <c r="E232" s="1252" t="s">
        <v>1170</v>
      </c>
      <c r="F232" s="1249" t="s">
        <v>1171</v>
      </c>
      <c r="G232" s="1249" t="s">
        <v>1172</v>
      </c>
      <c r="H232" s="1249" t="s">
        <v>1173</v>
      </c>
      <c r="I232" s="1249" t="s">
        <v>1174</v>
      </c>
    </row>
    <row r="233" spans="1:9" s="1062" customFormat="1" x14ac:dyDescent="0.25">
      <c r="A233" s="1102" t="s">
        <v>925</v>
      </c>
      <c r="B233" s="1099"/>
      <c r="C233" s="1249"/>
      <c r="D233" s="1249"/>
      <c r="E233" s="1249"/>
      <c r="F233" s="1249"/>
      <c r="G233" s="1249"/>
      <c r="H233" s="1249"/>
      <c r="I233" s="1249"/>
    </row>
    <row r="234" spans="1:9" s="1062" customFormat="1" x14ac:dyDescent="0.25">
      <c r="A234" s="1101" t="s">
        <v>1182</v>
      </c>
      <c r="B234" s="1099"/>
      <c r="C234" s="1250">
        <v>804931</v>
      </c>
      <c r="D234" s="1250">
        <v>804931</v>
      </c>
      <c r="E234" s="1250">
        <v>797731</v>
      </c>
      <c r="F234" s="1250"/>
      <c r="G234" s="1250">
        <v>825329</v>
      </c>
      <c r="H234" s="1250">
        <v>854687</v>
      </c>
      <c r="I234" s="1250">
        <v>885203</v>
      </c>
    </row>
    <row r="235" spans="1:9" s="1062" customFormat="1" x14ac:dyDescent="0.25">
      <c r="A235" s="1101" t="s">
        <v>27</v>
      </c>
      <c r="B235" s="1099"/>
      <c r="C235" s="1250">
        <v>939500</v>
      </c>
      <c r="D235" s="1250">
        <v>939500</v>
      </c>
      <c r="E235" s="1250">
        <v>924500</v>
      </c>
      <c r="F235" s="1250"/>
      <c r="G235" s="1250">
        <v>856690</v>
      </c>
      <c r="H235" s="1250">
        <v>890434</v>
      </c>
      <c r="I235" s="1250">
        <v>925819</v>
      </c>
    </row>
    <row r="236" spans="1:9" s="1062" customFormat="1" x14ac:dyDescent="0.25">
      <c r="A236" s="1101" t="s">
        <v>1183</v>
      </c>
      <c r="B236" s="1099"/>
      <c r="C236" s="1250">
        <v>210950</v>
      </c>
      <c r="D236" s="1250">
        <v>210950</v>
      </c>
      <c r="E236" s="1250">
        <v>229550</v>
      </c>
      <c r="F236" s="1250"/>
      <c r="G236" s="1250">
        <v>234141</v>
      </c>
      <c r="H236" s="1250">
        <v>238905</v>
      </c>
      <c r="I236" s="1250">
        <v>243574</v>
      </c>
    </row>
    <row r="237" spans="1:9" s="1062" customFormat="1" x14ac:dyDescent="0.25">
      <c r="A237" s="1101" t="s">
        <v>926</v>
      </c>
      <c r="B237" s="1099"/>
      <c r="C237" s="1250">
        <v>54210</v>
      </c>
      <c r="D237" s="1250">
        <v>54210</v>
      </c>
      <c r="E237" s="1250">
        <v>485000</v>
      </c>
      <c r="F237" s="1250"/>
      <c r="G237" s="1250">
        <v>813040</v>
      </c>
      <c r="H237" s="1250">
        <v>810450</v>
      </c>
      <c r="I237" s="1250">
        <v>807782</v>
      </c>
    </row>
    <row r="238" spans="1:9" s="1062" customFormat="1" x14ac:dyDescent="0.25">
      <c r="A238" s="1101" t="s">
        <v>1077</v>
      </c>
      <c r="B238" s="1099"/>
      <c r="C238" s="1250">
        <v>792000</v>
      </c>
      <c r="D238" s="1250">
        <v>792000</v>
      </c>
      <c r="E238" s="1250">
        <v>807475</v>
      </c>
      <c r="F238" s="1250"/>
      <c r="G238" s="1250">
        <v>823336</v>
      </c>
      <c r="H238" s="1250">
        <v>839595</v>
      </c>
      <c r="I238" s="1250">
        <v>856260</v>
      </c>
    </row>
    <row r="239" spans="1:9" s="1062" customFormat="1" x14ac:dyDescent="0.25">
      <c r="A239" s="1101" t="s">
        <v>584</v>
      </c>
      <c r="B239" s="1099"/>
      <c r="C239" s="1250">
        <v>1275067</v>
      </c>
      <c r="D239" s="1250">
        <v>1275067</v>
      </c>
      <c r="E239" s="1250">
        <v>1268000</v>
      </c>
      <c r="F239" s="1250"/>
      <c r="G239" s="1250">
        <v>1458450</v>
      </c>
      <c r="H239" s="1250">
        <v>1479911</v>
      </c>
      <c r="I239" s="1250">
        <v>1499384</v>
      </c>
    </row>
    <row r="240" spans="1:9" s="1062" customFormat="1" x14ac:dyDescent="0.25">
      <c r="A240" s="1099"/>
      <c r="B240" s="1099"/>
      <c r="C240" s="1253"/>
      <c r="D240" s="1253"/>
      <c r="E240" s="1253"/>
      <c r="F240" s="1253"/>
      <c r="G240" s="1253"/>
      <c r="H240" s="1253"/>
      <c r="I240" s="1253"/>
    </row>
    <row r="241" spans="1:9" s="1062" customFormat="1" x14ac:dyDescent="0.25">
      <c r="A241" s="1102" t="s">
        <v>1184</v>
      </c>
      <c r="B241" s="1099"/>
      <c r="C241" s="1251">
        <v>4076658</v>
      </c>
      <c r="D241" s="1251">
        <v>4076658</v>
      </c>
      <c r="E241" s="1251">
        <v>4512256</v>
      </c>
      <c r="F241" s="1251">
        <v>0</v>
      </c>
      <c r="G241" s="1251">
        <v>5010986</v>
      </c>
      <c r="H241" s="1251">
        <v>5113982</v>
      </c>
      <c r="I241" s="1251">
        <v>5218022</v>
      </c>
    </row>
    <row r="242" spans="1:9" s="1062" customFormat="1" x14ac:dyDescent="0.25">
      <c r="A242" s="1099"/>
      <c r="B242" s="1099"/>
      <c r="C242" s="1253"/>
      <c r="D242" s="1253"/>
      <c r="E242" s="1253"/>
      <c r="F242" s="1253"/>
      <c r="G242" s="1253"/>
      <c r="H242" s="1253"/>
      <c r="I242" s="1253"/>
    </row>
    <row r="243" spans="1:9" s="1062" customFormat="1" x14ac:dyDescent="0.25">
      <c r="A243" s="1102" t="s">
        <v>1185</v>
      </c>
      <c r="B243" s="1099"/>
      <c r="C243" s="1251">
        <v>-740042</v>
      </c>
      <c r="D243" s="1251">
        <v>-740042</v>
      </c>
      <c r="E243" s="1251">
        <v>-158244</v>
      </c>
      <c r="F243" s="1251">
        <v>0</v>
      </c>
      <c r="G243" s="1251">
        <v>179816</v>
      </c>
      <c r="H243" s="1251">
        <v>238434</v>
      </c>
      <c r="I243" s="1251">
        <v>256066</v>
      </c>
    </row>
    <row r="244" spans="1:9" s="1062" customFormat="1" x14ac:dyDescent="0.25">
      <c r="A244" s="1102"/>
      <c r="B244" s="1099"/>
      <c r="C244" s="1104"/>
      <c r="D244" s="1104"/>
      <c r="E244" s="1104"/>
      <c r="F244" s="1104"/>
      <c r="G244" s="1104"/>
      <c r="H244" s="1104"/>
      <c r="I244" s="1104"/>
    </row>
    <row r="245" spans="1:9" s="1062" customFormat="1" x14ac:dyDescent="0.25"/>
    <row r="246" spans="1:9" s="1062" customFormat="1" x14ac:dyDescent="0.25">
      <c r="A246" s="1561"/>
      <c r="B246" s="1561"/>
      <c r="C246" s="1561"/>
      <c r="D246" s="1561"/>
      <c r="E246" s="1561"/>
      <c r="F246" s="1561"/>
      <c r="G246" s="1561"/>
      <c r="H246" s="1561"/>
      <c r="I246" s="1561"/>
    </row>
    <row r="247" spans="1:9" s="1100" customFormat="1" x14ac:dyDescent="0.25">
      <c r="A247" s="1113"/>
      <c r="B247" s="1113"/>
      <c r="C247" s="1113"/>
      <c r="D247" s="1113"/>
      <c r="E247" s="1113"/>
      <c r="F247" s="1113"/>
      <c r="G247" s="1113"/>
      <c r="H247" s="1113"/>
      <c r="I247" s="1113"/>
    </row>
    <row r="248" spans="1:9" s="1100" customFormat="1" x14ac:dyDescent="0.25">
      <c r="A248" s="1108"/>
      <c r="B248" s="1108"/>
      <c r="C248" s="1106"/>
      <c r="D248" s="1106"/>
      <c r="E248" s="1106"/>
      <c r="F248" s="1106"/>
      <c r="G248" s="1106"/>
      <c r="H248" s="1106"/>
      <c r="I248" s="1106"/>
    </row>
    <row r="249" spans="1:9" s="1100" customFormat="1" x14ac:dyDescent="0.25">
      <c r="A249" s="1108"/>
      <c r="B249" s="1108"/>
      <c r="C249" s="1106"/>
      <c r="D249" s="1106"/>
      <c r="E249" s="1106"/>
      <c r="F249" s="1106"/>
      <c r="G249" s="1106"/>
      <c r="H249" s="1106"/>
      <c r="I249" s="1106"/>
    </row>
    <row r="250" spans="1:9" s="1100" customFormat="1" x14ac:dyDescent="0.25">
      <c r="A250" s="1108"/>
      <c r="B250" s="1108"/>
      <c r="C250" s="1106"/>
      <c r="D250" s="1106"/>
      <c r="E250" s="1106"/>
      <c r="F250" s="1106"/>
      <c r="G250" s="1106"/>
      <c r="H250" s="1106"/>
      <c r="I250" s="1106"/>
    </row>
    <row r="251" spans="1:9" s="1100" customFormat="1" x14ac:dyDescent="0.25">
      <c r="A251" s="1114"/>
      <c r="B251" s="1114"/>
      <c r="C251" s="1115"/>
      <c r="D251" s="1115"/>
      <c r="E251" s="1115"/>
      <c r="F251" s="1115"/>
      <c r="G251" s="1115"/>
      <c r="H251" s="1115"/>
      <c r="I251" s="1115"/>
    </row>
    <row r="252" spans="1:9" s="1100" customFormat="1" x14ac:dyDescent="0.25">
      <c r="A252" s="1106"/>
      <c r="B252" s="1106"/>
      <c r="C252" s="1112"/>
      <c r="D252" s="1112"/>
      <c r="E252" s="1112"/>
      <c r="F252" s="1109"/>
      <c r="G252" s="1109"/>
      <c r="H252" s="1109"/>
      <c r="I252" s="1109"/>
    </row>
    <row r="253" spans="1:9" s="1100" customFormat="1" x14ac:dyDescent="0.25">
      <c r="A253" s="1108"/>
      <c r="B253" s="1106"/>
      <c r="C253" s="1109"/>
      <c r="D253" s="1109"/>
      <c r="E253" s="1109"/>
      <c r="F253" s="1109"/>
      <c r="G253" s="1109"/>
      <c r="H253" s="1109"/>
      <c r="I253" s="1109"/>
    </row>
    <row r="254" spans="1:9" s="1100" customFormat="1" x14ac:dyDescent="0.25">
      <c r="A254" s="1107"/>
      <c r="B254" s="1106"/>
      <c r="C254" s="1110"/>
      <c r="D254" s="1110"/>
      <c r="E254" s="1110"/>
      <c r="F254" s="1110"/>
      <c r="G254" s="1110"/>
      <c r="H254" s="1110"/>
      <c r="I254" s="1110"/>
    </row>
    <row r="255" spans="1:9" s="1100" customFormat="1" x14ac:dyDescent="0.25">
      <c r="A255" s="1106"/>
      <c r="B255" s="1106"/>
      <c r="C255" s="1116"/>
      <c r="D255" s="1116"/>
      <c r="E255" s="1116"/>
      <c r="F255" s="1116"/>
      <c r="G255" s="1116"/>
      <c r="H255" s="1116"/>
      <c r="I255" s="1116"/>
    </row>
    <row r="256" spans="1:9" s="1100" customFormat="1" x14ac:dyDescent="0.25">
      <c r="A256" s="1108"/>
      <c r="B256" s="1106"/>
      <c r="C256" s="1111"/>
      <c r="D256" s="1111"/>
      <c r="E256" s="1111"/>
      <c r="F256" s="1111"/>
      <c r="G256" s="1111"/>
      <c r="H256" s="1111"/>
      <c r="I256" s="1111"/>
    </row>
    <row r="257" spans="1:9" s="1100" customFormat="1" x14ac:dyDescent="0.25">
      <c r="A257" s="1108"/>
      <c r="B257" s="1106"/>
      <c r="C257" s="1111"/>
      <c r="D257" s="1111"/>
      <c r="E257" s="1111"/>
      <c r="F257" s="1111"/>
      <c r="G257" s="1111"/>
      <c r="H257" s="1111"/>
      <c r="I257" s="1111"/>
    </row>
    <row r="258" spans="1:9" s="1100" customFormat="1" x14ac:dyDescent="0.25">
      <c r="A258" s="1108"/>
      <c r="B258" s="1106"/>
      <c r="C258" s="1111"/>
      <c r="D258" s="1111"/>
      <c r="E258" s="1111"/>
      <c r="F258" s="1111"/>
      <c r="G258" s="1111"/>
      <c r="H258" s="1111"/>
      <c r="I258" s="1111"/>
    </row>
    <row r="259" spans="1:9" s="1100" customFormat="1" x14ac:dyDescent="0.25">
      <c r="A259" s="1106"/>
      <c r="B259" s="1106"/>
      <c r="C259" s="1110"/>
      <c r="D259" s="1110"/>
      <c r="E259" s="1110"/>
      <c r="F259" s="1110"/>
      <c r="G259" s="1110"/>
      <c r="H259" s="1110"/>
      <c r="I259" s="1110"/>
    </row>
    <row r="260" spans="1:9" s="1100" customFormat="1" x14ac:dyDescent="0.25">
      <c r="A260" s="1106"/>
      <c r="B260" s="1106"/>
      <c r="C260" s="1112"/>
      <c r="D260" s="1112"/>
      <c r="E260" s="1112"/>
      <c r="F260" s="1109"/>
      <c r="G260" s="1109"/>
      <c r="H260" s="1109"/>
      <c r="I260" s="1109"/>
    </row>
    <row r="261" spans="1:9" s="1100" customFormat="1" x14ac:dyDescent="0.25">
      <c r="A261" s="1108"/>
      <c r="B261" s="1106"/>
      <c r="C261" s="1109"/>
      <c r="D261" s="1109"/>
      <c r="E261" s="1109"/>
      <c r="F261" s="1109"/>
      <c r="G261" s="1109"/>
      <c r="H261" s="1109"/>
      <c r="I261" s="1109"/>
    </row>
    <row r="262" spans="1:9" s="1100" customFormat="1" x14ac:dyDescent="0.25">
      <c r="A262" s="1107"/>
      <c r="B262" s="1106"/>
      <c r="C262" s="1110"/>
      <c r="D262" s="1110"/>
      <c r="E262" s="1110"/>
      <c r="F262" s="1110"/>
      <c r="G262" s="1110"/>
      <c r="H262" s="1110"/>
      <c r="I262" s="1110"/>
    </row>
    <row r="263" spans="1:9" s="1100" customFormat="1" x14ac:dyDescent="0.25">
      <c r="A263" s="1107"/>
      <c r="B263" s="1106"/>
      <c r="C263" s="1110"/>
      <c r="D263" s="1110"/>
      <c r="E263" s="1110"/>
      <c r="F263" s="1110"/>
      <c r="G263" s="1110"/>
      <c r="H263" s="1110"/>
      <c r="I263" s="1110"/>
    </row>
    <row r="264" spans="1:9" s="1100" customFormat="1" x14ac:dyDescent="0.25">
      <c r="A264" s="1107"/>
      <c r="B264" s="1106"/>
      <c r="C264" s="1110"/>
      <c r="D264" s="1110"/>
      <c r="E264" s="1110"/>
      <c r="F264" s="1110"/>
      <c r="G264" s="1110"/>
      <c r="H264" s="1110"/>
      <c r="I264" s="1110"/>
    </row>
    <row r="265" spans="1:9" s="1100" customFormat="1" x14ac:dyDescent="0.25">
      <c r="A265" s="1107"/>
      <c r="B265" s="1106"/>
      <c r="C265" s="1110"/>
      <c r="D265" s="1110"/>
      <c r="E265" s="1110"/>
      <c r="F265" s="1110"/>
      <c r="G265" s="1110"/>
      <c r="H265" s="1110"/>
      <c r="I265" s="1110"/>
    </row>
    <row r="266" spans="1:9" s="1100" customFormat="1" x14ac:dyDescent="0.25">
      <c r="A266" s="1107"/>
      <c r="B266" s="1106"/>
      <c r="C266" s="1110"/>
      <c r="D266" s="1110"/>
      <c r="E266" s="1110"/>
      <c r="F266" s="1110"/>
      <c r="G266" s="1110"/>
      <c r="H266" s="1110"/>
      <c r="I266" s="1110"/>
    </row>
    <row r="267" spans="1:9" s="1100" customFormat="1" x14ac:dyDescent="0.25">
      <c r="A267" s="1106"/>
      <c r="B267" s="1106"/>
      <c r="C267" s="1116"/>
      <c r="D267" s="1116"/>
      <c r="E267" s="1116"/>
      <c r="F267" s="1116"/>
      <c r="G267" s="1116"/>
      <c r="H267" s="1116"/>
      <c r="I267" s="1116"/>
    </row>
    <row r="268" spans="1:9" s="1100" customFormat="1" x14ac:dyDescent="0.25">
      <c r="A268" s="1108"/>
      <c r="B268" s="1106"/>
      <c r="C268" s="1111"/>
      <c r="D268" s="1111"/>
      <c r="E268" s="1111"/>
      <c r="F268" s="1111"/>
      <c r="G268" s="1111"/>
      <c r="H268" s="1111"/>
      <c r="I268" s="1111"/>
    </row>
    <row r="269" spans="1:9" s="1100" customFormat="1" x14ac:dyDescent="0.25">
      <c r="A269" s="1106"/>
      <c r="B269" s="1106"/>
      <c r="C269" s="1116"/>
      <c r="D269" s="1116"/>
      <c r="E269" s="1116"/>
      <c r="F269" s="1116"/>
      <c r="G269" s="1116"/>
      <c r="H269" s="1116"/>
      <c r="I269" s="1116"/>
    </row>
    <row r="270" spans="1:9" s="1100" customFormat="1" x14ac:dyDescent="0.25">
      <c r="A270" s="1108"/>
      <c r="B270" s="1106"/>
      <c r="C270" s="1111"/>
      <c r="D270" s="1111"/>
      <c r="E270" s="1111"/>
      <c r="F270" s="1111"/>
      <c r="G270" s="1111"/>
      <c r="H270" s="1111"/>
      <c r="I270" s="1111"/>
    </row>
    <row r="271" spans="1:9" s="1100" customFormat="1" x14ac:dyDescent="0.25">
      <c r="A271" s="1108"/>
      <c r="B271" s="1106"/>
      <c r="C271" s="1111"/>
      <c r="D271" s="1111"/>
      <c r="E271" s="1111"/>
      <c r="F271" s="1111"/>
      <c r="G271" s="1111"/>
      <c r="H271" s="1111"/>
      <c r="I271" s="1111"/>
    </row>
    <row r="272" spans="1:9" s="1100" customFormat="1" x14ac:dyDescent="0.25"/>
    <row r="273" spans="1:9" s="1100" customFormat="1" x14ac:dyDescent="0.25"/>
    <row r="274" spans="1:9" s="1100" customFormat="1" x14ac:dyDescent="0.25">
      <c r="A274" s="1561"/>
      <c r="B274" s="1561"/>
      <c r="C274" s="1561"/>
      <c r="D274" s="1561"/>
      <c r="E274" s="1561"/>
      <c r="F274" s="1561"/>
      <c r="G274" s="1561"/>
      <c r="H274" s="1561"/>
      <c r="I274" s="1561"/>
    </row>
    <row r="275" spans="1:9" s="1100" customFormat="1" x14ac:dyDescent="0.25">
      <c r="A275" s="1121"/>
      <c r="B275" s="1121"/>
      <c r="C275" s="1118"/>
      <c r="D275" s="1117"/>
      <c r="E275" s="1118"/>
      <c r="F275" s="1118"/>
      <c r="G275" s="1118"/>
      <c r="H275" s="1118"/>
      <c r="I275" s="1118"/>
    </row>
    <row r="276" spans="1:9" s="1100" customFormat="1" x14ac:dyDescent="0.25">
      <c r="A276" s="1121"/>
      <c r="B276" s="1121"/>
      <c r="C276" s="1117"/>
      <c r="D276" s="1127"/>
      <c r="E276" s="1117"/>
      <c r="F276" s="1117"/>
      <c r="G276" s="1117"/>
      <c r="H276" s="1117"/>
      <c r="I276" s="1117"/>
    </row>
    <row r="277" spans="1:9" s="1100" customFormat="1" x14ac:dyDescent="0.25">
      <c r="A277" s="1121"/>
      <c r="B277" s="1121"/>
      <c r="C277" s="1117"/>
      <c r="D277" s="1127"/>
      <c r="E277" s="1117"/>
      <c r="F277" s="1117"/>
      <c r="G277" s="1117"/>
      <c r="H277" s="1117"/>
      <c r="I277" s="1117"/>
    </row>
    <row r="278" spans="1:9" s="1100" customFormat="1" x14ac:dyDescent="0.25">
      <c r="A278" s="1121"/>
      <c r="B278" s="1121"/>
      <c r="C278" s="1117"/>
      <c r="D278" s="1127"/>
      <c r="E278" s="1117"/>
      <c r="F278" s="1117"/>
      <c r="G278" s="1117"/>
      <c r="H278" s="1117"/>
      <c r="I278" s="1117"/>
    </row>
    <row r="279" spans="1:9" s="1100" customFormat="1" x14ac:dyDescent="0.25">
      <c r="A279" s="1118"/>
      <c r="B279" s="1118"/>
      <c r="C279" s="1125"/>
      <c r="D279" s="1125"/>
      <c r="E279" s="1125"/>
      <c r="F279" s="1122"/>
      <c r="G279" s="1122"/>
      <c r="H279" s="1122"/>
      <c r="I279" s="1122"/>
    </row>
    <row r="280" spans="1:9" s="1100" customFormat="1" x14ac:dyDescent="0.25">
      <c r="A280" s="1117"/>
      <c r="B280" s="1117"/>
      <c r="C280" s="1125"/>
      <c r="D280" s="1125"/>
      <c r="E280" s="1125"/>
      <c r="F280" s="1122"/>
      <c r="G280" s="1122"/>
      <c r="H280" s="1122"/>
      <c r="I280" s="1122"/>
    </row>
    <row r="281" spans="1:9" s="1100" customFormat="1" x14ac:dyDescent="0.25">
      <c r="A281" s="1121"/>
      <c r="B281" s="1117"/>
      <c r="C281" s="1122"/>
      <c r="D281" s="1122"/>
      <c r="E281" s="1122"/>
      <c r="F281" s="1122"/>
      <c r="G281" s="1122"/>
      <c r="H281" s="1122"/>
      <c r="I281" s="1122"/>
    </row>
    <row r="282" spans="1:9" s="1062" customFormat="1" x14ac:dyDescent="0.25">
      <c r="A282" s="1120"/>
      <c r="B282" s="1117"/>
      <c r="C282" s="1123"/>
      <c r="D282" s="1123"/>
      <c r="E282" s="1123"/>
      <c r="F282" s="1123"/>
      <c r="G282" s="1123"/>
      <c r="H282" s="1123"/>
      <c r="I282" s="1123"/>
    </row>
    <row r="283" spans="1:9" s="1062" customFormat="1" x14ac:dyDescent="0.25">
      <c r="A283" s="1117"/>
      <c r="B283" s="1117"/>
      <c r="C283" s="1126"/>
      <c r="D283" s="1126"/>
      <c r="E283" s="1126"/>
      <c r="F283" s="1126"/>
      <c r="G283" s="1126"/>
      <c r="H283" s="1126"/>
      <c r="I283" s="1126"/>
    </row>
    <row r="284" spans="1:9" s="1062" customFormat="1" x14ac:dyDescent="0.25">
      <c r="A284" s="1121"/>
      <c r="B284" s="1117"/>
      <c r="C284" s="1124"/>
      <c r="D284" s="1124"/>
      <c r="E284" s="1124"/>
      <c r="F284" s="1124"/>
      <c r="G284" s="1124"/>
      <c r="H284" s="1124"/>
      <c r="I284" s="1124"/>
    </row>
    <row r="285" spans="1:9" s="1062" customFormat="1" x14ac:dyDescent="0.25">
      <c r="A285" s="1121"/>
      <c r="B285" s="1117"/>
      <c r="C285" s="1124"/>
      <c r="D285" s="1124"/>
      <c r="E285" s="1124"/>
      <c r="F285" s="1124"/>
      <c r="G285" s="1124"/>
      <c r="H285" s="1124"/>
      <c r="I285" s="1124"/>
    </row>
    <row r="286" spans="1:9" s="1062" customFormat="1" x14ac:dyDescent="0.25">
      <c r="A286" s="1121"/>
      <c r="B286" s="1117"/>
      <c r="C286" s="1124"/>
      <c r="D286" s="1124"/>
      <c r="E286" s="1124"/>
      <c r="F286" s="1124"/>
      <c r="G286" s="1124"/>
      <c r="H286" s="1124"/>
      <c r="I286" s="1124"/>
    </row>
    <row r="287" spans="1:9" s="1062" customFormat="1" x14ac:dyDescent="0.25">
      <c r="A287" s="1117"/>
      <c r="B287" s="1117"/>
      <c r="C287" s="1123"/>
      <c r="D287" s="1123"/>
      <c r="E287" s="1123"/>
      <c r="F287" s="1123"/>
      <c r="G287" s="1123"/>
      <c r="H287" s="1123"/>
      <c r="I287" s="1123"/>
    </row>
    <row r="288" spans="1:9" s="1062" customFormat="1" x14ac:dyDescent="0.25">
      <c r="A288" s="1117"/>
      <c r="B288" s="1117"/>
      <c r="C288" s="1125"/>
      <c r="D288" s="1125"/>
      <c r="E288" s="1125"/>
      <c r="F288" s="1122"/>
      <c r="G288" s="1122"/>
      <c r="H288" s="1122"/>
      <c r="I288" s="1122"/>
    </row>
    <row r="289" spans="1:9" s="1062" customFormat="1" x14ac:dyDescent="0.25">
      <c r="A289" s="1121"/>
      <c r="B289" s="1117"/>
      <c r="C289" s="1122"/>
      <c r="D289" s="1122"/>
      <c r="E289" s="1122"/>
      <c r="F289" s="1122"/>
      <c r="G289" s="1122"/>
      <c r="H289" s="1122"/>
      <c r="I289" s="1122"/>
    </row>
    <row r="290" spans="1:9" s="1062" customFormat="1" x14ac:dyDescent="0.25">
      <c r="A290" s="1120"/>
      <c r="B290" s="1117"/>
      <c r="C290" s="1123"/>
      <c r="D290" s="1123"/>
      <c r="E290" s="1123"/>
      <c r="F290" s="1123"/>
      <c r="G290" s="1123"/>
      <c r="H290" s="1123"/>
      <c r="I290" s="1123"/>
    </row>
    <row r="291" spans="1:9" s="1062" customFormat="1" x14ac:dyDescent="0.25">
      <c r="A291" s="1120"/>
      <c r="B291" s="1117"/>
      <c r="C291" s="1123"/>
      <c r="D291" s="1123"/>
      <c r="E291" s="1123"/>
      <c r="F291" s="1123"/>
      <c r="G291" s="1123"/>
      <c r="H291" s="1123"/>
      <c r="I291" s="1123"/>
    </row>
    <row r="292" spans="1:9" s="1062" customFormat="1" x14ac:dyDescent="0.25">
      <c r="A292" s="1120"/>
      <c r="B292" s="1117"/>
      <c r="C292" s="1123"/>
      <c r="D292" s="1123"/>
      <c r="E292" s="1123"/>
      <c r="F292" s="1123"/>
      <c r="G292" s="1123"/>
      <c r="H292" s="1123"/>
      <c r="I292" s="1123"/>
    </row>
    <row r="293" spans="1:9" s="1062" customFormat="1" x14ac:dyDescent="0.25">
      <c r="A293" s="1120"/>
      <c r="B293" s="1117"/>
      <c r="C293" s="1123"/>
      <c r="D293" s="1123"/>
      <c r="E293" s="1123"/>
      <c r="F293" s="1123"/>
      <c r="G293" s="1123"/>
      <c r="H293" s="1123"/>
      <c r="I293" s="1123"/>
    </row>
    <row r="294" spans="1:9" x14ac:dyDescent="0.25">
      <c r="A294" s="1120"/>
      <c r="B294" s="1117"/>
      <c r="C294" s="1123"/>
      <c r="D294" s="1123"/>
      <c r="E294" s="1123"/>
      <c r="F294" s="1123"/>
      <c r="G294" s="1123"/>
      <c r="H294" s="1123"/>
      <c r="I294" s="1123"/>
    </row>
    <row r="295" spans="1:9" x14ac:dyDescent="0.25">
      <c r="A295" s="1117"/>
      <c r="B295" s="1117"/>
      <c r="C295" s="1126"/>
      <c r="D295" s="1126"/>
      <c r="E295" s="1126"/>
      <c r="F295" s="1126"/>
      <c r="G295" s="1126"/>
      <c r="H295" s="1126"/>
      <c r="I295" s="1126"/>
    </row>
    <row r="296" spans="1:9" x14ac:dyDescent="0.25">
      <c r="A296" s="1121"/>
      <c r="B296" s="1117"/>
      <c r="C296" s="1124"/>
      <c r="D296" s="1124"/>
      <c r="E296" s="1124"/>
      <c r="F296" s="1124"/>
      <c r="G296" s="1124"/>
      <c r="H296" s="1124"/>
      <c r="I296" s="1124"/>
    </row>
    <row r="297" spans="1:9" x14ac:dyDescent="0.25">
      <c r="A297" s="1117"/>
      <c r="B297" s="1117"/>
      <c r="C297" s="1126"/>
      <c r="D297" s="1126"/>
      <c r="E297" s="1126"/>
      <c r="F297" s="1126"/>
      <c r="G297" s="1126"/>
      <c r="H297" s="1126"/>
      <c r="I297" s="1126"/>
    </row>
    <row r="298" spans="1:9" x14ac:dyDescent="0.25">
      <c r="A298" s="1121"/>
      <c r="B298" s="1117"/>
      <c r="C298" s="1124"/>
      <c r="D298" s="1124"/>
      <c r="E298" s="1124"/>
      <c r="F298" s="1124"/>
      <c r="G298" s="1124"/>
      <c r="H298" s="1124"/>
      <c r="I298" s="1124"/>
    </row>
    <row r="299" spans="1:9" x14ac:dyDescent="0.25">
      <c r="A299" s="1121"/>
      <c r="B299" s="1117"/>
      <c r="C299" s="1124"/>
      <c r="D299" s="1124"/>
      <c r="E299" s="1124"/>
      <c r="F299" s="1124"/>
      <c r="G299" s="1124"/>
      <c r="H299" s="1124"/>
      <c r="I299" s="1124"/>
    </row>
    <row r="300" spans="1:9" x14ac:dyDescent="0.25">
      <c r="A300" s="874" t="s">
        <v>1192</v>
      </c>
      <c r="B300" s="849"/>
      <c r="C300" s="855"/>
      <c r="D300" s="855"/>
      <c r="E300" s="855"/>
      <c r="F300" s="855"/>
      <c r="G300" s="855"/>
      <c r="H300" s="855"/>
      <c r="I300" s="855"/>
    </row>
    <row r="301" spans="1:9" x14ac:dyDescent="0.25">
      <c r="A301" s="875"/>
      <c r="B301" s="875" t="s">
        <v>992</v>
      </c>
      <c r="C301" s="876">
        <v>-2048427</v>
      </c>
      <c r="D301" s="876">
        <v>-2048427</v>
      </c>
      <c r="E301" s="876">
        <v>-2165062</v>
      </c>
      <c r="F301" s="876"/>
      <c r="G301" s="876">
        <v>-2215206</v>
      </c>
      <c r="H301" s="876">
        <v>-2266820</v>
      </c>
      <c r="I301" s="876">
        <v>-2319369</v>
      </c>
    </row>
    <row r="302" spans="1:9" x14ac:dyDescent="0.25">
      <c r="A302" s="875"/>
      <c r="B302" s="875" t="s">
        <v>925</v>
      </c>
      <c r="C302" s="876">
        <v>2048427</v>
      </c>
      <c r="D302" s="876">
        <v>2048427</v>
      </c>
      <c r="E302" s="876">
        <v>2165062</v>
      </c>
      <c r="F302" s="876"/>
      <c r="G302" s="876">
        <v>2215206</v>
      </c>
      <c r="H302" s="876">
        <v>2266820</v>
      </c>
      <c r="I302" s="876">
        <v>2319369</v>
      </c>
    </row>
    <row r="303" spans="1:9" x14ac:dyDescent="0.25">
      <c r="A303" s="849" t="s">
        <v>1193</v>
      </c>
      <c r="B303" s="849"/>
      <c r="C303" s="855">
        <f>SUBTOTAL(9,C301:C302)</f>
        <v>0</v>
      </c>
      <c r="D303" s="855">
        <f>SUBTOTAL(9,D301:D302)</f>
        <v>0</v>
      </c>
      <c r="E303" s="855">
        <f>SUBTOTAL(9,E301:E302)</f>
        <v>0</v>
      </c>
      <c r="F303" s="855"/>
      <c r="G303" s="855">
        <f>SUBTOTAL(9,G301:G302)</f>
        <v>0</v>
      </c>
      <c r="H303" s="855">
        <f>SUBTOTAL(9,H301:H302)</f>
        <v>0</v>
      </c>
      <c r="I303" s="855">
        <f>SUBTOTAL(9,I301:I302)</f>
        <v>0</v>
      </c>
    </row>
    <row r="304" spans="1:9" x14ac:dyDescent="0.25">
      <c r="A304" s="849"/>
      <c r="B304" s="849"/>
      <c r="C304" s="855"/>
      <c r="D304" s="855"/>
      <c r="E304" s="855"/>
      <c r="F304" s="855"/>
      <c r="G304" s="855"/>
      <c r="H304" s="855"/>
      <c r="I304" s="855"/>
    </row>
    <row r="305" spans="1:9" x14ac:dyDescent="0.25">
      <c r="A305" s="874" t="s">
        <v>1194</v>
      </c>
      <c r="B305" s="849"/>
      <c r="C305" s="855"/>
      <c r="D305" s="855"/>
      <c r="E305" s="855"/>
      <c r="F305" s="855"/>
      <c r="G305" s="855"/>
      <c r="H305" s="855"/>
      <c r="I305" s="855"/>
    </row>
    <row r="306" spans="1:9" x14ac:dyDescent="0.25">
      <c r="A306" s="875"/>
      <c r="B306" s="875" t="s">
        <v>992</v>
      </c>
      <c r="C306" s="876">
        <v>-20000</v>
      </c>
      <c r="D306" s="876">
        <v>-20000</v>
      </c>
      <c r="E306" s="876">
        <v>-20000</v>
      </c>
      <c r="F306" s="876"/>
      <c r="G306" s="876">
        <v>-20400</v>
      </c>
      <c r="H306" s="876">
        <v>-20800</v>
      </c>
      <c r="I306" s="876">
        <v>-21220</v>
      </c>
    </row>
    <row r="307" spans="1:9" x14ac:dyDescent="0.25">
      <c r="A307" s="875"/>
      <c r="B307" s="875" t="s">
        <v>925</v>
      </c>
      <c r="C307" s="876">
        <v>1424527</v>
      </c>
      <c r="D307" s="876">
        <v>1424527</v>
      </c>
      <c r="E307" s="876">
        <v>1569753</v>
      </c>
      <c r="F307" s="876"/>
      <c r="G307" s="876">
        <v>1609709</v>
      </c>
      <c r="H307" s="876">
        <v>1650703</v>
      </c>
      <c r="I307" s="876">
        <v>1693799</v>
      </c>
    </row>
    <row r="308" spans="1:9" x14ac:dyDescent="0.25">
      <c r="A308" s="849" t="s">
        <v>1195</v>
      </c>
      <c r="B308" s="849"/>
      <c r="C308" s="855">
        <f>SUBTOTAL(9,C306:C307)</f>
        <v>1404527</v>
      </c>
      <c r="D308" s="855">
        <f>SUBTOTAL(9,D306:D307)</f>
        <v>1404527</v>
      </c>
      <c r="E308" s="855">
        <f>SUBTOTAL(9,E306:E307)</f>
        <v>1549753</v>
      </c>
      <c r="F308" s="855"/>
      <c r="G308" s="855">
        <f>SUBTOTAL(9,G306:G307)</f>
        <v>1589309</v>
      </c>
      <c r="H308" s="855">
        <f>SUBTOTAL(9,H306:H307)</f>
        <v>1629903</v>
      </c>
      <c r="I308" s="855">
        <f>SUBTOTAL(9,I306:I307)</f>
        <v>1672579</v>
      </c>
    </row>
    <row r="309" spans="1:9" x14ac:dyDescent="0.25">
      <c r="A309" s="849"/>
      <c r="B309" s="849"/>
      <c r="C309" s="855"/>
      <c r="D309" s="855"/>
      <c r="E309" s="855"/>
      <c r="F309" s="855"/>
      <c r="G309" s="855"/>
      <c r="H309" s="855"/>
      <c r="I309" s="855"/>
    </row>
    <row r="310" spans="1:9" x14ac:dyDescent="0.25">
      <c r="A310" s="874" t="s">
        <v>1196</v>
      </c>
      <c r="B310" s="849"/>
      <c r="C310" s="855"/>
      <c r="D310" s="855"/>
      <c r="E310" s="855"/>
      <c r="F310" s="855"/>
      <c r="G310" s="855"/>
      <c r="H310" s="855"/>
      <c r="I310" s="855"/>
    </row>
    <row r="311" spans="1:9" x14ac:dyDescent="0.25">
      <c r="A311" s="875"/>
      <c r="B311" s="875" t="s">
        <v>992</v>
      </c>
      <c r="C311" s="876">
        <v>-651050</v>
      </c>
      <c r="D311" s="876">
        <v>-651050</v>
      </c>
      <c r="E311" s="876">
        <v>-631100</v>
      </c>
      <c r="F311" s="876"/>
      <c r="G311" s="876">
        <v>-530522</v>
      </c>
      <c r="H311" s="876">
        <v>-706469</v>
      </c>
      <c r="I311" s="876">
        <v>-758870</v>
      </c>
    </row>
    <row r="312" spans="1:9" x14ac:dyDescent="0.25">
      <c r="A312" s="875"/>
      <c r="B312" s="875" t="s">
        <v>925</v>
      </c>
      <c r="C312" s="876">
        <v>1265575</v>
      </c>
      <c r="D312" s="876">
        <v>1265575</v>
      </c>
      <c r="E312" s="876">
        <v>1215308</v>
      </c>
      <c r="F312" s="876"/>
      <c r="G312" s="876">
        <v>941866</v>
      </c>
      <c r="H312" s="876">
        <v>1482161</v>
      </c>
      <c r="I312" s="876">
        <v>1592645</v>
      </c>
    </row>
    <row r="313" spans="1:9" x14ac:dyDescent="0.25">
      <c r="A313" s="849" t="s">
        <v>1197</v>
      </c>
      <c r="B313" s="849"/>
      <c r="C313" s="855">
        <f>SUBTOTAL(9,C311:C312)</f>
        <v>614525</v>
      </c>
      <c r="D313" s="855">
        <f>SUBTOTAL(9,D311:D312)</f>
        <v>614525</v>
      </c>
      <c r="E313" s="855">
        <f>SUBTOTAL(9,E311:E312)</f>
        <v>584208</v>
      </c>
      <c r="F313" s="855"/>
      <c r="G313" s="855">
        <f>SUBTOTAL(9,G311:G312)</f>
        <v>411344</v>
      </c>
      <c r="H313" s="855">
        <f>SUBTOTAL(9,H311:H312)</f>
        <v>775692</v>
      </c>
      <c r="I313" s="855">
        <f>SUBTOTAL(9,I311:I312)</f>
        <v>833775</v>
      </c>
    </row>
    <row r="314" spans="1:9" x14ac:dyDescent="0.25">
      <c r="A314" s="849"/>
      <c r="B314" s="849"/>
      <c r="C314" s="855"/>
      <c r="D314" s="855"/>
      <c r="E314" s="855"/>
      <c r="F314" s="855"/>
      <c r="G314" s="855"/>
      <c r="H314" s="855"/>
      <c r="I314" s="855"/>
    </row>
    <row r="315" spans="1:9" x14ac:dyDescent="0.25">
      <c r="A315" s="874" t="s">
        <v>1198</v>
      </c>
      <c r="B315" s="849"/>
      <c r="C315" s="855"/>
      <c r="D315" s="855"/>
      <c r="E315" s="855"/>
      <c r="F315" s="855"/>
      <c r="G315" s="855"/>
      <c r="H315" s="855"/>
      <c r="I315" s="855"/>
    </row>
    <row r="316" spans="1:9" x14ac:dyDescent="0.25">
      <c r="A316" s="875"/>
      <c r="B316" s="875" t="s">
        <v>992</v>
      </c>
      <c r="C316" s="876">
        <v>-3595787</v>
      </c>
      <c r="D316" s="876">
        <v>-3599787</v>
      </c>
      <c r="E316" s="876">
        <v>-3148346</v>
      </c>
      <c r="F316" s="876"/>
      <c r="G316" s="876">
        <v>-3180955</v>
      </c>
      <c r="H316" s="876">
        <v>-3214203</v>
      </c>
      <c r="I316" s="876">
        <v>-3248106</v>
      </c>
    </row>
    <row r="317" spans="1:9" x14ac:dyDescent="0.25">
      <c r="A317" s="875"/>
      <c r="B317" s="875" t="s">
        <v>925</v>
      </c>
      <c r="C317" s="876">
        <v>10866668</v>
      </c>
      <c r="D317" s="876">
        <v>11140093</v>
      </c>
      <c r="E317" s="876">
        <v>10070171</v>
      </c>
      <c r="F317" s="876"/>
      <c r="G317" s="876">
        <v>10333668</v>
      </c>
      <c r="H317" s="876">
        <v>10525108</v>
      </c>
      <c r="I317" s="876">
        <v>10820228</v>
      </c>
    </row>
    <row r="318" spans="1:9" x14ac:dyDescent="0.25">
      <c r="A318" s="849" t="s">
        <v>1199</v>
      </c>
      <c r="B318" s="849"/>
      <c r="C318" s="855">
        <f>SUBTOTAL(9,C316:C317)</f>
        <v>7270881</v>
      </c>
      <c r="D318" s="855">
        <f>SUBTOTAL(9,D316:D317)</f>
        <v>7540306</v>
      </c>
      <c r="E318" s="855">
        <f>SUBTOTAL(9,E316:E317)</f>
        <v>6921825</v>
      </c>
      <c r="F318" s="855"/>
      <c r="G318" s="855">
        <f>SUBTOTAL(9,G316:G317)</f>
        <v>7152713</v>
      </c>
      <c r="H318" s="855">
        <f>SUBTOTAL(9,H316:H317)</f>
        <v>7310905</v>
      </c>
      <c r="I318" s="855">
        <f>SUBTOTAL(9,I316:I317)</f>
        <v>7572122</v>
      </c>
    </row>
    <row r="319" spans="1:9" x14ac:dyDescent="0.25">
      <c r="A319" s="849"/>
      <c r="B319" s="849"/>
      <c r="C319" s="855"/>
      <c r="D319" s="855"/>
      <c r="E319" s="855"/>
      <c r="F319" s="855"/>
      <c r="G319" s="855"/>
      <c r="H319" s="855"/>
      <c r="I319" s="855"/>
    </row>
    <row r="320" spans="1:9" x14ac:dyDescent="0.25">
      <c r="A320" s="874" t="s">
        <v>1200</v>
      </c>
      <c r="B320" s="849"/>
      <c r="C320" s="855"/>
      <c r="D320" s="855"/>
      <c r="E320" s="855"/>
      <c r="F320" s="855"/>
      <c r="G320" s="855"/>
      <c r="H320" s="855"/>
      <c r="I320" s="855"/>
    </row>
    <row r="321" spans="1:9" x14ac:dyDescent="0.25">
      <c r="A321" s="875"/>
      <c r="B321" s="875" t="s">
        <v>992</v>
      </c>
      <c r="C321" s="876">
        <v>0</v>
      </c>
      <c r="D321" s="876">
        <v>-37730</v>
      </c>
      <c r="E321" s="876"/>
      <c r="F321" s="876"/>
      <c r="G321" s="876"/>
      <c r="H321" s="876"/>
      <c r="I321" s="876"/>
    </row>
    <row r="322" spans="1:9" x14ac:dyDescent="0.25">
      <c r="A322" s="875"/>
      <c r="B322" s="875" t="s">
        <v>925</v>
      </c>
      <c r="C322" s="876">
        <v>767406</v>
      </c>
      <c r="D322" s="876">
        <v>1033167</v>
      </c>
      <c r="E322" s="876">
        <v>747296</v>
      </c>
      <c r="F322" s="876"/>
      <c r="G322" s="876">
        <v>766561</v>
      </c>
      <c r="H322" s="876">
        <v>786342</v>
      </c>
      <c r="I322" s="876">
        <v>806652</v>
      </c>
    </row>
    <row r="323" spans="1:9" x14ac:dyDescent="0.25">
      <c r="A323" s="849" t="s">
        <v>1201</v>
      </c>
      <c r="B323" s="849"/>
      <c r="C323" s="855">
        <f>SUBTOTAL(9,C321:C322)</f>
        <v>767406</v>
      </c>
      <c r="D323" s="855">
        <f>SUBTOTAL(9,D321:D322)</f>
        <v>995437</v>
      </c>
      <c r="E323" s="855">
        <f>SUBTOTAL(9,E321:E322)</f>
        <v>747296</v>
      </c>
      <c r="F323" s="855"/>
      <c r="G323" s="855">
        <f>SUBTOTAL(9,G321:G322)</f>
        <v>766561</v>
      </c>
      <c r="H323" s="855">
        <f>SUBTOTAL(9,H321:H322)</f>
        <v>786342</v>
      </c>
      <c r="I323" s="855">
        <f>SUBTOTAL(9,I321:I322)</f>
        <v>806652</v>
      </c>
    </row>
    <row r="324" spans="1:9" x14ac:dyDescent="0.25">
      <c r="A324" s="849"/>
      <c r="B324" s="849"/>
      <c r="C324" s="855"/>
      <c r="D324" s="855"/>
      <c r="E324" s="855"/>
      <c r="F324" s="855"/>
      <c r="G324" s="855"/>
      <c r="H324" s="855"/>
      <c r="I324" s="855"/>
    </row>
    <row r="325" spans="1:9" x14ac:dyDescent="0.25">
      <c r="A325" s="874" t="s">
        <v>1202</v>
      </c>
      <c r="B325" s="849"/>
      <c r="C325" s="855"/>
      <c r="D325" s="855"/>
      <c r="E325" s="855"/>
      <c r="F325" s="855"/>
      <c r="G325" s="855"/>
      <c r="H325" s="855"/>
      <c r="I325" s="855"/>
    </row>
    <row r="326" spans="1:9" x14ac:dyDescent="0.25">
      <c r="A326" s="875"/>
      <c r="B326" s="875" t="s">
        <v>992</v>
      </c>
      <c r="C326" s="876">
        <v>-2355651</v>
      </c>
      <c r="D326" s="876">
        <v>-2355651</v>
      </c>
      <c r="E326" s="876">
        <v>-2431841</v>
      </c>
      <c r="F326" s="876"/>
      <c r="G326" s="876">
        <v>-2625199</v>
      </c>
      <c r="H326" s="876">
        <v>-2722713</v>
      </c>
      <c r="I326" s="876">
        <v>-2829937</v>
      </c>
    </row>
    <row r="327" spans="1:9" x14ac:dyDescent="0.25">
      <c r="A327" s="875"/>
      <c r="B327" s="875" t="s">
        <v>925</v>
      </c>
      <c r="C327" s="876">
        <v>2355651</v>
      </c>
      <c r="D327" s="876">
        <v>2355651</v>
      </c>
      <c r="E327" s="876">
        <v>2431841</v>
      </c>
      <c r="F327" s="876"/>
      <c r="G327" s="876">
        <v>2625199</v>
      </c>
      <c r="H327" s="876">
        <v>2722713</v>
      </c>
      <c r="I327" s="876">
        <v>2829937</v>
      </c>
    </row>
    <row r="328" spans="1:9" x14ac:dyDescent="0.25">
      <c r="A328" s="849" t="s">
        <v>1203</v>
      </c>
      <c r="B328" s="849"/>
      <c r="C328" s="855">
        <f>SUBTOTAL(9,C326:C327)</f>
        <v>0</v>
      </c>
      <c r="D328" s="855">
        <f>SUBTOTAL(9,D326:D327)</f>
        <v>0</v>
      </c>
      <c r="E328" s="855">
        <f>SUBTOTAL(9,E326:E327)</f>
        <v>0</v>
      </c>
      <c r="F328" s="855"/>
      <c r="G328" s="855">
        <f>SUBTOTAL(9,G326:G327)</f>
        <v>0</v>
      </c>
      <c r="H328" s="855">
        <f>SUBTOTAL(9,H326:H327)</f>
        <v>0</v>
      </c>
      <c r="I328" s="855">
        <f>SUBTOTAL(9,I326:I327)</f>
        <v>0</v>
      </c>
    </row>
    <row r="329" spans="1:9" x14ac:dyDescent="0.25">
      <c r="A329" s="849"/>
      <c r="B329" s="849"/>
      <c r="C329" s="855"/>
      <c r="D329" s="855"/>
      <c r="E329" s="855"/>
      <c r="F329" s="855"/>
      <c r="G329" s="855"/>
      <c r="H329" s="855"/>
      <c r="I329" s="855"/>
    </row>
    <row r="330" spans="1:9" x14ac:dyDescent="0.25">
      <c r="A330" s="874" t="s">
        <v>1204</v>
      </c>
      <c r="B330" s="849"/>
      <c r="C330" s="855"/>
      <c r="D330" s="855"/>
      <c r="E330" s="855"/>
      <c r="F330" s="855"/>
      <c r="G330" s="855"/>
      <c r="H330" s="855"/>
      <c r="I330" s="855"/>
    </row>
    <row r="331" spans="1:9" x14ac:dyDescent="0.25">
      <c r="A331" s="875"/>
      <c r="B331" s="875" t="s">
        <v>992</v>
      </c>
      <c r="C331" s="876">
        <v>-4891957</v>
      </c>
      <c r="D331" s="876">
        <v>-4971273</v>
      </c>
      <c r="E331" s="876">
        <v>-5297219</v>
      </c>
      <c r="F331" s="876"/>
      <c r="G331" s="876">
        <v>-5406689</v>
      </c>
      <c r="H331" s="876">
        <v>-5519482</v>
      </c>
      <c r="I331" s="876">
        <v>-5632462</v>
      </c>
    </row>
    <row r="332" spans="1:9" x14ac:dyDescent="0.25">
      <c r="A332" s="875"/>
      <c r="B332" s="875" t="s">
        <v>925</v>
      </c>
      <c r="C332" s="876">
        <v>4297037</v>
      </c>
      <c r="D332" s="876">
        <v>4673516</v>
      </c>
      <c r="E332" s="876">
        <v>4611607</v>
      </c>
      <c r="F332" s="876"/>
      <c r="G332" s="876">
        <v>4716261</v>
      </c>
      <c r="H332" s="876">
        <v>4823995</v>
      </c>
      <c r="I332" s="876">
        <v>4934964</v>
      </c>
    </row>
    <row r="333" spans="1:9" x14ac:dyDescent="0.25">
      <c r="A333" s="849" t="s">
        <v>1205</v>
      </c>
      <c r="B333" s="849"/>
      <c r="C333" s="855">
        <f>SUBTOTAL(9,C331:C332)</f>
        <v>-594920</v>
      </c>
      <c r="D333" s="855">
        <f>SUBTOTAL(9,D331:D332)</f>
        <v>-297757</v>
      </c>
      <c r="E333" s="855">
        <f>SUBTOTAL(9,E331:E332)</f>
        <v>-685612</v>
      </c>
      <c r="F333" s="855"/>
      <c r="G333" s="855">
        <f>SUBTOTAL(9,G331:G332)</f>
        <v>-690428</v>
      </c>
      <c r="H333" s="855">
        <f>SUBTOTAL(9,H331:H332)</f>
        <v>-695487</v>
      </c>
      <c r="I333" s="855">
        <f>SUBTOTAL(9,I331:I332)</f>
        <v>-697498</v>
      </c>
    </row>
    <row r="334" spans="1:9" x14ac:dyDescent="0.25">
      <c r="A334" s="849"/>
      <c r="B334" s="849"/>
      <c r="C334" s="855"/>
      <c r="D334" s="855"/>
      <c r="E334" s="855"/>
      <c r="F334" s="855"/>
      <c r="G334" s="855"/>
      <c r="H334" s="855"/>
      <c r="I334" s="855"/>
    </row>
    <row r="335" spans="1:9" x14ac:dyDescent="0.25">
      <c r="A335" s="849"/>
      <c r="B335" s="849"/>
      <c r="C335" s="855"/>
      <c r="D335" s="855"/>
      <c r="E335" s="855"/>
      <c r="F335" s="855"/>
      <c r="G335" s="855"/>
      <c r="H335" s="855"/>
      <c r="I335" s="855"/>
    </row>
    <row r="336" spans="1:9" x14ac:dyDescent="0.25">
      <c r="A336" s="849"/>
      <c r="B336" s="849"/>
      <c r="C336" s="855"/>
      <c r="D336" s="855"/>
      <c r="E336" s="855"/>
      <c r="F336" s="855"/>
      <c r="G336" s="855"/>
      <c r="H336" s="855"/>
      <c r="I336" s="855"/>
    </row>
    <row r="338" spans="1:9" x14ac:dyDescent="0.25">
      <c r="A338" s="872" t="s">
        <v>1191</v>
      </c>
      <c r="B338" s="873"/>
      <c r="C338" s="873"/>
    </row>
    <row r="340" spans="1:9" ht="26.4" x14ac:dyDescent="0.25">
      <c r="C340" s="850" t="s">
        <v>1168</v>
      </c>
      <c r="D340" s="850" t="s">
        <v>1169</v>
      </c>
      <c r="E340" s="850" t="s">
        <v>1170</v>
      </c>
      <c r="F340" s="851" t="s">
        <v>1171</v>
      </c>
      <c r="G340" s="851" t="s">
        <v>1172</v>
      </c>
      <c r="H340" s="851" t="s">
        <v>1173</v>
      </c>
      <c r="I340" s="851" t="s">
        <v>1174</v>
      </c>
    </row>
    <row r="341" spans="1:9" x14ac:dyDescent="0.25">
      <c r="A341" s="874" t="s">
        <v>1206</v>
      </c>
      <c r="B341" s="849"/>
      <c r="C341" s="855"/>
      <c r="D341" s="855"/>
      <c r="E341" s="855"/>
      <c r="F341" s="855"/>
      <c r="G341" s="855"/>
      <c r="H341" s="855"/>
      <c r="I341" s="855"/>
    </row>
    <row r="342" spans="1:9" x14ac:dyDescent="0.25">
      <c r="A342" s="875"/>
      <c r="B342" s="875" t="s">
        <v>992</v>
      </c>
      <c r="C342" s="876">
        <v>-260000</v>
      </c>
      <c r="D342" s="876">
        <v>-260000</v>
      </c>
      <c r="E342" s="876">
        <v>-88000</v>
      </c>
      <c r="F342" s="876"/>
      <c r="G342" s="876">
        <v>-89730</v>
      </c>
      <c r="H342" s="876">
        <v>-91493</v>
      </c>
      <c r="I342" s="876">
        <v>-93293</v>
      </c>
    </row>
    <row r="343" spans="1:9" x14ac:dyDescent="0.25">
      <c r="A343" s="875"/>
      <c r="B343" s="875" t="s">
        <v>925</v>
      </c>
      <c r="C343" s="876">
        <v>752404</v>
      </c>
      <c r="D343" s="876">
        <v>794734</v>
      </c>
      <c r="E343" s="876">
        <v>1115548</v>
      </c>
      <c r="F343" s="876"/>
      <c r="G343" s="876">
        <v>1141315</v>
      </c>
      <c r="H343" s="876">
        <v>1167515</v>
      </c>
      <c r="I343" s="876">
        <v>1194171</v>
      </c>
    </row>
    <row r="344" spans="1:9" x14ac:dyDescent="0.25">
      <c r="A344" s="849" t="s">
        <v>1207</v>
      </c>
      <c r="B344" s="849"/>
      <c r="C344" s="855">
        <f>SUBTOTAL(9,C342:C343)</f>
        <v>492404</v>
      </c>
      <c r="D344" s="855">
        <f>SUBTOTAL(9,D342:D343)</f>
        <v>534734</v>
      </c>
      <c r="E344" s="855">
        <f>SUBTOTAL(9,E342:E343)</f>
        <v>1027548</v>
      </c>
      <c r="F344" s="855"/>
      <c r="G344" s="855">
        <f>SUBTOTAL(9,G342:G343)</f>
        <v>1051585</v>
      </c>
      <c r="H344" s="855">
        <f>SUBTOTAL(9,H342:H343)</f>
        <v>1076022</v>
      </c>
      <c r="I344" s="855">
        <f>SUBTOTAL(9,I342:I343)</f>
        <v>1100878</v>
      </c>
    </row>
    <row r="345" spans="1:9" x14ac:dyDescent="0.25">
      <c r="A345" s="849"/>
      <c r="B345" s="849"/>
      <c r="C345" s="855"/>
      <c r="D345" s="855"/>
      <c r="E345" s="855"/>
      <c r="F345" s="855"/>
      <c r="G345" s="855"/>
      <c r="H345" s="855"/>
      <c r="I345" s="855"/>
    </row>
    <row r="346" spans="1:9" x14ac:dyDescent="0.25">
      <c r="A346" s="874" t="s">
        <v>1208</v>
      </c>
      <c r="B346" s="849"/>
      <c r="C346" s="855"/>
      <c r="D346" s="855"/>
      <c r="E346" s="855"/>
      <c r="F346" s="855"/>
      <c r="G346" s="855"/>
      <c r="H346" s="855"/>
      <c r="I346" s="855"/>
    </row>
    <row r="347" spans="1:9" x14ac:dyDescent="0.25">
      <c r="A347" s="875"/>
      <c r="B347" s="875" t="s">
        <v>992</v>
      </c>
      <c r="C347" s="876">
        <v>-42000</v>
      </c>
      <c r="D347" s="876">
        <v>-42000</v>
      </c>
      <c r="E347" s="876">
        <v>-42000</v>
      </c>
      <c r="F347" s="876"/>
      <c r="G347" s="876">
        <v>-42840</v>
      </c>
      <c r="H347" s="876">
        <v>-43696</v>
      </c>
      <c r="I347" s="876">
        <v>-44570</v>
      </c>
    </row>
    <row r="348" spans="1:9" x14ac:dyDescent="0.25">
      <c r="A348" s="875"/>
      <c r="B348" s="875" t="s">
        <v>925</v>
      </c>
      <c r="C348" s="876">
        <v>709564</v>
      </c>
      <c r="D348" s="876">
        <v>700958</v>
      </c>
      <c r="E348" s="876">
        <v>675005</v>
      </c>
      <c r="F348" s="876"/>
      <c r="G348" s="876">
        <v>692890</v>
      </c>
      <c r="H348" s="876">
        <v>711260</v>
      </c>
      <c r="I348" s="876">
        <v>730135</v>
      </c>
    </row>
    <row r="349" spans="1:9" x14ac:dyDescent="0.25">
      <c r="A349" s="849" t="s">
        <v>1209</v>
      </c>
      <c r="B349" s="849"/>
      <c r="C349" s="855">
        <f>SUBTOTAL(9,C347:C348)</f>
        <v>667564</v>
      </c>
      <c r="D349" s="855">
        <f>SUBTOTAL(9,D347:D348)</f>
        <v>658958</v>
      </c>
      <c r="E349" s="855">
        <f>SUBTOTAL(9,E347:E348)</f>
        <v>633005</v>
      </c>
      <c r="F349" s="855"/>
      <c r="G349" s="855">
        <f>SUBTOTAL(9,G347:G348)</f>
        <v>650050</v>
      </c>
      <c r="H349" s="855">
        <f>SUBTOTAL(9,H347:H348)</f>
        <v>667564</v>
      </c>
      <c r="I349" s="855">
        <f>SUBTOTAL(9,I347:I348)</f>
        <v>685565</v>
      </c>
    </row>
    <row r="350" spans="1:9" x14ac:dyDescent="0.25">
      <c r="A350" s="849"/>
      <c r="B350" s="849"/>
      <c r="C350" s="855"/>
      <c r="D350" s="855"/>
      <c r="E350" s="855"/>
      <c r="F350" s="855"/>
      <c r="G350" s="855"/>
      <c r="H350" s="855"/>
      <c r="I350" s="855"/>
    </row>
    <row r="351" spans="1:9" x14ac:dyDescent="0.25">
      <c r="A351" s="874" t="s">
        <v>1210</v>
      </c>
      <c r="B351" s="849"/>
      <c r="C351" s="855"/>
      <c r="D351" s="855"/>
      <c r="E351" s="855"/>
      <c r="F351" s="855"/>
      <c r="G351" s="855"/>
      <c r="H351" s="855"/>
      <c r="I351" s="855"/>
    </row>
    <row r="352" spans="1:9" x14ac:dyDescent="0.25">
      <c r="A352" s="875"/>
      <c r="B352" s="875" t="s">
        <v>992</v>
      </c>
      <c r="C352" s="876">
        <v>-272210</v>
      </c>
      <c r="D352" s="876">
        <v>-252450</v>
      </c>
      <c r="E352" s="876">
        <v>-215000</v>
      </c>
      <c r="F352" s="876"/>
      <c r="G352" s="876">
        <v>-219300</v>
      </c>
      <c r="H352" s="876">
        <v>-223679</v>
      </c>
      <c r="I352" s="876">
        <v>-228152</v>
      </c>
    </row>
    <row r="353" spans="1:9" x14ac:dyDescent="0.25">
      <c r="A353" s="875"/>
      <c r="B353" s="875" t="s">
        <v>925</v>
      </c>
      <c r="C353" s="876">
        <v>1988102</v>
      </c>
      <c r="D353" s="876">
        <v>1995202</v>
      </c>
      <c r="E353" s="876">
        <v>1963610</v>
      </c>
      <c r="F353" s="876"/>
      <c r="G353" s="876">
        <v>2032491</v>
      </c>
      <c r="H353" s="876">
        <v>2102137</v>
      </c>
      <c r="I353" s="876">
        <v>2172844</v>
      </c>
    </row>
    <row r="354" spans="1:9" x14ac:dyDescent="0.25">
      <c r="A354" s="849" t="s">
        <v>1211</v>
      </c>
      <c r="B354" s="849"/>
      <c r="C354" s="855">
        <f>SUBTOTAL(9,C352:C353)</f>
        <v>1715892</v>
      </c>
      <c r="D354" s="855">
        <f>SUBTOTAL(9,D352:D353)</f>
        <v>1742752</v>
      </c>
      <c r="E354" s="855">
        <f>SUBTOTAL(9,E352:E353)</f>
        <v>1748610</v>
      </c>
      <c r="F354" s="855"/>
      <c r="G354" s="855">
        <f>SUBTOTAL(9,G352:G353)</f>
        <v>1813191</v>
      </c>
      <c r="H354" s="855">
        <f>SUBTOTAL(9,H352:H353)</f>
        <v>1878458</v>
      </c>
      <c r="I354" s="855">
        <f>SUBTOTAL(9,I352:I353)</f>
        <v>1944692</v>
      </c>
    </row>
    <row r="355" spans="1:9" x14ac:dyDescent="0.25">
      <c r="A355" s="849"/>
      <c r="B355" s="849"/>
      <c r="C355" s="855"/>
      <c r="D355" s="855"/>
      <c r="E355" s="855"/>
      <c r="F355" s="855"/>
      <c r="G355" s="855"/>
      <c r="H355" s="855"/>
      <c r="I355" s="855"/>
    </row>
    <row r="356" spans="1:9" x14ac:dyDescent="0.25">
      <c r="A356" s="874" t="s">
        <v>1212</v>
      </c>
      <c r="B356" s="849"/>
      <c r="C356" s="855"/>
      <c r="D356" s="855"/>
      <c r="E356" s="855"/>
      <c r="F356" s="855"/>
      <c r="G356" s="855"/>
      <c r="H356" s="855"/>
      <c r="I356" s="855"/>
    </row>
    <row r="357" spans="1:9" x14ac:dyDescent="0.25">
      <c r="A357" s="875"/>
      <c r="B357" s="875" t="s">
        <v>992</v>
      </c>
      <c r="C357" s="876">
        <v>-19231237</v>
      </c>
      <c r="D357" s="876">
        <v>-20616945</v>
      </c>
      <c r="E357" s="876">
        <v>-20294363</v>
      </c>
      <c r="F357" s="876"/>
      <c r="G357" s="876">
        <v>-21101866</v>
      </c>
      <c r="H357" s="876">
        <v>-22321137</v>
      </c>
      <c r="I357" s="876">
        <v>-23118715</v>
      </c>
    </row>
    <row r="358" spans="1:9" x14ac:dyDescent="0.25">
      <c r="A358" s="875"/>
      <c r="B358" s="875" t="s">
        <v>925</v>
      </c>
      <c r="C358" s="876">
        <v>1198762</v>
      </c>
      <c r="D358" s="876">
        <v>1261228</v>
      </c>
      <c r="E358" s="876">
        <v>1227452</v>
      </c>
      <c r="F358" s="876"/>
      <c r="G358" s="876">
        <v>1255155</v>
      </c>
      <c r="H358" s="876">
        <v>1283632</v>
      </c>
      <c r="I358" s="876">
        <v>1312911</v>
      </c>
    </row>
    <row r="359" spans="1:9" x14ac:dyDescent="0.25">
      <c r="A359" s="849" t="s">
        <v>1213</v>
      </c>
      <c r="B359" s="849"/>
      <c r="C359" s="855">
        <f>SUBTOTAL(9,C357:C358)</f>
        <v>-18032475</v>
      </c>
      <c r="D359" s="855">
        <f>SUBTOTAL(9,D357:D358)</f>
        <v>-19355717</v>
      </c>
      <c r="E359" s="855">
        <f>SUBTOTAL(9,E357:E358)</f>
        <v>-19066911</v>
      </c>
      <c r="F359" s="855"/>
      <c r="G359" s="855">
        <f>SUBTOTAL(9,G357:G358)</f>
        <v>-19846711</v>
      </c>
      <c r="H359" s="855">
        <f>SUBTOTAL(9,H357:H358)</f>
        <v>-21037505</v>
      </c>
      <c r="I359" s="855">
        <f>SUBTOTAL(9,I357:I358)</f>
        <v>-21805804</v>
      </c>
    </row>
    <row r="360" spans="1:9" x14ac:dyDescent="0.25">
      <c r="A360" s="849"/>
      <c r="B360" s="849"/>
      <c r="C360" s="855"/>
      <c r="D360" s="855"/>
      <c r="E360" s="855"/>
      <c r="F360" s="855"/>
      <c r="G360" s="855"/>
      <c r="H360" s="855"/>
      <c r="I360" s="855"/>
    </row>
    <row r="361" spans="1:9" x14ac:dyDescent="0.25">
      <c r="A361" s="874" t="s">
        <v>1214</v>
      </c>
      <c r="B361" s="849"/>
      <c r="C361" s="855"/>
      <c r="D361" s="855"/>
      <c r="E361" s="855"/>
      <c r="F361" s="855"/>
      <c r="G361" s="855"/>
      <c r="H361" s="855"/>
      <c r="I361" s="855"/>
    </row>
    <row r="362" spans="1:9" x14ac:dyDescent="0.25">
      <c r="A362" s="875"/>
      <c r="B362" s="875" t="s">
        <v>992</v>
      </c>
      <c r="C362" s="876">
        <v>-39500</v>
      </c>
      <c r="D362" s="876">
        <v>-39500</v>
      </c>
      <c r="E362" s="876">
        <v>-26700</v>
      </c>
      <c r="F362" s="876"/>
      <c r="G362" s="876">
        <v>-27234</v>
      </c>
      <c r="H362" s="876">
        <v>-27777</v>
      </c>
      <c r="I362" s="876">
        <v>-28352</v>
      </c>
    </row>
    <row r="363" spans="1:9" x14ac:dyDescent="0.25">
      <c r="A363" s="875"/>
      <c r="B363" s="875" t="s">
        <v>925</v>
      </c>
      <c r="C363" s="876">
        <v>311153</v>
      </c>
      <c r="D363" s="876">
        <v>319153</v>
      </c>
      <c r="E363" s="876">
        <v>316482</v>
      </c>
      <c r="F363" s="876"/>
      <c r="G363" s="876">
        <v>324387</v>
      </c>
      <c r="H363" s="876">
        <v>332772</v>
      </c>
      <c r="I363" s="876">
        <v>665914</v>
      </c>
    </row>
    <row r="364" spans="1:9" x14ac:dyDescent="0.25">
      <c r="A364" s="849" t="s">
        <v>1215</v>
      </c>
      <c r="B364" s="849"/>
      <c r="C364" s="855">
        <f>SUBTOTAL(9,C362:C363)</f>
        <v>271653</v>
      </c>
      <c r="D364" s="855">
        <f>SUBTOTAL(9,D362:D363)</f>
        <v>279653</v>
      </c>
      <c r="E364" s="855">
        <f>SUBTOTAL(9,E362:E363)</f>
        <v>289782</v>
      </c>
      <c r="F364" s="855"/>
      <c r="G364" s="855">
        <f>SUBTOTAL(9,G362:G363)</f>
        <v>297153</v>
      </c>
      <c r="H364" s="855">
        <f>SUBTOTAL(9,H362:H363)</f>
        <v>304995</v>
      </c>
      <c r="I364" s="855">
        <f>SUBTOTAL(9,I362:I363)</f>
        <v>637562</v>
      </c>
    </row>
    <row r="365" spans="1:9" x14ac:dyDescent="0.25">
      <c r="A365" s="849"/>
      <c r="B365" s="849"/>
      <c r="C365" s="855"/>
      <c r="D365" s="855"/>
      <c r="E365" s="855"/>
      <c r="F365" s="855"/>
      <c r="G365" s="855"/>
      <c r="H365" s="855"/>
      <c r="I365" s="855"/>
    </row>
    <row r="366" spans="1:9" x14ac:dyDescent="0.25">
      <c r="A366" s="874" t="s">
        <v>1216</v>
      </c>
      <c r="B366" s="849"/>
      <c r="C366" s="855"/>
      <c r="D366" s="855"/>
      <c r="E366" s="855"/>
      <c r="F366" s="855"/>
      <c r="G366" s="855"/>
      <c r="H366" s="855"/>
      <c r="I366" s="855"/>
    </row>
    <row r="367" spans="1:9" x14ac:dyDescent="0.25">
      <c r="A367" s="875"/>
      <c r="B367" s="875" t="s">
        <v>992</v>
      </c>
      <c r="C367" s="876">
        <v>-190100</v>
      </c>
      <c r="D367" s="876">
        <v>-190100</v>
      </c>
      <c r="E367" s="876">
        <v>-178250</v>
      </c>
      <c r="F367" s="876"/>
      <c r="G367" s="876">
        <v>-181811</v>
      </c>
      <c r="H367" s="876">
        <v>-183562</v>
      </c>
      <c r="I367" s="876">
        <v>-189147</v>
      </c>
    </row>
    <row r="368" spans="1:9" x14ac:dyDescent="0.25">
      <c r="A368" s="875"/>
      <c r="B368" s="875" t="s">
        <v>925</v>
      </c>
      <c r="C368" s="876">
        <v>791662</v>
      </c>
      <c r="D368" s="876">
        <v>793462</v>
      </c>
      <c r="E368" s="876">
        <v>804872</v>
      </c>
      <c r="F368" s="876"/>
      <c r="G368" s="876">
        <v>826782</v>
      </c>
      <c r="H368" s="876">
        <v>849292</v>
      </c>
      <c r="I368" s="876">
        <v>872435</v>
      </c>
    </row>
    <row r="369" spans="1:9" x14ac:dyDescent="0.25">
      <c r="A369" s="849" t="s">
        <v>1217</v>
      </c>
      <c r="B369" s="849"/>
      <c r="C369" s="855">
        <f>SUBTOTAL(9,C367:C368)</f>
        <v>601562</v>
      </c>
      <c r="D369" s="855">
        <f>SUBTOTAL(9,D367:D368)</f>
        <v>603362</v>
      </c>
      <c r="E369" s="855">
        <f>SUBTOTAL(9,E367:E368)</f>
        <v>626622</v>
      </c>
      <c r="F369" s="855"/>
      <c r="G369" s="855">
        <f>SUBTOTAL(9,G367:G368)</f>
        <v>644971</v>
      </c>
      <c r="H369" s="855">
        <f>SUBTOTAL(9,H367:H368)</f>
        <v>665730</v>
      </c>
      <c r="I369" s="855">
        <f>SUBTOTAL(9,I367:I368)</f>
        <v>683288</v>
      </c>
    </row>
    <row r="370" spans="1:9" x14ac:dyDescent="0.25">
      <c r="A370" s="849"/>
      <c r="B370" s="849"/>
      <c r="C370" s="855"/>
      <c r="D370" s="855"/>
      <c r="E370" s="855"/>
      <c r="F370" s="855"/>
      <c r="G370" s="855"/>
      <c r="H370" s="855"/>
      <c r="I370" s="855"/>
    </row>
    <row r="371" spans="1:9" x14ac:dyDescent="0.25">
      <c r="A371" s="874" t="s">
        <v>1218</v>
      </c>
      <c r="B371" s="849"/>
      <c r="C371" s="855"/>
      <c r="D371" s="855"/>
      <c r="E371" s="855"/>
      <c r="F371" s="855"/>
      <c r="G371" s="855"/>
      <c r="H371" s="855"/>
      <c r="I371" s="855"/>
    </row>
    <row r="372" spans="1:9" x14ac:dyDescent="0.25">
      <c r="A372" s="875"/>
      <c r="B372" s="875" t="s">
        <v>925</v>
      </c>
      <c r="C372" s="876">
        <v>681706</v>
      </c>
      <c r="D372" s="876">
        <v>716706</v>
      </c>
      <c r="E372" s="876">
        <v>904851</v>
      </c>
      <c r="F372" s="876"/>
      <c r="G372" s="876">
        <v>927168</v>
      </c>
      <c r="H372" s="876">
        <v>950432</v>
      </c>
      <c r="I372" s="876">
        <v>940878</v>
      </c>
    </row>
    <row r="373" spans="1:9" x14ac:dyDescent="0.25">
      <c r="A373" s="849" t="s">
        <v>1219</v>
      </c>
      <c r="B373" s="849"/>
      <c r="C373" s="855">
        <f>SUBTOTAL(9,C372:C372)</f>
        <v>681706</v>
      </c>
      <c r="D373" s="855">
        <f>SUBTOTAL(9,D372:D372)</f>
        <v>716706</v>
      </c>
      <c r="E373" s="855">
        <f>SUBTOTAL(9,E372:E372)</f>
        <v>904851</v>
      </c>
      <c r="F373" s="855"/>
      <c r="G373" s="855">
        <f>SUBTOTAL(9,G372:G372)</f>
        <v>927168</v>
      </c>
      <c r="H373" s="855">
        <f>SUBTOTAL(9,H372:H372)</f>
        <v>950432</v>
      </c>
      <c r="I373" s="855">
        <f>SUBTOTAL(9,I372:I372)</f>
        <v>940878</v>
      </c>
    </row>
    <row r="374" spans="1:9" x14ac:dyDescent="0.25">
      <c r="A374" s="849"/>
      <c r="B374" s="849"/>
      <c r="C374" s="855"/>
      <c r="D374" s="855"/>
      <c r="E374" s="855"/>
      <c r="F374" s="855"/>
      <c r="G374" s="855"/>
      <c r="H374" s="855"/>
      <c r="I374" s="855"/>
    </row>
    <row r="375" spans="1:9" x14ac:dyDescent="0.25">
      <c r="A375" s="874" t="s">
        <v>1220</v>
      </c>
      <c r="B375" s="849"/>
      <c r="C375" s="855"/>
      <c r="D375" s="855"/>
      <c r="E375" s="855"/>
      <c r="F375" s="855"/>
      <c r="G375" s="855"/>
      <c r="H375" s="855"/>
      <c r="I375" s="855"/>
    </row>
    <row r="376" spans="1:9" x14ac:dyDescent="0.25">
      <c r="A376" s="875"/>
      <c r="B376" s="875" t="s">
        <v>925</v>
      </c>
      <c r="C376" s="876">
        <v>683403</v>
      </c>
      <c r="D376" s="876">
        <v>683403</v>
      </c>
      <c r="E376" s="876">
        <v>697378</v>
      </c>
      <c r="F376" s="876"/>
      <c r="G376" s="876">
        <v>711232</v>
      </c>
      <c r="H376" s="876">
        <v>725453</v>
      </c>
      <c r="I376" s="876">
        <v>739961</v>
      </c>
    </row>
    <row r="377" spans="1:9" x14ac:dyDescent="0.25">
      <c r="A377" s="849" t="s">
        <v>1221</v>
      </c>
      <c r="B377" s="849"/>
      <c r="C377" s="855">
        <f>SUBTOTAL(9,C376:C376)</f>
        <v>683403</v>
      </c>
      <c r="D377" s="855">
        <f>SUBTOTAL(9,D376:D376)</f>
        <v>683403</v>
      </c>
      <c r="E377" s="855">
        <f>SUBTOTAL(9,E376:E376)</f>
        <v>697378</v>
      </c>
      <c r="F377" s="855"/>
      <c r="G377" s="855">
        <f>SUBTOTAL(9,G376:G376)</f>
        <v>711232</v>
      </c>
      <c r="H377" s="855">
        <f>SUBTOTAL(9,H376:H376)</f>
        <v>725453</v>
      </c>
      <c r="I377" s="855">
        <f>SUBTOTAL(9,I376:I376)</f>
        <v>739961</v>
      </c>
    </row>
    <row r="378" spans="1:9" x14ac:dyDescent="0.25">
      <c r="A378" s="849"/>
      <c r="B378" s="849"/>
      <c r="C378" s="855"/>
      <c r="D378" s="855"/>
      <c r="E378" s="855"/>
      <c r="F378" s="855"/>
      <c r="G378" s="855"/>
      <c r="H378" s="855"/>
      <c r="I378" s="855"/>
    </row>
    <row r="379" spans="1:9" x14ac:dyDescent="0.25">
      <c r="A379" s="849"/>
      <c r="B379" s="849"/>
      <c r="C379" s="855"/>
      <c r="D379" s="855"/>
      <c r="E379" s="855"/>
      <c r="F379" s="855"/>
      <c r="G379" s="855"/>
      <c r="H379" s="855"/>
      <c r="I379" s="855"/>
    </row>
    <row r="381" spans="1:9" x14ac:dyDescent="0.25">
      <c r="A381" s="872" t="s">
        <v>1191</v>
      </c>
      <c r="B381" s="873"/>
      <c r="C381" s="873"/>
    </row>
    <row r="383" spans="1:9" ht="26.4" x14ac:dyDescent="0.25">
      <c r="C383" s="850" t="s">
        <v>1168</v>
      </c>
      <c r="D383" s="850" t="s">
        <v>1169</v>
      </c>
      <c r="E383" s="850" t="s">
        <v>1170</v>
      </c>
      <c r="F383" s="851" t="s">
        <v>1171</v>
      </c>
      <c r="G383" s="851" t="s">
        <v>1172</v>
      </c>
      <c r="H383" s="851" t="s">
        <v>1173</v>
      </c>
      <c r="I383" s="851" t="s">
        <v>1174</v>
      </c>
    </row>
    <row r="384" spans="1:9" x14ac:dyDescent="0.25">
      <c r="A384" s="874" t="s">
        <v>1222</v>
      </c>
      <c r="B384" s="849"/>
      <c r="C384" s="855"/>
      <c r="D384" s="855"/>
      <c r="E384" s="855"/>
      <c r="F384" s="855"/>
      <c r="G384" s="855"/>
      <c r="H384" s="855"/>
      <c r="I384" s="855"/>
    </row>
    <row r="385" spans="1:9" x14ac:dyDescent="0.25">
      <c r="A385" s="875"/>
      <c r="B385" s="875" t="s">
        <v>992</v>
      </c>
      <c r="C385" s="876">
        <v>-234000</v>
      </c>
      <c r="D385" s="876">
        <v>-192038</v>
      </c>
      <c r="E385" s="876">
        <v>-195000</v>
      </c>
      <c r="F385" s="876"/>
      <c r="G385" s="876">
        <v>-198900</v>
      </c>
      <c r="H385" s="876">
        <v>-202878</v>
      </c>
      <c r="I385" s="876">
        <v>-206935</v>
      </c>
    </row>
    <row r="386" spans="1:9" x14ac:dyDescent="0.25">
      <c r="A386" s="875"/>
      <c r="B386" s="875" t="s">
        <v>925</v>
      </c>
      <c r="C386" s="876">
        <v>809643</v>
      </c>
      <c r="D386" s="876">
        <v>872961</v>
      </c>
      <c r="E386" s="876">
        <v>860976</v>
      </c>
      <c r="F386" s="876"/>
      <c r="G386" s="876">
        <v>879134</v>
      </c>
      <c r="H386" s="876">
        <v>897885</v>
      </c>
      <c r="I386" s="876">
        <v>917043</v>
      </c>
    </row>
    <row r="387" spans="1:9" x14ac:dyDescent="0.25">
      <c r="A387" s="849" t="s">
        <v>1223</v>
      </c>
      <c r="B387" s="849"/>
      <c r="C387" s="855">
        <f>SUBTOTAL(9,C385:C386)</f>
        <v>575643</v>
      </c>
      <c r="D387" s="855">
        <f>SUBTOTAL(9,D385:D386)</f>
        <v>680923</v>
      </c>
      <c r="E387" s="855">
        <f>SUBTOTAL(9,E385:E386)</f>
        <v>665976</v>
      </c>
      <c r="F387" s="855"/>
      <c r="G387" s="855">
        <f>SUBTOTAL(9,G385:G386)</f>
        <v>680234</v>
      </c>
      <c r="H387" s="855">
        <f>SUBTOTAL(9,H385:H386)</f>
        <v>695007</v>
      </c>
      <c r="I387" s="855">
        <f>SUBTOTAL(9,I385:I386)</f>
        <v>710108</v>
      </c>
    </row>
    <row r="388" spans="1:9" x14ac:dyDescent="0.25">
      <c r="A388" s="849"/>
      <c r="B388" s="849"/>
      <c r="C388" s="855"/>
      <c r="D388" s="855"/>
      <c r="E388" s="855"/>
      <c r="F388" s="855"/>
      <c r="G388" s="855"/>
      <c r="H388" s="855"/>
      <c r="I388" s="855"/>
    </row>
    <row r="389" spans="1:9" x14ac:dyDescent="0.25">
      <c r="A389" s="874" t="s">
        <v>1224</v>
      </c>
      <c r="B389" s="849"/>
      <c r="C389" s="855"/>
      <c r="D389" s="855"/>
      <c r="E389" s="855"/>
      <c r="F389" s="855"/>
      <c r="G389" s="855"/>
      <c r="H389" s="855"/>
      <c r="I389" s="855"/>
    </row>
    <row r="390" spans="1:9" x14ac:dyDescent="0.25">
      <c r="A390" s="875"/>
      <c r="B390" s="875" t="s">
        <v>992</v>
      </c>
      <c r="C390" s="876">
        <v>-532750</v>
      </c>
      <c r="D390" s="876">
        <v>-562873</v>
      </c>
      <c r="E390" s="876">
        <v>-545050</v>
      </c>
      <c r="F390" s="876"/>
      <c r="G390" s="876">
        <v>-556201</v>
      </c>
      <c r="H390" s="876">
        <v>-567569</v>
      </c>
      <c r="I390" s="876">
        <v>-579192</v>
      </c>
    </row>
    <row r="391" spans="1:9" x14ac:dyDescent="0.25">
      <c r="A391" s="875"/>
      <c r="B391" s="875" t="s">
        <v>925</v>
      </c>
      <c r="C391" s="876">
        <v>710643</v>
      </c>
      <c r="D391" s="876">
        <v>764729</v>
      </c>
      <c r="E391" s="876">
        <v>860199</v>
      </c>
      <c r="F391" s="876"/>
      <c r="G391" s="876">
        <v>882190</v>
      </c>
      <c r="H391" s="876">
        <v>904769</v>
      </c>
      <c r="I391" s="876">
        <v>927958</v>
      </c>
    </row>
    <row r="392" spans="1:9" x14ac:dyDescent="0.25">
      <c r="A392" s="849" t="s">
        <v>1225</v>
      </c>
      <c r="B392" s="849"/>
      <c r="C392" s="855">
        <f>SUBTOTAL(9,C390:C391)</f>
        <v>177893</v>
      </c>
      <c r="D392" s="855">
        <f>SUBTOTAL(9,D390:D391)</f>
        <v>201856</v>
      </c>
      <c r="E392" s="855">
        <f>SUBTOTAL(9,E390:E391)</f>
        <v>315149</v>
      </c>
      <c r="F392" s="855"/>
      <c r="G392" s="855">
        <f>SUBTOTAL(9,G390:G391)</f>
        <v>325989</v>
      </c>
      <c r="H392" s="855">
        <f>SUBTOTAL(9,H390:H391)</f>
        <v>337200</v>
      </c>
      <c r="I392" s="855">
        <f>SUBTOTAL(9,I390:I391)</f>
        <v>348766</v>
      </c>
    </row>
    <row r="393" spans="1:9" x14ac:dyDescent="0.25">
      <c r="A393" s="849"/>
      <c r="B393" s="849"/>
      <c r="C393" s="855"/>
      <c r="D393" s="855"/>
      <c r="E393" s="855"/>
      <c r="F393" s="855"/>
      <c r="G393" s="855"/>
      <c r="H393" s="855"/>
      <c r="I393" s="855"/>
    </row>
    <row r="394" spans="1:9" x14ac:dyDescent="0.25">
      <c r="A394" s="874" t="s">
        <v>1226</v>
      </c>
      <c r="B394" s="849"/>
      <c r="C394" s="855"/>
      <c r="D394" s="855"/>
      <c r="E394" s="855"/>
      <c r="F394" s="855"/>
      <c r="G394" s="855"/>
      <c r="H394" s="855"/>
      <c r="I394" s="855"/>
    </row>
    <row r="395" spans="1:9" x14ac:dyDescent="0.25">
      <c r="A395" s="875"/>
      <c r="B395" s="875" t="s">
        <v>992</v>
      </c>
      <c r="C395" s="876">
        <v>-135200</v>
      </c>
      <c r="D395" s="876">
        <v>-135200</v>
      </c>
      <c r="E395" s="876">
        <v>-94000</v>
      </c>
      <c r="F395" s="876"/>
      <c r="G395" s="876">
        <v>-95880</v>
      </c>
      <c r="H395" s="876">
        <v>-97795</v>
      </c>
      <c r="I395" s="876">
        <v>-99750</v>
      </c>
    </row>
    <row r="396" spans="1:9" x14ac:dyDescent="0.25">
      <c r="A396" s="875"/>
      <c r="B396" s="875" t="s">
        <v>925</v>
      </c>
      <c r="C396" s="876">
        <v>264956</v>
      </c>
      <c r="D396" s="876">
        <v>258862</v>
      </c>
      <c r="E396" s="876">
        <v>256360</v>
      </c>
      <c r="F396" s="876"/>
      <c r="G396" s="876">
        <v>263519</v>
      </c>
      <c r="H396" s="876">
        <v>270880</v>
      </c>
      <c r="I396" s="876">
        <v>278449</v>
      </c>
    </row>
    <row r="397" spans="1:9" x14ac:dyDescent="0.25">
      <c r="A397" s="849" t="s">
        <v>1227</v>
      </c>
      <c r="B397" s="849"/>
      <c r="C397" s="855">
        <f>SUBTOTAL(9,C395:C396)</f>
        <v>129756</v>
      </c>
      <c r="D397" s="855">
        <f>SUBTOTAL(9,D395:D396)</f>
        <v>123662</v>
      </c>
      <c r="E397" s="855">
        <f>SUBTOTAL(9,E395:E396)</f>
        <v>162360</v>
      </c>
      <c r="F397" s="855"/>
      <c r="G397" s="855">
        <f>SUBTOTAL(9,G395:G396)</f>
        <v>167639</v>
      </c>
      <c r="H397" s="855">
        <f>SUBTOTAL(9,H395:H396)</f>
        <v>173085</v>
      </c>
      <c r="I397" s="855">
        <f>SUBTOTAL(9,I395:I396)</f>
        <v>178699</v>
      </c>
    </row>
    <row r="398" spans="1:9" x14ac:dyDescent="0.25">
      <c r="A398" s="849"/>
      <c r="B398" s="849"/>
      <c r="C398" s="855"/>
      <c r="D398" s="855"/>
      <c r="E398" s="855"/>
      <c r="F398" s="855"/>
      <c r="G398" s="855"/>
      <c r="H398" s="855"/>
      <c r="I398" s="855"/>
    </row>
    <row r="399" spans="1:9" x14ac:dyDescent="0.25">
      <c r="A399" s="874" t="s">
        <v>1228</v>
      </c>
      <c r="B399" s="849"/>
      <c r="C399" s="855"/>
      <c r="D399" s="855"/>
      <c r="E399" s="855"/>
      <c r="F399" s="855"/>
      <c r="G399" s="855"/>
      <c r="H399" s="855"/>
      <c r="I399" s="855"/>
    </row>
    <row r="400" spans="1:9" x14ac:dyDescent="0.25">
      <c r="A400" s="875"/>
      <c r="B400" s="875" t="s">
        <v>992</v>
      </c>
      <c r="C400" s="876">
        <v>-15000</v>
      </c>
      <c r="D400" s="876">
        <v>-15000</v>
      </c>
      <c r="E400" s="876">
        <v>-33500</v>
      </c>
      <c r="F400" s="876"/>
      <c r="G400" s="876">
        <v>-34170</v>
      </c>
      <c r="H400" s="876">
        <v>-34853</v>
      </c>
      <c r="I400" s="876">
        <v>-35550</v>
      </c>
    </row>
    <row r="401" spans="1:9" x14ac:dyDescent="0.25">
      <c r="A401" s="875"/>
      <c r="B401" s="875" t="s">
        <v>925</v>
      </c>
      <c r="C401" s="876">
        <v>680698</v>
      </c>
      <c r="D401" s="876">
        <v>856254</v>
      </c>
      <c r="E401" s="876">
        <v>596948</v>
      </c>
      <c r="F401" s="876"/>
      <c r="G401" s="876">
        <v>610025</v>
      </c>
      <c r="H401" s="876">
        <v>623387</v>
      </c>
      <c r="I401" s="876">
        <v>637043</v>
      </c>
    </row>
    <row r="402" spans="1:9" x14ac:dyDescent="0.25">
      <c r="A402" s="849" t="s">
        <v>1229</v>
      </c>
      <c r="B402" s="849"/>
      <c r="C402" s="855">
        <f>SUBTOTAL(9,C400:C401)</f>
        <v>665698</v>
      </c>
      <c r="D402" s="855">
        <f>SUBTOTAL(9,D400:D401)</f>
        <v>841254</v>
      </c>
      <c r="E402" s="855">
        <f>SUBTOTAL(9,E400:E401)</f>
        <v>563448</v>
      </c>
      <c r="F402" s="855"/>
      <c r="G402" s="855">
        <f>SUBTOTAL(9,G400:G401)</f>
        <v>575855</v>
      </c>
      <c r="H402" s="855">
        <f>SUBTOTAL(9,H400:H401)</f>
        <v>588534</v>
      </c>
      <c r="I402" s="855">
        <f>SUBTOTAL(9,I400:I401)</f>
        <v>601493</v>
      </c>
    </row>
    <row r="403" spans="1:9" x14ac:dyDescent="0.25">
      <c r="A403" s="849"/>
      <c r="B403" s="849"/>
      <c r="C403" s="855"/>
      <c r="D403" s="855"/>
      <c r="E403" s="855"/>
      <c r="F403" s="855"/>
      <c r="G403" s="855"/>
      <c r="H403" s="855"/>
      <c r="I403" s="855"/>
    </row>
    <row r="404" spans="1:9" x14ac:dyDescent="0.25">
      <c r="A404" s="874" t="s">
        <v>1230</v>
      </c>
      <c r="B404" s="849"/>
      <c r="C404" s="855"/>
      <c r="D404" s="855"/>
      <c r="E404" s="855"/>
      <c r="F404" s="855"/>
      <c r="G404" s="855"/>
      <c r="H404" s="855"/>
      <c r="I404" s="855"/>
    </row>
    <row r="405" spans="1:9" x14ac:dyDescent="0.25">
      <c r="A405" s="875"/>
      <c r="B405" s="875" t="s">
        <v>992</v>
      </c>
      <c r="C405" s="876">
        <v>-40000</v>
      </c>
      <c r="D405" s="876">
        <v>-40000</v>
      </c>
      <c r="E405" s="876">
        <v>0</v>
      </c>
      <c r="F405" s="876"/>
      <c r="G405" s="876">
        <v>0</v>
      </c>
      <c r="H405" s="876">
        <v>0</v>
      </c>
      <c r="I405" s="876">
        <v>0</v>
      </c>
    </row>
    <row r="406" spans="1:9" x14ac:dyDescent="0.25">
      <c r="A406" s="875"/>
      <c r="B406" s="875" t="s">
        <v>925</v>
      </c>
      <c r="C406" s="876">
        <v>936555</v>
      </c>
      <c r="D406" s="876">
        <v>931555</v>
      </c>
      <c r="E406" s="876">
        <v>835541</v>
      </c>
      <c r="F406" s="876"/>
      <c r="G406" s="876">
        <v>856301</v>
      </c>
      <c r="H406" s="876">
        <v>877695</v>
      </c>
      <c r="I406" s="876">
        <v>899580</v>
      </c>
    </row>
    <row r="407" spans="1:9" x14ac:dyDescent="0.25">
      <c r="A407" s="849" t="s">
        <v>1231</v>
      </c>
      <c r="B407" s="849"/>
      <c r="C407" s="855">
        <f>SUBTOTAL(9,C405:C406)</f>
        <v>896555</v>
      </c>
      <c r="D407" s="855">
        <f>SUBTOTAL(9,D405:D406)</f>
        <v>891555</v>
      </c>
      <c r="E407" s="855">
        <f>SUBTOTAL(9,E405:E406)</f>
        <v>835541</v>
      </c>
      <c r="F407" s="855"/>
      <c r="G407" s="855">
        <f>SUBTOTAL(9,G405:G406)</f>
        <v>856301</v>
      </c>
      <c r="H407" s="855">
        <f>SUBTOTAL(9,H405:H406)</f>
        <v>877695</v>
      </c>
      <c r="I407" s="855">
        <f>SUBTOTAL(9,I405:I406)</f>
        <v>899580</v>
      </c>
    </row>
    <row r="408" spans="1:9" x14ac:dyDescent="0.25">
      <c r="A408" s="849"/>
      <c r="B408" s="849"/>
      <c r="C408" s="855"/>
      <c r="D408" s="855"/>
      <c r="E408" s="855"/>
      <c r="F408" s="855"/>
      <c r="G408" s="855"/>
      <c r="H408" s="855"/>
      <c r="I408" s="855"/>
    </row>
    <row r="409" spans="1:9" x14ac:dyDescent="0.25">
      <c r="A409" s="874" t="s">
        <v>1232</v>
      </c>
      <c r="B409" s="849"/>
      <c r="C409" s="855"/>
      <c r="D409" s="855"/>
      <c r="E409" s="855"/>
      <c r="F409" s="855"/>
      <c r="G409" s="855"/>
      <c r="H409" s="855"/>
      <c r="I409" s="855"/>
    </row>
    <row r="410" spans="1:9" x14ac:dyDescent="0.25">
      <c r="A410" s="875"/>
      <c r="B410" s="875" t="s">
        <v>992</v>
      </c>
      <c r="C410" s="876">
        <v>-700</v>
      </c>
      <c r="D410" s="876">
        <v>-700</v>
      </c>
      <c r="E410" s="876"/>
      <c r="F410" s="876"/>
      <c r="G410" s="876"/>
      <c r="H410" s="876"/>
      <c r="I410" s="876"/>
    </row>
    <row r="411" spans="1:9" x14ac:dyDescent="0.25">
      <c r="A411" s="875"/>
      <c r="B411" s="875" t="s">
        <v>925</v>
      </c>
      <c r="C411" s="876">
        <v>1039102</v>
      </c>
      <c r="D411" s="876">
        <v>1058102</v>
      </c>
      <c r="E411" s="876">
        <v>1065256</v>
      </c>
      <c r="F411" s="876"/>
      <c r="G411" s="876">
        <v>1093332</v>
      </c>
      <c r="H411" s="876">
        <v>1121982</v>
      </c>
      <c r="I411" s="876">
        <v>1151410</v>
      </c>
    </row>
    <row r="412" spans="1:9" x14ac:dyDescent="0.25">
      <c r="A412" s="849" t="s">
        <v>1233</v>
      </c>
      <c r="B412" s="849"/>
      <c r="C412" s="855">
        <f>SUBTOTAL(9,C410:C411)</f>
        <v>1038402</v>
      </c>
      <c r="D412" s="855">
        <f>SUBTOTAL(9,D410:D411)</f>
        <v>1057402</v>
      </c>
      <c r="E412" s="855">
        <f>SUBTOTAL(9,E410:E411)</f>
        <v>1065256</v>
      </c>
      <c r="F412" s="855"/>
      <c r="G412" s="855">
        <f>SUBTOTAL(9,G410:G411)</f>
        <v>1093332</v>
      </c>
      <c r="H412" s="855">
        <f>SUBTOTAL(9,H410:H411)</f>
        <v>1121982</v>
      </c>
      <c r="I412" s="855">
        <f>SUBTOTAL(9,I410:I411)</f>
        <v>1151410</v>
      </c>
    </row>
    <row r="413" spans="1:9" x14ac:dyDescent="0.25">
      <c r="A413" s="849"/>
      <c r="B413" s="849"/>
      <c r="C413" s="855"/>
      <c r="D413" s="855"/>
      <c r="E413" s="855"/>
      <c r="F413" s="855"/>
      <c r="G413" s="855"/>
      <c r="H413" s="855"/>
      <c r="I413" s="855"/>
    </row>
    <row r="414" spans="1:9" x14ac:dyDescent="0.25">
      <c r="A414" s="874" t="s">
        <v>1234</v>
      </c>
      <c r="B414" s="849"/>
      <c r="C414" s="855"/>
      <c r="D414" s="855"/>
      <c r="E414" s="855"/>
      <c r="F414" s="855"/>
      <c r="G414" s="855"/>
      <c r="H414" s="855"/>
      <c r="I414" s="855"/>
    </row>
    <row r="415" spans="1:9" x14ac:dyDescent="0.25">
      <c r="A415" s="875"/>
      <c r="B415" s="875" t="s">
        <v>992</v>
      </c>
      <c r="C415" s="876">
        <v>-643546</v>
      </c>
      <c r="D415" s="876">
        <v>-669637</v>
      </c>
      <c r="E415" s="876">
        <v>-491509</v>
      </c>
      <c r="F415" s="876"/>
      <c r="G415" s="876">
        <v>-502530</v>
      </c>
      <c r="H415" s="876">
        <v>-513801</v>
      </c>
      <c r="I415" s="876">
        <v>-525328</v>
      </c>
    </row>
    <row r="416" spans="1:9" x14ac:dyDescent="0.25">
      <c r="A416" s="875"/>
      <c r="B416" s="875" t="s">
        <v>925</v>
      </c>
      <c r="C416" s="876">
        <v>713346</v>
      </c>
      <c r="D416" s="876">
        <v>843971</v>
      </c>
      <c r="E416" s="876">
        <v>844233</v>
      </c>
      <c r="F416" s="876"/>
      <c r="G416" s="876">
        <v>865451</v>
      </c>
      <c r="H416" s="876">
        <v>887625</v>
      </c>
      <c r="I416" s="876">
        <v>910136</v>
      </c>
    </row>
    <row r="417" spans="1:9" x14ac:dyDescent="0.25">
      <c r="A417" s="849" t="s">
        <v>1235</v>
      </c>
      <c r="B417" s="849"/>
      <c r="C417" s="855">
        <f>SUBTOTAL(9,C415:C416)</f>
        <v>69800</v>
      </c>
      <c r="D417" s="855">
        <f>SUBTOTAL(9,D415:D416)</f>
        <v>174334</v>
      </c>
      <c r="E417" s="855">
        <f>SUBTOTAL(9,E415:E416)</f>
        <v>352724</v>
      </c>
      <c r="F417" s="855"/>
      <c r="G417" s="855">
        <f>SUBTOTAL(9,G415:G416)</f>
        <v>362921</v>
      </c>
      <c r="H417" s="855">
        <f>SUBTOTAL(9,H415:H416)</f>
        <v>373824</v>
      </c>
      <c r="I417" s="855">
        <f>SUBTOTAL(9,I415:I416)</f>
        <v>384808</v>
      </c>
    </row>
    <row r="418" spans="1:9" x14ac:dyDescent="0.25">
      <c r="A418" s="849"/>
      <c r="B418" s="849"/>
      <c r="C418" s="855"/>
      <c r="D418" s="855"/>
      <c r="E418" s="855"/>
      <c r="F418" s="855"/>
      <c r="G418" s="855"/>
      <c r="H418" s="855"/>
      <c r="I418" s="855"/>
    </row>
    <row r="420" spans="1:9" x14ac:dyDescent="0.25">
      <c r="A420" s="872" t="s">
        <v>1191</v>
      </c>
      <c r="B420" s="873"/>
      <c r="C420" s="873"/>
    </row>
    <row r="422" spans="1:9" ht="26.4" x14ac:dyDescent="0.25">
      <c r="C422" s="850" t="s">
        <v>1168</v>
      </c>
      <c r="D422" s="850" t="s">
        <v>1169</v>
      </c>
      <c r="E422" s="850" t="s">
        <v>1170</v>
      </c>
      <c r="F422" s="851" t="s">
        <v>1171</v>
      </c>
      <c r="G422" s="851" t="s">
        <v>1172</v>
      </c>
      <c r="H422" s="851" t="s">
        <v>1173</v>
      </c>
      <c r="I422" s="851" t="s">
        <v>1174</v>
      </c>
    </row>
    <row r="423" spans="1:9" x14ac:dyDescent="0.25">
      <c r="A423" s="874" t="s">
        <v>1236</v>
      </c>
      <c r="B423" s="849"/>
      <c r="C423" s="855"/>
      <c r="D423" s="855"/>
      <c r="E423" s="855"/>
      <c r="F423" s="855"/>
      <c r="G423" s="855"/>
      <c r="H423" s="855"/>
      <c r="I423" s="855"/>
    </row>
    <row r="424" spans="1:9" x14ac:dyDescent="0.25">
      <c r="A424" s="875"/>
      <c r="B424" s="875" t="s">
        <v>992</v>
      </c>
      <c r="C424" s="876">
        <v>-558995</v>
      </c>
      <c r="D424" s="876">
        <v>-558995</v>
      </c>
      <c r="E424" s="876">
        <v>-574641</v>
      </c>
      <c r="F424" s="876"/>
      <c r="G424" s="876">
        <v>-527685</v>
      </c>
      <c r="H424" s="876">
        <v>-540641</v>
      </c>
      <c r="I424" s="876">
        <v>-554209</v>
      </c>
    </row>
    <row r="425" spans="1:9" x14ac:dyDescent="0.25">
      <c r="A425" s="875"/>
      <c r="B425" s="875" t="s">
        <v>925</v>
      </c>
      <c r="C425" s="876">
        <v>523985</v>
      </c>
      <c r="D425" s="876">
        <v>523985</v>
      </c>
      <c r="E425" s="876">
        <v>825204</v>
      </c>
      <c r="F425" s="876"/>
      <c r="G425" s="876">
        <v>838197</v>
      </c>
      <c r="H425" s="876">
        <v>851737</v>
      </c>
      <c r="I425" s="876">
        <v>869258</v>
      </c>
    </row>
    <row r="426" spans="1:9" x14ac:dyDescent="0.25">
      <c r="A426" s="849" t="s">
        <v>1237</v>
      </c>
      <c r="B426" s="849"/>
      <c r="C426" s="855">
        <f>SUBTOTAL(9,C424:C425)</f>
        <v>-35010</v>
      </c>
      <c r="D426" s="855">
        <f>SUBTOTAL(9,D424:D425)</f>
        <v>-35010</v>
      </c>
      <c r="E426" s="855">
        <f>SUBTOTAL(9,E424:E425)</f>
        <v>250563</v>
      </c>
      <c r="F426" s="855"/>
      <c r="G426" s="855">
        <f>SUBTOTAL(9,G424:G425)</f>
        <v>310512</v>
      </c>
      <c r="H426" s="855">
        <f>SUBTOTAL(9,H424:H425)</f>
        <v>311096</v>
      </c>
      <c r="I426" s="855">
        <f>SUBTOTAL(9,I424:I425)</f>
        <v>315049</v>
      </c>
    </row>
    <row r="427" spans="1:9" x14ac:dyDescent="0.25">
      <c r="A427" s="849"/>
      <c r="B427" s="849"/>
      <c r="C427" s="855"/>
      <c r="D427" s="855"/>
      <c r="E427" s="855"/>
      <c r="F427" s="855"/>
      <c r="G427" s="855"/>
      <c r="H427" s="855"/>
      <c r="I427" s="855"/>
    </row>
    <row r="428" spans="1:9" x14ac:dyDescent="0.25">
      <c r="A428" s="874" t="s">
        <v>1238</v>
      </c>
      <c r="B428" s="849"/>
      <c r="C428" s="855"/>
      <c r="D428" s="855"/>
      <c r="E428" s="855"/>
      <c r="F428" s="855"/>
      <c r="G428" s="855"/>
      <c r="H428" s="855"/>
      <c r="I428" s="855"/>
    </row>
    <row r="429" spans="1:9" x14ac:dyDescent="0.25">
      <c r="A429" s="875"/>
      <c r="B429" s="875" t="s">
        <v>992</v>
      </c>
      <c r="C429" s="876">
        <v>-2493308</v>
      </c>
      <c r="D429" s="876">
        <v>-2503308</v>
      </c>
      <c r="E429" s="876">
        <v>-2628659</v>
      </c>
      <c r="F429" s="876"/>
      <c r="G429" s="876">
        <v>-2569858</v>
      </c>
      <c r="H429" s="876">
        <v>-2634092</v>
      </c>
      <c r="I429" s="876">
        <v>-2699944</v>
      </c>
    </row>
    <row r="430" spans="1:9" x14ac:dyDescent="0.25">
      <c r="A430" s="875"/>
      <c r="B430" s="875" t="s">
        <v>925</v>
      </c>
      <c r="C430" s="876">
        <v>2400443</v>
      </c>
      <c r="D430" s="876">
        <v>2410443</v>
      </c>
      <c r="E430" s="876">
        <v>2477317</v>
      </c>
      <c r="F430" s="876"/>
      <c r="G430" s="876">
        <v>2531126</v>
      </c>
      <c r="H430" s="876">
        <v>2643472</v>
      </c>
      <c r="I430" s="876">
        <v>2756081</v>
      </c>
    </row>
    <row r="431" spans="1:9" x14ac:dyDescent="0.25">
      <c r="A431" s="849" t="s">
        <v>1239</v>
      </c>
      <c r="B431" s="849"/>
      <c r="C431" s="855">
        <f>SUBTOTAL(9,C429:C430)</f>
        <v>-92865</v>
      </c>
      <c r="D431" s="855">
        <f>SUBTOTAL(9,D429:D430)</f>
        <v>-92865</v>
      </c>
      <c r="E431" s="855">
        <f>SUBTOTAL(9,E429:E430)</f>
        <v>-151342</v>
      </c>
      <c r="F431" s="855"/>
      <c r="G431" s="855">
        <f>SUBTOTAL(9,G429:G430)</f>
        <v>-38732</v>
      </c>
      <c r="H431" s="855">
        <f>SUBTOTAL(9,H429:H430)</f>
        <v>9380</v>
      </c>
      <c r="I431" s="855">
        <f>SUBTOTAL(9,I429:I430)</f>
        <v>56137</v>
      </c>
    </row>
    <row r="432" spans="1:9" x14ac:dyDescent="0.25">
      <c r="G432" s="853"/>
    </row>
    <row r="433" spans="1:9" x14ac:dyDescent="0.25">
      <c r="G433" s="853"/>
    </row>
    <row r="434" spans="1:9" x14ac:dyDescent="0.25">
      <c r="A434" s="872" t="s">
        <v>1240</v>
      </c>
      <c r="B434" s="873"/>
      <c r="G434" s="853"/>
    </row>
    <row r="435" spans="1:9" x14ac:dyDescent="0.25">
      <c r="A435" s="849"/>
      <c r="G435" s="853"/>
    </row>
    <row r="436" spans="1:9" x14ac:dyDescent="0.25">
      <c r="A436" s="874" t="s">
        <v>1241</v>
      </c>
      <c r="B436" s="849"/>
      <c r="C436" s="855"/>
      <c r="D436" s="855"/>
      <c r="E436" s="855"/>
      <c r="F436" s="855"/>
      <c r="G436" s="855"/>
      <c r="H436" s="855"/>
      <c r="I436" s="855"/>
    </row>
    <row r="437" spans="1:9" x14ac:dyDescent="0.25">
      <c r="A437" s="875"/>
      <c r="B437" s="875" t="s">
        <v>992</v>
      </c>
      <c r="C437" s="876">
        <v>-6205650</v>
      </c>
      <c r="D437" s="876">
        <v>-6205650</v>
      </c>
      <c r="E437" s="876">
        <v>-6260875</v>
      </c>
      <c r="F437" s="876"/>
      <c r="G437" s="876">
        <v>-6388657</v>
      </c>
      <c r="H437" s="876">
        <v>-6606468</v>
      </c>
      <c r="I437" s="876">
        <v>-6833907</v>
      </c>
    </row>
    <row r="438" spans="1:9" x14ac:dyDescent="0.25">
      <c r="A438" s="875"/>
      <c r="B438" s="875" t="s">
        <v>925</v>
      </c>
      <c r="C438" s="876">
        <v>6001648</v>
      </c>
      <c r="D438" s="876">
        <v>6001648</v>
      </c>
      <c r="E438" s="876">
        <v>5938990</v>
      </c>
      <c r="F438" s="876"/>
      <c r="G438" s="876">
        <v>6079130</v>
      </c>
      <c r="H438" s="876">
        <v>6230613</v>
      </c>
      <c r="I438" s="876">
        <v>6385239</v>
      </c>
    </row>
    <row r="439" spans="1:9" x14ac:dyDescent="0.25">
      <c r="A439" s="849" t="s">
        <v>1242</v>
      </c>
      <c r="B439" s="849"/>
      <c r="C439" s="855">
        <f>SUBTOTAL(9,C437:C438)</f>
        <v>-204002</v>
      </c>
      <c r="D439" s="855">
        <f>SUBTOTAL(9,D437:D438)</f>
        <v>-204002</v>
      </c>
      <c r="E439" s="855">
        <f>SUBTOTAL(9,E437:E438)</f>
        <v>-321885</v>
      </c>
      <c r="F439" s="855"/>
      <c r="G439" s="855">
        <f>SUBTOTAL(9,G437:G438)</f>
        <v>-309527</v>
      </c>
      <c r="H439" s="855">
        <f>SUBTOTAL(9,H437:H438)</f>
        <v>-375855</v>
      </c>
      <c r="I439" s="855">
        <f>SUBTOTAL(9,I437:I438)</f>
        <v>-448668</v>
      </c>
    </row>
    <row r="440" spans="1:9" x14ac:dyDescent="0.25">
      <c r="A440" s="849"/>
      <c r="B440" s="849"/>
      <c r="C440" s="855"/>
      <c r="D440" s="855"/>
      <c r="E440" s="855"/>
      <c r="F440" s="855"/>
      <c r="G440" s="855"/>
      <c r="H440" s="855"/>
      <c r="I440" s="855"/>
    </row>
    <row r="441" spans="1:9" x14ac:dyDescent="0.25">
      <c r="A441" s="874" t="s">
        <v>1243</v>
      </c>
      <c r="B441" s="849"/>
      <c r="C441" s="855"/>
      <c r="D441" s="855"/>
      <c r="E441" s="855"/>
      <c r="F441" s="855"/>
      <c r="G441" s="855"/>
      <c r="H441" s="855"/>
      <c r="I441" s="855"/>
    </row>
    <row r="442" spans="1:9" x14ac:dyDescent="0.25">
      <c r="A442" s="875"/>
      <c r="B442" s="875" t="s">
        <v>992</v>
      </c>
      <c r="C442" s="876">
        <v>-4816700</v>
      </c>
      <c r="D442" s="876">
        <v>-4816700</v>
      </c>
      <c r="E442" s="876">
        <v>-4670500</v>
      </c>
      <c r="F442" s="876"/>
      <c r="G442" s="876">
        <v>-4831170</v>
      </c>
      <c r="H442" s="876">
        <v>-4875548</v>
      </c>
      <c r="I442" s="876">
        <v>-4961956</v>
      </c>
    </row>
    <row r="443" spans="1:9" x14ac:dyDescent="0.25">
      <c r="A443" s="875"/>
      <c r="B443" s="875" t="s">
        <v>925</v>
      </c>
      <c r="C443" s="876">
        <v>4076658</v>
      </c>
      <c r="D443" s="876">
        <v>4076658</v>
      </c>
      <c r="E443" s="876">
        <v>4512256</v>
      </c>
      <c r="F443" s="876"/>
      <c r="G443" s="876">
        <v>5010986</v>
      </c>
      <c r="H443" s="876">
        <v>5113982</v>
      </c>
      <c r="I443" s="876">
        <v>5218022</v>
      </c>
    </row>
    <row r="444" spans="1:9" x14ac:dyDescent="0.25">
      <c r="A444" s="849" t="s">
        <v>1244</v>
      </c>
      <c r="B444" s="849"/>
      <c r="C444" s="855">
        <f>SUBTOTAL(9,C442:C443)</f>
        <v>-740042</v>
      </c>
      <c r="D444" s="855">
        <f>SUBTOTAL(9,D442:D443)</f>
        <v>-740042</v>
      </c>
      <c r="E444" s="855">
        <f>SUBTOTAL(9,E442:E443)</f>
        <v>-158244</v>
      </c>
      <c r="F444" s="855"/>
      <c r="G444" s="855">
        <f>SUBTOTAL(9,G442:G443)</f>
        <v>179816</v>
      </c>
      <c r="H444" s="855">
        <f>SUBTOTAL(9,H442:H443)</f>
        <v>238434</v>
      </c>
      <c r="I444" s="855">
        <f>SUBTOTAL(9,I442:I443)</f>
        <v>256066</v>
      </c>
    </row>
    <row r="446" spans="1:9" x14ac:dyDescent="0.25">
      <c r="A446" s="849"/>
      <c r="B446" s="849"/>
      <c r="C446" s="855"/>
      <c r="D446" s="855"/>
      <c r="E446" s="855"/>
      <c r="F446" s="855"/>
      <c r="G446" s="855"/>
      <c r="H446" s="855"/>
      <c r="I446" s="855"/>
    </row>
  </sheetData>
  <mergeCells count="12">
    <mergeCell ref="A246:I246"/>
    <mergeCell ref="A274:I274"/>
    <mergeCell ref="A1:I1"/>
    <mergeCell ref="K77:K88"/>
    <mergeCell ref="A184:I184"/>
    <mergeCell ref="A215:I215"/>
    <mergeCell ref="J221:K222"/>
    <mergeCell ref="J201:K202"/>
    <mergeCell ref="J161:K162"/>
    <mergeCell ref="J128:K129"/>
    <mergeCell ref="J6:K7"/>
    <mergeCell ref="J175:K176"/>
  </mergeCells>
  <pageMargins left="0.74803149606299213" right="0.74803149606299213" top="0.98425196850393704" bottom="0.98425196850393704" header="0.51181102362204722" footer="0.51181102362204722"/>
  <pageSetup paperSize="9" scale="80" orientation="landscape" r:id="rId1"/>
  <headerFooter alignWithMargins="0"/>
  <rowBreaks count="5" manualBreakCount="5">
    <brk id="32" max="16383" man="1"/>
    <brk id="154" max="16383" man="1"/>
    <brk id="293" max="16383" man="1"/>
    <brk id="378" max="16383" man="1"/>
    <brk id="418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J5" sqref="J5"/>
    </sheetView>
  </sheetViews>
  <sheetFormatPr defaultColWidth="9.109375" defaultRowHeight="14.4" x14ac:dyDescent="0.3"/>
  <cols>
    <col min="1" max="1" width="27.44140625" style="221" customWidth="1"/>
    <col min="2" max="2" width="2.5546875" style="221" customWidth="1"/>
    <col min="3" max="3" width="10.5546875" style="778" customWidth="1"/>
    <col min="4" max="4" width="14.6640625" style="221" customWidth="1"/>
    <col min="5" max="5" width="11.109375" style="778" customWidth="1"/>
    <col min="6" max="6" width="9.109375" style="221"/>
    <col min="7" max="7" width="23.88671875" style="221" customWidth="1"/>
    <col min="8" max="10" width="9.109375" style="221"/>
    <col min="11" max="11" width="12.88671875" style="221" customWidth="1"/>
    <col min="12" max="16384" width="9.109375" style="221"/>
  </cols>
  <sheetData>
    <row r="1" spans="1:11" ht="21" x14ac:dyDescent="0.35">
      <c r="A1" s="1589" t="s">
        <v>1277</v>
      </c>
      <c r="B1" s="1589"/>
      <c r="C1" s="1589"/>
      <c r="D1" s="1589"/>
      <c r="E1" s="1589"/>
    </row>
    <row r="3" spans="1:11" ht="16.5" thickBot="1" x14ac:dyDescent="0.3">
      <c r="A3" s="1590" t="s">
        <v>1288</v>
      </c>
      <c r="B3" s="1590"/>
      <c r="C3" s="1590"/>
      <c r="D3" s="1590"/>
      <c r="E3" s="1590"/>
      <c r="G3" s="1590" t="s">
        <v>1289</v>
      </c>
      <c r="H3" s="1590"/>
      <c r="I3" s="1590"/>
      <c r="J3" s="1590"/>
      <c r="K3" s="1590"/>
    </row>
    <row r="4" spans="1:11" s="909" customFormat="1" ht="36" customHeight="1" x14ac:dyDescent="0.25">
      <c r="A4" s="904"/>
      <c r="B4" s="905"/>
      <c r="C4" s="906" t="s">
        <v>1278</v>
      </c>
      <c r="D4" s="907" t="s">
        <v>1279</v>
      </c>
      <c r="E4" s="908" t="s">
        <v>1280</v>
      </c>
      <c r="G4" s="904"/>
      <c r="H4" s="905"/>
      <c r="I4" s="906" t="s">
        <v>1278</v>
      </c>
      <c r="J4" s="907" t="s">
        <v>1279</v>
      </c>
      <c r="K4" s="908" t="s">
        <v>1280</v>
      </c>
    </row>
    <row r="5" spans="1:11" ht="15" x14ac:dyDescent="0.25">
      <c r="A5" s="910" t="s">
        <v>1281</v>
      </c>
      <c r="B5" s="911"/>
      <c r="C5" s="912">
        <v>0.41199999999999998</v>
      </c>
      <c r="D5" s="913">
        <f>'LTFP Assumptions'!B9</f>
        <v>0.03</v>
      </c>
      <c r="E5" s="914">
        <f>D5*C5</f>
        <v>1.2359999999999999E-2</v>
      </c>
      <c r="G5" s="910" t="s">
        <v>1281</v>
      </c>
      <c r="H5" s="911"/>
      <c r="I5" s="912">
        <v>0.41199999999999998</v>
      </c>
      <c r="J5" s="913">
        <f>'LTFP Assumptions'!H9</f>
        <v>0.03</v>
      </c>
      <c r="K5" s="914">
        <f>J5*I5</f>
        <v>1.2359999999999999E-2</v>
      </c>
    </row>
    <row r="6" spans="1:11" ht="15" x14ac:dyDescent="0.25">
      <c r="A6" s="910" t="s">
        <v>1282</v>
      </c>
      <c r="B6" s="911"/>
      <c r="C6" s="912">
        <v>2.4E-2</v>
      </c>
      <c r="D6" s="915">
        <f>'LTFP Assumptions'!B15</f>
        <v>0.03</v>
      </c>
      <c r="E6" s="914">
        <f t="shared" ref="E6:E8" si="0">D6*C6</f>
        <v>7.1999999999999994E-4</v>
      </c>
      <c r="G6" s="910" t="s">
        <v>1282</v>
      </c>
      <c r="H6" s="911"/>
      <c r="I6" s="912">
        <v>2.4E-2</v>
      </c>
      <c r="J6" s="915">
        <f>'LTFP Assumptions'!H15</f>
        <v>0.02</v>
      </c>
      <c r="K6" s="914">
        <f t="shared" ref="K6:K8" si="1">J6*I6</f>
        <v>4.8000000000000001E-4</v>
      </c>
    </row>
    <row r="7" spans="1:11" ht="15" x14ac:dyDescent="0.25">
      <c r="A7" s="910" t="s">
        <v>1283</v>
      </c>
      <c r="B7" s="911"/>
      <c r="C7" s="912">
        <v>0.13700000000000001</v>
      </c>
      <c r="D7" s="915">
        <f>'LTFP Assumptions'!B13</f>
        <v>0.02</v>
      </c>
      <c r="E7" s="914">
        <f t="shared" si="0"/>
        <v>2.7400000000000002E-3</v>
      </c>
      <c r="G7" s="910" t="s">
        <v>1283</v>
      </c>
      <c r="H7" s="911"/>
      <c r="I7" s="912">
        <v>0.13700000000000001</v>
      </c>
      <c r="J7" s="915">
        <f>'LTFP Assumptions'!H13</f>
        <v>0.02</v>
      </c>
      <c r="K7" s="914">
        <f t="shared" si="1"/>
        <v>2.7400000000000002E-3</v>
      </c>
    </row>
    <row r="8" spans="1:11" ht="15" x14ac:dyDescent="0.25">
      <c r="A8" s="910" t="s">
        <v>1183</v>
      </c>
      <c r="B8" s="911"/>
      <c r="C8" s="912">
        <f>100%-C5-C6-C7</f>
        <v>0.42700000000000005</v>
      </c>
      <c r="D8" s="915">
        <f>'LTFP Assumptions'!B14</f>
        <v>0.02</v>
      </c>
      <c r="E8" s="914">
        <f t="shared" si="0"/>
        <v>8.5400000000000007E-3</v>
      </c>
      <c r="G8" s="910" t="s">
        <v>1183</v>
      </c>
      <c r="H8" s="911"/>
      <c r="I8" s="912">
        <f>100%-I5-I6-I7</f>
        <v>0.42700000000000005</v>
      </c>
      <c r="J8" s="915">
        <f>'LTFP Assumptions'!H14</f>
        <v>0.02</v>
      </c>
      <c r="K8" s="914">
        <f t="shared" si="1"/>
        <v>8.5400000000000007E-3</v>
      </c>
    </row>
    <row r="9" spans="1:11" ht="15" x14ac:dyDescent="0.25">
      <c r="A9" s="916" t="s">
        <v>1284</v>
      </c>
      <c r="B9" s="917"/>
      <c r="C9" s="918"/>
      <c r="D9" s="919"/>
      <c r="E9" s="920">
        <v>-2E-3</v>
      </c>
      <c r="G9" s="916" t="s">
        <v>1284</v>
      </c>
      <c r="H9" s="917"/>
      <c r="I9" s="918"/>
      <c r="J9" s="919"/>
      <c r="K9" s="920">
        <v>-2E-3</v>
      </c>
    </row>
    <row r="10" spans="1:11" ht="15" x14ac:dyDescent="0.25">
      <c r="A10" s="910"/>
      <c r="B10" s="911"/>
      <c r="C10" s="912"/>
      <c r="D10" s="911"/>
      <c r="E10" s="921"/>
      <c r="G10" s="910"/>
      <c r="H10" s="911"/>
      <c r="I10" s="912"/>
      <c r="J10" s="911"/>
      <c r="K10" s="921"/>
    </row>
    <row r="11" spans="1:11" ht="15.75" thickBot="1" x14ac:dyDescent="0.3">
      <c r="A11" s="910" t="s">
        <v>23</v>
      </c>
      <c r="B11" s="911"/>
      <c r="C11" s="922">
        <f>SUM(C5:C10)</f>
        <v>1</v>
      </c>
      <c r="D11" s="911"/>
      <c r="E11" s="923">
        <f>SUM(E5:E10)</f>
        <v>2.2359999999999998E-2</v>
      </c>
      <c r="G11" s="910" t="s">
        <v>23</v>
      </c>
      <c r="H11" s="911"/>
      <c r="I11" s="922">
        <f>SUM(I5:I10)</f>
        <v>1</v>
      </c>
      <c r="J11" s="911"/>
      <c r="K11" s="923">
        <f>SUM(K5:K10)</f>
        <v>2.2120000000000001E-2</v>
      </c>
    </row>
    <row r="12" spans="1:11" ht="16.5" thickTop="1" thickBot="1" x14ac:dyDescent="0.3">
      <c r="A12" s="924"/>
      <c r="B12" s="925"/>
      <c r="C12" s="926"/>
      <c r="D12" s="925"/>
      <c r="E12" s="927"/>
      <c r="G12" s="924"/>
      <c r="H12" s="925"/>
      <c r="I12" s="926"/>
      <c r="J12" s="925"/>
      <c r="K12" s="927"/>
    </row>
    <row r="13" spans="1:11" ht="15" x14ac:dyDescent="0.25">
      <c r="A13" s="911"/>
      <c r="B13" s="911"/>
      <c r="C13" s="351">
        <f>E11-E9</f>
        <v>2.436E-2</v>
      </c>
      <c r="D13" s="221" t="s">
        <v>1285</v>
      </c>
      <c r="E13" s="221"/>
      <c r="G13" s="911"/>
      <c r="H13" s="911"/>
      <c r="I13" s="351">
        <f>K11-K9</f>
        <v>2.4120000000000003E-2</v>
      </c>
      <c r="J13" s="221" t="s">
        <v>1285</v>
      </c>
    </row>
    <row r="14" spans="1:11" ht="16.5" thickBot="1" x14ac:dyDescent="0.3">
      <c r="A14" s="1590" t="s">
        <v>1286</v>
      </c>
      <c r="B14" s="1590"/>
      <c r="C14" s="1590"/>
      <c r="D14" s="1590"/>
      <c r="E14" s="1590"/>
      <c r="G14" s="1590" t="s">
        <v>1286</v>
      </c>
      <c r="H14" s="1590"/>
      <c r="I14" s="1590"/>
      <c r="J14" s="1590"/>
      <c r="K14" s="1590"/>
    </row>
    <row r="15" spans="1:11" ht="30" x14ac:dyDescent="0.25">
      <c r="A15" s="904"/>
      <c r="B15" s="905"/>
      <c r="C15" s="906" t="s">
        <v>1278</v>
      </c>
      <c r="D15" s="907" t="s">
        <v>1279</v>
      </c>
      <c r="E15" s="908" t="s">
        <v>1280</v>
      </c>
      <c r="G15" s="904"/>
      <c r="H15" s="905"/>
      <c r="I15" s="906" t="s">
        <v>1278</v>
      </c>
      <c r="J15" s="907" t="s">
        <v>1279</v>
      </c>
      <c r="K15" s="908" t="s">
        <v>1280</v>
      </c>
    </row>
    <row r="16" spans="1:11" ht="15" x14ac:dyDescent="0.25">
      <c r="A16" s="910" t="s">
        <v>1281</v>
      </c>
      <c r="B16" s="911"/>
      <c r="C16" s="912">
        <v>0.41199999999999998</v>
      </c>
      <c r="D16" s="913">
        <v>0.03</v>
      </c>
      <c r="E16" s="928">
        <f>D16*C16</f>
        <v>1.2359999999999999E-2</v>
      </c>
      <c r="G16" s="910" t="s">
        <v>1281</v>
      </c>
      <c r="H16" s="911"/>
      <c r="I16" s="912">
        <v>0.41199999999999998</v>
      </c>
      <c r="J16" s="913">
        <v>0.03</v>
      </c>
      <c r="K16" s="928">
        <f>J16*I16</f>
        <v>1.2359999999999999E-2</v>
      </c>
    </row>
    <row r="17" spans="1:11" ht="15" x14ac:dyDescent="0.25">
      <c r="A17" s="910" t="s">
        <v>1282</v>
      </c>
      <c r="B17" s="911"/>
      <c r="C17" s="912">
        <v>2.4E-2</v>
      </c>
      <c r="D17" s="915">
        <v>0.05</v>
      </c>
      <c r="E17" s="928">
        <f t="shared" ref="E17:E19" si="2">D17*C17</f>
        <v>1.2000000000000001E-3</v>
      </c>
      <c r="G17" s="910" t="s">
        <v>1282</v>
      </c>
      <c r="H17" s="911"/>
      <c r="I17" s="912">
        <v>2.4E-2</v>
      </c>
      <c r="J17" s="915">
        <v>0.05</v>
      </c>
      <c r="K17" s="928">
        <f t="shared" ref="K17:K19" si="3">J17*I17</f>
        <v>1.2000000000000001E-3</v>
      </c>
    </row>
    <row r="18" spans="1:11" ht="15" x14ac:dyDescent="0.25">
      <c r="A18" s="910" t="s">
        <v>1283</v>
      </c>
      <c r="B18" s="911"/>
      <c r="C18" s="912">
        <v>0.13700000000000001</v>
      </c>
      <c r="D18" s="915">
        <v>0.02</v>
      </c>
      <c r="E18" s="928">
        <f t="shared" si="2"/>
        <v>2.7400000000000002E-3</v>
      </c>
      <c r="G18" s="910" t="s">
        <v>1283</v>
      </c>
      <c r="H18" s="911"/>
      <c r="I18" s="912">
        <v>0.13700000000000001</v>
      </c>
      <c r="J18" s="915">
        <v>0.02</v>
      </c>
      <c r="K18" s="928">
        <f t="shared" si="3"/>
        <v>2.7400000000000002E-3</v>
      </c>
    </row>
    <row r="19" spans="1:11" ht="15" x14ac:dyDescent="0.25">
      <c r="A19" s="910" t="s">
        <v>1183</v>
      </c>
      <c r="B19" s="911"/>
      <c r="C19" s="912">
        <f>100%-C16-C17-C18</f>
        <v>0.42700000000000005</v>
      </c>
      <c r="D19" s="915">
        <v>0.02</v>
      </c>
      <c r="E19" s="928">
        <f t="shared" si="2"/>
        <v>8.5400000000000007E-3</v>
      </c>
      <c r="G19" s="910" t="s">
        <v>1183</v>
      </c>
      <c r="H19" s="911"/>
      <c r="I19" s="912">
        <f>100%-I16-I17-I18</f>
        <v>0.42700000000000005</v>
      </c>
      <c r="J19" s="915">
        <v>0.02</v>
      </c>
      <c r="K19" s="928">
        <f t="shared" si="3"/>
        <v>8.5400000000000007E-3</v>
      </c>
    </row>
    <row r="20" spans="1:11" ht="15" x14ac:dyDescent="0.25">
      <c r="A20" s="916" t="s">
        <v>1284</v>
      </c>
      <c r="B20" s="917"/>
      <c r="C20" s="918"/>
      <c r="D20" s="919"/>
      <c r="E20" s="920">
        <v>0</v>
      </c>
      <c r="G20" s="916" t="s">
        <v>1284</v>
      </c>
      <c r="H20" s="917"/>
      <c r="I20" s="918"/>
      <c r="J20" s="919"/>
      <c r="K20" s="920">
        <v>0</v>
      </c>
    </row>
    <row r="21" spans="1:11" ht="15" x14ac:dyDescent="0.25">
      <c r="A21" s="910"/>
      <c r="B21" s="911"/>
      <c r="C21" s="912"/>
      <c r="D21" s="911"/>
      <c r="E21" s="921"/>
      <c r="G21" s="910"/>
      <c r="H21" s="911"/>
      <c r="I21" s="912"/>
      <c r="J21" s="911"/>
      <c r="K21" s="921"/>
    </row>
    <row r="22" spans="1:11" ht="15.75" thickBot="1" x14ac:dyDescent="0.3">
      <c r="A22" s="910" t="s">
        <v>23</v>
      </c>
      <c r="B22" s="911"/>
      <c r="C22" s="922">
        <f>SUM(C16:C21)</f>
        <v>1</v>
      </c>
      <c r="D22" s="911"/>
      <c r="E22" s="923">
        <f>SUM(E16:E21)</f>
        <v>2.4840000000000001E-2</v>
      </c>
      <c r="G22" s="910" t="s">
        <v>23</v>
      </c>
      <c r="H22" s="911"/>
      <c r="I22" s="922">
        <f>SUM(I16:I21)</f>
        <v>1</v>
      </c>
      <c r="J22" s="911"/>
      <c r="K22" s="923">
        <f>SUM(K16:K21)</f>
        <v>2.4840000000000001E-2</v>
      </c>
    </row>
    <row r="23" spans="1:11" ht="16.5" thickTop="1" thickBot="1" x14ac:dyDescent="0.3">
      <c r="A23" s="924"/>
      <c r="B23" s="925"/>
      <c r="C23" s="926"/>
      <c r="D23" s="925"/>
      <c r="E23" s="927"/>
      <c r="G23" s="924"/>
      <c r="H23" s="925"/>
      <c r="I23" s="926"/>
      <c r="J23" s="925"/>
      <c r="K23" s="927"/>
    </row>
    <row r="24" spans="1:11" ht="15" x14ac:dyDescent="0.25">
      <c r="I24" s="778"/>
      <c r="K24" s="778"/>
    </row>
    <row r="25" spans="1:11" ht="16.5" thickBot="1" x14ac:dyDescent="0.3">
      <c r="A25" s="1590" t="s">
        <v>1287</v>
      </c>
      <c r="B25" s="1590"/>
      <c r="C25" s="1590"/>
      <c r="D25" s="1590"/>
      <c r="E25" s="1590"/>
      <c r="G25" s="1590" t="s">
        <v>1287</v>
      </c>
      <c r="H25" s="1590"/>
      <c r="I25" s="1590"/>
      <c r="J25" s="1590"/>
      <c r="K25" s="1590"/>
    </row>
    <row r="26" spans="1:11" ht="30" x14ac:dyDescent="0.25">
      <c r="A26" s="904"/>
      <c r="B26" s="905"/>
      <c r="C26" s="906" t="s">
        <v>1278</v>
      </c>
      <c r="D26" s="907" t="s">
        <v>1279</v>
      </c>
      <c r="E26" s="908" t="s">
        <v>1280</v>
      </c>
      <c r="G26" s="904"/>
      <c r="H26" s="905"/>
      <c r="I26" s="906" t="s">
        <v>1278</v>
      </c>
      <c r="J26" s="907" t="s">
        <v>1279</v>
      </c>
      <c r="K26" s="908" t="s">
        <v>1280</v>
      </c>
    </row>
    <row r="27" spans="1:11" x14ac:dyDescent="0.3">
      <c r="A27" s="910" t="s">
        <v>1281</v>
      </c>
      <c r="B27" s="911"/>
      <c r="C27" s="912">
        <v>0.41199999999999998</v>
      </c>
      <c r="D27" s="913">
        <f>D5</f>
        <v>0.03</v>
      </c>
      <c r="E27" s="928">
        <f>D27*C27</f>
        <v>1.2359999999999999E-2</v>
      </c>
      <c r="G27" s="910" t="s">
        <v>1281</v>
      </c>
      <c r="H27" s="911"/>
      <c r="I27" s="912">
        <v>0.41199999999999998</v>
      </c>
      <c r="J27" s="913">
        <f>J5</f>
        <v>0.03</v>
      </c>
      <c r="K27" s="928">
        <f>J27*I27</f>
        <v>1.2359999999999999E-2</v>
      </c>
    </row>
    <row r="28" spans="1:11" x14ac:dyDescent="0.3">
      <c r="A28" s="910" t="s">
        <v>1282</v>
      </c>
      <c r="B28" s="911"/>
      <c r="C28" s="912">
        <v>2.4E-2</v>
      </c>
      <c r="D28" s="913">
        <f t="shared" ref="D28:D30" si="4">D6</f>
        <v>0.03</v>
      </c>
      <c r="E28" s="928">
        <f t="shared" ref="E28:E30" si="5">D28*C28</f>
        <v>7.1999999999999994E-4</v>
      </c>
      <c r="G28" s="910" t="s">
        <v>1282</v>
      </c>
      <c r="H28" s="911"/>
      <c r="I28" s="912">
        <v>2.4E-2</v>
      </c>
      <c r="J28" s="913">
        <f t="shared" ref="J28:J30" si="6">J6</f>
        <v>0.02</v>
      </c>
      <c r="K28" s="928">
        <f t="shared" ref="K28:K30" si="7">J28*I28</f>
        <v>4.8000000000000001E-4</v>
      </c>
    </row>
    <row r="29" spans="1:11" x14ac:dyDescent="0.3">
      <c r="A29" s="910" t="s">
        <v>1283</v>
      </c>
      <c r="B29" s="911"/>
      <c r="C29" s="912">
        <v>0.13700000000000001</v>
      </c>
      <c r="D29" s="913">
        <f t="shared" si="4"/>
        <v>0.02</v>
      </c>
      <c r="E29" s="928">
        <f t="shared" si="5"/>
        <v>2.7400000000000002E-3</v>
      </c>
      <c r="G29" s="910" t="s">
        <v>1283</v>
      </c>
      <c r="H29" s="911"/>
      <c r="I29" s="912">
        <v>0.13700000000000001</v>
      </c>
      <c r="J29" s="913">
        <f t="shared" si="6"/>
        <v>0.02</v>
      </c>
      <c r="K29" s="928">
        <f t="shared" si="7"/>
        <v>2.7400000000000002E-3</v>
      </c>
    </row>
    <row r="30" spans="1:11" x14ac:dyDescent="0.3">
      <c r="A30" s="910" t="s">
        <v>1183</v>
      </c>
      <c r="B30" s="911"/>
      <c r="C30" s="912">
        <f>100%-C27-C28-C29</f>
        <v>0.42700000000000005</v>
      </c>
      <c r="D30" s="913">
        <f t="shared" si="4"/>
        <v>0.02</v>
      </c>
      <c r="E30" s="928">
        <f t="shared" si="5"/>
        <v>8.5400000000000007E-3</v>
      </c>
      <c r="G30" s="910" t="s">
        <v>1183</v>
      </c>
      <c r="H30" s="911"/>
      <c r="I30" s="912">
        <f>100%-I27-I28-I29</f>
        <v>0.42700000000000005</v>
      </c>
      <c r="J30" s="913">
        <f t="shared" si="6"/>
        <v>0.02</v>
      </c>
      <c r="K30" s="928">
        <f t="shared" si="7"/>
        <v>8.5400000000000007E-3</v>
      </c>
    </row>
    <row r="31" spans="1:11" x14ac:dyDescent="0.3">
      <c r="A31" s="916" t="s">
        <v>1284</v>
      </c>
      <c r="B31" s="917"/>
      <c r="C31" s="918"/>
      <c r="D31" s="919"/>
      <c r="E31" s="920">
        <v>-1E-3</v>
      </c>
      <c r="G31" s="916" t="s">
        <v>1284</v>
      </c>
      <c r="H31" s="917"/>
      <c r="I31" s="918"/>
      <c r="J31" s="919"/>
      <c r="K31" s="920">
        <v>-1E-3</v>
      </c>
    </row>
    <row r="32" spans="1:11" x14ac:dyDescent="0.3">
      <c r="A32" s="910"/>
      <c r="B32" s="911"/>
      <c r="C32" s="912"/>
      <c r="D32" s="911"/>
      <c r="E32" s="921"/>
      <c r="G32" s="910"/>
      <c r="H32" s="911"/>
      <c r="I32" s="912"/>
      <c r="J32" s="911"/>
      <c r="K32" s="921"/>
    </row>
    <row r="33" spans="1:11" ht="15" thickBot="1" x14ac:dyDescent="0.35">
      <c r="A33" s="910" t="s">
        <v>23</v>
      </c>
      <c r="B33" s="911"/>
      <c r="C33" s="922">
        <f>SUM(C27:C32)</f>
        <v>1</v>
      </c>
      <c r="D33" s="911"/>
      <c r="E33" s="923">
        <f>SUM(E27:E32)</f>
        <v>2.3359999999999999E-2</v>
      </c>
      <c r="G33" s="910" t="s">
        <v>23</v>
      </c>
      <c r="H33" s="911"/>
      <c r="I33" s="922">
        <f>SUM(I27:I32)</f>
        <v>1</v>
      </c>
      <c r="J33" s="911"/>
      <c r="K33" s="923">
        <f>SUM(K27:K32)</f>
        <v>2.3120000000000002E-2</v>
      </c>
    </row>
    <row r="34" spans="1:11" ht="15.6" thickTop="1" thickBot="1" x14ac:dyDescent="0.35">
      <c r="A34" s="924"/>
      <c r="B34" s="925"/>
      <c r="C34" s="926"/>
      <c r="D34" s="925"/>
      <c r="E34" s="927"/>
    </row>
  </sheetData>
  <mergeCells count="7">
    <mergeCell ref="A1:E1"/>
    <mergeCell ref="A3:E3"/>
    <mergeCell ref="A14:E14"/>
    <mergeCell ref="A25:E25"/>
    <mergeCell ref="G3:K3"/>
    <mergeCell ref="G14:K14"/>
    <mergeCell ref="G25:K25"/>
  </mergeCells>
  <pageMargins left="0.7" right="0.7" top="0.75" bottom="0.75" header="0.3" footer="0.3"/>
  <pageSetup paperSize="9" orientation="portrait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workbookViewId="0">
      <selection activeCell="A21" sqref="A21:M21"/>
    </sheetView>
  </sheetViews>
  <sheetFormatPr defaultRowHeight="13.8" x14ac:dyDescent="0.25"/>
  <cols>
    <col min="1" max="1" width="19.6640625" style="842" customWidth="1"/>
    <col min="2" max="2" width="12" style="842" customWidth="1"/>
    <col min="3" max="3" width="11.33203125" style="842" customWidth="1"/>
    <col min="4" max="4" width="15.6640625" style="842" bestFit="1" customWidth="1"/>
    <col min="5" max="5" width="13.5546875" style="842" customWidth="1"/>
    <col min="6" max="6" width="11" style="842" customWidth="1"/>
    <col min="7" max="7" width="11.109375" style="842" customWidth="1"/>
    <col min="8" max="8" width="13.33203125" style="842" customWidth="1"/>
    <col min="9" max="9" width="11.5546875" style="842" customWidth="1"/>
    <col min="10" max="10" width="11.6640625" style="842" customWidth="1"/>
    <col min="11" max="11" width="13" style="842" customWidth="1"/>
    <col min="12" max="12" width="13.6640625" style="842" customWidth="1"/>
    <col min="13" max="13" width="12.6640625" style="842" customWidth="1"/>
    <col min="14" max="256" width="9.109375" style="842"/>
    <col min="257" max="257" width="19.6640625" style="842" customWidth="1"/>
    <col min="258" max="259" width="9.109375" style="842"/>
    <col min="260" max="260" width="15.6640625" style="842" bestFit="1" customWidth="1"/>
    <col min="261" max="261" width="11.44140625" style="842" bestFit="1" customWidth="1"/>
    <col min="262" max="267" width="9.109375" style="842"/>
    <col min="268" max="268" width="11.5546875" style="842" customWidth="1"/>
    <col min="269" max="269" width="12.6640625" style="842" customWidth="1"/>
    <col min="270" max="512" width="9.109375" style="842"/>
    <col min="513" max="513" width="19.6640625" style="842" customWidth="1"/>
    <col min="514" max="515" width="9.109375" style="842"/>
    <col min="516" max="516" width="15.6640625" style="842" bestFit="1" customWidth="1"/>
    <col min="517" max="517" width="11.44140625" style="842" bestFit="1" customWidth="1"/>
    <col min="518" max="523" width="9.109375" style="842"/>
    <col min="524" max="524" width="11.5546875" style="842" customWidth="1"/>
    <col min="525" max="525" width="12.6640625" style="842" customWidth="1"/>
    <col min="526" max="768" width="9.109375" style="842"/>
    <col min="769" max="769" width="19.6640625" style="842" customWidth="1"/>
    <col min="770" max="771" width="9.109375" style="842"/>
    <col min="772" max="772" width="15.6640625" style="842" bestFit="1" customWidth="1"/>
    <col min="773" max="773" width="11.44140625" style="842" bestFit="1" customWidth="1"/>
    <col min="774" max="779" width="9.109375" style="842"/>
    <col min="780" max="780" width="11.5546875" style="842" customWidth="1"/>
    <col min="781" max="781" width="12.6640625" style="842" customWidth="1"/>
    <col min="782" max="1024" width="9.109375" style="842"/>
    <col min="1025" max="1025" width="19.6640625" style="842" customWidth="1"/>
    <col min="1026" max="1027" width="9.109375" style="842"/>
    <col min="1028" max="1028" width="15.6640625" style="842" bestFit="1" customWidth="1"/>
    <col min="1029" max="1029" width="11.44140625" style="842" bestFit="1" customWidth="1"/>
    <col min="1030" max="1035" width="9.109375" style="842"/>
    <col min="1036" max="1036" width="11.5546875" style="842" customWidth="1"/>
    <col min="1037" max="1037" width="12.6640625" style="842" customWidth="1"/>
    <col min="1038" max="1280" width="9.109375" style="842"/>
    <col min="1281" max="1281" width="19.6640625" style="842" customWidth="1"/>
    <col min="1282" max="1283" width="9.109375" style="842"/>
    <col min="1284" max="1284" width="15.6640625" style="842" bestFit="1" customWidth="1"/>
    <col min="1285" max="1285" width="11.44140625" style="842" bestFit="1" customWidth="1"/>
    <col min="1286" max="1291" width="9.109375" style="842"/>
    <col min="1292" max="1292" width="11.5546875" style="842" customWidth="1"/>
    <col min="1293" max="1293" width="12.6640625" style="842" customWidth="1"/>
    <col min="1294" max="1536" width="9.109375" style="842"/>
    <col min="1537" max="1537" width="19.6640625" style="842" customWidth="1"/>
    <col min="1538" max="1539" width="9.109375" style="842"/>
    <col min="1540" max="1540" width="15.6640625" style="842" bestFit="1" customWidth="1"/>
    <col min="1541" max="1541" width="11.44140625" style="842" bestFit="1" customWidth="1"/>
    <col min="1542" max="1547" width="9.109375" style="842"/>
    <col min="1548" max="1548" width="11.5546875" style="842" customWidth="1"/>
    <col min="1549" max="1549" width="12.6640625" style="842" customWidth="1"/>
    <col min="1550" max="1792" width="9.109375" style="842"/>
    <col min="1793" max="1793" width="19.6640625" style="842" customWidth="1"/>
    <col min="1794" max="1795" width="9.109375" style="842"/>
    <col min="1796" max="1796" width="15.6640625" style="842" bestFit="1" customWidth="1"/>
    <col min="1797" max="1797" width="11.44140625" style="842" bestFit="1" customWidth="1"/>
    <col min="1798" max="1803" width="9.109375" style="842"/>
    <col min="1804" max="1804" width="11.5546875" style="842" customWidth="1"/>
    <col min="1805" max="1805" width="12.6640625" style="842" customWidth="1"/>
    <col min="1806" max="2048" width="9.109375" style="842"/>
    <col min="2049" max="2049" width="19.6640625" style="842" customWidth="1"/>
    <col min="2050" max="2051" width="9.109375" style="842"/>
    <col min="2052" max="2052" width="15.6640625" style="842" bestFit="1" customWidth="1"/>
    <col min="2053" max="2053" width="11.44140625" style="842" bestFit="1" customWidth="1"/>
    <col min="2054" max="2059" width="9.109375" style="842"/>
    <col min="2060" max="2060" width="11.5546875" style="842" customWidth="1"/>
    <col min="2061" max="2061" width="12.6640625" style="842" customWidth="1"/>
    <col min="2062" max="2304" width="9.109375" style="842"/>
    <col min="2305" max="2305" width="19.6640625" style="842" customWidth="1"/>
    <col min="2306" max="2307" width="9.109375" style="842"/>
    <col min="2308" max="2308" width="15.6640625" style="842" bestFit="1" customWidth="1"/>
    <col min="2309" max="2309" width="11.44140625" style="842" bestFit="1" customWidth="1"/>
    <col min="2310" max="2315" width="9.109375" style="842"/>
    <col min="2316" max="2316" width="11.5546875" style="842" customWidth="1"/>
    <col min="2317" max="2317" width="12.6640625" style="842" customWidth="1"/>
    <col min="2318" max="2560" width="9.109375" style="842"/>
    <col min="2561" max="2561" width="19.6640625" style="842" customWidth="1"/>
    <col min="2562" max="2563" width="9.109375" style="842"/>
    <col min="2564" max="2564" width="15.6640625" style="842" bestFit="1" customWidth="1"/>
    <col min="2565" max="2565" width="11.44140625" style="842" bestFit="1" customWidth="1"/>
    <col min="2566" max="2571" width="9.109375" style="842"/>
    <col min="2572" max="2572" width="11.5546875" style="842" customWidth="1"/>
    <col min="2573" max="2573" width="12.6640625" style="842" customWidth="1"/>
    <col min="2574" max="2816" width="9.109375" style="842"/>
    <col min="2817" max="2817" width="19.6640625" style="842" customWidth="1"/>
    <col min="2818" max="2819" width="9.109375" style="842"/>
    <col min="2820" max="2820" width="15.6640625" style="842" bestFit="1" customWidth="1"/>
    <col min="2821" max="2821" width="11.44140625" style="842" bestFit="1" customWidth="1"/>
    <col min="2822" max="2827" width="9.109375" style="842"/>
    <col min="2828" max="2828" width="11.5546875" style="842" customWidth="1"/>
    <col min="2829" max="2829" width="12.6640625" style="842" customWidth="1"/>
    <col min="2830" max="3072" width="9.109375" style="842"/>
    <col min="3073" max="3073" width="19.6640625" style="842" customWidth="1"/>
    <col min="3074" max="3075" width="9.109375" style="842"/>
    <col min="3076" max="3076" width="15.6640625" style="842" bestFit="1" customWidth="1"/>
    <col min="3077" max="3077" width="11.44140625" style="842" bestFit="1" customWidth="1"/>
    <col min="3078" max="3083" width="9.109375" style="842"/>
    <col min="3084" max="3084" width="11.5546875" style="842" customWidth="1"/>
    <col min="3085" max="3085" width="12.6640625" style="842" customWidth="1"/>
    <col min="3086" max="3328" width="9.109375" style="842"/>
    <col min="3329" max="3329" width="19.6640625" style="842" customWidth="1"/>
    <col min="3330" max="3331" width="9.109375" style="842"/>
    <col min="3332" max="3332" width="15.6640625" style="842" bestFit="1" customWidth="1"/>
    <col min="3333" max="3333" width="11.44140625" style="842" bestFit="1" customWidth="1"/>
    <col min="3334" max="3339" width="9.109375" style="842"/>
    <col min="3340" max="3340" width="11.5546875" style="842" customWidth="1"/>
    <col min="3341" max="3341" width="12.6640625" style="842" customWidth="1"/>
    <col min="3342" max="3584" width="9.109375" style="842"/>
    <col min="3585" max="3585" width="19.6640625" style="842" customWidth="1"/>
    <col min="3586" max="3587" width="9.109375" style="842"/>
    <col min="3588" max="3588" width="15.6640625" style="842" bestFit="1" customWidth="1"/>
    <col min="3589" max="3589" width="11.44140625" style="842" bestFit="1" customWidth="1"/>
    <col min="3590" max="3595" width="9.109375" style="842"/>
    <col min="3596" max="3596" width="11.5546875" style="842" customWidth="1"/>
    <col min="3597" max="3597" width="12.6640625" style="842" customWidth="1"/>
    <col min="3598" max="3840" width="9.109375" style="842"/>
    <col min="3841" max="3841" width="19.6640625" style="842" customWidth="1"/>
    <col min="3842" max="3843" width="9.109375" style="842"/>
    <col min="3844" max="3844" width="15.6640625" style="842" bestFit="1" customWidth="1"/>
    <col min="3845" max="3845" width="11.44140625" style="842" bestFit="1" customWidth="1"/>
    <col min="3846" max="3851" width="9.109375" style="842"/>
    <col min="3852" max="3852" width="11.5546875" style="842" customWidth="1"/>
    <col min="3853" max="3853" width="12.6640625" style="842" customWidth="1"/>
    <col min="3854" max="4096" width="9.109375" style="842"/>
    <col min="4097" max="4097" width="19.6640625" style="842" customWidth="1"/>
    <col min="4098" max="4099" width="9.109375" style="842"/>
    <col min="4100" max="4100" width="15.6640625" style="842" bestFit="1" customWidth="1"/>
    <col min="4101" max="4101" width="11.44140625" style="842" bestFit="1" customWidth="1"/>
    <col min="4102" max="4107" width="9.109375" style="842"/>
    <col min="4108" max="4108" width="11.5546875" style="842" customWidth="1"/>
    <col min="4109" max="4109" width="12.6640625" style="842" customWidth="1"/>
    <col min="4110" max="4352" width="9.109375" style="842"/>
    <col min="4353" max="4353" width="19.6640625" style="842" customWidth="1"/>
    <col min="4354" max="4355" width="9.109375" style="842"/>
    <col min="4356" max="4356" width="15.6640625" style="842" bestFit="1" customWidth="1"/>
    <col min="4357" max="4357" width="11.44140625" style="842" bestFit="1" customWidth="1"/>
    <col min="4358" max="4363" width="9.109375" style="842"/>
    <col min="4364" max="4364" width="11.5546875" style="842" customWidth="1"/>
    <col min="4365" max="4365" width="12.6640625" style="842" customWidth="1"/>
    <col min="4366" max="4608" width="9.109375" style="842"/>
    <col min="4609" max="4609" width="19.6640625" style="842" customWidth="1"/>
    <col min="4610" max="4611" width="9.109375" style="842"/>
    <col min="4612" max="4612" width="15.6640625" style="842" bestFit="1" customWidth="1"/>
    <col min="4613" max="4613" width="11.44140625" style="842" bestFit="1" customWidth="1"/>
    <col min="4614" max="4619" width="9.109375" style="842"/>
    <col min="4620" max="4620" width="11.5546875" style="842" customWidth="1"/>
    <col min="4621" max="4621" width="12.6640625" style="842" customWidth="1"/>
    <col min="4622" max="4864" width="9.109375" style="842"/>
    <col min="4865" max="4865" width="19.6640625" style="842" customWidth="1"/>
    <col min="4866" max="4867" width="9.109375" style="842"/>
    <col min="4868" max="4868" width="15.6640625" style="842" bestFit="1" customWidth="1"/>
    <col min="4869" max="4869" width="11.44140625" style="842" bestFit="1" customWidth="1"/>
    <col min="4870" max="4875" width="9.109375" style="842"/>
    <col min="4876" max="4876" width="11.5546875" style="842" customWidth="1"/>
    <col min="4877" max="4877" width="12.6640625" style="842" customWidth="1"/>
    <col min="4878" max="5120" width="9.109375" style="842"/>
    <col min="5121" max="5121" width="19.6640625" style="842" customWidth="1"/>
    <col min="5122" max="5123" width="9.109375" style="842"/>
    <col min="5124" max="5124" width="15.6640625" style="842" bestFit="1" customWidth="1"/>
    <col min="5125" max="5125" width="11.44140625" style="842" bestFit="1" customWidth="1"/>
    <col min="5126" max="5131" width="9.109375" style="842"/>
    <col min="5132" max="5132" width="11.5546875" style="842" customWidth="1"/>
    <col min="5133" max="5133" width="12.6640625" style="842" customWidth="1"/>
    <col min="5134" max="5376" width="9.109375" style="842"/>
    <col min="5377" max="5377" width="19.6640625" style="842" customWidth="1"/>
    <col min="5378" max="5379" width="9.109375" style="842"/>
    <col min="5380" max="5380" width="15.6640625" style="842" bestFit="1" customWidth="1"/>
    <col min="5381" max="5381" width="11.44140625" style="842" bestFit="1" customWidth="1"/>
    <col min="5382" max="5387" width="9.109375" style="842"/>
    <col min="5388" max="5388" width="11.5546875" style="842" customWidth="1"/>
    <col min="5389" max="5389" width="12.6640625" style="842" customWidth="1"/>
    <col min="5390" max="5632" width="9.109375" style="842"/>
    <col min="5633" max="5633" width="19.6640625" style="842" customWidth="1"/>
    <col min="5634" max="5635" width="9.109375" style="842"/>
    <col min="5636" max="5636" width="15.6640625" style="842" bestFit="1" customWidth="1"/>
    <col min="5637" max="5637" width="11.44140625" style="842" bestFit="1" customWidth="1"/>
    <col min="5638" max="5643" width="9.109375" style="842"/>
    <col min="5644" max="5644" width="11.5546875" style="842" customWidth="1"/>
    <col min="5645" max="5645" width="12.6640625" style="842" customWidth="1"/>
    <col min="5646" max="5888" width="9.109375" style="842"/>
    <col min="5889" max="5889" width="19.6640625" style="842" customWidth="1"/>
    <col min="5890" max="5891" width="9.109375" style="842"/>
    <col min="5892" max="5892" width="15.6640625" style="842" bestFit="1" customWidth="1"/>
    <col min="5893" max="5893" width="11.44140625" style="842" bestFit="1" customWidth="1"/>
    <col min="5894" max="5899" width="9.109375" style="842"/>
    <col min="5900" max="5900" width="11.5546875" style="842" customWidth="1"/>
    <col min="5901" max="5901" width="12.6640625" style="842" customWidth="1"/>
    <col min="5902" max="6144" width="9.109375" style="842"/>
    <col min="6145" max="6145" width="19.6640625" style="842" customWidth="1"/>
    <col min="6146" max="6147" width="9.109375" style="842"/>
    <col min="6148" max="6148" width="15.6640625" style="842" bestFit="1" customWidth="1"/>
    <col min="6149" max="6149" width="11.44140625" style="842" bestFit="1" customWidth="1"/>
    <col min="6150" max="6155" width="9.109375" style="842"/>
    <col min="6156" max="6156" width="11.5546875" style="842" customWidth="1"/>
    <col min="6157" max="6157" width="12.6640625" style="842" customWidth="1"/>
    <col min="6158" max="6400" width="9.109375" style="842"/>
    <col min="6401" max="6401" width="19.6640625" style="842" customWidth="1"/>
    <col min="6402" max="6403" width="9.109375" style="842"/>
    <col min="6404" max="6404" width="15.6640625" style="842" bestFit="1" customWidth="1"/>
    <col min="6405" max="6405" width="11.44140625" style="842" bestFit="1" customWidth="1"/>
    <col min="6406" max="6411" width="9.109375" style="842"/>
    <col min="6412" max="6412" width="11.5546875" style="842" customWidth="1"/>
    <col min="6413" max="6413" width="12.6640625" style="842" customWidth="1"/>
    <col min="6414" max="6656" width="9.109375" style="842"/>
    <col min="6657" max="6657" width="19.6640625" style="842" customWidth="1"/>
    <col min="6658" max="6659" width="9.109375" style="842"/>
    <col min="6660" max="6660" width="15.6640625" style="842" bestFit="1" customWidth="1"/>
    <col min="6661" max="6661" width="11.44140625" style="842" bestFit="1" customWidth="1"/>
    <col min="6662" max="6667" width="9.109375" style="842"/>
    <col min="6668" max="6668" width="11.5546875" style="842" customWidth="1"/>
    <col min="6669" max="6669" width="12.6640625" style="842" customWidth="1"/>
    <col min="6670" max="6912" width="9.109375" style="842"/>
    <col min="6913" max="6913" width="19.6640625" style="842" customWidth="1"/>
    <col min="6914" max="6915" width="9.109375" style="842"/>
    <col min="6916" max="6916" width="15.6640625" style="842" bestFit="1" customWidth="1"/>
    <col min="6917" max="6917" width="11.44140625" style="842" bestFit="1" customWidth="1"/>
    <col min="6918" max="6923" width="9.109375" style="842"/>
    <col min="6924" max="6924" width="11.5546875" style="842" customWidth="1"/>
    <col min="6925" max="6925" width="12.6640625" style="842" customWidth="1"/>
    <col min="6926" max="7168" width="9.109375" style="842"/>
    <col min="7169" max="7169" width="19.6640625" style="842" customWidth="1"/>
    <col min="7170" max="7171" width="9.109375" style="842"/>
    <col min="7172" max="7172" width="15.6640625" style="842" bestFit="1" customWidth="1"/>
    <col min="7173" max="7173" width="11.44140625" style="842" bestFit="1" customWidth="1"/>
    <col min="7174" max="7179" width="9.109375" style="842"/>
    <col min="7180" max="7180" width="11.5546875" style="842" customWidth="1"/>
    <col min="7181" max="7181" width="12.6640625" style="842" customWidth="1"/>
    <col min="7182" max="7424" width="9.109375" style="842"/>
    <col min="7425" max="7425" width="19.6640625" style="842" customWidth="1"/>
    <col min="7426" max="7427" width="9.109375" style="842"/>
    <col min="7428" max="7428" width="15.6640625" style="842" bestFit="1" customWidth="1"/>
    <col min="7429" max="7429" width="11.44140625" style="842" bestFit="1" customWidth="1"/>
    <col min="7430" max="7435" width="9.109375" style="842"/>
    <col min="7436" max="7436" width="11.5546875" style="842" customWidth="1"/>
    <col min="7437" max="7437" width="12.6640625" style="842" customWidth="1"/>
    <col min="7438" max="7680" width="9.109375" style="842"/>
    <col min="7681" max="7681" width="19.6640625" style="842" customWidth="1"/>
    <col min="7682" max="7683" width="9.109375" style="842"/>
    <col min="7684" max="7684" width="15.6640625" style="842" bestFit="1" customWidth="1"/>
    <col min="7685" max="7685" width="11.44140625" style="842" bestFit="1" customWidth="1"/>
    <col min="7686" max="7691" width="9.109375" style="842"/>
    <col min="7692" max="7692" width="11.5546875" style="842" customWidth="1"/>
    <col min="7693" max="7693" width="12.6640625" style="842" customWidth="1"/>
    <col min="7694" max="7936" width="9.109375" style="842"/>
    <col min="7937" max="7937" width="19.6640625" style="842" customWidth="1"/>
    <col min="7938" max="7939" width="9.109375" style="842"/>
    <col min="7940" max="7940" width="15.6640625" style="842" bestFit="1" customWidth="1"/>
    <col min="7941" max="7941" width="11.44140625" style="842" bestFit="1" customWidth="1"/>
    <col min="7942" max="7947" width="9.109375" style="842"/>
    <col min="7948" max="7948" width="11.5546875" style="842" customWidth="1"/>
    <col min="7949" max="7949" width="12.6640625" style="842" customWidth="1"/>
    <col min="7950" max="8192" width="9.109375" style="842"/>
    <col min="8193" max="8193" width="19.6640625" style="842" customWidth="1"/>
    <col min="8194" max="8195" width="9.109375" style="842"/>
    <col min="8196" max="8196" width="15.6640625" style="842" bestFit="1" customWidth="1"/>
    <col min="8197" max="8197" width="11.44140625" style="842" bestFit="1" customWidth="1"/>
    <col min="8198" max="8203" width="9.109375" style="842"/>
    <col min="8204" max="8204" width="11.5546875" style="842" customWidth="1"/>
    <col min="8205" max="8205" width="12.6640625" style="842" customWidth="1"/>
    <col min="8206" max="8448" width="9.109375" style="842"/>
    <col min="8449" max="8449" width="19.6640625" style="842" customWidth="1"/>
    <col min="8450" max="8451" width="9.109375" style="842"/>
    <col min="8452" max="8452" width="15.6640625" style="842" bestFit="1" customWidth="1"/>
    <col min="8453" max="8453" width="11.44140625" style="842" bestFit="1" customWidth="1"/>
    <col min="8454" max="8459" width="9.109375" style="842"/>
    <col min="8460" max="8460" width="11.5546875" style="842" customWidth="1"/>
    <col min="8461" max="8461" width="12.6640625" style="842" customWidth="1"/>
    <col min="8462" max="8704" width="9.109375" style="842"/>
    <col min="8705" max="8705" width="19.6640625" style="842" customWidth="1"/>
    <col min="8706" max="8707" width="9.109375" style="842"/>
    <col min="8708" max="8708" width="15.6640625" style="842" bestFit="1" customWidth="1"/>
    <col min="8709" max="8709" width="11.44140625" style="842" bestFit="1" customWidth="1"/>
    <col min="8710" max="8715" width="9.109375" style="842"/>
    <col min="8716" max="8716" width="11.5546875" style="842" customWidth="1"/>
    <col min="8717" max="8717" width="12.6640625" style="842" customWidth="1"/>
    <col min="8718" max="8960" width="9.109375" style="842"/>
    <col min="8961" max="8961" width="19.6640625" style="842" customWidth="1"/>
    <col min="8962" max="8963" width="9.109375" style="842"/>
    <col min="8964" max="8964" width="15.6640625" style="842" bestFit="1" customWidth="1"/>
    <col min="8965" max="8965" width="11.44140625" style="842" bestFit="1" customWidth="1"/>
    <col min="8966" max="8971" width="9.109375" style="842"/>
    <col min="8972" max="8972" width="11.5546875" style="842" customWidth="1"/>
    <col min="8973" max="8973" width="12.6640625" style="842" customWidth="1"/>
    <col min="8974" max="9216" width="9.109375" style="842"/>
    <col min="9217" max="9217" width="19.6640625" style="842" customWidth="1"/>
    <col min="9218" max="9219" width="9.109375" style="842"/>
    <col min="9220" max="9220" width="15.6640625" style="842" bestFit="1" customWidth="1"/>
    <col min="9221" max="9221" width="11.44140625" style="842" bestFit="1" customWidth="1"/>
    <col min="9222" max="9227" width="9.109375" style="842"/>
    <col min="9228" max="9228" width="11.5546875" style="842" customWidth="1"/>
    <col min="9229" max="9229" width="12.6640625" style="842" customWidth="1"/>
    <col min="9230" max="9472" width="9.109375" style="842"/>
    <col min="9473" max="9473" width="19.6640625" style="842" customWidth="1"/>
    <col min="9474" max="9475" width="9.109375" style="842"/>
    <col min="9476" max="9476" width="15.6640625" style="842" bestFit="1" customWidth="1"/>
    <col min="9477" max="9477" width="11.44140625" style="842" bestFit="1" customWidth="1"/>
    <col min="9478" max="9483" width="9.109375" style="842"/>
    <col min="9484" max="9484" width="11.5546875" style="842" customWidth="1"/>
    <col min="9485" max="9485" width="12.6640625" style="842" customWidth="1"/>
    <col min="9486" max="9728" width="9.109375" style="842"/>
    <col min="9729" max="9729" width="19.6640625" style="842" customWidth="1"/>
    <col min="9730" max="9731" width="9.109375" style="842"/>
    <col min="9732" max="9732" width="15.6640625" style="842" bestFit="1" customWidth="1"/>
    <col min="9733" max="9733" width="11.44140625" style="842" bestFit="1" customWidth="1"/>
    <col min="9734" max="9739" width="9.109375" style="842"/>
    <col min="9740" max="9740" width="11.5546875" style="842" customWidth="1"/>
    <col min="9741" max="9741" width="12.6640625" style="842" customWidth="1"/>
    <col min="9742" max="9984" width="9.109375" style="842"/>
    <col min="9985" max="9985" width="19.6640625" style="842" customWidth="1"/>
    <col min="9986" max="9987" width="9.109375" style="842"/>
    <col min="9988" max="9988" width="15.6640625" style="842" bestFit="1" customWidth="1"/>
    <col min="9989" max="9989" width="11.44140625" style="842" bestFit="1" customWidth="1"/>
    <col min="9990" max="9995" width="9.109375" style="842"/>
    <col min="9996" max="9996" width="11.5546875" style="842" customWidth="1"/>
    <col min="9997" max="9997" width="12.6640625" style="842" customWidth="1"/>
    <col min="9998" max="10240" width="9.109375" style="842"/>
    <col min="10241" max="10241" width="19.6640625" style="842" customWidth="1"/>
    <col min="10242" max="10243" width="9.109375" style="842"/>
    <col min="10244" max="10244" width="15.6640625" style="842" bestFit="1" customWidth="1"/>
    <col min="10245" max="10245" width="11.44140625" style="842" bestFit="1" customWidth="1"/>
    <col min="10246" max="10251" width="9.109375" style="842"/>
    <col min="10252" max="10252" width="11.5546875" style="842" customWidth="1"/>
    <col min="10253" max="10253" width="12.6640625" style="842" customWidth="1"/>
    <col min="10254" max="10496" width="9.109375" style="842"/>
    <col min="10497" max="10497" width="19.6640625" style="842" customWidth="1"/>
    <col min="10498" max="10499" width="9.109375" style="842"/>
    <col min="10500" max="10500" width="15.6640625" style="842" bestFit="1" customWidth="1"/>
    <col min="10501" max="10501" width="11.44140625" style="842" bestFit="1" customWidth="1"/>
    <col min="10502" max="10507" width="9.109375" style="842"/>
    <col min="10508" max="10508" width="11.5546875" style="842" customWidth="1"/>
    <col min="10509" max="10509" width="12.6640625" style="842" customWidth="1"/>
    <col min="10510" max="10752" width="9.109375" style="842"/>
    <col min="10753" max="10753" width="19.6640625" style="842" customWidth="1"/>
    <col min="10754" max="10755" width="9.109375" style="842"/>
    <col min="10756" max="10756" width="15.6640625" style="842" bestFit="1" customWidth="1"/>
    <col min="10757" max="10757" width="11.44140625" style="842" bestFit="1" customWidth="1"/>
    <col min="10758" max="10763" width="9.109375" style="842"/>
    <col min="10764" max="10764" width="11.5546875" style="842" customWidth="1"/>
    <col min="10765" max="10765" width="12.6640625" style="842" customWidth="1"/>
    <col min="10766" max="11008" width="9.109375" style="842"/>
    <col min="11009" max="11009" width="19.6640625" style="842" customWidth="1"/>
    <col min="11010" max="11011" width="9.109375" style="842"/>
    <col min="11012" max="11012" width="15.6640625" style="842" bestFit="1" customWidth="1"/>
    <col min="11013" max="11013" width="11.44140625" style="842" bestFit="1" customWidth="1"/>
    <col min="11014" max="11019" width="9.109375" style="842"/>
    <col min="11020" max="11020" width="11.5546875" style="842" customWidth="1"/>
    <col min="11021" max="11021" width="12.6640625" style="842" customWidth="1"/>
    <col min="11022" max="11264" width="9.109375" style="842"/>
    <col min="11265" max="11265" width="19.6640625" style="842" customWidth="1"/>
    <col min="11266" max="11267" width="9.109375" style="842"/>
    <col min="11268" max="11268" width="15.6640625" style="842" bestFit="1" customWidth="1"/>
    <col min="11269" max="11269" width="11.44140625" style="842" bestFit="1" customWidth="1"/>
    <col min="11270" max="11275" width="9.109375" style="842"/>
    <col min="11276" max="11276" width="11.5546875" style="842" customWidth="1"/>
    <col min="11277" max="11277" width="12.6640625" style="842" customWidth="1"/>
    <col min="11278" max="11520" width="9.109375" style="842"/>
    <col min="11521" max="11521" width="19.6640625" style="842" customWidth="1"/>
    <col min="11522" max="11523" width="9.109375" style="842"/>
    <col min="11524" max="11524" width="15.6640625" style="842" bestFit="1" customWidth="1"/>
    <col min="11525" max="11525" width="11.44140625" style="842" bestFit="1" customWidth="1"/>
    <col min="11526" max="11531" width="9.109375" style="842"/>
    <col min="11532" max="11532" width="11.5546875" style="842" customWidth="1"/>
    <col min="11533" max="11533" width="12.6640625" style="842" customWidth="1"/>
    <col min="11534" max="11776" width="9.109375" style="842"/>
    <col min="11777" max="11777" width="19.6640625" style="842" customWidth="1"/>
    <col min="11778" max="11779" width="9.109375" style="842"/>
    <col min="11780" max="11780" width="15.6640625" style="842" bestFit="1" customWidth="1"/>
    <col min="11781" max="11781" width="11.44140625" style="842" bestFit="1" customWidth="1"/>
    <col min="11782" max="11787" width="9.109375" style="842"/>
    <col min="11788" max="11788" width="11.5546875" style="842" customWidth="1"/>
    <col min="11789" max="11789" width="12.6640625" style="842" customWidth="1"/>
    <col min="11790" max="12032" width="9.109375" style="842"/>
    <col min="12033" max="12033" width="19.6640625" style="842" customWidth="1"/>
    <col min="12034" max="12035" width="9.109375" style="842"/>
    <col min="12036" max="12036" width="15.6640625" style="842" bestFit="1" customWidth="1"/>
    <col min="12037" max="12037" width="11.44140625" style="842" bestFit="1" customWidth="1"/>
    <col min="12038" max="12043" width="9.109375" style="842"/>
    <col min="12044" max="12044" width="11.5546875" style="842" customWidth="1"/>
    <col min="12045" max="12045" width="12.6640625" style="842" customWidth="1"/>
    <col min="12046" max="12288" width="9.109375" style="842"/>
    <col min="12289" max="12289" width="19.6640625" style="842" customWidth="1"/>
    <col min="12290" max="12291" width="9.109375" style="842"/>
    <col min="12292" max="12292" width="15.6640625" style="842" bestFit="1" customWidth="1"/>
    <col min="12293" max="12293" width="11.44140625" style="842" bestFit="1" customWidth="1"/>
    <col min="12294" max="12299" width="9.109375" style="842"/>
    <col min="12300" max="12300" width="11.5546875" style="842" customWidth="1"/>
    <col min="12301" max="12301" width="12.6640625" style="842" customWidth="1"/>
    <col min="12302" max="12544" width="9.109375" style="842"/>
    <col min="12545" max="12545" width="19.6640625" style="842" customWidth="1"/>
    <col min="12546" max="12547" width="9.109375" style="842"/>
    <col min="12548" max="12548" width="15.6640625" style="842" bestFit="1" customWidth="1"/>
    <col min="12549" max="12549" width="11.44140625" style="842" bestFit="1" customWidth="1"/>
    <col min="12550" max="12555" width="9.109375" style="842"/>
    <col min="12556" max="12556" width="11.5546875" style="842" customWidth="1"/>
    <col min="12557" max="12557" width="12.6640625" style="842" customWidth="1"/>
    <col min="12558" max="12800" width="9.109375" style="842"/>
    <col min="12801" max="12801" width="19.6640625" style="842" customWidth="1"/>
    <col min="12802" max="12803" width="9.109375" style="842"/>
    <col min="12804" max="12804" width="15.6640625" style="842" bestFit="1" customWidth="1"/>
    <col min="12805" max="12805" width="11.44140625" style="842" bestFit="1" customWidth="1"/>
    <col min="12806" max="12811" width="9.109375" style="842"/>
    <col min="12812" max="12812" width="11.5546875" style="842" customWidth="1"/>
    <col min="12813" max="12813" width="12.6640625" style="842" customWidth="1"/>
    <col min="12814" max="13056" width="9.109375" style="842"/>
    <col min="13057" max="13057" width="19.6640625" style="842" customWidth="1"/>
    <col min="13058" max="13059" width="9.109375" style="842"/>
    <col min="13060" max="13060" width="15.6640625" style="842" bestFit="1" customWidth="1"/>
    <col min="13061" max="13061" width="11.44140625" style="842" bestFit="1" customWidth="1"/>
    <col min="13062" max="13067" width="9.109375" style="842"/>
    <col min="13068" max="13068" width="11.5546875" style="842" customWidth="1"/>
    <col min="13069" max="13069" width="12.6640625" style="842" customWidth="1"/>
    <col min="13070" max="13312" width="9.109375" style="842"/>
    <col min="13313" max="13313" width="19.6640625" style="842" customWidth="1"/>
    <col min="13314" max="13315" width="9.109375" style="842"/>
    <col min="13316" max="13316" width="15.6640625" style="842" bestFit="1" customWidth="1"/>
    <col min="13317" max="13317" width="11.44140625" style="842" bestFit="1" customWidth="1"/>
    <col min="13318" max="13323" width="9.109375" style="842"/>
    <col min="13324" max="13324" width="11.5546875" style="842" customWidth="1"/>
    <col min="13325" max="13325" width="12.6640625" style="842" customWidth="1"/>
    <col min="13326" max="13568" width="9.109375" style="842"/>
    <col min="13569" max="13569" width="19.6640625" style="842" customWidth="1"/>
    <col min="13570" max="13571" width="9.109375" style="842"/>
    <col min="13572" max="13572" width="15.6640625" style="842" bestFit="1" customWidth="1"/>
    <col min="13573" max="13573" width="11.44140625" style="842" bestFit="1" customWidth="1"/>
    <col min="13574" max="13579" width="9.109375" style="842"/>
    <col min="13580" max="13580" width="11.5546875" style="842" customWidth="1"/>
    <col min="13581" max="13581" width="12.6640625" style="842" customWidth="1"/>
    <col min="13582" max="13824" width="9.109375" style="842"/>
    <col min="13825" max="13825" width="19.6640625" style="842" customWidth="1"/>
    <col min="13826" max="13827" width="9.109375" style="842"/>
    <col min="13828" max="13828" width="15.6640625" style="842" bestFit="1" customWidth="1"/>
    <col min="13829" max="13829" width="11.44140625" style="842" bestFit="1" customWidth="1"/>
    <col min="13830" max="13835" width="9.109375" style="842"/>
    <col min="13836" max="13836" width="11.5546875" style="842" customWidth="1"/>
    <col min="13837" max="13837" width="12.6640625" style="842" customWidth="1"/>
    <col min="13838" max="14080" width="9.109375" style="842"/>
    <col min="14081" max="14081" width="19.6640625" style="842" customWidth="1"/>
    <col min="14082" max="14083" width="9.109375" style="842"/>
    <col min="14084" max="14084" width="15.6640625" style="842" bestFit="1" customWidth="1"/>
    <col min="14085" max="14085" width="11.44140625" style="842" bestFit="1" customWidth="1"/>
    <col min="14086" max="14091" width="9.109375" style="842"/>
    <col min="14092" max="14092" width="11.5546875" style="842" customWidth="1"/>
    <col min="14093" max="14093" width="12.6640625" style="842" customWidth="1"/>
    <col min="14094" max="14336" width="9.109375" style="842"/>
    <col min="14337" max="14337" width="19.6640625" style="842" customWidth="1"/>
    <col min="14338" max="14339" width="9.109375" style="842"/>
    <col min="14340" max="14340" width="15.6640625" style="842" bestFit="1" customWidth="1"/>
    <col min="14341" max="14341" width="11.44140625" style="842" bestFit="1" customWidth="1"/>
    <col min="14342" max="14347" width="9.109375" style="842"/>
    <col min="14348" max="14348" width="11.5546875" style="842" customWidth="1"/>
    <col min="14349" max="14349" width="12.6640625" style="842" customWidth="1"/>
    <col min="14350" max="14592" width="9.109375" style="842"/>
    <col min="14593" max="14593" width="19.6640625" style="842" customWidth="1"/>
    <col min="14594" max="14595" width="9.109375" style="842"/>
    <col min="14596" max="14596" width="15.6640625" style="842" bestFit="1" customWidth="1"/>
    <col min="14597" max="14597" width="11.44140625" style="842" bestFit="1" customWidth="1"/>
    <col min="14598" max="14603" width="9.109375" style="842"/>
    <col min="14604" max="14604" width="11.5546875" style="842" customWidth="1"/>
    <col min="14605" max="14605" width="12.6640625" style="842" customWidth="1"/>
    <col min="14606" max="14848" width="9.109375" style="842"/>
    <col min="14849" max="14849" width="19.6640625" style="842" customWidth="1"/>
    <col min="14850" max="14851" width="9.109375" style="842"/>
    <col min="14852" max="14852" width="15.6640625" style="842" bestFit="1" customWidth="1"/>
    <col min="14853" max="14853" width="11.44140625" style="842" bestFit="1" customWidth="1"/>
    <col min="14854" max="14859" width="9.109375" style="842"/>
    <col min="14860" max="14860" width="11.5546875" style="842" customWidth="1"/>
    <col min="14861" max="14861" width="12.6640625" style="842" customWidth="1"/>
    <col min="14862" max="15104" width="9.109375" style="842"/>
    <col min="15105" max="15105" width="19.6640625" style="842" customWidth="1"/>
    <col min="15106" max="15107" width="9.109375" style="842"/>
    <col min="15108" max="15108" width="15.6640625" style="842" bestFit="1" customWidth="1"/>
    <col min="15109" max="15109" width="11.44140625" style="842" bestFit="1" customWidth="1"/>
    <col min="15110" max="15115" width="9.109375" style="842"/>
    <col min="15116" max="15116" width="11.5546875" style="842" customWidth="1"/>
    <col min="15117" max="15117" width="12.6640625" style="842" customWidth="1"/>
    <col min="15118" max="15360" width="9.109375" style="842"/>
    <col min="15361" max="15361" width="19.6640625" style="842" customWidth="1"/>
    <col min="15362" max="15363" width="9.109375" style="842"/>
    <col min="15364" max="15364" width="15.6640625" style="842" bestFit="1" customWidth="1"/>
    <col min="15365" max="15365" width="11.44140625" style="842" bestFit="1" customWidth="1"/>
    <col min="15366" max="15371" width="9.109375" style="842"/>
    <col min="15372" max="15372" width="11.5546875" style="842" customWidth="1"/>
    <col min="15373" max="15373" width="12.6640625" style="842" customWidth="1"/>
    <col min="15374" max="15616" width="9.109375" style="842"/>
    <col min="15617" max="15617" width="19.6640625" style="842" customWidth="1"/>
    <col min="15618" max="15619" width="9.109375" style="842"/>
    <col min="15620" max="15620" width="15.6640625" style="842" bestFit="1" customWidth="1"/>
    <col min="15621" max="15621" width="11.44140625" style="842" bestFit="1" customWidth="1"/>
    <col min="15622" max="15627" width="9.109375" style="842"/>
    <col min="15628" max="15628" width="11.5546875" style="842" customWidth="1"/>
    <col min="15629" max="15629" width="12.6640625" style="842" customWidth="1"/>
    <col min="15630" max="15872" width="9.109375" style="842"/>
    <col min="15873" max="15873" width="19.6640625" style="842" customWidth="1"/>
    <col min="15874" max="15875" width="9.109375" style="842"/>
    <col min="15876" max="15876" width="15.6640625" style="842" bestFit="1" customWidth="1"/>
    <col min="15877" max="15877" width="11.44140625" style="842" bestFit="1" customWidth="1"/>
    <col min="15878" max="15883" width="9.109375" style="842"/>
    <col min="15884" max="15884" width="11.5546875" style="842" customWidth="1"/>
    <col min="15885" max="15885" width="12.6640625" style="842" customWidth="1"/>
    <col min="15886" max="16128" width="9.109375" style="842"/>
    <col min="16129" max="16129" width="19.6640625" style="842" customWidth="1"/>
    <col min="16130" max="16131" width="9.109375" style="842"/>
    <col min="16132" max="16132" width="15.6640625" style="842" bestFit="1" customWidth="1"/>
    <col min="16133" max="16133" width="11.44140625" style="842" bestFit="1" customWidth="1"/>
    <col min="16134" max="16139" width="9.109375" style="842"/>
    <col min="16140" max="16140" width="11.5546875" style="842" customWidth="1"/>
    <col min="16141" max="16141" width="12.6640625" style="842" customWidth="1"/>
    <col min="16142" max="16384" width="9.109375" style="842"/>
  </cols>
  <sheetData>
    <row r="1" spans="1:13" ht="18" x14ac:dyDescent="0.25">
      <c r="A1" s="938" t="s">
        <v>1044</v>
      </c>
    </row>
    <row r="2" spans="1:13" ht="14.25" x14ac:dyDescent="0.2">
      <c r="A2" s="842" t="s">
        <v>1318</v>
      </c>
    </row>
    <row r="4" spans="1:13" ht="15" x14ac:dyDescent="0.25">
      <c r="C4" s="939" t="s">
        <v>3</v>
      </c>
      <c r="D4" s="939" t="s">
        <v>4</v>
      </c>
      <c r="E4" s="939" t="s">
        <v>5</v>
      </c>
      <c r="F4" s="939" t="s">
        <v>6</v>
      </c>
      <c r="G4" s="939" t="s">
        <v>7</v>
      </c>
      <c r="H4" s="939" t="s">
        <v>8</v>
      </c>
      <c r="I4" s="939" t="s">
        <v>9</v>
      </c>
      <c r="J4" s="939" t="s">
        <v>514</v>
      </c>
      <c r="K4" s="939" t="s">
        <v>515</v>
      </c>
      <c r="L4" s="939" t="s">
        <v>904</v>
      </c>
      <c r="M4" s="939" t="s">
        <v>1046</v>
      </c>
    </row>
    <row r="6" spans="1:13" ht="14.25" x14ac:dyDescent="0.2">
      <c r="A6" s="842" t="s">
        <v>1319</v>
      </c>
      <c r="C6" s="842">
        <v>4389814</v>
      </c>
      <c r="D6" s="842">
        <f>C6</f>
        <v>4389814</v>
      </c>
      <c r="E6" s="842">
        <f t="shared" ref="E6:M6" si="0">D6</f>
        <v>4389814</v>
      </c>
      <c r="F6" s="842">
        <f t="shared" si="0"/>
        <v>4389814</v>
      </c>
      <c r="G6" s="842">
        <f t="shared" si="0"/>
        <v>4389814</v>
      </c>
      <c r="H6" s="842">
        <f t="shared" si="0"/>
        <v>4389814</v>
      </c>
      <c r="I6" s="842">
        <f t="shared" si="0"/>
        <v>4389814</v>
      </c>
      <c r="J6" s="842">
        <f t="shared" si="0"/>
        <v>4389814</v>
      </c>
      <c r="K6" s="842">
        <f t="shared" si="0"/>
        <v>4389814</v>
      </c>
      <c r="L6" s="842">
        <f t="shared" si="0"/>
        <v>4389814</v>
      </c>
      <c r="M6" s="842">
        <f t="shared" si="0"/>
        <v>4389814</v>
      </c>
    </row>
    <row r="8" spans="1:13" ht="14.25" x14ac:dyDescent="0.2">
      <c r="A8" s="842" t="s">
        <v>1320</v>
      </c>
      <c r="C8" s="847">
        <f>C41</f>
        <v>4389814</v>
      </c>
      <c r="D8" s="847">
        <f t="shared" ref="D8:M8" si="1">D41</f>
        <v>4939914</v>
      </c>
      <c r="E8" s="847">
        <f t="shared" si="1"/>
        <v>4479530</v>
      </c>
      <c r="F8" s="847">
        <f t="shared" si="1"/>
        <v>4729530</v>
      </c>
      <c r="G8" s="847">
        <f t="shared" si="1"/>
        <v>4729530</v>
      </c>
      <c r="H8" s="847">
        <f t="shared" si="1"/>
        <v>4229530</v>
      </c>
      <c r="I8" s="847">
        <f t="shared" si="1"/>
        <v>4229530</v>
      </c>
      <c r="J8" s="847">
        <f t="shared" si="1"/>
        <v>3889998</v>
      </c>
      <c r="K8" s="847">
        <f t="shared" si="1"/>
        <v>3889998</v>
      </c>
      <c r="L8" s="847">
        <f t="shared" si="1"/>
        <v>2839998</v>
      </c>
      <c r="M8" s="847">
        <f t="shared" si="1"/>
        <v>1256040</v>
      </c>
    </row>
    <row r="10" spans="1:13" ht="14.25" x14ac:dyDescent="0.2">
      <c r="A10" s="842" t="s">
        <v>1321</v>
      </c>
      <c r="C10" s="842">
        <f>C8-C6</f>
        <v>0</v>
      </c>
      <c r="D10" s="842">
        <f t="shared" ref="D10:M10" si="2">D8-D6</f>
        <v>550100</v>
      </c>
      <c r="E10" s="842">
        <f t="shared" si="2"/>
        <v>89716</v>
      </c>
      <c r="F10" s="842">
        <f t="shared" si="2"/>
        <v>339716</v>
      </c>
      <c r="G10" s="842">
        <f t="shared" si="2"/>
        <v>339716</v>
      </c>
      <c r="H10" s="842">
        <f t="shared" si="2"/>
        <v>-160284</v>
      </c>
      <c r="I10" s="842">
        <f t="shared" si="2"/>
        <v>-160284</v>
      </c>
      <c r="J10" s="842">
        <f t="shared" si="2"/>
        <v>-499816</v>
      </c>
      <c r="K10" s="842">
        <f t="shared" si="2"/>
        <v>-499816</v>
      </c>
      <c r="L10" s="842">
        <f t="shared" si="2"/>
        <v>-1549816</v>
      </c>
      <c r="M10" s="842">
        <f t="shared" si="2"/>
        <v>-3133774</v>
      </c>
    </row>
    <row r="12" spans="1:13" ht="14.25" x14ac:dyDescent="0.2">
      <c r="A12" s="842" t="s">
        <v>1322</v>
      </c>
      <c r="D12" s="940">
        <v>1.4999999999999999E-2</v>
      </c>
      <c r="E12" s="941">
        <v>2.5000000000000001E-2</v>
      </c>
      <c r="F12" s="941">
        <f>E12</f>
        <v>2.5000000000000001E-2</v>
      </c>
      <c r="G12" s="941">
        <f t="shared" ref="G12:M12" si="3">F12</f>
        <v>2.5000000000000001E-2</v>
      </c>
      <c r="H12" s="941">
        <f t="shared" si="3"/>
        <v>2.5000000000000001E-2</v>
      </c>
      <c r="I12" s="941">
        <f t="shared" si="3"/>
        <v>2.5000000000000001E-2</v>
      </c>
      <c r="J12" s="941">
        <f t="shared" si="3"/>
        <v>2.5000000000000001E-2</v>
      </c>
      <c r="K12" s="941">
        <f t="shared" si="3"/>
        <v>2.5000000000000001E-2</v>
      </c>
      <c r="L12" s="941">
        <f t="shared" si="3"/>
        <v>2.5000000000000001E-2</v>
      </c>
      <c r="M12" s="941">
        <f t="shared" si="3"/>
        <v>2.5000000000000001E-2</v>
      </c>
    </row>
    <row r="13" spans="1:13" ht="15" x14ac:dyDescent="0.25">
      <c r="A13" s="842" t="s">
        <v>583</v>
      </c>
      <c r="D13" s="942">
        <f>D12</f>
        <v>1.4999999999999999E-2</v>
      </c>
      <c r="E13" s="943">
        <f>D13*(1+E12)+E12</f>
        <v>4.0375000000000001E-2</v>
      </c>
      <c r="F13" s="943">
        <f t="shared" ref="F13:M13" si="4">E13*(1+F12)+F12</f>
        <v>6.6384374999999995E-2</v>
      </c>
      <c r="G13" s="943">
        <f t="shared" si="4"/>
        <v>9.3043984375E-2</v>
      </c>
      <c r="H13" s="943">
        <f t="shared" si="4"/>
        <v>0.12037008398437499</v>
      </c>
      <c r="I13" s="943">
        <f t="shared" si="4"/>
        <v>0.14837933608398435</v>
      </c>
      <c r="J13" s="943">
        <f t="shared" si="4"/>
        <v>0.17708881948608393</v>
      </c>
      <c r="K13" s="943">
        <f t="shared" si="4"/>
        <v>0.206516039973236</v>
      </c>
      <c r="L13" s="943">
        <f t="shared" si="4"/>
        <v>0.23667894097256689</v>
      </c>
      <c r="M13" s="943">
        <f t="shared" si="4"/>
        <v>0.26759591449688103</v>
      </c>
    </row>
    <row r="15" spans="1:13" ht="15" x14ac:dyDescent="0.25">
      <c r="A15" s="944" t="s">
        <v>1323</v>
      </c>
      <c r="B15" s="944"/>
      <c r="C15" s="944"/>
      <c r="D15" s="945">
        <f t="shared" ref="D15:G15" si="5">D10*(1+D13)</f>
        <v>558351.5</v>
      </c>
      <c r="E15" s="945">
        <f t="shared" si="5"/>
        <v>93338.283500000005</v>
      </c>
      <c r="F15" s="945">
        <f t="shared" si="5"/>
        <v>362267.83433749998</v>
      </c>
      <c r="G15" s="945">
        <f t="shared" si="5"/>
        <v>371324.53019593749</v>
      </c>
      <c r="H15" s="945">
        <f t="shared" ref="H15:M15" si="6">H10*(1+H13)</f>
        <v>-179577.39854135155</v>
      </c>
      <c r="I15" s="945">
        <f t="shared" si="6"/>
        <v>-184066.83350488538</v>
      </c>
      <c r="J15" s="945">
        <f t="shared" si="6"/>
        <v>-588327.82540025655</v>
      </c>
      <c r="K15" s="945">
        <f t="shared" si="6"/>
        <v>-603036.02103526297</v>
      </c>
      <c r="L15" s="945">
        <f t="shared" si="6"/>
        <v>-1916624.8095823398</v>
      </c>
      <c r="M15" s="945">
        <f t="shared" si="6"/>
        <v>-3972359.1193565484</v>
      </c>
    </row>
    <row r="20" spans="1:13" ht="15" x14ac:dyDescent="0.25">
      <c r="A20" s="842" t="s">
        <v>1376</v>
      </c>
    </row>
    <row r="21" spans="1:13" ht="48.75" customHeight="1" x14ac:dyDescent="0.2">
      <c r="A21" s="1591" t="s">
        <v>1386</v>
      </c>
      <c r="B21" s="1591"/>
      <c r="C21" s="1591"/>
      <c r="D21" s="1591"/>
      <c r="E21" s="1591"/>
      <c r="F21" s="1591"/>
      <c r="G21" s="1591"/>
      <c r="H21" s="1591"/>
      <c r="I21" s="1591"/>
      <c r="J21" s="1591"/>
      <c r="K21" s="1591"/>
      <c r="L21" s="1591"/>
      <c r="M21" s="1591"/>
    </row>
    <row r="22" spans="1:13" ht="14.25" x14ac:dyDescent="0.2">
      <c r="A22" s="1324"/>
      <c r="B22" s="1324"/>
      <c r="C22" s="1324" t="s">
        <v>3</v>
      </c>
      <c r="D22" s="1324" t="s">
        <v>4</v>
      </c>
      <c r="E22" s="1324" t="s">
        <v>5</v>
      </c>
      <c r="F22" s="1324" t="s">
        <v>6</v>
      </c>
      <c r="G22" s="1324" t="s">
        <v>7</v>
      </c>
      <c r="H22" s="1324" t="s">
        <v>8</v>
      </c>
      <c r="I22" s="1324" t="s">
        <v>9</v>
      </c>
      <c r="J22" s="1324" t="s">
        <v>514</v>
      </c>
      <c r="K22" s="1324" t="s">
        <v>515</v>
      </c>
      <c r="L22" s="1324" t="s">
        <v>904</v>
      </c>
      <c r="M22" s="1324" t="s">
        <v>1046</v>
      </c>
    </row>
    <row r="23" spans="1:13" ht="14.25" x14ac:dyDescent="0.2">
      <c r="A23" s="1324" t="s">
        <v>1377</v>
      </c>
      <c r="B23" s="1324"/>
      <c r="C23" s="1325">
        <v>138990</v>
      </c>
      <c r="D23" s="1325">
        <v>138990</v>
      </c>
      <c r="E23" s="1325">
        <v>138990</v>
      </c>
      <c r="F23" s="1325">
        <v>138990</v>
      </c>
      <c r="G23" s="1325">
        <v>138990</v>
      </c>
      <c r="H23" s="1325">
        <v>138990</v>
      </c>
      <c r="I23" s="1325">
        <v>138990</v>
      </c>
      <c r="J23" s="1325"/>
      <c r="K23" s="1325"/>
      <c r="L23" s="1325"/>
      <c r="M23" s="1325"/>
    </row>
    <row r="24" spans="1:13" ht="14.25" x14ac:dyDescent="0.2">
      <c r="A24" s="1324" t="s">
        <v>1378</v>
      </c>
      <c r="B24" s="1324"/>
      <c r="C24" s="1325">
        <v>225975</v>
      </c>
      <c r="D24" s="1325">
        <v>225975</v>
      </c>
      <c r="E24" s="1325">
        <v>225975</v>
      </c>
      <c r="F24" s="1325">
        <v>225975</v>
      </c>
      <c r="G24" s="1325">
        <v>225975</v>
      </c>
      <c r="H24" s="1325">
        <v>225975</v>
      </c>
      <c r="I24" s="1325">
        <v>225975</v>
      </c>
      <c r="J24" s="1325">
        <v>225975</v>
      </c>
      <c r="K24" s="1325">
        <v>225975</v>
      </c>
      <c r="L24" s="1325">
        <v>225975</v>
      </c>
      <c r="M24" s="1325">
        <v>225975</v>
      </c>
    </row>
    <row r="25" spans="1:13" ht="14.25" x14ac:dyDescent="0.2">
      <c r="A25" s="1324"/>
      <c r="B25" s="1324"/>
      <c r="C25" s="1325">
        <v>60036</v>
      </c>
      <c r="D25" s="1325">
        <v>60036</v>
      </c>
      <c r="E25" s="1325">
        <v>60036</v>
      </c>
      <c r="F25" s="1325">
        <v>60036</v>
      </c>
      <c r="G25" s="1325">
        <v>60036</v>
      </c>
      <c r="H25" s="1325">
        <v>60036</v>
      </c>
      <c r="I25" s="1325">
        <v>60036</v>
      </c>
      <c r="J25" s="1325">
        <v>60036</v>
      </c>
      <c r="K25" s="1325">
        <v>60036</v>
      </c>
      <c r="L25" s="1325">
        <v>60036</v>
      </c>
      <c r="M25" s="1325">
        <v>60036</v>
      </c>
    </row>
    <row r="26" spans="1:13" ht="14.25" x14ac:dyDescent="0.2">
      <c r="A26" s="1324"/>
      <c r="B26" s="1324"/>
      <c r="C26" s="1325">
        <v>19214</v>
      </c>
      <c r="D26" s="1325">
        <v>19214</v>
      </c>
      <c r="E26" s="1325">
        <v>19214</v>
      </c>
      <c r="F26" s="1325">
        <v>19214</v>
      </c>
      <c r="G26" s="1325">
        <v>19214</v>
      </c>
      <c r="H26" s="1325">
        <v>19214</v>
      </c>
      <c r="I26" s="1325">
        <v>19214</v>
      </c>
      <c r="J26" s="1325">
        <v>19214</v>
      </c>
      <c r="K26" s="1325">
        <v>19214</v>
      </c>
      <c r="L26" s="1325">
        <v>19214</v>
      </c>
      <c r="M26" s="1325">
        <v>19214</v>
      </c>
    </row>
    <row r="27" spans="1:13" ht="14.25" x14ac:dyDescent="0.2">
      <c r="A27" s="1324" t="s">
        <v>1379</v>
      </c>
      <c r="B27" s="1324"/>
      <c r="C27" s="1325">
        <v>346425</v>
      </c>
      <c r="D27" s="1325">
        <v>346525</v>
      </c>
      <c r="E27" s="1325"/>
      <c r="F27" s="1325"/>
      <c r="G27" s="1325"/>
      <c r="H27" s="1325"/>
      <c r="I27" s="1325"/>
      <c r="J27" s="1325"/>
      <c r="K27" s="1325"/>
      <c r="L27" s="1325"/>
      <c r="M27" s="1325"/>
    </row>
    <row r="28" spans="1:13" ht="14.25" x14ac:dyDescent="0.2">
      <c r="A28" s="1324"/>
      <c r="B28" s="1324"/>
      <c r="C28" s="1325">
        <v>19864</v>
      </c>
      <c r="D28" s="1325">
        <v>19864</v>
      </c>
      <c r="E28" s="1325"/>
      <c r="F28" s="1325"/>
      <c r="G28" s="1325"/>
      <c r="H28" s="1325"/>
      <c r="I28" s="1325"/>
      <c r="J28" s="1325"/>
      <c r="K28" s="1325"/>
      <c r="L28" s="1325"/>
      <c r="M28" s="1325"/>
    </row>
    <row r="29" spans="1:13" ht="14.25" x14ac:dyDescent="0.2">
      <c r="A29" s="1324"/>
      <c r="B29" s="1324"/>
      <c r="C29" s="1325">
        <v>93995</v>
      </c>
      <c r="D29" s="1325">
        <v>93995</v>
      </c>
      <c r="E29" s="1325"/>
      <c r="F29" s="1325"/>
      <c r="G29" s="1325"/>
      <c r="H29" s="1325"/>
      <c r="I29" s="1325"/>
      <c r="J29" s="1325"/>
      <c r="K29" s="1325"/>
      <c r="L29" s="1325"/>
      <c r="M29" s="1325"/>
    </row>
    <row r="30" spans="1:13" ht="14.25" x14ac:dyDescent="0.2">
      <c r="A30" s="1324" t="s">
        <v>1380</v>
      </c>
      <c r="B30" s="1324"/>
      <c r="C30" s="1325">
        <v>1147132</v>
      </c>
      <c r="D30" s="1325">
        <v>1147132</v>
      </c>
      <c r="E30" s="1325">
        <v>1147132</v>
      </c>
      <c r="F30" s="1325">
        <v>1147132</v>
      </c>
      <c r="G30" s="1325">
        <v>1147132</v>
      </c>
      <c r="H30" s="1325">
        <v>1147132</v>
      </c>
      <c r="I30" s="1325">
        <v>1147132</v>
      </c>
      <c r="J30" s="1325">
        <v>1147132</v>
      </c>
      <c r="K30" s="1325">
        <v>1147132</v>
      </c>
      <c r="L30" s="1325">
        <v>1147132</v>
      </c>
      <c r="M30" s="1325"/>
    </row>
    <row r="31" spans="1:13" x14ac:dyDescent="0.25">
      <c r="A31" s="1324"/>
      <c r="B31" s="1324"/>
      <c r="C31" s="1325">
        <v>23188</v>
      </c>
      <c r="D31" s="1325">
        <v>23188</v>
      </c>
      <c r="E31" s="1325">
        <v>23188</v>
      </c>
      <c r="F31" s="1325">
        <v>23188</v>
      </c>
      <c r="G31" s="1325">
        <v>23188</v>
      </c>
      <c r="H31" s="1325">
        <v>23188</v>
      </c>
      <c r="I31" s="1325">
        <v>23188</v>
      </c>
      <c r="J31" s="1325">
        <v>23188</v>
      </c>
      <c r="K31" s="1325">
        <v>23188</v>
      </c>
      <c r="L31" s="1325">
        <v>23188</v>
      </c>
      <c r="M31" s="1325"/>
    </row>
    <row r="32" spans="1:13" x14ac:dyDescent="0.25">
      <c r="A32" s="1324"/>
      <c r="B32" s="1324"/>
      <c r="C32" s="1325">
        <v>16758</v>
      </c>
      <c r="D32" s="1325">
        <v>16758</v>
      </c>
      <c r="E32" s="1325">
        <v>16758</v>
      </c>
      <c r="F32" s="1325">
        <v>16758</v>
      </c>
      <c r="G32" s="1325">
        <v>16758</v>
      </c>
      <c r="H32" s="1325">
        <v>16758</v>
      </c>
      <c r="I32" s="1325">
        <v>16758</v>
      </c>
      <c r="J32" s="1325">
        <v>16758</v>
      </c>
      <c r="K32" s="1325">
        <v>16758</v>
      </c>
      <c r="L32" s="1325">
        <v>16758</v>
      </c>
      <c r="M32" s="1325"/>
    </row>
    <row r="33" spans="1:13" x14ac:dyDescent="0.25">
      <c r="A33" s="1324"/>
      <c r="B33" s="1324"/>
      <c r="C33" s="1325">
        <v>101220</v>
      </c>
      <c r="D33" s="1325">
        <v>101220</v>
      </c>
      <c r="E33" s="1325">
        <v>101220</v>
      </c>
      <c r="F33" s="1325">
        <v>101220</v>
      </c>
      <c r="G33" s="1325">
        <v>101220</v>
      </c>
      <c r="H33" s="1325">
        <v>101220</v>
      </c>
      <c r="I33" s="1325">
        <v>101220</v>
      </c>
      <c r="J33" s="1325">
        <v>101220</v>
      </c>
      <c r="K33" s="1325">
        <v>101220</v>
      </c>
      <c r="L33" s="1325">
        <v>101220</v>
      </c>
      <c r="M33" s="1325"/>
    </row>
    <row r="34" spans="1:13" x14ac:dyDescent="0.25">
      <c r="A34" s="1324"/>
      <c r="B34" s="1324"/>
      <c r="C34" s="1325">
        <v>295660</v>
      </c>
      <c r="D34" s="1325">
        <v>295660</v>
      </c>
      <c r="E34" s="1325">
        <v>295660</v>
      </c>
      <c r="F34" s="1325">
        <v>295660</v>
      </c>
      <c r="G34" s="1325">
        <v>295660</v>
      </c>
      <c r="H34" s="1325">
        <v>295660</v>
      </c>
      <c r="I34" s="1325">
        <v>295660</v>
      </c>
      <c r="J34" s="1325">
        <v>295660</v>
      </c>
      <c r="K34" s="1325">
        <v>295660</v>
      </c>
      <c r="L34" s="1325">
        <v>295660</v>
      </c>
      <c r="M34" s="1325"/>
    </row>
    <row r="35" spans="1:13" x14ac:dyDescent="0.25">
      <c r="A35" s="1324" t="s">
        <v>1381</v>
      </c>
      <c r="B35" s="1324"/>
      <c r="C35" s="1325">
        <v>650815</v>
      </c>
      <c r="D35" s="1325">
        <v>650815</v>
      </c>
      <c r="E35" s="1325">
        <v>650815</v>
      </c>
      <c r="F35" s="1325">
        <v>650815</v>
      </c>
      <c r="G35" s="1325">
        <v>650815</v>
      </c>
      <c r="H35" s="1325">
        <v>650815</v>
      </c>
      <c r="I35" s="1325">
        <v>650815</v>
      </c>
      <c r="J35" s="1325">
        <v>650815</v>
      </c>
      <c r="K35" s="1325">
        <v>650815</v>
      </c>
      <c r="L35" s="1325">
        <v>650815</v>
      </c>
      <c r="M35" s="1325">
        <v>650815</v>
      </c>
    </row>
    <row r="36" spans="1:13" x14ac:dyDescent="0.25">
      <c r="A36" s="1324" t="s">
        <v>1382</v>
      </c>
      <c r="B36" s="1324"/>
      <c r="C36" s="1325"/>
      <c r="D36" s="1325">
        <v>300000</v>
      </c>
      <c r="E36" s="1325">
        <v>300000</v>
      </c>
      <c r="F36" s="1325">
        <v>300000</v>
      </c>
      <c r="G36" s="1325">
        <v>300000</v>
      </c>
      <c r="H36" s="1325">
        <v>300000</v>
      </c>
      <c r="I36" s="1325">
        <v>300000</v>
      </c>
      <c r="J36" s="1325">
        <v>300000</v>
      </c>
      <c r="K36" s="1325">
        <v>300000</v>
      </c>
      <c r="L36" s="1325">
        <v>300000</v>
      </c>
      <c r="M36" s="1325">
        <v>300000</v>
      </c>
    </row>
    <row r="37" spans="1:13" x14ac:dyDescent="0.25">
      <c r="A37" s="1324" t="s">
        <v>1383</v>
      </c>
      <c r="B37" s="1324"/>
      <c r="C37" s="1325">
        <v>1050000</v>
      </c>
      <c r="D37" s="1325">
        <v>1050000</v>
      </c>
      <c r="E37" s="1325">
        <v>1050000</v>
      </c>
      <c r="F37" s="1325">
        <v>1050000</v>
      </c>
      <c r="G37" s="1325">
        <v>1050000</v>
      </c>
      <c r="H37" s="1325">
        <v>1050000</v>
      </c>
      <c r="I37" s="1325">
        <v>1050000</v>
      </c>
      <c r="J37" s="1325">
        <v>1050000</v>
      </c>
      <c r="K37" s="1325">
        <v>1050000</v>
      </c>
      <c r="L37" s="1325"/>
      <c r="M37" s="1325"/>
    </row>
    <row r="38" spans="1:13" x14ac:dyDescent="0.25">
      <c r="A38" s="1324" t="s">
        <v>1384</v>
      </c>
      <c r="B38" s="1324"/>
      <c r="C38" s="1325">
        <v>200542</v>
      </c>
      <c r="D38" s="1325">
        <v>200542</v>
      </c>
      <c r="E38" s="1325">
        <v>200542</v>
      </c>
      <c r="F38" s="1325">
        <v>200542</v>
      </c>
      <c r="G38" s="1325">
        <v>200542</v>
      </c>
      <c r="H38" s="1325">
        <v>200542</v>
      </c>
      <c r="I38" s="1325">
        <v>200542</v>
      </c>
      <c r="J38" s="1325"/>
      <c r="K38" s="1325"/>
      <c r="L38" s="1325"/>
      <c r="M38" s="1325"/>
    </row>
    <row r="39" spans="1:13" x14ac:dyDescent="0.25">
      <c r="A39" s="1324" t="s">
        <v>1385</v>
      </c>
      <c r="B39" s="1324"/>
      <c r="C39" s="1325"/>
      <c r="D39" s="1325">
        <v>250000</v>
      </c>
      <c r="E39" s="1325">
        <v>250000</v>
      </c>
      <c r="F39" s="1325">
        <v>500000</v>
      </c>
      <c r="G39" s="1325">
        <v>500000</v>
      </c>
      <c r="H39" s="1325"/>
      <c r="I39" s="1325"/>
      <c r="J39" s="1325"/>
      <c r="K39" s="1325"/>
      <c r="L39" s="1325"/>
      <c r="M39" s="1325"/>
    </row>
    <row r="40" spans="1:13" x14ac:dyDescent="0.25">
      <c r="A40" s="1324"/>
      <c r="B40" s="1324"/>
      <c r="C40" s="1325"/>
      <c r="D40" s="1325"/>
      <c r="E40" s="1325"/>
      <c r="F40" s="1325"/>
      <c r="G40" s="1325"/>
      <c r="H40" s="1325"/>
      <c r="I40" s="1325"/>
      <c r="J40" s="1325"/>
      <c r="K40" s="1325"/>
      <c r="L40" s="1325"/>
      <c r="M40" s="1325"/>
    </row>
    <row r="41" spans="1:13" x14ac:dyDescent="0.25">
      <c r="A41" s="1324"/>
      <c r="B41" s="1324"/>
      <c r="C41" s="1325">
        <v>4389814</v>
      </c>
      <c r="D41" s="1325">
        <v>4939914</v>
      </c>
      <c r="E41" s="1325">
        <v>4479530</v>
      </c>
      <c r="F41" s="1325">
        <v>4729530</v>
      </c>
      <c r="G41" s="1325">
        <v>4729530</v>
      </c>
      <c r="H41" s="1325">
        <v>4229530</v>
      </c>
      <c r="I41" s="1325">
        <v>4229530</v>
      </c>
      <c r="J41" s="1325">
        <v>3889998</v>
      </c>
      <c r="K41" s="1325">
        <v>3889998</v>
      </c>
      <c r="L41" s="1325">
        <v>2839998</v>
      </c>
      <c r="M41" s="1325">
        <v>1256040</v>
      </c>
    </row>
    <row r="42" spans="1:13" x14ac:dyDescent="0.25">
      <c r="A42" s="1324"/>
      <c r="B42" s="1324"/>
      <c r="C42" s="1325"/>
      <c r="D42" s="1325"/>
      <c r="E42" s="1325"/>
      <c r="F42" s="1325"/>
      <c r="G42" s="1325"/>
      <c r="H42" s="1325"/>
      <c r="I42" s="1325"/>
      <c r="J42" s="1325"/>
      <c r="K42" s="1325"/>
      <c r="L42" s="1325"/>
      <c r="M42" s="1325"/>
    </row>
    <row r="43" spans="1:13" x14ac:dyDescent="0.25">
      <c r="A43" s="1324"/>
      <c r="B43" s="1324"/>
      <c r="C43" s="1325">
        <v>4389814</v>
      </c>
      <c r="D43" s="1325">
        <v>4389814</v>
      </c>
      <c r="E43" s="1325">
        <v>4389814</v>
      </c>
      <c r="F43" s="1325">
        <v>4389814</v>
      </c>
      <c r="G43" s="1325">
        <v>4389814</v>
      </c>
      <c r="H43" s="1325">
        <v>4389814</v>
      </c>
      <c r="I43" s="1325">
        <v>4389814</v>
      </c>
      <c r="J43" s="1325">
        <v>4389814</v>
      </c>
      <c r="K43" s="1325">
        <v>4389814</v>
      </c>
      <c r="L43" s="1325">
        <v>4389814</v>
      </c>
      <c r="M43" s="1325">
        <v>4389814</v>
      </c>
    </row>
    <row r="44" spans="1:13" x14ac:dyDescent="0.25">
      <c r="A44" s="1324"/>
      <c r="B44" s="1324"/>
      <c r="C44" s="1325"/>
      <c r="D44" s="1325"/>
      <c r="E44" s="1325"/>
      <c r="F44" s="1325"/>
      <c r="G44" s="1325"/>
      <c r="H44" s="1325"/>
      <c r="I44" s="1325"/>
      <c r="J44" s="1325"/>
      <c r="K44" s="1325"/>
      <c r="L44" s="1325"/>
      <c r="M44" s="1325"/>
    </row>
    <row r="45" spans="1:13" x14ac:dyDescent="0.25">
      <c r="A45" s="1324"/>
      <c r="B45" s="1324"/>
      <c r="C45" s="1325" t="s">
        <v>3</v>
      </c>
      <c r="D45" s="1325" t="s">
        <v>4</v>
      </c>
      <c r="E45" s="1325" t="s">
        <v>5</v>
      </c>
      <c r="F45" s="1325" t="s">
        <v>6</v>
      </c>
      <c r="G45" s="1325" t="s">
        <v>7</v>
      </c>
      <c r="H45" s="1325" t="s">
        <v>8</v>
      </c>
      <c r="I45" s="1325" t="s">
        <v>9</v>
      </c>
      <c r="J45" s="1325" t="s">
        <v>514</v>
      </c>
      <c r="K45" s="1325" t="s">
        <v>515</v>
      </c>
      <c r="L45" s="1325" t="s">
        <v>904</v>
      </c>
      <c r="M45" s="1325" t="s">
        <v>1046</v>
      </c>
    </row>
    <row r="46" spans="1:13" x14ac:dyDescent="0.25">
      <c r="A46" s="1324"/>
      <c r="B46" s="1324"/>
      <c r="C46" s="1325">
        <v>4389814</v>
      </c>
      <c r="D46" s="1325">
        <v>5689914</v>
      </c>
      <c r="E46" s="1325">
        <v>5229530</v>
      </c>
      <c r="F46" s="1325">
        <v>5229530</v>
      </c>
      <c r="G46" s="1325">
        <v>5229530</v>
      </c>
      <c r="H46" s="1325">
        <v>4229530</v>
      </c>
      <c r="I46" s="1325">
        <v>4229530</v>
      </c>
      <c r="J46" s="1325">
        <v>3889998</v>
      </c>
      <c r="K46" s="1325">
        <v>3889998</v>
      </c>
      <c r="L46" s="1325">
        <v>2839998</v>
      </c>
      <c r="M46" s="1325">
        <v>1256040</v>
      </c>
    </row>
    <row r="47" spans="1:13" x14ac:dyDescent="0.25">
      <c r="A47" s="1324"/>
      <c r="B47" s="1324"/>
      <c r="C47" s="1325">
        <v>4389814</v>
      </c>
      <c r="D47" s="1325">
        <v>4389814</v>
      </c>
      <c r="E47" s="1325">
        <v>4389814</v>
      </c>
      <c r="F47" s="1325">
        <v>4389814</v>
      </c>
      <c r="G47" s="1325">
        <v>4389814</v>
      </c>
      <c r="H47" s="1325">
        <v>4389814</v>
      </c>
      <c r="I47" s="1325">
        <v>4389814</v>
      </c>
      <c r="J47" s="1325">
        <v>4389814</v>
      </c>
      <c r="K47" s="1325">
        <v>4389814</v>
      </c>
      <c r="L47" s="1325">
        <v>4389814</v>
      </c>
      <c r="M47" s="1325">
        <v>4389814</v>
      </c>
    </row>
    <row r="49" spans="1:13" x14ac:dyDescent="0.25">
      <c r="D49" s="847">
        <f t="shared" ref="D49:G49" si="7">D46-D47</f>
        <v>1300100</v>
      </c>
      <c r="E49" s="847">
        <f t="shared" si="7"/>
        <v>839716</v>
      </c>
      <c r="F49" s="847">
        <f t="shared" si="7"/>
        <v>839716</v>
      </c>
      <c r="G49" s="847">
        <f t="shared" si="7"/>
        <v>839716</v>
      </c>
      <c r="H49" s="847">
        <f>H46-H47</f>
        <v>-160284</v>
      </c>
      <c r="I49" s="847">
        <f t="shared" ref="I49:M49" si="8">I46-I47</f>
        <v>-160284</v>
      </c>
      <c r="J49" s="847">
        <f t="shared" si="8"/>
        <v>-499816</v>
      </c>
      <c r="K49" s="847">
        <f t="shared" si="8"/>
        <v>-499816</v>
      </c>
      <c r="L49" s="847">
        <f t="shared" si="8"/>
        <v>-1549816</v>
      </c>
      <c r="M49" s="847">
        <f t="shared" si="8"/>
        <v>-3133774</v>
      </c>
    </row>
    <row r="50" spans="1:13" x14ac:dyDescent="0.25">
      <c r="A50" s="842" t="s">
        <v>1389</v>
      </c>
      <c r="H50" s="1327">
        <f>H15</f>
        <v>-179577.39854135155</v>
      </c>
      <c r="I50" s="1327">
        <f t="shared" ref="I50:M50" si="9">I15</f>
        <v>-184066.83350488538</v>
      </c>
      <c r="J50" s="1327">
        <f t="shared" si="9"/>
        <v>-588327.82540025655</v>
      </c>
      <c r="K50" s="1327">
        <f t="shared" si="9"/>
        <v>-603036.02103526297</v>
      </c>
      <c r="L50" s="1327">
        <f t="shared" si="9"/>
        <v>-1916624.8095823398</v>
      </c>
      <c r="M50" s="1327">
        <f t="shared" si="9"/>
        <v>-3972359.1193565484</v>
      </c>
    </row>
    <row r="51" spans="1:13" x14ac:dyDescent="0.25">
      <c r="A51" s="842" t="s">
        <v>1387</v>
      </c>
      <c r="H51" s="1326">
        <v>-145006.34240758425</v>
      </c>
      <c r="I51" s="1326">
        <v>-148631.50096777387</v>
      </c>
      <c r="J51" s="1326">
        <v>-525614.07055697369</v>
      </c>
      <c r="K51" s="1326">
        <v>-538754.42232089804</v>
      </c>
      <c r="L51" s="1326">
        <v>-1760831.6991709161</v>
      </c>
      <c r="M51" s="1326">
        <v>-3674881.5874360823</v>
      </c>
    </row>
    <row r="53" spans="1:13" x14ac:dyDescent="0.25">
      <c r="A53" s="842" t="s">
        <v>1388</v>
      </c>
      <c r="H53" s="847">
        <f>H50-H51</f>
        <v>-34571.056133767299</v>
      </c>
      <c r="I53" s="847">
        <f t="shared" ref="I53:M53" si="10">I50-I51</f>
        <v>-35435.332537111506</v>
      </c>
      <c r="J53" s="847">
        <f t="shared" si="10"/>
        <v>-62713.754843282863</v>
      </c>
      <c r="K53" s="847">
        <f t="shared" si="10"/>
        <v>-64281.598714364925</v>
      </c>
      <c r="L53" s="847">
        <f t="shared" si="10"/>
        <v>-155793.11041142372</v>
      </c>
      <c r="M53" s="847">
        <f t="shared" si="10"/>
        <v>-297477.53192046611</v>
      </c>
    </row>
  </sheetData>
  <mergeCells count="1">
    <mergeCell ref="A21:M2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S36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16" sqref="A16"/>
    </sheetView>
  </sheetViews>
  <sheetFormatPr defaultColWidth="9.109375" defaultRowHeight="14.4" outlineLevelCol="1" x14ac:dyDescent="0.3"/>
  <cols>
    <col min="1" max="1" width="38.44140625" style="221" bestFit="1" customWidth="1"/>
    <col min="2" max="3" width="13.44140625" style="221" hidden="1" customWidth="1" outlineLevel="1"/>
    <col min="4" max="4" width="13.44140625" style="221" customWidth="1" collapsed="1"/>
    <col min="5" max="16" width="13.44140625" style="221" customWidth="1"/>
    <col min="17" max="17" width="10.88671875" style="221" bestFit="1" customWidth="1"/>
    <col min="18" max="18" width="13" style="221" customWidth="1"/>
    <col min="19" max="16384" width="9.109375" style="221"/>
  </cols>
  <sheetData>
    <row r="1" spans="1:19" ht="15" x14ac:dyDescent="0.25">
      <c r="A1" s="160" t="s">
        <v>341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</row>
    <row r="2" spans="1:19" s="156" customFormat="1" ht="18.75" x14ac:dyDescent="0.3">
      <c r="A2" s="294" t="s">
        <v>410</v>
      </c>
      <c r="B2" s="295"/>
      <c r="C2" s="295"/>
      <c r="D2" s="295" t="s">
        <v>69</v>
      </c>
      <c r="E2" s="295" t="s">
        <v>69</v>
      </c>
      <c r="F2" s="295" t="s">
        <v>70</v>
      </c>
      <c r="G2" s="295" t="s">
        <v>70</v>
      </c>
      <c r="H2" s="295" t="s">
        <v>71</v>
      </c>
      <c r="I2" s="295" t="s">
        <v>71</v>
      </c>
      <c r="J2" s="295" t="s">
        <v>71</v>
      </c>
      <c r="K2" s="295" t="s">
        <v>71</v>
      </c>
      <c r="L2" s="295" t="s">
        <v>71</v>
      </c>
      <c r="M2" s="295" t="s">
        <v>71</v>
      </c>
      <c r="N2" s="295" t="s">
        <v>71</v>
      </c>
      <c r="O2" s="295" t="s">
        <v>71</v>
      </c>
      <c r="P2" s="295" t="s">
        <v>71</v>
      </c>
      <c r="Q2" s="156" t="s">
        <v>390</v>
      </c>
      <c r="R2" s="156" t="s">
        <v>502</v>
      </c>
    </row>
    <row r="3" spans="1:19" ht="15" x14ac:dyDescent="0.25">
      <c r="A3" s="296" t="s">
        <v>73</v>
      </c>
      <c r="B3" s="297"/>
      <c r="C3" s="297"/>
      <c r="D3" s="295" t="s">
        <v>0</v>
      </c>
      <c r="E3" s="295" t="s">
        <v>1</v>
      </c>
      <c r="F3" s="295" t="s">
        <v>2</v>
      </c>
      <c r="G3" s="295" t="s">
        <v>3</v>
      </c>
      <c r="H3" s="295" t="s">
        <v>4</v>
      </c>
      <c r="I3" s="295" t="s">
        <v>5</v>
      </c>
      <c r="J3" s="295" t="s">
        <v>6</v>
      </c>
      <c r="K3" s="295" t="s">
        <v>7</v>
      </c>
      <c r="L3" s="295" t="s">
        <v>8</v>
      </c>
      <c r="M3" s="295" t="s">
        <v>9</v>
      </c>
      <c r="N3" s="295" t="s">
        <v>514</v>
      </c>
      <c r="O3" s="295" t="s">
        <v>515</v>
      </c>
      <c r="P3" s="295" t="s">
        <v>904</v>
      </c>
      <c r="Q3" s="24" t="s">
        <v>504</v>
      </c>
    </row>
    <row r="4" spans="1:19" ht="6" customHeight="1" x14ac:dyDescent="0.25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</row>
    <row r="5" spans="1:19" ht="15" x14ac:dyDescent="0.25">
      <c r="A5" s="25" t="s">
        <v>342</v>
      </c>
      <c r="B5" s="208"/>
      <c r="C5" s="208"/>
      <c r="D5" s="208"/>
      <c r="E5" s="208" t="e">
        <f t="shared" ref="E5:P5" si="0">E24</f>
        <v>#DIV/0!</v>
      </c>
      <c r="F5" s="208">
        <f t="shared" si="0"/>
        <v>-596.88266450762626</v>
      </c>
      <c r="G5" s="208" t="e">
        <f t="shared" si="0"/>
        <v>#REF!</v>
      </c>
      <c r="H5" s="208" t="e">
        <f t="shared" si="0"/>
        <v>#REF!</v>
      </c>
      <c r="I5" s="208" t="e">
        <f t="shared" si="0"/>
        <v>#REF!</v>
      </c>
      <c r="J5" s="208" t="e">
        <f t="shared" si="0"/>
        <v>#REF!</v>
      </c>
      <c r="K5" s="208" t="e">
        <f t="shared" si="0"/>
        <v>#REF!</v>
      </c>
      <c r="L5" s="208" t="e">
        <f t="shared" si="0"/>
        <v>#REF!</v>
      </c>
      <c r="M5" s="208" t="e">
        <f t="shared" si="0"/>
        <v>#REF!</v>
      </c>
      <c r="N5" s="208" t="e">
        <f t="shared" si="0"/>
        <v>#REF!</v>
      </c>
      <c r="O5" s="208" t="e">
        <f t="shared" si="0"/>
        <v>#REF!</v>
      </c>
      <c r="P5" s="208" t="e">
        <f t="shared" si="0"/>
        <v>#REF!</v>
      </c>
      <c r="Q5" s="304">
        <v>1.5</v>
      </c>
      <c r="R5" s="221" t="s">
        <v>503</v>
      </c>
      <c r="S5" s="221" t="s">
        <v>501</v>
      </c>
    </row>
    <row r="6" spans="1:19" ht="15" x14ac:dyDescent="0.25">
      <c r="A6" s="25" t="s">
        <v>440</v>
      </c>
      <c r="B6" s="208"/>
      <c r="C6" s="208"/>
      <c r="D6" s="208"/>
      <c r="E6" s="208">
        <v>0</v>
      </c>
      <c r="F6" s="208">
        <v>0</v>
      </c>
      <c r="G6" s="208">
        <v>0</v>
      </c>
      <c r="H6" s="208">
        <v>0</v>
      </c>
      <c r="I6" s="208">
        <v>0</v>
      </c>
      <c r="J6" s="208">
        <v>0</v>
      </c>
      <c r="K6" s="208">
        <v>0</v>
      </c>
      <c r="L6" s="208">
        <v>0</v>
      </c>
      <c r="M6" s="208">
        <v>0</v>
      </c>
      <c r="N6" s="208">
        <v>0</v>
      </c>
      <c r="O6" s="208">
        <v>0</v>
      </c>
      <c r="P6" s="208">
        <v>0</v>
      </c>
      <c r="Q6" s="304"/>
      <c r="R6" s="221" t="s">
        <v>393</v>
      </c>
      <c r="S6" s="221" t="s">
        <v>501</v>
      </c>
    </row>
    <row r="7" spans="1:19" ht="15" x14ac:dyDescent="0.25">
      <c r="A7" s="132" t="s">
        <v>441</v>
      </c>
      <c r="B7" s="208"/>
      <c r="C7" s="208"/>
      <c r="D7" s="208"/>
      <c r="E7" s="208">
        <f>'GF &amp; FF  Inc Exp Statement'!E11/'GF &amp; FF  Inc Exp Statement'!E21</f>
        <v>0.29244013415077008</v>
      </c>
      <c r="F7" s="208">
        <f>'GF &amp; FF  Inc Exp Statement'!F11/'GF &amp; FF  Inc Exp Statement'!F21</f>
        <v>0.35116687535731056</v>
      </c>
      <c r="G7" s="208">
        <f>'GF &amp; FF  Inc Exp Statement'!G11/'GF &amp; FF  Inc Exp Statement'!G21</f>
        <v>0.35656604742185061</v>
      </c>
      <c r="H7" s="208">
        <f>'GF &amp; FF  Inc Exp Statement'!H11/'GF &amp; FF  Inc Exp Statement'!H21</f>
        <v>0.35947223661842376</v>
      </c>
      <c r="I7" s="208">
        <f>'GF &amp; FF  Inc Exp Statement'!I11/'GF &amp; FF  Inc Exp Statement'!I21</f>
        <v>0.3644131334959464</v>
      </c>
      <c r="J7" s="208">
        <f>'GF &amp; FF  Inc Exp Statement'!J11/'GF &amp; FF  Inc Exp Statement'!J21</f>
        <v>0.36671373928258505</v>
      </c>
      <c r="K7" s="208">
        <f>'GF &amp; FF  Inc Exp Statement'!K11/'GF &amp; FF  Inc Exp Statement'!K21</f>
        <v>0.3699731731666675</v>
      </c>
      <c r="L7" s="208">
        <f>'GF &amp; FF  Inc Exp Statement'!L11/'GF &amp; FF  Inc Exp Statement'!L21</f>
        <v>0.37081605267017337</v>
      </c>
      <c r="M7" s="208">
        <f>'GF &amp; FF  Inc Exp Statement'!M11/'GF &amp; FF  Inc Exp Statement'!M21</f>
        <v>0.37163401607359386</v>
      </c>
      <c r="N7" s="208">
        <f>'GF &amp; FF  Inc Exp Statement'!N11/'GF &amp; FF  Inc Exp Statement'!N21</f>
        <v>0.37234249053368756</v>
      </c>
      <c r="O7" s="208">
        <f>'GF &amp; FF  Inc Exp Statement'!O11/'GF &amp; FF  Inc Exp Statement'!O21</f>
        <v>0.37309151165152588</v>
      </c>
      <c r="P7" s="208">
        <f>'GF &amp; FF  Inc Exp Statement'!P11/'GF &amp; FF  Inc Exp Statement'!P21</f>
        <v>0.37384167093466791</v>
      </c>
      <c r="Q7" s="304"/>
      <c r="R7" s="221" t="s">
        <v>393</v>
      </c>
      <c r="S7" s="221" t="s">
        <v>501</v>
      </c>
    </row>
    <row r="8" spans="1:19" ht="15" x14ac:dyDescent="0.25">
      <c r="A8" s="25" t="s">
        <v>364</v>
      </c>
      <c r="B8" s="208"/>
      <c r="C8" s="208"/>
      <c r="D8" s="208"/>
      <c r="E8" s="208" t="e">
        <f>'Renewals &amp; Maintenance'!E15</f>
        <v>#DIV/0!</v>
      </c>
      <c r="F8" s="208">
        <f>'Renewals &amp; Maintenance'!F15</f>
        <v>0</v>
      </c>
      <c r="G8" s="208">
        <f>'Renewals &amp; Maintenance'!G15</f>
        <v>0.71315602183920312</v>
      </c>
      <c r="H8" s="208">
        <f>'Renewals &amp; Maintenance'!H15</f>
        <v>0.73905551910144274</v>
      </c>
      <c r="I8" s="208">
        <f>'Renewals &amp; Maintenance'!I15</f>
        <v>1.1694040238942953</v>
      </c>
      <c r="J8" s="208">
        <f>'Renewals &amp; Maintenance'!J15</f>
        <v>0.68882413788496322</v>
      </c>
      <c r="K8" s="208">
        <f>'Renewals &amp; Maintenance'!K15</f>
        <v>0.68806687754309703</v>
      </c>
      <c r="L8" s="208">
        <f>'Renewals &amp; Maintenance'!L15</f>
        <v>0.6930091506342112</v>
      </c>
      <c r="M8" s="208">
        <f>'Renewals &amp; Maintenance'!M15</f>
        <v>0.68534694442012933</v>
      </c>
      <c r="N8" s="208">
        <f>'Renewals &amp; Maintenance'!N15</f>
        <v>0.68564478212521218</v>
      </c>
      <c r="O8" s="208">
        <f>'Renewals &amp; Maintenance'!O15</f>
        <v>0.68892185024134245</v>
      </c>
      <c r="P8" s="208">
        <f>'Renewals &amp; Maintenance'!P15</f>
        <v>0.68581149497660043</v>
      </c>
      <c r="Q8" s="304">
        <v>1</v>
      </c>
      <c r="R8" s="221" t="s">
        <v>503</v>
      </c>
      <c r="S8" s="221" t="s">
        <v>501</v>
      </c>
    </row>
    <row r="9" spans="1:19" ht="15" x14ac:dyDescent="0.25">
      <c r="A9" s="25" t="s">
        <v>389</v>
      </c>
      <c r="B9" s="133"/>
      <c r="C9" s="133"/>
      <c r="D9" s="133"/>
      <c r="E9" s="133">
        <f>('GF &amp; FF  Inc Exp Statement'!E21-'GF &amp; FF  Inc Exp Statement'!E16-'GF &amp; FF  Inc Exp Statement'!E31)/('GF &amp; FF  Inc Exp Statement'!E21-'GF &amp; FF  Inc Exp Statement'!E16)</f>
        <v>-8.1875502256289798E-2</v>
      </c>
      <c r="F9" s="133">
        <f>('GF &amp; FF  Inc Exp Statement'!F21-'GF &amp; FF  Inc Exp Statement'!F16-'GF &amp; FF  Inc Exp Statement'!F31)/('GF &amp; FF  Inc Exp Statement'!F21-'GF &amp; FF  Inc Exp Statement'!F16)</f>
        <v>7.8428465057202713E-4</v>
      </c>
      <c r="G9" s="133">
        <f>('GF &amp; FF  Inc Exp Statement'!G21-'GF &amp; FF  Inc Exp Statement'!G16-'GF &amp; FF  Inc Exp Statement'!G31)/('GF &amp; FF  Inc Exp Statement'!G21-'GF &amp; FF  Inc Exp Statement'!G16)</f>
        <v>1.6195019811860001E-2</v>
      </c>
      <c r="H9" s="133">
        <f>('GF &amp; FF  Inc Exp Statement'!H21-'GF &amp; FF  Inc Exp Statement'!H16-'GF &amp; FF  Inc Exp Statement'!H31)/('GF &amp; FF  Inc Exp Statement'!H21-'GF &amp; FF  Inc Exp Statement'!H16)</f>
        <v>1.3933209785465599E-2</v>
      </c>
      <c r="I9" s="133">
        <f>('GF &amp; FF  Inc Exp Statement'!I21-'GF &amp; FF  Inc Exp Statement'!I16-'GF &amp; FF  Inc Exp Statement'!I31)/('GF &amp; FF  Inc Exp Statement'!I21-'GF &amp; FF  Inc Exp Statement'!I16)</f>
        <v>1.8400616334424205E-2</v>
      </c>
      <c r="J9" s="133">
        <f>('GF &amp; FF  Inc Exp Statement'!J21-'GF &amp; FF  Inc Exp Statement'!J16-'GF &amp; FF  Inc Exp Statement'!J31)/('GF &amp; FF  Inc Exp Statement'!J21-'GF &amp; FF  Inc Exp Statement'!J16)</f>
        <v>1.3885829321355885E-2</v>
      </c>
      <c r="K9" s="133">
        <f>('GF &amp; FF  Inc Exp Statement'!K21-'GF &amp; FF  Inc Exp Statement'!K16-'GF &amp; FF  Inc Exp Statement'!K31)/('GF &amp; FF  Inc Exp Statement'!K21-'GF &amp; FF  Inc Exp Statement'!K16)</f>
        <v>6.3419629263559421E-3</v>
      </c>
      <c r="L9" s="133">
        <f>('GF &amp; FF  Inc Exp Statement'!L21-'GF &amp; FF  Inc Exp Statement'!L16-'GF &amp; FF  Inc Exp Statement'!L31)/('GF &amp; FF  Inc Exp Statement'!L21-'GF &amp; FF  Inc Exp Statement'!L16)</f>
        <v>5.8846215124110533E-3</v>
      </c>
      <c r="M9" s="133">
        <f>('GF &amp; FF  Inc Exp Statement'!M21-'GF &amp; FF  Inc Exp Statement'!M16-'GF &amp; FF  Inc Exp Statement'!M31)/('GF &amp; FF  Inc Exp Statement'!M21-'GF &amp; FF  Inc Exp Statement'!M16)</f>
        <v>5.2074719065726702E-3</v>
      </c>
      <c r="N9" s="133">
        <f>('GF &amp; FF  Inc Exp Statement'!N21-'GF &amp; FF  Inc Exp Statement'!N16-'GF &amp; FF  Inc Exp Statement'!N31)/('GF &amp; FF  Inc Exp Statement'!N21-'GF &amp; FF  Inc Exp Statement'!N16)</f>
        <v>4.7339463031986851E-3</v>
      </c>
      <c r="O9" s="133">
        <f>('GF &amp; FF  Inc Exp Statement'!O21-'GF &amp; FF  Inc Exp Statement'!O16-'GF &amp; FF  Inc Exp Statement'!O31)/('GF &amp; FF  Inc Exp Statement'!O21-'GF &amp; FF  Inc Exp Statement'!O16)</f>
        <v>4.1100160243647118E-3</v>
      </c>
      <c r="P9" s="133">
        <f>('GF &amp; FF  Inc Exp Statement'!P21-'GF &amp; FF  Inc Exp Statement'!P16-'GF &amp; FF  Inc Exp Statement'!P31)/('GF &amp; FF  Inc Exp Statement'!P21-'GF &amp; FF  Inc Exp Statement'!P16)</f>
        <v>3.4521136690948465E-3</v>
      </c>
      <c r="Q9" s="304" t="s">
        <v>509</v>
      </c>
      <c r="R9" s="221" t="s">
        <v>394</v>
      </c>
    </row>
    <row r="10" spans="1:19" ht="15" x14ac:dyDescent="0.25">
      <c r="A10" s="25" t="s">
        <v>442</v>
      </c>
      <c r="B10" s="133"/>
      <c r="C10" s="133"/>
      <c r="D10" s="133"/>
      <c r="E10" s="133">
        <f>('GF &amp; FF  Inc Exp Statement'!E11+'GF &amp; FF  Inc Exp Statement'!E12)/'GF &amp; FF  Inc Exp Statement'!E21</f>
        <v>0.4557067481255207</v>
      </c>
      <c r="F10" s="133">
        <f>('GF &amp; FF  Inc Exp Statement'!F11+'GF &amp; FF  Inc Exp Statement'!F12)/'GF &amp; FF  Inc Exp Statement'!F21</f>
        <v>0.58171612361533598</v>
      </c>
      <c r="G10" s="133">
        <f>('GF &amp; FF  Inc Exp Statement'!G11+'GF &amp; FF  Inc Exp Statement'!G12)/'GF &amp; FF  Inc Exp Statement'!G21</f>
        <v>0.58777249724785963</v>
      </c>
      <c r="H10" s="133">
        <f>('GF &amp; FF  Inc Exp Statement'!H11+'GF &amp; FF  Inc Exp Statement'!H12)/'GF &amp; FF  Inc Exp Statement'!H21</f>
        <v>0.58888365820239441</v>
      </c>
      <c r="I10" s="133">
        <f>('GF &amp; FF  Inc Exp Statement'!I11+'GF &amp; FF  Inc Exp Statement'!I12)/'GF &amp; FF  Inc Exp Statement'!I21</f>
        <v>0.59149990151667009</v>
      </c>
      <c r="J10" s="133">
        <f>('GF &amp; FF  Inc Exp Statement'!J11+'GF &amp; FF  Inc Exp Statement'!J12)/'GF &amp; FF  Inc Exp Statement'!J21</f>
        <v>0.59420086062112898</v>
      </c>
      <c r="K10" s="133">
        <f>('GF &amp; FF  Inc Exp Statement'!K11+'GF &amp; FF  Inc Exp Statement'!K12)/'GF &amp; FF  Inc Exp Statement'!K21</f>
        <v>0.59836269453528113</v>
      </c>
      <c r="L10" s="133">
        <f>('GF &amp; FF  Inc Exp Statement'!L11+'GF &amp; FF  Inc Exp Statement'!L12)/'GF &amp; FF  Inc Exp Statement'!L21</f>
        <v>0.59860926175536266</v>
      </c>
      <c r="M10" s="133">
        <f>('GF &amp; FF  Inc Exp Statement'!M11+'GF &amp; FF  Inc Exp Statement'!M12)/'GF &amp; FF  Inc Exp Statement'!M21</f>
        <v>0.59881606458754322</v>
      </c>
      <c r="N10" s="133">
        <f>('GF &amp; FF  Inc Exp Statement'!N11+'GF &amp; FF  Inc Exp Statement'!N12)/'GF &amp; FF  Inc Exp Statement'!N21</f>
        <v>0.59884731585928208</v>
      </c>
      <c r="O10" s="133">
        <f>('GF &amp; FF  Inc Exp Statement'!O11+'GF &amp; FF  Inc Exp Statement'!O12)/'GF &amp; FF  Inc Exp Statement'!O21</f>
        <v>0.59894486014595338</v>
      </c>
      <c r="P10" s="133">
        <f>('GF &amp; FF  Inc Exp Statement'!P11+'GF &amp; FF  Inc Exp Statement'!P12)/'GF &amp; FF  Inc Exp Statement'!P21</f>
        <v>0.59904519434035264</v>
      </c>
      <c r="Q10" s="304" t="s">
        <v>510</v>
      </c>
      <c r="R10" s="221" t="s">
        <v>394</v>
      </c>
    </row>
    <row r="11" spans="1:19" ht="15" x14ac:dyDescent="0.25">
      <c r="A11" s="25" t="s">
        <v>443</v>
      </c>
      <c r="B11" s="133"/>
      <c r="C11" s="133"/>
      <c r="D11" s="133"/>
      <c r="E11" s="133">
        <v>0</v>
      </c>
      <c r="F11" s="133">
        <v>0</v>
      </c>
      <c r="G11" s="133">
        <v>0</v>
      </c>
      <c r="H11" s="133">
        <v>0</v>
      </c>
      <c r="I11" s="133">
        <v>0</v>
      </c>
      <c r="J11" s="133">
        <v>0</v>
      </c>
      <c r="K11" s="133">
        <v>0</v>
      </c>
      <c r="L11" s="133">
        <v>0</v>
      </c>
      <c r="M11" s="133">
        <v>0</v>
      </c>
      <c r="N11" s="133">
        <v>0</v>
      </c>
      <c r="O11" s="133">
        <v>0</v>
      </c>
      <c r="P11" s="133">
        <v>0</v>
      </c>
      <c r="Q11" s="304" t="s">
        <v>505</v>
      </c>
      <c r="R11" s="221" t="s">
        <v>394</v>
      </c>
    </row>
    <row r="12" spans="1:19" ht="15" x14ac:dyDescent="0.25">
      <c r="A12" s="25" t="s">
        <v>391</v>
      </c>
      <c r="B12" s="208"/>
      <c r="C12" s="208"/>
      <c r="D12" s="208"/>
      <c r="E12" s="208">
        <f>-'GF &amp; FF  Inc Exp Statement'!E51/'GF &amp; FF  Inc Exp Statement'!E27</f>
        <v>0</v>
      </c>
      <c r="F12" s="208">
        <f>-'GF &amp; FF  Inc Exp Statement'!F58/'GF &amp; FF  Inc Exp Statement'!F24</f>
        <v>-1.9995174497887843E-2</v>
      </c>
      <c r="G12" s="208" t="e">
        <f>-'GF &amp; FF  Inc Exp Statement'!#REF!/'GF &amp; FF  Inc Exp Statement'!G27</f>
        <v>#REF!</v>
      </c>
      <c r="H12" s="208">
        <f>-'GF &amp; FF  Inc Exp Statement'!H51/'GF &amp; FF  Inc Exp Statement'!H27</f>
        <v>-0.60764750125451439</v>
      </c>
      <c r="I12" s="208">
        <f>-'GF &amp; FF  Inc Exp Statement'!I51/'GF &amp; FF  Inc Exp Statement'!I27</f>
        <v>-0.4808459621953633</v>
      </c>
      <c r="J12" s="208">
        <f>-'GF &amp; FF  Inc Exp Statement'!J51/'GF &amp; FF  Inc Exp Statement'!J27</f>
        <v>-0.46795613726314222</v>
      </c>
      <c r="K12" s="208">
        <f>-'GF &amp; FF  Inc Exp Statement'!K51/'GF &amp; FF  Inc Exp Statement'!K27</f>
        <v>-0.43696480764652218</v>
      </c>
      <c r="L12" s="208">
        <f>-'GF &amp; FF  Inc Exp Statement'!L51/'GF &amp; FF  Inc Exp Statement'!L27</f>
        <v>-0.43204883283090051</v>
      </c>
      <c r="M12" s="208">
        <f>-'GF &amp; FF  Inc Exp Statement'!M51/'GF &amp; FF  Inc Exp Statement'!M27</f>
        <v>-0.42374412827152241</v>
      </c>
      <c r="N12" s="208">
        <f>-'GF &amp; FF  Inc Exp Statement'!N51/'GF &amp; FF  Inc Exp Statement'!N27</f>
        <v>-0.44763650138372352</v>
      </c>
      <c r="O12" s="208">
        <f>-'GF &amp; FF  Inc Exp Statement'!O51/'GF &amp; FF  Inc Exp Statement'!O27</f>
        <v>-0.45290170429019</v>
      </c>
      <c r="P12" s="208">
        <f>-'GF &amp; FF  Inc Exp Statement'!P51/'GF &amp; FF  Inc Exp Statement'!P27</f>
        <v>-0.42351299765488254</v>
      </c>
      <c r="Q12" s="304" t="s">
        <v>506</v>
      </c>
      <c r="R12" s="221" t="s">
        <v>395</v>
      </c>
    </row>
    <row r="13" spans="1:19" ht="15" x14ac:dyDescent="0.25">
      <c r="A13" s="25" t="s">
        <v>392</v>
      </c>
      <c r="B13" s="134"/>
      <c r="C13" s="134"/>
      <c r="D13" s="134"/>
      <c r="E13" s="134">
        <v>2.3962643072699774</v>
      </c>
      <c r="F13" s="134">
        <v>1.6621072576156521</v>
      </c>
      <c r="G13" s="134" t="e">
        <f>'GF &amp; FF  Bal Sheet'!D7/('GF &amp; FF  Inc Exp Statement'!D31-'GF &amp; FF  Inc Exp Statement'!D27)*12</f>
        <v>#DIV/0!</v>
      </c>
      <c r="H13" s="134">
        <f>'GF &amp; FF  Bal Sheet'!E7/('GF &amp; FF  Inc Exp Statement'!E31-'GF &amp; FF  Inc Exp Statement'!E27)*12</f>
        <v>1.0002516084971784</v>
      </c>
      <c r="I13" s="134">
        <f>'GF &amp; FF  Bal Sheet'!F7/('GF &amp; FF  Inc Exp Statement'!F31-'GF &amp; FF  Inc Exp Statement'!F24)*12</f>
        <v>0.76762498333381401</v>
      </c>
      <c r="J13" s="134">
        <f>'GF &amp; FF  Bal Sheet'!G7/('GF &amp; FF  Inc Exp Statement'!G31-'GF &amp; FF  Inc Exp Statement'!G27)*12</f>
        <v>0.95150502433052009</v>
      </c>
      <c r="K13" s="134">
        <f>'GF &amp; FF  Bal Sheet'!H7/('GF &amp; FF  Inc Exp Statement'!H31-'GF &amp; FF  Inc Exp Statement'!H27)*12</f>
        <v>0.98669547507122846</v>
      </c>
      <c r="L13" s="134">
        <f>'GF &amp; FF  Bal Sheet'!I7/('GF &amp; FF  Inc Exp Statement'!I31-'GF &amp; FF  Inc Exp Statement'!I27)*12</f>
        <v>0.89166868469625593</v>
      </c>
      <c r="M13" s="134">
        <f>'GF &amp; FF  Bal Sheet'!J7/('GF &amp; FF  Inc Exp Statement'!J31-'GF &amp; FF  Inc Exp Statement'!J27)*12</f>
        <v>0.74438906641829239</v>
      </c>
      <c r="N13" s="134">
        <f>'GF &amp; FF  Bal Sheet'!K7/('GF &amp; FF  Inc Exp Statement'!K31-'GF &amp; FF  Inc Exp Statement'!K27)*12</f>
        <v>0.58417131452148541</v>
      </c>
      <c r="O13" s="134">
        <f>'GF &amp; FF  Bal Sheet'!L7/('GF &amp; FF  Inc Exp Statement'!L31-'GF &amp; FF  Inc Exp Statement'!L27)*12</f>
        <v>0.45314280361475157</v>
      </c>
      <c r="P13" s="134">
        <f>'GF &amp; FF  Bal Sheet'!M7/('GF &amp; FF  Inc Exp Statement'!M31-'GF &amp; FF  Inc Exp Statement'!M27)*12</f>
        <v>0.44677645812776146</v>
      </c>
      <c r="Q13" s="305" t="s">
        <v>507</v>
      </c>
      <c r="R13" s="221" t="s">
        <v>394</v>
      </c>
    </row>
    <row r="14" spans="1:19" ht="15" x14ac:dyDescent="0.25">
      <c r="A14" s="25" t="s">
        <v>444</v>
      </c>
      <c r="B14" s="133"/>
      <c r="C14" s="133"/>
      <c r="D14" s="133"/>
      <c r="E14" s="133">
        <v>0</v>
      </c>
      <c r="F14" s="133">
        <v>0</v>
      </c>
      <c r="G14" s="133">
        <v>0</v>
      </c>
      <c r="H14" s="133">
        <v>0</v>
      </c>
      <c r="I14" s="133">
        <v>0</v>
      </c>
      <c r="J14" s="133">
        <v>0</v>
      </c>
      <c r="K14" s="133">
        <v>0</v>
      </c>
      <c r="L14" s="133">
        <v>0</v>
      </c>
      <c r="M14" s="133">
        <v>0</v>
      </c>
      <c r="N14" s="133">
        <v>0</v>
      </c>
      <c r="O14" s="133">
        <v>0</v>
      </c>
      <c r="P14" s="133">
        <v>0</v>
      </c>
      <c r="Q14" s="305" t="s">
        <v>508</v>
      </c>
      <c r="R14" s="221" t="s">
        <v>394</v>
      </c>
    </row>
    <row r="15" spans="1:19" ht="9.75" customHeight="1" x14ac:dyDescent="0.25">
      <c r="A15" s="25"/>
      <c r="B15" s="133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08"/>
    </row>
    <row r="20" spans="1:16" ht="15" x14ac:dyDescent="0.25">
      <c r="A20" s="202" t="s">
        <v>1006</v>
      </c>
    </row>
    <row r="21" spans="1:16" ht="15" x14ac:dyDescent="0.25">
      <c r="A21" s="221" t="s">
        <v>36</v>
      </c>
      <c r="D21" s="221">
        <f>D30</f>
        <v>0</v>
      </c>
      <c r="E21" s="221">
        <f>E30</f>
        <v>0</v>
      </c>
      <c r="F21" s="337">
        <f t="shared" ref="F21:P21" si="1">F30</f>
        <v>-4577.3970559999998</v>
      </c>
      <c r="G21" s="337" t="e">
        <f t="shared" si="1"/>
        <v>#REF!</v>
      </c>
      <c r="H21" s="337" t="e">
        <f t="shared" si="1"/>
        <v>#REF!</v>
      </c>
      <c r="I21" s="337" t="e">
        <f t="shared" si="1"/>
        <v>#REF!</v>
      </c>
      <c r="J21" s="337" t="e">
        <f t="shared" si="1"/>
        <v>#REF!</v>
      </c>
      <c r="K21" s="337" t="e">
        <f t="shared" si="1"/>
        <v>#REF!</v>
      </c>
      <c r="L21" s="337" t="e">
        <f t="shared" si="1"/>
        <v>#REF!</v>
      </c>
      <c r="M21" s="337" t="e">
        <f t="shared" si="1"/>
        <v>#REF!</v>
      </c>
      <c r="N21" s="337" t="e">
        <f t="shared" si="1"/>
        <v>#REF!</v>
      </c>
      <c r="O21" s="337" t="e">
        <f t="shared" si="1"/>
        <v>#REF!</v>
      </c>
      <c r="P21" s="337" t="e">
        <f t="shared" si="1"/>
        <v>#REF!</v>
      </c>
    </row>
    <row r="22" spans="1:16" ht="15" x14ac:dyDescent="0.25">
      <c r="A22" s="221" t="s">
        <v>48</v>
      </c>
      <c r="D22" s="221">
        <f>D36</f>
        <v>0</v>
      </c>
      <c r="E22" s="221">
        <f>E36</f>
        <v>0</v>
      </c>
      <c r="F22" s="221">
        <f t="shared" ref="F22:P22" si="2">F36</f>
        <v>7.6688390000000002</v>
      </c>
      <c r="G22" s="221">
        <f t="shared" si="2"/>
        <v>7.6024859999999999</v>
      </c>
      <c r="H22" s="221">
        <f t="shared" si="2"/>
        <v>7.469659</v>
      </c>
      <c r="I22" s="221">
        <f t="shared" si="2"/>
        <v>7.4939249999999999</v>
      </c>
      <c r="J22" s="221">
        <f t="shared" si="2"/>
        <v>7.5209999999999999</v>
      </c>
      <c r="K22" s="221">
        <f t="shared" si="2"/>
        <v>7.548</v>
      </c>
      <c r="L22" s="221">
        <f t="shared" si="2"/>
        <v>7.2789999999999999</v>
      </c>
      <c r="M22" s="221">
        <f t="shared" si="2"/>
        <v>7.1920000000000002</v>
      </c>
      <c r="N22" s="221">
        <f t="shared" si="2"/>
        <v>7.1989999999999998</v>
      </c>
      <c r="O22" s="221">
        <f t="shared" si="2"/>
        <v>7.2069999999999999</v>
      </c>
      <c r="P22" s="221">
        <f t="shared" si="2"/>
        <v>7.0469999999999997</v>
      </c>
    </row>
    <row r="24" spans="1:16" ht="15" x14ac:dyDescent="0.25">
      <c r="D24" s="547" t="e">
        <f>D21/D22</f>
        <v>#DIV/0!</v>
      </c>
      <c r="E24" s="547" t="e">
        <f>E21/E22</f>
        <v>#DIV/0!</v>
      </c>
      <c r="F24" s="547">
        <f t="shared" ref="F24:P24" si="3">F21/F22</f>
        <v>-596.88266450762626</v>
      </c>
      <c r="G24" s="547" t="e">
        <f t="shared" si="3"/>
        <v>#REF!</v>
      </c>
      <c r="H24" s="547" t="e">
        <f t="shared" si="3"/>
        <v>#REF!</v>
      </c>
      <c r="I24" s="547" t="e">
        <f t="shared" si="3"/>
        <v>#REF!</v>
      </c>
      <c r="J24" s="547" t="e">
        <f t="shared" si="3"/>
        <v>#REF!</v>
      </c>
      <c r="K24" s="547" t="e">
        <f t="shared" si="3"/>
        <v>#REF!</v>
      </c>
      <c r="L24" s="547" t="e">
        <f t="shared" si="3"/>
        <v>#REF!</v>
      </c>
      <c r="M24" s="547" t="e">
        <f t="shared" si="3"/>
        <v>#REF!</v>
      </c>
      <c r="N24" s="547" t="e">
        <f t="shared" si="3"/>
        <v>#REF!</v>
      </c>
      <c r="O24" s="547" t="e">
        <f t="shared" si="3"/>
        <v>#REF!</v>
      </c>
      <c r="P24" s="547" t="e">
        <f t="shared" si="3"/>
        <v>#REF!</v>
      </c>
    </row>
    <row r="25" spans="1:16" ht="15" x14ac:dyDescent="0.25">
      <c r="A25" s="202" t="s">
        <v>1012</v>
      </c>
    </row>
    <row r="26" spans="1:16" ht="15" x14ac:dyDescent="0.25">
      <c r="A26" s="221" t="s">
        <v>36</v>
      </c>
      <c r="F26" s="547">
        <f>'GF &amp; FF  Bal Sheet'!F12/1000</f>
        <v>12.632944000000007</v>
      </c>
      <c r="G26" s="547">
        <f>'GF &amp; FF  Bal Sheet'!G12/1000</f>
        <v>12.667475960000006</v>
      </c>
      <c r="H26" s="547">
        <f>'GF &amp; FF  Bal Sheet'!H12/1000</f>
        <v>10.050458644999996</v>
      </c>
      <c r="I26" s="547">
        <f>'GF &amp; FF  Bal Sheet'!I12/1000</f>
        <v>10.154702540299995</v>
      </c>
      <c r="J26" s="547">
        <f>'GF &amp; FF  Bal Sheet'!J12/1000</f>
        <v>10.183780853059003</v>
      </c>
      <c r="K26" s="547">
        <f>'GF &amp; FF  Bal Sheet'!K12/1000</f>
        <v>10.156836666756215</v>
      </c>
      <c r="L26" s="547">
        <f>'GF &amp; FF  Bal Sheet'!L12/1000</f>
        <v>10.203024712570688</v>
      </c>
      <c r="M26" s="547">
        <f>'GF &amp; FF  Bal Sheet'!M12/1000</f>
        <v>10.611423891213944</v>
      </c>
      <c r="N26" s="547">
        <f>'GF &amp; FF  Bal Sheet'!N12/1000</f>
        <v>10.889483682187466</v>
      </c>
      <c r="O26" s="547">
        <f>'GF &amp; FF  Bal Sheet'!O12/1000</f>
        <v>11.166763540135266</v>
      </c>
      <c r="P26" s="547">
        <f>'GF &amp; FF  Bal Sheet'!P12/1000</f>
        <v>11.702096803887706</v>
      </c>
    </row>
    <row r="27" spans="1:16" ht="15" x14ac:dyDescent="0.25">
      <c r="A27" s="221" t="s">
        <v>1010</v>
      </c>
      <c r="F27" s="547">
        <f>E27+4500*(1+'LTFP Assumptions'!$B13)+('Renewals &amp; Maintenance'!F13+'GF &amp; FF  Inc Exp Statement'!F58)/1000</f>
        <v>4590.03</v>
      </c>
      <c r="G27" s="547" t="e">
        <f>F27+4500*(1+'LTFP Assumptions'!$B13)+('Renewals &amp; Maintenance'!G13+'GF &amp; FF  Inc Exp Statement'!#REF!)/1000</f>
        <v>#REF!</v>
      </c>
      <c r="H27" s="547" t="e">
        <f>G27+4500*(1+'LTFP Assumptions'!$B13)+('Renewals &amp; Maintenance'!H13+'GF &amp; FF  Inc Exp Statement'!H51)/1000</f>
        <v>#REF!</v>
      </c>
      <c r="I27" s="547" t="e">
        <f>H27+4500*(1+'LTFP Assumptions'!$B13)+('Renewals &amp; Maintenance'!I13+'GF &amp; FF  Inc Exp Statement'!I51)/1000</f>
        <v>#REF!</v>
      </c>
      <c r="J27" s="547" t="e">
        <f>I27+4500*(1+'LTFP Assumptions'!$B13)+('Renewals &amp; Maintenance'!J13+'GF &amp; FF  Inc Exp Statement'!J51)/1000</f>
        <v>#REF!</v>
      </c>
      <c r="K27" s="547" t="e">
        <f>J27+4500*(1+'LTFP Assumptions'!$B13)+('Renewals &amp; Maintenance'!K13+'GF &amp; FF  Inc Exp Statement'!K51)/1000</f>
        <v>#REF!</v>
      </c>
      <c r="L27" s="547" t="e">
        <f>K27+4500*(1+'LTFP Assumptions'!$B13)+('Renewals &amp; Maintenance'!L13+'GF &amp; FF  Inc Exp Statement'!L51)/1000</f>
        <v>#REF!</v>
      </c>
      <c r="M27" s="547" t="e">
        <f>L27+4500*(1+'LTFP Assumptions'!$B13)+('Renewals &amp; Maintenance'!M13+'GF &amp; FF  Inc Exp Statement'!M51)/1000</f>
        <v>#REF!</v>
      </c>
      <c r="N27" s="547" t="e">
        <f>M27+4500*(1+'LTFP Assumptions'!$B13)+('Renewals &amp; Maintenance'!N13+'GF &amp; FF  Inc Exp Statement'!N51)/1000</f>
        <v>#REF!</v>
      </c>
      <c r="O27" s="547" t="e">
        <f>N27+4500*(1+'LTFP Assumptions'!$B13)+('Renewals &amp; Maintenance'!O13+'GF &amp; FF  Inc Exp Statement'!O51)/1000</f>
        <v>#REF!</v>
      </c>
      <c r="P27" s="547" t="e">
        <f>O27+4500*(1+'LTFP Assumptions'!$B13)+('Renewals &amp; Maintenance'!P13+'GF &amp; FF  Inc Exp Statement'!P51)/1000</f>
        <v>#REF!</v>
      </c>
    </row>
    <row r="30" spans="1:16" ht="15" x14ac:dyDescent="0.25">
      <c r="A30" s="221" t="s">
        <v>1008</v>
      </c>
      <c r="D30" s="221">
        <f>D26-D27</f>
        <v>0</v>
      </c>
      <c r="E30" s="221">
        <f>E26-E27</f>
        <v>0</v>
      </c>
      <c r="F30" s="221">
        <f t="shared" ref="F30:P30" si="4">F26-F27</f>
        <v>-4577.3970559999998</v>
      </c>
      <c r="G30" s="221" t="e">
        <f t="shared" si="4"/>
        <v>#REF!</v>
      </c>
      <c r="H30" s="221" t="e">
        <f t="shared" si="4"/>
        <v>#REF!</v>
      </c>
      <c r="I30" s="221" t="e">
        <f t="shared" si="4"/>
        <v>#REF!</v>
      </c>
      <c r="J30" s="221" t="e">
        <f t="shared" si="4"/>
        <v>#REF!</v>
      </c>
      <c r="K30" s="221" t="e">
        <f t="shared" si="4"/>
        <v>#REF!</v>
      </c>
      <c r="L30" s="221" t="e">
        <f t="shared" si="4"/>
        <v>#REF!</v>
      </c>
      <c r="M30" s="221" t="e">
        <f t="shared" si="4"/>
        <v>#REF!</v>
      </c>
      <c r="N30" s="221" t="e">
        <f t="shared" si="4"/>
        <v>#REF!</v>
      </c>
      <c r="O30" s="221" t="e">
        <f t="shared" si="4"/>
        <v>#REF!</v>
      </c>
      <c r="P30" s="221" t="e">
        <f t="shared" si="4"/>
        <v>#REF!</v>
      </c>
    </row>
    <row r="32" spans="1:16" ht="15" x14ac:dyDescent="0.25">
      <c r="A32" s="202" t="s">
        <v>1011</v>
      </c>
    </row>
    <row r="33" spans="1:16" ht="15" x14ac:dyDescent="0.25">
      <c r="A33" s="221" t="s">
        <v>1009</v>
      </c>
      <c r="F33" s="221">
        <f>'GF &amp; FF  Bal Sheet'!F28/1000</f>
        <v>7.6688390000000002</v>
      </c>
      <c r="G33" s="221">
        <f>'GF &amp; FF  Bal Sheet'!G28/1000</f>
        <v>7.6024859999999999</v>
      </c>
      <c r="H33" s="221">
        <f>'GF &amp; FF  Bal Sheet'!H28/1000</f>
        <v>7.469659</v>
      </c>
      <c r="I33" s="221">
        <f>'GF &amp; FF  Bal Sheet'!I28/1000</f>
        <v>7.4939249999999999</v>
      </c>
      <c r="J33" s="221">
        <f>'GF &amp; FF  Bal Sheet'!J28/1000</f>
        <v>7.5209999999999999</v>
      </c>
      <c r="K33" s="221">
        <f>'GF &amp; FF  Bal Sheet'!K28/1000</f>
        <v>7.548</v>
      </c>
      <c r="L33" s="221">
        <f>'GF &amp; FF  Bal Sheet'!L28/1000</f>
        <v>7.2789999999999999</v>
      </c>
      <c r="M33" s="221">
        <f>'GF &amp; FF  Bal Sheet'!M28/1000</f>
        <v>7.1920000000000002</v>
      </c>
      <c r="N33" s="221">
        <f>'GF &amp; FF  Bal Sheet'!N28/1000</f>
        <v>7.1989999999999998</v>
      </c>
      <c r="O33" s="221">
        <f>'GF &amp; FF  Bal Sheet'!O28/1000</f>
        <v>7.2069999999999999</v>
      </c>
      <c r="P33" s="221">
        <f>'GF &amp; FF  Bal Sheet'!P28/1000</f>
        <v>7.0469999999999997</v>
      </c>
    </row>
    <row r="34" spans="1:16" ht="15" x14ac:dyDescent="0.25">
      <c r="A34" s="221" t="s">
        <v>1007</v>
      </c>
      <c r="F34" s="221">
        <f>E34</f>
        <v>0</v>
      </c>
      <c r="G34" s="221">
        <f t="shared" ref="G34:P34" si="5">F34</f>
        <v>0</v>
      </c>
      <c r="H34" s="221">
        <f t="shared" si="5"/>
        <v>0</v>
      </c>
      <c r="I34" s="221">
        <f t="shared" si="5"/>
        <v>0</v>
      </c>
      <c r="J34" s="221">
        <f t="shared" si="5"/>
        <v>0</v>
      </c>
      <c r="K34" s="221">
        <f t="shared" si="5"/>
        <v>0</v>
      </c>
      <c r="L34" s="221">
        <f t="shared" si="5"/>
        <v>0</v>
      </c>
      <c r="M34" s="221">
        <f t="shared" si="5"/>
        <v>0</v>
      </c>
      <c r="N34" s="221">
        <f t="shared" si="5"/>
        <v>0</v>
      </c>
      <c r="O34" s="221">
        <f t="shared" si="5"/>
        <v>0</v>
      </c>
      <c r="P34" s="221">
        <f t="shared" si="5"/>
        <v>0</v>
      </c>
    </row>
    <row r="36" spans="1:16" ht="15" x14ac:dyDescent="0.25">
      <c r="A36" s="221" t="s">
        <v>1008</v>
      </c>
      <c r="D36" s="221">
        <f>D33-D34</f>
        <v>0</v>
      </c>
      <c r="E36" s="221">
        <f>E33-E34</f>
        <v>0</v>
      </c>
      <c r="F36" s="221">
        <f>F33-F34</f>
        <v>7.6688390000000002</v>
      </c>
      <c r="G36" s="221">
        <f t="shared" ref="G36:P36" si="6">G33-G34</f>
        <v>7.6024859999999999</v>
      </c>
      <c r="H36" s="221">
        <f t="shared" si="6"/>
        <v>7.469659</v>
      </c>
      <c r="I36" s="221">
        <f t="shared" si="6"/>
        <v>7.4939249999999999</v>
      </c>
      <c r="J36" s="221">
        <f t="shared" si="6"/>
        <v>7.5209999999999999</v>
      </c>
      <c r="K36" s="221">
        <f t="shared" si="6"/>
        <v>7.548</v>
      </c>
      <c r="L36" s="221">
        <f t="shared" si="6"/>
        <v>7.2789999999999999</v>
      </c>
      <c r="M36" s="221">
        <f t="shared" si="6"/>
        <v>7.1920000000000002</v>
      </c>
      <c r="N36" s="221">
        <f t="shared" si="6"/>
        <v>7.1989999999999998</v>
      </c>
      <c r="O36" s="221">
        <f t="shared" si="6"/>
        <v>7.2069999999999999</v>
      </c>
      <c r="P36" s="221">
        <f t="shared" si="6"/>
        <v>7.0469999999999997</v>
      </c>
    </row>
  </sheetData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"/>
  <sheetViews>
    <sheetView workbookViewId="0">
      <selection activeCell="E14" sqref="E14"/>
    </sheetView>
  </sheetViews>
  <sheetFormatPr defaultRowHeight="13.8" x14ac:dyDescent="0.25"/>
  <cols>
    <col min="1" max="1" width="36.5546875" style="842" customWidth="1"/>
    <col min="2" max="5" width="12.44140625" style="847" bestFit="1" customWidth="1"/>
    <col min="6" max="6" width="12.44140625" style="842" bestFit="1" customWidth="1"/>
    <col min="7" max="256" width="9.109375" style="842"/>
    <col min="257" max="257" width="36.5546875" style="842" customWidth="1"/>
    <col min="258" max="262" width="12.44140625" style="842" bestFit="1" customWidth="1"/>
    <col min="263" max="512" width="9.109375" style="842"/>
    <col min="513" max="513" width="36.5546875" style="842" customWidth="1"/>
    <col min="514" max="518" width="12.44140625" style="842" bestFit="1" customWidth="1"/>
    <col min="519" max="768" width="9.109375" style="842"/>
    <col min="769" max="769" width="36.5546875" style="842" customWidth="1"/>
    <col min="770" max="774" width="12.44140625" style="842" bestFit="1" customWidth="1"/>
    <col min="775" max="1024" width="9.109375" style="842"/>
    <col min="1025" max="1025" width="36.5546875" style="842" customWidth="1"/>
    <col min="1026" max="1030" width="12.44140625" style="842" bestFit="1" customWidth="1"/>
    <col min="1031" max="1280" width="9.109375" style="842"/>
    <col min="1281" max="1281" width="36.5546875" style="842" customWidth="1"/>
    <col min="1282" max="1286" width="12.44140625" style="842" bestFit="1" customWidth="1"/>
    <col min="1287" max="1536" width="9.109375" style="842"/>
    <col min="1537" max="1537" width="36.5546875" style="842" customWidth="1"/>
    <col min="1538" max="1542" width="12.44140625" style="842" bestFit="1" customWidth="1"/>
    <col min="1543" max="1792" width="9.109375" style="842"/>
    <col min="1793" max="1793" width="36.5546875" style="842" customWidth="1"/>
    <col min="1794" max="1798" width="12.44140625" style="842" bestFit="1" customWidth="1"/>
    <col min="1799" max="2048" width="9.109375" style="842"/>
    <col min="2049" max="2049" width="36.5546875" style="842" customWidth="1"/>
    <col min="2050" max="2054" width="12.44140625" style="842" bestFit="1" customWidth="1"/>
    <col min="2055" max="2304" width="9.109375" style="842"/>
    <col min="2305" max="2305" width="36.5546875" style="842" customWidth="1"/>
    <col min="2306" max="2310" width="12.44140625" style="842" bestFit="1" customWidth="1"/>
    <col min="2311" max="2560" width="9.109375" style="842"/>
    <col min="2561" max="2561" width="36.5546875" style="842" customWidth="1"/>
    <col min="2562" max="2566" width="12.44140625" style="842" bestFit="1" customWidth="1"/>
    <col min="2567" max="2816" width="9.109375" style="842"/>
    <col min="2817" max="2817" width="36.5546875" style="842" customWidth="1"/>
    <col min="2818" max="2822" width="12.44140625" style="842" bestFit="1" customWidth="1"/>
    <col min="2823" max="3072" width="9.109375" style="842"/>
    <col min="3073" max="3073" width="36.5546875" style="842" customWidth="1"/>
    <col min="3074" max="3078" width="12.44140625" style="842" bestFit="1" customWidth="1"/>
    <col min="3079" max="3328" width="9.109375" style="842"/>
    <col min="3329" max="3329" width="36.5546875" style="842" customWidth="1"/>
    <col min="3330" max="3334" width="12.44140625" style="842" bestFit="1" customWidth="1"/>
    <col min="3335" max="3584" width="9.109375" style="842"/>
    <col min="3585" max="3585" width="36.5546875" style="842" customWidth="1"/>
    <col min="3586" max="3590" width="12.44140625" style="842" bestFit="1" customWidth="1"/>
    <col min="3591" max="3840" width="9.109375" style="842"/>
    <col min="3841" max="3841" width="36.5546875" style="842" customWidth="1"/>
    <col min="3842" max="3846" width="12.44140625" style="842" bestFit="1" customWidth="1"/>
    <col min="3847" max="4096" width="9.109375" style="842"/>
    <col min="4097" max="4097" width="36.5546875" style="842" customWidth="1"/>
    <col min="4098" max="4102" width="12.44140625" style="842" bestFit="1" customWidth="1"/>
    <col min="4103" max="4352" width="9.109375" style="842"/>
    <col min="4353" max="4353" width="36.5546875" style="842" customWidth="1"/>
    <col min="4354" max="4358" width="12.44140625" style="842" bestFit="1" customWidth="1"/>
    <col min="4359" max="4608" width="9.109375" style="842"/>
    <col min="4609" max="4609" width="36.5546875" style="842" customWidth="1"/>
    <col min="4610" max="4614" width="12.44140625" style="842" bestFit="1" customWidth="1"/>
    <col min="4615" max="4864" width="9.109375" style="842"/>
    <col min="4865" max="4865" width="36.5546875" style="842" customWidth="1"/>
    <col min="4866" max="4870" width="12.44140625" style="842" bestFit="1" customWidth="1"/>
    <col min="4871" max="5120" width="9.109375" style="842"/>
    <col min="5121" max="5121" width="36.5546875" style="842" customWidth="1"/>
    <col min="5122" max="5126" width="12.44140625" style="842" bestFit="1" customWidth="1"/>
    <col min="5127" max="5376" width="9.109375" style="842"/>
    <col min="5377" max="5377" width="36.5546875" style="842" customWidth="1"/>
    <col min="5378" max="5382" width="12.44140625" style="842" bestFit="1" customWidth="1"/>
    <col min="5383" max="5632" width="9.109375" style="842"/>
    <col min="5633" max="5633" width="36.5546875" style="842" customWidth="1"/>
    <col min="5634" max="5638" width="12.44140625" style="842" bestFit="1" customWidth="1"/>
    <col min="5639" max="5888" width="9.109375" style="842"/>
    <col min="5889" max="5889" width="36.5546875" style="842" customWidth="1"/>
    <col min="5890" max="5894" width="12.44140625" style="842" bestFit="1" customWidth="1"/>
    <col min="5895" max="6144" width="9.109375" style="842"/>
    <col min="6145" max="6145" width="36.5546875" style="842" customWidth="1"/>
    <col min="6146" max="6150" width="12.44140625" style="842" bestFit="1" customWidth="1"/>
    <col min="6151" max="6400" width="9.109375" style="842"/>
    <col min="6401" max="6401" width="36.5546875" style="842" customWidth="1"/>
    <col min="6402" max="6406" width="12.44140625" style="842" bestFit="1" customWidth="1"/>
    <col min="6407" max="6656" width="9.109375" style="842"/>
    <col min="6657" max="6657" width="36.5546875" style="842" customWidth="1"/>
    <col min="6658" max="6662" width="12.44140625" style="842" bestFit="1" customWidth="1"/>
    <col min="6663" max="6912" width="9.109375" style="842"/>
    <col min="6913" max="6913" width="36.5546875" style="842" customWidth="1"/>
    <col min="6914" max="6918" width="12.44140625" style="842" bestFit="1" customWidth="1"/>
    <col min="6919" max="7168" width="9.109375" style="842"/>
    <col min="7169" max="7169" width="36.5546875" style="842" customWidth="1"/>
    <col min="7170" max="7174" width="12.44140625" style="842" bestFit="1" customWidth="1"/>
    <col min="7175" max="7424" width="9.109375" style="842"/>
    <col min="7425" max="7425" width="36.5546875" style="842" customWidth="1"/>
    <col min="7426" max="7430" width="12.44140625" style="842" bestFit="1" customWidth="1"/>
    <col min="7431" max="7680" width="9.109375" style="842"/>
    <col min="7681" max="7681" width="36.5546875" style="842" customWidth="1"/>
    <col min="7682" max="7686" width="12.44140625" style="842" bestFit="1" customWidth="1"/>
    <col min="7687" max="7936" width="9.109375" style="842"/>
    <col min="7937" max="7937" width="36.5546875" style="842" customWidth="1"/>
    <col min="7938" max="7942" width="12.44140625" style="842" bestFit="1" customWidth="1"/>
    <col min="7943" max="8192" width="9.109375" style="842"/>
    <col min="8193" max="8193" width="36.5546875" style="842" customWidth="1"/>
    <col min="8194" max="8198" width="12.44140625" style="842" bestFit="1" customWidth="1"/>
    <col min="8199" max="8448" width="9.109375" style="842"/>
    <col min="8449" max="8449" width="36.5546875" style="842" customWidth="1"/>
    <col min="8450" max="8454" width="12.44140625" style="842" bestFit="1" customWidth="1"/>
    <col min="8455" max="8704" width="9.109375" style="842"/>
    <col min="8705" max="8705" width="36.5546875" style="842" customWidth="1"/>
    <col min="8706" max="8710" width="12.44140625" style="842" bestFit="1" customWidth="1"/>
    <col min="8711" max="8960" width="9.109375" style="842"/>
    <col min="8961" max="8961" width="36.5546875" style="842" customWidth="1"/>
    <col min="8962" max="8966" width="12.44140625" style="842" bestFit="1" customWidth="1"/>
    <col min="8967" max="9216" width="9.109375" style="842"/>
    <col min="9217" max="9217" width="36.5546875" style="842" customWidth="1"/>
    <col min="9218" max="9222" width="12.44140625" style="842" bestFit="1" customWidth="1"/>
    <col min="9223" max="9472" width="9.109375" style="842"/>
    <col min="9473" max="9473" width="36.5546875" style="842" customWidth="1"/>
    <col min="9474" max="9478" width="12.44140625" style="842" bestFit="1" customWidth="1"/>
    <col min="9479" max="9728" width="9.109375" style="842"/>
    <col min="9729" max="9729" width="36.5546875" style="842" customWidth="1"/>
    <col min="9730" max="9734" width="12.44140625" style="842" bestFit="1" customWidth="1"/>
    <col min="9735" max="9984" width="9.109375" style="842"/>
    <col min="9985" max="9985" width="36.5546875" style="842" customWidth="1"/>
    <col min="9986" max="9990" width="12.44140625" style="842" bestFit="1" customWidth="1"/>
    <col min="9991" max="10240" width="9.109375" style="842"/>
    <col min="10241" max="10241" width="36.5546875" style="842" customWidth="1"/>
    <col min="10242" max="10246" width="12.44140625" style="842" bestFit="1" customWidth="1"/>
    <col min="10247" max="10496" width="9.109375" style="842"/>
    <col min="10497" max="10497" width="36.5546875" style="842" customWidth="1"/>
    <col min="10498" max="10502" width="12.44140625" style="842" bestFit="1" customWidth="1"/>
    <col min="10503" max="10752" width="9.109375" style="842"/>
    <col min="10753" max="10753" width="36.5546875" style="842" customWidth="1"/>
    <col min="10754" max="10758" width="12.44140625" style="842" bestFit="1" customWidth="1"/>
    <col min="10759" max="11008" width="9.109375" style="842"/>
    <col min="11009" max="11009" width="36.5546875" style="842" customWidth="1"/>
    <col min="11010" max="11014" width="12.44140625" style="842" bestFit="1" customWidth="1"/>
    <col min="11015" max="11264" width="9.109375" style="842"/>
    <col min="11265" max="11265" width="36.5546875" style="842" customWidth="1"/>
    <col min="11266" max="11270" width="12.44140625" style="842" bestFit="1" customWidth="1"/>
    <col min="11271" max="11520" width="9.109375" style="842"/>
    <col min="11521" max="11521" width="36.5546875" style="842" customWidth="1"/>
    <col min="11522" max="11526" width="12.44140625" style="842" bestFit="1" customWidth="1"/>
    <col min="11527" max="11776" width="9.109375" style="842"/>
    <col min="11777" max="11777" width="36.5546875" style="842" customWidth="1"/>
    <col min="11778" max="11782" width="12.44140625" style="842" bestFit="1" customWidth="1"/>
    <col min="11783" max="12032" width="9.109375" style="842"/>
    <col min="12033" max="12033" width="36.5546875" style="842" customWidth="1"/>
    <col min="12034" max="12038" width="12.44140625" style="842" bestFit="1" customWidth="1"/>
    <col min="12039" max="12288" width="9.109375" style="842"/>
    <col min="12289" max="12289" width="36.5546875" style="842" customWidth="1"/>
    <col min="12290" max="12294" width="12.44140625" style="842" bestFit="1" customWidth="1"/>
    <col min="12295" max="12544" width="9.109375" style="842"/>
    <col min="12545" max="12545" width="36.5546875" style="842" customWidth="1"/>
    <col min="12546" max="12550" width="12.44140625" style="842" bestFit="1" customWidth="1"/>
    <col min="12551" max="12800" width="9.109375" style="842"/>
    <col min="12801" max="12801" width="36.5546875" style="842" customWidth="1"/>
    <col min="12802" max="12806" width="12.44140625" style="842" bestFit="1" customWidth="1"/>
    <col min="12807" max="13056" width="9.109375" style="842"/>
    <col min="13057" max="13057" width="36.5546875" style="842" customWidth="1"/>
    <col min="13058" max="13062" width="12.44140625" style="842" bestFit="1" customWidth="1"/>
    <col min="13063" max="13312" width="9.109375" style="842"/>
    <col min="13313" max="13313" width="36.5546875" style="842" customWidth="1"/>
    <col min="13314" max="13318" width="12.44140625" style="842" bestFit="1" customWidth="1"/>
    <col min="13319" max="13568" width="9.109375" style="842"/>
    <col min="13569" max="13569" width="36.5546875" style="842" customWidth="1"/>
    <col min="13570" max="13574" width="12.44140625" style="842" bestFit="1" customWidth="1"/>
    <col min="13575" max="13824" width="9.109375" style="842"/>
    <col min="13825" max="13825" width="36.5546875" style="842" customWidth="1"/>
    <col min="13826" max="13830" width="12.44140625" style="842" bestFit="1" customWidth="1"/>
    <col min="13831" max="14080" width="9.109375" style="842"/>
    <col min="14081" max="14081" width="36.5546875" style="842" customWidth="1"/>
    <col min="14082" max="14086" width="12.44140625" style="842" bestFit="1" customWidth="1"/>
    <col min="14087" max="14336" width="9.109375" style="842"/>
    <col min="14337" max="14337" width="36.5546875" style="842" customWidth="1"/>
    <col min="14338" max="14342" width="12.44140625" style="842" bestFit="1" customWidth="1"/>
    <col min="14343" max="14592" width="9.109375" style="842"/>
    <col min="14593" max="14593" width="36.5546875" style="842" customWidth="1"/>
    <col min="14594" max="14598" width="12.44140625" style="842" bestFit="1" customWidth="1"/>
    <col min="14599" max="14848" width="9.109375" style="842"/>
    <col min="14849" max="14849" width="36.5546875" style="842" customWidth="1"/>
    <col min="14850" max="14854" width="12.44140625" style="842" bestFit="1" customWidth="1"/>
    <col min="14855" max="15104" width="9.109375" style="842"/>
    <col min="15105" max="15105" width="36.5546875" style="842" customWidth="1"/>
    <col min="15106" max="15110" width="12.44140625" style="842" bestFit="1" customWidth="1"/>
    <col min="15111" max="15360" width="9.109375" style="842"/>
    <col min="15361" max="15361" width="36.5546875" style="842" customWidth="1"/>
    <col min="15362" max="15366" width="12.44140625" style="842" bestFit="1" customWidth="1"/>
    <col min="15367" max="15616" width="9.109375" style="842"/>
    <col min="15617" max="15617" width="36.5546875" style="842" customWidth="1"/>
    <col min="15618" max="15622" width="12.44140625" style="842" bestFit="1" customWidth="1"/>
    <col min="15623" max="15872" width="9.109375" style="842"/>
    <col min="15873" max="15873" width="36.5546875" style="842" customWidth="1"/>
    <col min="15874" max="15878" width="12.44140625" style="842" bestFit="1" customWidth="1"/>
    <col min="15879" max="16128" width="9.109375" style="842"/>
    <col min="16129" max="16129" width="36.5546875" style="842" customWidth="1"/>
    <col min="16130" max="16134" width="12.44140625" style="842" bestFit="1" customWidth="1"/>
    <col min="16135" max="16384" width="9.109375" style="842"/>
  </cols>
  <sheetData>
    <row r="1" spans="1:6" ht="14.25" x14ac:dyDescent="0.2">
      <c r="A1" s="842" t="s">
        <v>1402</v>
      </c>
    </row>
    <row r="2" spans="1:6" ht="14.25" x14ac:dyDescent="0.2">
      <c r="B2" s="1340" t="s">
        <v>1403</v>
      </c>
      <c r="C2" s="847" t="s">
        <v>519</v>
      </c>
      <c r="D2" s="847" t="s">
        <v>520</v>
      </c>
      <c r="E2" s="847" t="s">
        <v>521</v>
      </c>
      <c r="F2" s="847" t="s">
        <v>522</v>
      </c>
    </row>
    <row r="3" spans="1:6" ht="14.25" x14ac:dyDescent="0.2">
      <c r="A3" s="842" t="s">
        <v>1404</v>
      </c>
      <c r="B3" s="847">
        <v>12145664</v>
      </c>
      <c r="C3" s="847">
        <v>12882193</v>
      </c>
      <c r="D3" s="847">
        <v>13458452</v>
      </c>
      <c r="E3" s="847">
        <v>14465004</v>
      </c>
      <c r="F3" s="847">
        <v>15182789</v>
      </c>
    </row>
    <row r="4" spans="1:6" ht="14.25" x14ac:dyDescent="0.2">
      <c r="A4" s="842" t="s">
        <v>1405</v>
      </c>
      <c r="B4" s="847">
        <v>550000</v>
      </c>
      <c r="F4" s="847"/>
    </row>
    <row r="5" spans="1:6" ht="14.25" x14ac:dyDescent="0.2">
      <c r="A5" s="842" t="s">
        <v>174</v>
      </c>
      <c r="B5" s="1341">
        <v>2304651</v>
      </c>
      <c r="C5" s="1341">
        <v>2377841</v>
      </c>
      <c r="D5" s="1341">
        <v>2567626</v>
      </c>
      <c r="E5" s="1341">
        <v>2663649</v>
      </c>
      <c r="F5" s="1341">
        <v>2769330</v>
      </c>
    </row>
    <row r="6" spans="1:6" ht="14.25" x14ac:dyDescent="0.2">
      <c r="A6" s="842" t="s">
        <v>23</v>
      </c>
      <c r="B6" s="847">
        <f>SUM(B3:B5)</f>
        <v>15000315</v>
      </c>
      <c r="C6" s="847">
        <f>SUM(C3:C5)</f>
        <v>15260034</v>
      </c>
      <c r="D6" s="847">
        <f>SUM(D3:D5)</f>
        <v>16026078</v>
      </c>
      <c r="E6" s="847">
        <f>SUM(E3:E5)</f>
        <v>17128653</v>
      </c>
      <c r="F6" s="847">
        <f>SUM(F3:F5)</f>
        <v>17952119</v>
      </c>
    </row>
    <row r="7" spans="1:6" ht="14.25" x14ac:dyDescent="0.2">
      <c r="B7" s="847" t="s">
        <v>516</v>
      </c>
      <c r="F7" s="847"/>
    </row>
    <row r="8" spans="1:6" ht="14.25" x14ac:dyDescent="0.2">
      <c r="F8" s="847"/>
    </row>
    <row r="9" spans="1:6" ht="14.25" x14ac:dyDescent="0.2">
      <c r="F9" s="847"/>
    </row>
    <row r="10" spans="1:6" ht="14.25" x14ac:dyDescent="0.2">
      <c r="A10" s="842" t="s">
        <v>1406</v>
      </c>
      <c r="F10" s="847"/>
    </row>
    <row r="11" spans="1:6" ht="14.25" x14ac:dyDescent="0.2">
      <c r="A11" s="842" t="s">
        <v>1407</v>
      </c>
      <c r="C11" s="847">
        <f>SUM(B3:B4)</f>
        <v>12695664</v>
      </c>
      <c r="D11" s="847">
        <v>12886099</v>
      </c>
      <c r="E11" s="847">
        <v>13208251</v>
      </c>
      <c r="F11" s="847">
        <v>13788457</v>
      </c>
    </row>
    <row r="12" spans="1:6" ht="14.25" x14ac:dyDescent="0.2">
      <c r="A12" s="842" t="s">
        <v>1408</v>
      </c>
      <c r="C12" s="847">
        <f>C11*0.015</f>
        <v>190434.96</v>
      </c>
      <c r="D12" s="847">
        <f>D11*0.025</f>
        <v>322152.47500000003</v>
      </c>
      <c r="E12" s="847">
        <f>E11*0.025</f>
        <v>330206.27500000002</v>
      </c>
      <c r="F12" s="847">
        <f>F11*0.025</f>
        <v>344711.42500000005</v>
      </c>
    </row>
    <row r="13" spans="1:6" ht="14.25" x14ac:dyDescent="0.2">
      <c r="A13" s="842" t="s">
        <v>1409</v>
      </c>
      <c r="F13" s="847"/>
    </row>
    <row r="14" spans="1:6" ht="14.25" x14ac:dyDescent="0.2">
      <c r="A14" s="842" t="s">
        <v>1410</v>
      </c>
      <c r="C14" s="1341"/>
      <c r="D14" s="1341"/>
      <c r="E14" s="1341">
        <v>250000</v>
      </c>
      <c r="F14" s="1341">
        <v>0</v>
      </c>
    </row>
    <row r="15" spans="1:6" ht="14.25" x14ac:dyDescent="0.2">
      <c r="C15" s="847">
        <f>SUM(C11:C14)</f>
        <v>12886098.960000001</v>
      </c>
      <c r="D15" s="847">
        <f>SUM(D11:D14)</f>
        <v>13208251.475</v>
      </c>
      <c r="E15" s="847">
        <f>SUM(E11:E14)</f>
        <v>13788457.275</v>
      </c>
      <c r="F15" s="847">
        <f>SUM(F11:F14)</f>
        <v>14133168.425000001</v>
      </c>
    </row>
    <row r="16" spans="1:6" ht="14.25" x14ac:dyDescent="0.2">
      <c r="A16" s="842" t="s">
        <v>1411</v>
      </c>
      <c r="C16" s="847">
        <f>C5</f>
        <v>2377841</v>
      </c>
      <c r="D16" s="847">
        <f t="shared" ref="D16:F16" si="0">D5</f>
        <v>2567626</v>
      </c>
      <c r="E16" s="847">
        <f t="shared" si="0"/>
        <v>2663649</v>
      </c>
      <c r="F16" s="847">
        <f t="shared" si="0"/>
        <v>2769330</v>
      </c>
    </row>
    <row r="17" spans="1:6" ht="15.75" thickBot="1" x14ac:dyDescent="0.3">
      <c r="A17" s="890" t="s">
        <v>1412</v>
      </c>
      <c r="B17" s="1342"/>
      <c r="C17" s="892">
        <f>SUM(C15:C16)</f>
        <v>15263939.960000001</v>
      </c>
      <c r="D17" s="892">
        <f t="shared" ref="D17:F17" si="1">SUM(D15:D16)</f>
        <v>15775877.475</v>
      </c>
      <c r="E17" s="892">
        <f t="shared" si="1"/>
        <v>16452106.275</v>
      </c>
      <c r="F17" s="892">
        <f t="shared" si="1"/>
        <v>16902498.425000001</v>
      </c>
    </row>
    <row r="18" spans="1:6" ht="14.25" x14ac:dyDescent="0.2">
      <c r="F18" s="847"/>
    </row>
    <row r="19" spans="1:6" ht="14.25" x14ac:dyDescent="0.2">
      <c r="F19" s="847"/>
    </row>
    <row r="20" spans="1:6" ht="14.25" x14ac:dyDescent="0.2">
      <c r="F20" s="847"/>
    </row>
    <row r="21" spans="1:6" ht="14.25" x14ac:dyDescent="0.2">
      <c r="F21" s="847"/>
    </row>
    <row r="23" spans="1:6" ht="14.25" x14ac:dyDescent="0.2">
      <c r="A23" s="842" t="s">
        <v>1413</v>
      </c>
    </row>
    <row r="24" spans="1:6" ht="14.25" x14ac:dyDescent="0.2">
      <c r="A24" s="842" t="s">
        <v>1414</v>
      </c>
    </row>
    <row r="25" spans="1:6" ht="14.25" x14ac:dyDescent="0.2">
      <c r="A25" s="842" t="s">
        <v>1415</v>
      </c>
    </row>
    <row r="26" spans="1:6" ht="14.25" x14ac:dyDescent="0.2">
      <c r="A26" s="842" t="s">
        <v>1416</v>
      </c>
    </row>
    <row r="28" spans="1:6" ht="14.25" x14ac:dyDescent="0.2">
      <c r="A28" s="842" t="s">
        <v>1417</v>
      </c>
    </row>
    <row r="29" spans="1:6" ht="14.25" x14ac:dyDescent="0.2">
      <c r="A29" s="842" t="s">
        <v>1418</v>
      </c>
    </row>
    <row r="30" spans="1:6" ht="14.25" x14ac:dyDescent="0.2">
      <c r="A30" s="842" t="s">
        <v>1419</v>
      </c>
    </row>
    <row r="32" spans="1:6" ht="14.25" x14ac:dyDescent="0.2">
      <c r="A32" s="842" t="s">
        <v>1406</v>
      </c>
    </row>
    <row r="33" spans="1:6" ht="14.25" x14ac:dyDescent="0.2">
      <c r="A33" s="842" t="s">
        <v>1407</v>
      </c>
      <c r="C33" s="847">
        <v>12695664</v>
      </c>
      <c r="D33" s="847">
        <f>C37</f>
        <v>13203490.560000001</v>
      </c>
      <c r="E33" s="847">
        <f>D37</f>
        <v>13855730.299000001</v>
      </c>
      <c r="F33" s="847">
        <f>E37</f>
        <v>14782329.831475001</v>
      </c>
    </row>
    <row r="34" spans="1:6" x14ac:dyDescent="0.25">
      <c r="A34" s="842" t="s">
        <v>1408</v>
      </c>
      <c r="C34" s="847">
        <v>190434.96</v>
      </c>
      <c r="D34" s="847">
        <v>322152.47500000003</v>
      </c>
      <c r="E34" s="847">
        <v>330206.27500000002</v>
      </c>
      <c r="F34" s="847">
        <v>344711.42500000005</v>
      </c>
    </row>
    <row r="35" spans="1:6" x14ac:dyDescent="0.25">
      <c r="A35" s="842" t="s">
        <v>1409</v>
      </c>
      <c r="C35" s="847">
        <f>C33*0.025</f>
        <v>317391.60000000003</v>
      </c>
      <c r="D35" s="847">
        <f>D33*0.025</f>
        <v>330087.26400000002</v>
      </c>
      <c r="E35" s="847">
        <f>E33*0.025</f>
        <v>346393.25747500005</v>
      </c>
      <c r="F35" s="847">
        <f>F33*0.025</f>
        <v>369558.24578687502</v>
      </c>
    </row>
    <row r="36" spans="1:6" x14ac:dyDescent="0.25">
      <c r="A36" s="842" t="s">
        <v>1410</v>
      </c>
      <c r="E36" s="847">
        <v>250000</v>
      </c>
      <c r="F36" s="847">
        <v>0</v>
      </c>
    </row>
    <row r="37" spans="1:6" x14ac:dyDescent="0.25">
      <c r="C37" s="847">
        <f>SUM(C33:C36)</f>
        <v>13203490.560000001</v>
      </c>
      <c r="D37" s="847">
        <f>SUM(D33:D36)</f>
        <v>13855730.299000001</v>
      </c>
      <c r="E37" s="847">
        <f>SUM(E33:E36)</f>
        <v>14782329.831475001</v>
      </c>
      <c r="F37" s="847">
        <f>SUM(F33:F36)</f>
        <v>15496599.502261877</v>
      </c>
    </row>
    <row r="38" spans="1:6" x14ac:dyDescent="0.25">
      <c r="A38" s="842" t="s">
        <v>174</v>
      </c>
      <c r="B38" s="847">
        <v>2304651</v>
      </c>
      <c r="C38" s="847">
        <v>2377841</v>
      </c>
      <c r="D38" s="847">
        <v>2567626</v>
      </c>
      <c r="E38" s="847">
        <v>2663649</v>
      </c>
      <c r="F38" s="1343">
        <v>2769330</v>
      </c>
    </row>
    <row r="40" spans="1:6" ht="14.4" thickBot="1" x14ac:dyDescent="0.3">
      <c r="C40" s="1344">
        <f>SUM(C37:C39)</f>
        <v>15581331.560000001</v>
      </c>
      <c r="D40" s="1344">
        <f t="shared" ref="D40:F40" si="2">SUM(D37:D39)</f>
        <v>16423356.299000001</v>
      </c>
      <c r="E40" s="1344">
        <f t="shared" si="2"/>
        <v>17445978.831475001</v>
      </c>
      <c r="F40" s="1344">
        <f t="shared" si="2"/>
        <v>18265929.502261877</v>
      </c>
    </row>
    <row r="41" spans="1:6" x14ac:dyDescent="0.25">
      <c r="A41" s="842" t="s">
        <v>1420</v>
      </c>
    </row>
    <row r="43" spans="1:6" x14ac:dyDescent="0.25">
      <c r="C43" s="847">
        <v>15563977</v>
      </c>
      <c r="D43" s="847">
        <v>16356162</v>
      </c>
      <c r="E43" s="842">
        <v>17465653</v>
      </c>
      <c r="F43" s="842">
        <v>18306119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25"/>
  <sheetViews>
    <sheetView workbookViewId="0">
      <pane xSplit="1" ySplit="5" topLeftCell="B50" activePane="bottomRight" state="frozen"/>
      <selection pane="topRight" activeCell="B1" sqref="B1"/>
      <selection pane="bottomLeft" activeCell="A6" sqref="A6"/>
      <selection pane="bottomRight" activeCell="A5" sqref="A5:F63"/>
    </sheetView>
  </sheetViews>
  <sheetFormatPr defaultColWidth="9.109375" defaultRowHeight="13.8" x14ac:dyDescent="0.25"/>
  <cols>
    <col min="1" max="1" width="40.88671875" style="842" bestFit="1" customWidth="1"/>
    <col min="2" max="2" width="15.33203125" style="842" customWidth="1"/>
    <col min="3" max="3" width="13.33203125" style="842" bestFit="1" customWidth="1"/>
    <col min="4" max="4" width="14.109375" style="842" customWidth="1"/>
    <col min="5" max="5" width="13.5546875" style="842" customWidth="1"/>
    <col min="6" max="6" width="13.6640625" style="842" customWidth="1"/>
    <col min="7" max="7" width="13.88671875" style="842" customWidth="1"/>
    <col min="8" max="8" width="14" style="842" customWidth="1"/>
    <col min="9" max="9" width="18.5546875" style="842" customWidth="1"/>
    <col min="10" max="10" width="20.44140625" style="842" customWidth="1"/>
    <col min="11" max="25" width="13.33203125" style="842" bestFit="1" customWidth="1"/>
    <col min="26" max="27" width="12" style="842" bestFit="1" customWidth="1"/>
    <col min="28" max="16384" width="9.109375" style="842"/>
  </cols>
  <sheetData>
    <row r="1" spans="1:25" ht="15" x14ac:dyDescent="0.25">
      <c r="A1" s="1592" t="s">
        <v>1116</v>
      </c>
      <c r="B1" s="1592"/>
      <c r="C1" s="1592"/>
      <c r="D1" s="1592"/>
      <c r="E1" s="1592"/>
      <c r="F1" s="1592"/>
    </row>
    <row r="2" spans="1:25" ht="15" x14ac:dyDescent="0.25">
      <c r="A2" s="1592" t="s">
        <v>1156</v>
      </c>
      <c r="B2" s="1592"/>
      <c r="C2" s="1592"/>
      <c r="D2" s="1592"/>
      <c r="E2" s="1592"/>
      <c r="F2" s="1592"/>
    </row>
    <row r="3" spans="1:25" ht="14.25" x14ac:dyDescent="0.2">
      <c r="A3" s="825"/>
      <c r="B3" s="825"/>
      <c r="C3" s="826"/>
      <c r="D3" s="825"/>
      <c r="E3" s="825"/>
      <c r="F3" s="825" t="s">
        <v>516</v>
      </c>
      <c r="G3" s="842">
        <v>70000</v>
      </c>
      <c r="J3" s="842">
        <v>60000</v>
      </c>
      <c r="L3" s="842">
        <v>50000</v>
      </c>
    </row>
    <row r="4" spans="1:25" ht="15" thickBot="1" x14ac:dyDescent="0.25">
      <c r="C4" s="826"/>
      <c r="D4" s="825"/>
      <c r="E4" s="825"/>
      <c r="F4" s="825"/>
    </row>
    <row r="5" spans="1:25" ht="45" x14ac:dyDescent="0.25">
      <c r="A5" s="839" t="s">
        <v>399</v>
      </c>
      <c r="B5" s="839"/>
      <c r="C5" s="827" t="s">
        <v>1117</v>
      </c>
      <c r="D5" s="828" t="s">
        <v>1118</v>
      </c>
      <c r="E5" s="828" t="s">
        <v>1119</v>
      </c>
      <c r="F5" s="828" t="s">
        <v>1120</v>
      </c>
      <c r="G5" s="1352" t="s">
        <v>8</v>
      </c>
      <c r="H5" s="1354" t="s">
        <v>9</v>
      </c>
      <c r="I5" s="1355" t="s">
        <v>514</v>
      </c>
      <c r="J5" s="1355" t="s">
        <v>515</v>
      </c>
      <c r="K5" s="1355" t="s">
        <v>904</v>
      </c>
      <c r="L5" s="1355" t="s">
        <v>1046</v>
      </c>
      <c r="M5" s="1355" t="s">
        <v>1424</v>
      </c>
      <c r="N5" s="1355" t="s">
        <v>1425</v>
      </c>
      <c r="O5" s="1355" t="s">
        <v>1426</v>
      </c>
      <c r="P5" s="1355" t="s">
        <v>1427</v>
      </c>
      <c r="Q5" s="1355" t="s">
        <v>1428</v>
      </c>
      <c r="R5" s="1355" t="s">
        <v>1429</v>
      </c>
      <c r="S5" s="1355" t="s">
        <v>1430</v>
      </c>
      <c r="T5" s="1355" t="s">
        <v>1433</v>
      </c>
      <c r="U5" s="1355" t="s">
        <v>1434</v>
      </c>
      <c r="V5" s="1355" t="s">
        <v>1435</v>
      </c>
      <c r="W5" s="1355" t="s">
        <v>1436</v>
      </c>
      <c r="X5" s="1355" t="s">
        <v>1437</v>
      </c>
      <c r="Y5" s="1355" t="s">
        <v>1432</v>
      </c>
    </row>
    <row r="6" spans="1:25" ht="14.25" x14ac:dyDescent="0.2">
      <c r="A6" s="829" t="s">
        <v>1032</v>
      </c>
      <c r="B6" s="829"/>
      <c r="C6" s="830"/>
      <c r="D6" s="831" t="s">
        <v>516</v>
      </c>
      <c r="E6" s="831" t="s">
        <v>516</v>
      </c>
      <c r="F6" s="831" t="s">
        <v>516</v>
      </c>
      <c r="G6" s="831" t="s">
        <v>516</v>
      </c>
      <c r="H6" s="831" t="s">
        <v>516</v>
      </c>
      <c r="I6" s="831" t="s">
        <v>516</v>
      </c>
      <c r="J6" s="831" t="s">
        <v>516</v>
      </c>
      <c r="K6" s="831" t="s">
        <v>516</v>
      </c>
      <c r="L6" s="831" t="s">
        <v>516</v>
      </c>
      <c r="M6" s="831" t="s">
        <v>516</v>
      </c>
      <c r="N6" s="831" t="s">
        <v>516</v>
      </c>
      <c r="O6" s="831" t="s">
        <v>516</v>
      </c>
      <c r="P6" s="831" t="s">
        <v>516</v>
      </c>
      <c r="Q6" s="831" t="s">
        <v>516</v>
      </c>
      <c r="R6" s="831" t="s">
        <v>516</v>
      </c>
      <c r="S6" s="831" t="s">
        <v>516</v>
      </c>
      <c r="T6" s="831" t="s">
        <v>516</v>
      </c>
      <c r="U6" s="831" t="s">
        <v>516</v>
      </c>
      <c r="V6" s="831" t="s">
        <v>516</v>
      </c>
      <c r="W6" s="831" t="s">
        <v>516</v>
      </c>
      <c r="X6" s="831" t="s">
        <v>516</v>
      </c>
      <c r="Y6" s="831" t="s">
        <v>516</v>
      </c>
    </row>
    <row r="7" spans="1:25" ht="14.25" x14ac:dyDescent="0.2">
      <c r="A7" s="829" t="s">
        <v>1121</v>
      </c>
      <c r="B7" s="829"/>
      <c r="C7" s="830">
        <v>70000</v>
      </c>
      <c r="D7" s="831">
        <v>70000</v>
      </c>
      <c r="E7" s="831">
        <v>70000</v>
      </c>
      <c r="F7" s="831">
        <v>70000</v>
      </c>
      <c r="G7" s="831">
        <f>F7*(1+'LTFP Assumptions'!$J$13)</f>
        <v>71400</v>
      </c>
      <c r="H7" s="831">
        <f>G7*(1+'LTFP Assumptions'!$J$13)</f>
        <v>72828</v>
      </c>
      <c r="I7" s="831">
        <f>H7*(1+'LTFP Assumptions'!$J$13)</f>
        <v>74284.56</v>
      </c>
      <c r="J7" s="831">
        <f>I7*(1+'LTFP Assumptions'!$J$13)</f>
        <v>75770.251199999999</v>
      </c>
      <c r="K7" s="831">
        <f>J7*(1+'LTFP Assumptions'!$J$13)</f>
        <v>77285.656224000006</v>
      </c>
      <c r="L7" s="831">
        <f>K7*(1+'LTFP Assumptions'!$J$13)</f>
        <v>78831.369348480002</v>
      </c>
      <c r="M7" s="831">
        <f>L7*(1+'LTFP Assumptions'!$J$13)</f>
        <v>80407.996735449604</v>
      </c>
      <c r="N7" s="831">
        <f>M7*(1+'LTFP Assumptions'!$J$13)</f>
        <v>82016.156670158598</v>
      </c>
      <c r="O7" s="831">
        <f>N7*(1+'LTFP Assumptions'!$J$13)</f>
        <v>83656.479803561771</v>
      </c>
      <c r="P7" s="831">
        <f>O7*(1+'LTFP Assumptions'!$J$13)</f>
        <v>85329.609399633002</v>
      </c>
      <c r="Q7" s="831">
        <f>P7*(1+'LTFP Assumptions'!$J$13)</f>
        <v>87036.201587625663</v>
      </c>
      <c r="R7" s="831">
        <f>Q7*(1+'LTFP Assumptions'!$J$13)</f>
        <v>88776.925619378177</v>
      </c>
      <c r="S7" s="831">
        <f>R7*(1+'LTFP Assumptions'!$J$13)</f>
        <v>90552.464131765737</v>
      </c>
      <c r="T7" s="831">
        <f>S7*(1+'LTFP Assumptions'!$J$13)</f>
        <v>92363.513414401052</v>
      </c>
      <c r="U7" s="831">
        <f>T7*(1+'LTFP Assumptions'!$J$13)</f>
        <v>94210.783682689071</v>
      </c>
      <c r="V7" s="831">
        <f>U7*(1+'LTFP Assumptions'!$J$13)</f>
        <v>96094.999356342858</v>
      </c>
      <c r="W7" s="831">
        <f>V7*(1+'LTFP Assumptions'!$J$13)</f>
        <v>98016.899343469719</v>
      </c>
      <c r="X7" s="831">
        <f>W7*(1+'LTFP Assumptions'!$J$13)</f>
        <v>99977.237330339121</v>
      </c>
      <c r="Y7" s="831">
        <f>X7*(1+'LTFP Assumptions'!$J$13)</f>
        <v>101976.78207694591</v>
      </c>
    </row>
    <row r="8" spans="1:25" ht="14.25" x14ac:dyDescent="0.2">
      <c r="A8" s="829" t="s">
        <v>1122</v>
      </c>
      <c r="B8" s="829"/>
      <c r="C8" s="830">
        <v>1117000</v>
      </c>
      <c r="D8" s="830">
        <v>1145000</v>
      </c>
      <c r="E8" s="831">
        <v>1173000</v>
      </c>
      <c r="F8" s="831">
        <v>1173000</v>
      </c>
      <c r="G8" s="831">
        <f>F8*(1+'LTFP Assumptions'!$J$13)</f>
        <v>1196460</v>
      </c>
      <c r="H8" s="831">
        <f>G8*(1+'LTFP Assumptions'!$J$13)</f>
        <v>1220389.2</v>
      </c>
      <c r="I8" s="831">
        <f>H8*(1+'LTFP Assumptions'!$J$13)</f>
        <v>1244796.9839999999</v>
      </c>
      <c r="J8" s="831">
        <f>I8*(1+'LTFP Assumptions'!$J$13)</f>
        <v>1269692.92368</v>
      </c>
      <c r="K8" s="831">
        <f>J8*(1+'LTFP Assumptions'!$J$13)</f>
        <v>1295086.7821536001</v>
      </c>
      <c r="L8" s="831">
        <f>K8*(1+'LTFP Assumptions'!$J$13)</f>
        <v>1320988.5177966722</v>
      </c>
      <c r="M8" s="831">
        <f>L8*(1+'LTFP Assumptions'!$J$13)</f>
        <v>1347408.2881526058</v>
      </c>
      <c r="N8" s="831">
        <f>M8*(1+'LTFP Assumptions'!$J$13)</f>
        <v>1374356.4539156579</v>
      </c>
      <c r="O8" s="831">
        <f>N8*(1+'LTFP Assumptions'!$J$13)</f>
        <v>1401843.5829939712</v>
      </c>
      <c r="P8" s="831">
        <f>O8*(1+'LTFP Assumptions'!$J$13)</f>
        <v>1429880.4546538505</v>
      </c>
      <c r="Q8" s="831">
        <f>P8*(1+'LTFP Assumptions'!$J$13)</f>
        <v>1458478.0637469275</v>
      </c>
      <c r="R8" s="831">
        <f>Q8*(1+'LTFP Assumptions'!$J$13)</f>
        <v>1487647.6250218661</v>
      </c>
      <c r="S8" s="831">
        <f>R8*(1+'LTFP Assumptions'!$J$13)</f>
        <v>1517400.5775223034</v>
      </c>
      <c r="T8" s="831">
        <f>S8*(1+'LTFP Assumptions'!$J$13)</f>
        <v>1547748.5890727495</v>
      </c>
      <c r="U8" s="831">
        <f>T8*(1+'LTFP Assumptions'!$J$13)</f>
        <v>1578703.5608542045</v>
      </c>
      <c r="V8" s="831">
        <f>U8*(1+'LTFP Assumptions'!$J$13)</f>
        <v>1610277.6320712885</v>
      </c>
      <c r="W8" s="831">
        <f>V8*(1+'LTFP Assumptions'!$J$13)</f>
        <v>1642483.1847127143</v>
      </c>
      <c r="X8" s="831">
        <f>W8*(1+'LTFP Assumptions'!$J$13)</f>
        <v>1675332.8484069686</v>
      </c>
      <c r="Y8" s="831">
        <f>X8*(1+'LTFP Assumptions'!$J$13)</f>
        <v>1708839.505375108</v>
      </c>
    </row>
    <row r="9" spans="1:25" ht="14.25" x14ac:dyDescent="0.2">
      <c r="A9" s="829" t="s">
        <v>1123</v>
      </c>
      <c r="B9" s="829"/>
      <c r="C9" s="830">
        <v>256000</v>
      </c>
      <c r="D9" s="831">
        <v>260000</v>
      </c>
      <c r="E9" s="831">
        <v>265000</v>
      </c>
      <c r="F9" s="831">
        <v>265000</v>
      </c>
      <c r="G9" s="831">
        <f>F9*(1+'LTFP Assumptions'!$J$13)</f>
        <v>270300</v>
      </c>
      <c r="H9" s="831">
        <f>G9*(1+'LTFP Assumptions'!$J$13)</f>
        <v>275706</v>
      </c>
      <c r="I9" s="831">
        <f>H9*(1+'LTFP Assumptions'!$J$13)</f>
        <v>281220.12</v>
      </c>
      <c r="J9" s="831">
        <f>I9*(1+'LTFP Assumptions'!$J$13)</f>
        <v>286844.52240000002</v>
      </c>
      <c r="K9" s="831">
        <f>J9*(1+'LTFP Assumptions'!$J$13)</f>
        <v>292581.41284800001</v>
      </c>
      <c r="L9" s="831">
        <f>K9*(1+'LTFP Assumptions'!$J$13)</f>
        <v>298433.04110496002</v>
      </c>
      <c r="M9" s="831">
        <f>L9*(1+'LTFP Assumptions'!$J$13)</f>
        <v>304401.70192705921</v>
      </c>
      <c r="N9" s="831">
        <f>M9*(1+'LTFP Assumptions'!$J$13)</f>
        <v>310489.73596560041</v>
      </c>
      <c r="O9" s="831">
        <f>N9*(1+'LTFP Assumptions'!$J$13)</f>
        <v>316699.5306849124</v>
      </c>
      <c r="P9" s="831">
        <f>O9*(1+'LTFP Assumptions'!$J$13)</f>
        <v>323033.52129861066</v>
      </c>
      <c r="Q9" s="831">
        <f>P9*(1+'LTFP Assumptions'!$J$13)</f>
        <v>329494.19172458287</v>
      </c>
      <c r="R9" s="831">
        <f>Q9*(1+'LTFP Assumptions'!$J$13)</f>
        <v>336084.07555907452</v>
      </c>
      <c r="S9" s="831">
        <f>R9*(1+'LTFP Assumptions'!$J$13)</f>
        <v>342805.75707025605</v>
      </c>
      <c r="T9" s="831">
        <f>S9*(1+'LTFP Assumptions'!$J$13)</f>
        <v>349661.87221166119</v>
      </c>
      <c r="U9" s="831">
        <f>T9*(1+'LTFP Assumptions'!$J$13)</f>
        <v>356655.1096558944</v>
      </c>
      <c r="V9" s="831">
        <f>U9*(1+'LTFP Assumptions'!$J$13)</f>
        <v>363788.2118490123</v>
      </c>
      <c r="W9" s="831">
        <f>V9*(1+'LTFP Assumptions'!$J$13)</f>
        <v>371063.97608599253</v>
      </c>
      <c r="X9" s="831">
        <f>W9*(1+'LTFP Assumptions'!$J$13)</f>
        <v>378485.25560771237</v>
      </c>
      <c r="Y9" s="831">
        <f>X9*(1+'LTFP Assumptions'!$J$13)</f>
        <v>386054.96071986662</v>
      </c>
    </row>
    <row r="10" spans="1:25" ht="14.25" x14ac:dyDescent="0.2">
      <c r="A10" s="829" t="s">
        <v>1124</v>
      </c>
      <c r="B10" s="829"/>
      <c r="C10" s="830">
        <v>205000</v>
      </c>
      <c r="D10" s="831">
        <v>205000</v>
      </c>
      <c r="E10" s="831">
        <v>210000</v>
      </c>
      <c r="F10" s="831">
        <v>210000</v>
      </c>
      <c r="G10" s="831">
        <f>F10*(1+'LTFP Assumptions'!$J$13)</f>
        <v>214200</v>
      </c>
      <c r="H10" s="831">
        <f>G10*(1+'LTFP Assumptions'!$J$13)</f>
        <v>218484</v>
      </c>
      <c r="I10" s="831">
        <f>H10*(1+'LTFP Assumptions'!$J$13)</f>
        <v>222853.68</v>
      </c>
      <c r="J10" s="831">
        <f>I10*(1+'LTFP Assumptions'!$J$13)</f>
        <v>227310.7536</v>
      </c>
      <c r="K10" s="831">
        <f>J10*(1+'LTFP Assumptions'!$J$13)</f>
        <v>231856.96867199999</v>
      </c>
      <c r="L10" s="831">
        <f>K10*(1+'LTFP Assumptions'!$J$13)</f>
        <v>236494.10804543999</v>
      </c>
      <c r="M10" s="831">
        <f>L10*(1+'LTFP Assumptions'!$J$13)</f>
        <v>241223.9902063488</v>
      </c>
      <c r="N10" s="831">
        <f>M10*(1+'LTFP Assumptions'!$J$13)</f>
        <v>246048.47001047578</v>
      </c>
      <c r="O10" s="831">
        <f>N10*(1+'LTFP Assumptions'!$J$13)</f>
        <v>250969.4394106853</v>
      </c>
      <c r="P10" s="831">
        <f>O10*(1+'LTFP Assumptions'!$J$13)</f>
        <v>255988.82819889902</v>
      </c>
      <c r="Q10" s="831">
        <f>P10*(1+'LTFP Assumptions'!$J$13)</f>
        <v>261108.60476287702</v>
      </c>
      <c r="R10" s="831">
        <f>Q10*(1+'LTFP Assumptions'!$J$13)</f>
        <v>266330.77685813454</v>
      </c>
      <c r="S10" s="831">
        <f>R10*(1+'LTFP Assumptions'!$J$13)</f>
        <v>271657.39239529724</v>
      </c>
      <c r="T10" s="831">
        <f>S10*(1+'LTFP Assumptions'!$J$13)</f>
        <v>277090.54024320317</v>
      </c>
      <c r="U10" s="831">
        <f>T10*(1+'LTFP Assumptions'!$J$13)</f>
        <v>282632.35104806721</v>
      </c>
      <c r="V10" s="831">
        <f>U10*(1+'LTFP Assumptions'!$J$13)</f>
        <v>288284.99806902854</v>
      </c>
      <c r="W10" s="831">
        <f>V10*(1+'LTFP Assumptions'!$J$13)</f>
        <v>294050.69803040911</v>
      </c>
      <c r="X10" s="831">
        <f>W10*(1+'LTFP Assumptions'!$J$13)</f>
        <v>299931.71199101728</v>
      </c>
      <c r="Y10" s="831">
        <f>X10*(1+'LTFP Assumptions'!$J$13)</f>
        <v>305930.34623083763</v>
      </c>
    </row>
    <row r="11" spans="1:25" ht="14.25" x14ac:dyDescent="0.2">
      <c r="A11" s="829" t="s">
        <v>1125</v>
      </c>
      <c r="B11" s="829"/>
      <c r="C11" s="830">
        <v>328000</v>
      </c>
      <c r="D11" s="831">
        <v>328000</v>
      </c>
      <c r="E11" s="831">
        <v>330000</v>
      </c>
      <c r="F11" s="831">
        <v>330000</v>
      </c>
      <c r="G11" s="831">
        <f>F11*(1+'LTFP Assumptions'!$J$13)</f>
        <v>336600</v>
      </c>
      <c r="H11" s="831">
        <f>G11*(1+'LTFP Assumptions'!$J$13)</f>
        <v>343332</v>
      </c>
      <c r="I11" s="831">
        <f>H11*(1+'LTFP Assumptions'!$J$13)</f>
        <v>350198.64</v>
      </c>
      <c r="J11" s="831">
        <f>I11*(1+'LTFP Assumptions'!$J$13)</f>
        <v>357202.6128</v>
      </c>
      <c r="K11" s="831">
        <f>J11*(1+'LTFP Assumptions'!$J$13)</f>
        <v>364346.665056</v>
      </c>
      <c r="L11" s="831">
        <f>K11*(1+'LTFP Assumptions'!$J$13)</f>
        <v>371633.59835712</v>
      </c>
      <c r="M11" s="831">
        <f>L11*(1+'LTFP Assumptions'!$J$13)</f>
        <v>379066.27032426238</v>
      </c>
      <c r="N11" s="831">
        <f>M11*(1+'LTFP Assumptions'!$J$13)</f>
        <v>386647.59573074762</v>
      </c>
      <c r="O11" s="831">
        <f>N11*(1+'LTFP Assumptions'!$J$13)</f>
        <v>394380.54764536256</v>
      </c>
      <c r="P11" s="831">
        <f>O11*(1+'LTFP Assumptions'!$J$13)</f>
        <v>402268.1585982698</v>
      </c>
      <c r="Q11" s="831">
        <f>P11*(1+'LTFP Assumptions'!$J$13)</f>
        <v>410313.52177023521</v>
      </c>
      <c r="R11" s="831">
        <f>Q11*(1+'LTFP Assumptions'!$J$13)</f>
        <v>418519.79220563994</v>
      </c>
      <c r="S11" s="831">
        <f>R11*(1+'LTFP Assumptions'!$J$13)</f>
        <v>426890.18804975273</v>
      </c>
      <c r="T11" s="831">
        <f>S11*(1+'LTFP Assumptions'!$J$13)</f>
        <v>435427.99181074777</v>
      </c>
      <c r="U11" s="831">
        <f>T11*(1+'LTFP Assumptions'!$J$13)</f>
        <v>444136.55164696276</v>
      </c>
      <c r="V11" s="831">
        <f>U11*(1+'LTFP Assumptions'!$J$13)</f>
        <v>453019.28267990204</v>
      </c>
      <c r="W11" s="831">
        <f>V11*(1+'LTFP Assumptions'!$J$13)</f>
        <v>462079.6683335001</v>
      </c>
      <c r="X11" s="831">
        <f>W11*(1+'LTFP Assumptions'!$J$13)</f>
        <v>471321.26170017011</v>
      </c>
      <c r="Y11" s="831">
        <f>X11*(1+'LTFP Assumptions'!$J$13)</f>
        <v>480747.68693417351</v>
      </c>
    </row>
    <row r="12" spans="1:25" ht="14.25" x14ac:dyDescent="0.2">
      <c r="A12" s="829" t="s">
        <v>1126</v>
      </c>
      <c r="B12" s="829"/>
      <c r="C12" s="830">
        <v>492000</v>
      </c>
      <c r="D12" s="831">
        <v>500000</v>
      </c>
      <c r="E12" s="831">
        <v>510000</v>
      </c>
      <c r="F12" s="831">
        <v>510000</v>
      </c>
      <c r="G12" s="831">
        <f>F12*(1+'LTFP Assumptions'!$J$13)</f>
        <v>520200</v>
      </c>
      <c r="H12" s="831">
        <f>G12*(1+'LTFP Assumptions'!$J$13)</f>
        <v>530604</v>
      </c>
      <c r="I12" s="831">
        <f>H12*(1+'LTFP Assumptions'!$J$13)</f>
        <v>541216.07999999996</v>
      </c>
      <c r="J12" s="831">
        <f>I12*(1+'LTFP Assumptions'!$J$13)</f>
        <v>552040.40159999998</v>
      </c>
      <c r="K12" s="831">
        <f>J12*(1+'LTFP Assumptions'!$J$13)</f>
        <v>563081.20963199995</v>
      </c>
      <c r="L12" s="831">
        <f>K12*(1+'LTFP Assumptions'!$J$13)</f>
        <v>574342.83382463991</v>
      </c>
      <c r="M12" s="831">
        <f>L12*(1+'LTFP Assumptions'!$J$13)</f>
        <v>585829.69050113275</v>
      </c>
      <c r="N12" s="831">
        <f>M12*(1+'LTFP Assumptions'!$J$13)</f>
        <v>597546.28431115544</v>
      </c>
      <c r="O12" s="831">
        <f>N12*(1+'LTFP Assumptions'!$J$13)</f>
        <v>609497.20999737852</v>
      </c>
      <c r="P12" s="831">
        <f>O12*(1+'LTFP Assumptions'!$J$13)</f>
        <v>621687.15419732605</v>
      </c>
      <c r="Q12" s="831">
        <f>P12*(1+'LTFP Assumptions'!$J$13)</f>
        <v>634120.89728127257</v>
      </c>
      <c r="R12" s="831">
        <f>Q12*(1+'LTFP Assumptions'!$J$13)</f>
        <v>646803.31522689806</v>
      </c>
      <c r="S12" s="831">
        <f>R12*(1+'LTFP Assumptions'!$J$13)</f>
        <v>659739.381531436</v>
      </c>
      <c r="T12" s="831">
        <f>S12*(1+'LTFP Assumptions'!$J$13)</f>
        <v>672934.16916206467</v>
      </c>
      <c r="U12" s="831">
        <f>T12*(1+'LTFP Assumptions'!$J$13)</f>
        <v>686392.85254530597</v>
      </c>
      <c r="V12" s="831">
        <f>U12*(1+'LTFP Assumptions'!$J$13)</f>
        <v>700120.70959621214</v>
      </c>
      <c r="W12" s="831">
        <f>V12*(1+'LTFP Assumptions'!$J$13)</f>
        <v>714123.12378813641</v>
      </c>
      <c r="X12" s="831">
        <f>W12*(1+'LTFP Assumptions'!$J$13)</f>
        <v>728405.58626389911</v>
      </c>
      <c r="Y12" s="831">
        <f>X12*(1+'LTFP Assumptions'!$J$13)</f>
        <v>742973.69798917708</v>
      </c>
    </row>
    <row r="13" spans="1:25" ht="14.25" x14ac:dyDescent="0.2">
      <c r="A13" s="829"/>
      <c r="B13" s="829"/>
      <c r="C13" s="830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1"/>
      <c r="P13" s="831"/>
      <c r="Q13" s="831"/>
      <c r="R13" s="831"/>
      <c r="S13" s="831"/>
      <c r="T13" s="831"/>
      <c r="U13" s="831"/>
      <c r="V13" s="831"/>
      <c r="W13" s="831"/>
      <c r="X13" s="831"/>
      <c r="Y13" s="831"/>
    </row>
    <row r="14" spans="1:25" ht="14.25" x14ac:dyDescent="0.2">
      <c r="A14" s="1345" t="s">
        <v>1422</v>
      </c>
      <c r="B14" s="1353" t="s">
        <v>1423</v>
      </c>
      <c r="C14" s="1346"/>
      <c r="D14" s="1347"/>
      <c r="E14" s="1347">
        <v>1500000</v>
      </c>
      <c r="F14" s="1347">
        <f>2200000+250000</f>
        <v>2450000</v>
      </c>
      <c r="G14" s="1347">
        <f>(F14+G3)*(1+'LTFP Assumptions'!$J$13)</f>
        <v>2570400</v>
      </c>
      <c r="H14" s="1347">
        <f>(G14+H3)*(1+'LTFP Assumptions'!$J$13)</f>
        <v>2621808</v>
      </c>
      <c r="I14" s="1347">
        <f>(H14+I3)*(1+'LTFP Assumptions'!$J$13)</f>
        <v>2674244.16</v>
      </c>
      <c r="J14" s="1347">
        <f>(I14+J3)*(1+'LTFP Assumptions'!$J$13)</f>
        <v>2788929.0432000002</v>
      </c>
      <c r="K14" s="1347">
        <f>(J14+K3)*(1+'LTFP Assumptions'!$J$13)</f>
        <v>2844707.6240640003</v>
      </c>
      <c r="L14" s="1347">
        <f>(K14+L3)*(1+'LTFP Assumptions'!$J$13)</f>
        <v>2952601.7765452806</v>
      </c>
      <c r="M14" s="1347">
        <f>(L14+M3)*(1+'LTFP Assumptions'!$J$13)</f>
        <v>3011653.8120761863</v>
      </c>
      <c r="N14" s="1347">
        <f>(M14+N3)*(1+'LTFP Assumptions'!$J$13)</f>
        <v>3071886.8883177103</v>
      </c>
      <c r="O14" s="1347">
        <f>(N14+O3)*(1+'LTFP Assumptions'!$J$13)</f>
        <v>3133324.6260840646</v>
      </c>
      <c r="P14" s="1347">
        <f>(O14+P3)*(1+'LTFP Assumptions'!$J$13)</f>
        <v>3195991.118605746</v>
      </c>
      <c r="Q14" s="1347">
        <f>(P14+Q3)*(1+'LTFP Assumptions'!$J$13)</f>
        <v>3259910.9409778607</v>
      </c>
      <c r="R14" s="1347">
        <f>(Q14+R3)*(1+'LTFP Assumptions'!$J$13)</f>
        <v>3325109.1597974179</v>
      </c>
      <c r="S14" s="1347">
        <f>(R14+S3)*(1+'LTFP Assumptions'!$J$13)</f>
        <v>3391611.3429933665</v>
      </c>
      <c r="T14" s="1347">
        <f>(S14+T3)*(1+'LTFP Assumptions'!$J$13)</f>
        <v>3459443.5698532341</v>
      </c>
      <c r="U14" s="1347">
        <f>(T14+U3)*(1+'LTFP Assumptions'!$J$13)</f>
        <v>3528632.4412502986</v>
      </c>
      <c r="V14" s="1347">
        <f>(U14+V3)*(1+'LTFP Assumptions'!$J$13)</f>
        <v>3599205.0900753047</v>
      </c>
      <c r="W14" s="1347">
        <f>(V14+W3)*(1+'LTFP Assumptions'!$J$13)</f>
        <v>3671189.191876811</v>
      </c>
      <c r="X14" s="1347">
        <f>(W14+X3)*(1+'LTFP Assumptions'!$J$13)</f>
        <v>3744612.9757143473</v>
      </c>
      <c r="Y14" s="1347">
        <f>(X14+Y3)*(1+'LTFP Assumptions'!$J$13)</f>
        <v>3819505.2352286344</v>
      </c>
    </row>
    <row r="15" spans="1:25" ht="14.25" x14ac:dyDescent="0.2">
      <c r="A15" s="829"/>
      <c r="B15" s="829"/>
      <c r="C15" s="830"/>
      <c r="D15" s="831"/>
      <c r="E15" s="831"/>
      <c r="F15" s="831"/>
      <c r="G15" s="831"/>
      <c r="H15" s="831"/>
      <c r="I15" s="831"/>
      <c r="J15" s="831"/>
      <c r="K15" s="831"/>
      <c r="L15" s="831"/>
      <c r="M15" s="831"/>
      <c r="N15" s="831"/>
      <c r="O15" s="831"/>
      <c r="P15" s="831"/>
      <c r="Q15" s="831"/>
      <c r="R15" s="831"/>
      <c r="S15" s="831"/>
      <c r="T15" s="831"/>
      <c r="U15" s="831"/>
      <c r="V15" s="831"/>
      <c r="W15" s="831"/>
      <c r="X15" s="831"/>
      <c r="Y15" s="831"/>
    </row>
    <row r="16" spans="1:25" ht="14.25" x14ac:dyDescent="0.2">
      <c r="A16" s="829" t="s">
        <v>1127</v>
      </c>
      <c r="B16" s="829"/>
      <c r="C16" s="830">
        <v>201985</v>
      </c>
      <c r="D16" s="831">
        <v>206025</v>
      </c>
      <c r="E16" s="831">
        <v>210145</v>
      </c>
      <c r="F16" s="831">
        <v>214348</v>
      </c>
      <c r="G16" s="831">
        <f>F16*(1+'LTFP Assumptions'!$J$13)</f>
        <v>218634.96</v>
      </c>
      <c r="H16" s="831">
        <f>G16*(1+'LTFP Assumptions'!$J$13)</f>
        <v>223007.65919999999</v>
      </c>
      <c r="I16" s="831">
        <f>H16*(1+'LTFP Assumptions'!$J$13)</f>
        <v>227467.81238399999</v>
      </c>
      <c r="J16" s="831">
        <f>I16*(1+'LTFP Assumptions'!$J$13)</f>
        <v>232017.16863167999</v>
      </c>
      <c r="K16" s="831">
        <f>J16*(1+'LTFP Assumptions'!$J$13)</f>
        <v>236657.51200431358</v>
      </c>
      <c r="L16" s="831">
        <f>K16*(1+'LTFP Assumptions'!$J$13)</f>
        <v>241390.66224439986</v>
      </c>
      <c r="M16" s="831">
        <f>L16*(1+'LTFP Assumptions'!$J$13)</f>
        <v>246218.47548928787</v>
      </c>
      <c r="N16" s="831">
        <f>M16*(1+'LTFP Assumptions'!$J$13)</f>
        <v>251142.84499907363</v>
      </c>
      <c r="O16" s="831">
        <f>N16*(1+'LTFP Assumptions'!$J$13)</f>
        <v>256165.7018990551</v>
      </c>
      <c r="P16" s="831">
        <f>O16*(1+'LTFP Assumptions'!$J$13)</f>
        <v>261289.01593703619</v>
      </c>
      <c r="Q16" s="831">
        <f>P16*(1+'LTFP Assumptions'!$J$13)</f>
        <v>266514.79625577695</v>
      </c>
      <c r="R16" s="831">
        <f>Q16*(1+'LTFP Assumptions'!$J$13)</f>
        <v>271845.09218089248</v>
      </c>
      <c r="S16" s="831">
        <f>R16*(1+'LTFP Assumptions'!$J$13)</f>
        <v>277281.99402451032</v>
      </c>
      <c r="T16" s="831">
        <f>S16*(1+'LTFP Assumptions'!$J$13)</f>
        <v>282827.63390500052</v>
      </c>
      <c r="U16" s="831">
        <f>T16*(1+'LTFP Assumptions'!$J$13)</f>
        <v>288484.18658310053</v>
      </c>
      <c r="V16" s="831">
        <f>U16*(1+'LTFP Assumptions'!$J$13)</f>
        <v>294253.87031476252</v>
      </c>
      <c r="W16" s="831">
        <f>V16*(1+'LTFP Assumptions'!$J$13)</f>
        <v>300138.9477210578</v>
      </c>
      <c r="X16" s="831">
        <f>W16*(1+'LTFP Assumptions'!$J$13)</f>
        <v>306141.72667547897</v>
      </c>
      <c r="Y16" s="831">
        <f>X16*(1+'LTFP Assumptions'!$J$13)</f>
        <v>312264.56120898854</v>
      </c>
    </row>
    <row r="17" spans="1:25" ht="14.25" x14ac:dyDescent="0.2">
      <c r="A17" s="832" t="s">
        <v>1128</v>
      </c>
      <c r="B17" s="832"/>
      <c r="C17" s="831">
        <v>300000</v>
      </c>
      <c r="D17" s="831">
        <v>305000</v>
      </c>
      <c r="E17" s="831">
        <v>305000</v>
      </c>
      <c r="F17" s="831">
        <v>305000</v>
      </c>
      <c r="G17" s="831">
        <f>F17*(1+'LTFP Assumptions'!$J$13)</f>
        <v>311100</v>
      </c>
      <c r="H17" s="831">
        <f>G17*(1+'LTFP Assumptions'!$J$13)</f>
        <v>317322</v>
      </c>
      <c r="I17" s="831">
        <f>H17*(1+'LTFP Assumptions'!$J$13)</f>
        <v>323668.44</v>
      </c>
      <c r="J17" s="831">
        <f>I17*(1+'LTFP Assumptions'!$J$13)</f>
        <v>330141.8088</v>
      </c>
      <c r="K17" s="831">
        <f>J17*(1+'LTFP Assumptions'!$J$13)</f>
        <v>336744.64497600001</v>
      </c>
      <c r="L17" s="831">
        <f>K17*(1+'LTFP Assumptions'!$J$13)</f>
        <v>343479.53787552001</v>
      </c>
      <c r="M17" s="831">
        <f>L17*(1+'LTFP Assumptions'!$J$13)</f>
        <v>350349.1286330304</v>
      </c>
      <c r="N17" s="831">
        <f>M17*(1+'LTFP Assumptions'!$J$13)</f>
        <v>357356.11120569101</v>
      </c>
      <c r="O17" s="831">
        <f>N17*(1+'LTFP Assumptions'!$J$13)</f>
        <v>364503.23342980485</v>
      </c>
      <c r="P17" s="831">
        <f>O17*(1+'LTFP Assumptions'!$J$13)</f>
        <v>371793.29809840093</v>
      </c>
      <c r="Q17" s="831">
        <f>P17*(1+'LTFP Assumptions'!$J$13)</f>
        <v>379229.16406036896</v>
      </c>
      <c r="R17" s="831">
        <f>Q17*(1+'LTFP Assumptions'!$J$13)</f>
        <v>386813.74734157632</v>
      </c>
      <c r="S17" s="831">
        <f>R17*(1+'LTFP Assumptions'!$J$13)</f>
        <v>394550.02228840784</v>
      </c>
      <c r="T17" s="831">
        <f>S17*(1+'LTFP Assumptions'!$J$13)</f>
        <v>402441.02273417602</v>
      </c>
      <c r="U17" s="831">
        <f>T17*(1+'LTFP Assumptions'!$J$13)</f>
        <v>410489.84318885952</v>
      </c>
      <c r="V17" s="831">
        <f>U17*(1+'LTFP Assumptions'!$J$13)</f>
        <v>418699.64005263674</v>
      </c>
      <c r="W17" s="831">
        <f>V17*(1+'LTFP Assumptions'!$J$13)</f>
        <v>427073.63285368949</v>
      </c>
      <c r="X17" s="831">
        <f>W17*(1+'LTFP Assumptions'!$J$13)</f>
        <v>435615.1055107633</v>
      </c>
      <c r="Y17" s="831">
        <f>X17*(1+'LTFP Assumptions'!$J$13)</f>
        <v>444327.4076209786</v>
      </c>
    </row>
    <row r="18" spans="1:25" ht="14.25" x14ac:dyDescent="0.2">
      <c r="A18" s="832" t="s">
        <v>1129</v>
      </c>
      <c r="B18" s="832"/>
      <c r="C18" s="831">
        <v>125000</v>
      </c>
      <c r="D18" s="833">
        <v>130000</v>
      </c>
      <c r="E18" s="831">
        <v>130000</v>
      </c>
      <c r="F18" s="831">
        <v>130000</v>
      </c>
      <c r="G18" s="831">
        <f>F18*(1+'LTFP Assumptions'!$J$13)</f>
        <v>132600</v>
      </c>
      <c r="H18" s="831">
        <f>G18*(1+'LTFP Assumptions'!$J$13)</f>
        <v>135252</v>
      </c>
      <c r="I18" s="831">
        <f>H18*(1+'LTFP Assumptions'!$J$13)</f>
        <v>137957.04</v>
      </c>
      <c r="J18" s="831">
        <f>I18*(1+'LTFP Assumptions'!$J$13)</f>
        <v>140716.1808</v>
      </c>
      <c r="K18" s="831">
        <f>J18*(1+'LTFP Assumptions'!$J$13)</f>
        <v>143530.50441600001</v>
      </c>
      <c r="L18" s="831">
        <f>K18*(1+'LTFP Assumptions'!$J$13)</f>
        <v>146401.11450432002</v>
      </c>
      <c r="M18" s="831">
        <f>L18*(1+'LTFP Assumptions'!$J$13)</f>
        <v>149329.13679440643</v>
      </c>
      <c r="N18" s="831">
        <f>M18*(1+'LTFP Assumptions'!$J$13)</f>
        <v>152315.71953029456</v>
      </c>
      <c r="O18" s="831">
        <f>N18*(1+'LTFP Assumptions'!$J$13)</f>
        <v>155362.03392090046</v>
      </c>
      <c r="P18" s="831">
        <f>O18*(1+'LTFP Assumptions'!$J$13)</f>
        <v>158469.27459931848</v>
      </c>
      <c r="Q18" s="831">
        <f>P18*(1+'LTFP Assumptions'!$J$13)</f>
        <v>161638.66009130486</v>
      </c>
      <c r="R18" s="831">
        <f>Q18*(1+'LTFP Assumptions'!$J$13)</f>
        <v>164871.43329313095</v>
      </c>
      <c r="S18" s="831">
        <f>R18*(1+'LTFP Assumptions'!$J$13)</f>
        <v>168168.86195899357</v>
      </c>
      <c r="T18" s="831">
        <f>S18*(1+'LTFP Assumptions'!$J$13)</f>
        <v>171532.23919817345</v>
      </c>
      <c r="U18" s="831">
        <f>T18*(1+'LTFP Assumptions'!$J$13)</f>
        <v>174962.88398213693</v>
      </c>
      <c r="V18" s="831">
        <f>U18*(1+'LTFP Assumptions'!$J$13)</f>
        <v>178462.14166177966</v>
      </c>
      <c r="W18" s="831">
        <f>V18*(1+'LTFP Assumptions'!$J$13)</f>
        <v>182031.38449501526</v>
      </c>
      <c r="X18" s="831">
        <f>W18*(1+'LTFP Assumptions'!$J$13)</f>
        <v>185672.01218491557</v>
      </c>
      <c r="Y18" s="831">
        <f>X18*(1+'LTFP Assumptions'!$J$13)</f>
        <v>189385.45242861388</v>
      </c>
    </row>
    <row r="19" spans="1:25" ht="14.25" x14ac:dyDescent="0.2">
      <c r="A19" s="832" t="s">
        <v>1130</v>
      </c>
      <c r="B19" s="832"/>
      <c r="C19" s="831">
        <v>78000</v>
      </c>
      <c r="D19" s="833">
        <v>80000</v>
      </c>
      <c r="E19" s="831">
        <v>82500</v>
      </c>
      <c r="F19" s="831">
        <v>82500</v>
      </c>
      <c r="G19" s="831">
        <f>F19*(1+'LTFP Assumptions'!$J$13)</f>
        <v>84150</v>
      </c>
      <c r="H19" s="831">
        <f>G19*(1+'LTFP Assumptions'!$J$13)</f>
        <v>85833</v>
      </c>
      <c r="I19" s="831">
        <f>H19*(1+'LTFP Assumptions'!$J$13)</f>
        <v>87549.66</v>
      </c>
      <c r="J19" s="831">
        <f>I19*(1+'LTFP Assumptions'!$J$13)</f>
        <v>89300.653200000001</v>
      </c>
      <c r="K19" s="831">
        <f>J19*(1+'LTFP Assumptions'!$J$13)</f>
        <v>91086.666264</v>
      </c>
      <c r="L19" s="831">
        <f>K19*(1+'LTFP Assumptions'!$J$13)</f>
        <v>92908.399589280001</v>
      </c>
      <c r="M19" s="831">
        <f>L19*(1+'LTFP Assumptions'!$J$13)</f>
        <v>94766.567581065596</v>
      </c>
      <c r="N19" s="831">
        <f>M19*(1+'LTFP Assumptions'!$J$13)</f>
        <v>96661.898932686905</v>
      </c>
      <c r="O19" s="831">
        <f>N19*(1+'LTFP Assumptions'!$J$13)</f>
        <v>98595.13691134064</v>
      </c>
      <c r="P19" s="831">
        <f>O19*(1+'LTFP Assumptions'!$J$13)</f>
        <v>100567.03964956745</v>
      </c>
      <c r="Q19" s="831">
        <f>P19*(1+'LTFP Assumptions'!$J$13)</f>
        <v>102578.3804425588</v>
      </c>
      <c r="R19" s="831">
        <f>Q19*(1+'LTFP Assumptions'!$J$13)</f>
        <v>104629.94805140999</v>
      </c>
      <c r="S19" s="831">
        <f>R19*(1+'LTFP Assumptions'!$J$13)</f>
        <v>106722.54701243818</v>
      </c>
      <c r="T19" s="831">
        <f>S19*(1+'LTFP Assumptions'!$J$13)</f>
        <v>108856.99795268694</v>
      </c>
      <c r="U19" s="831">
        <f>T19*(1+'LTFP Assumptions'!$J$13)</f>
        <v>111034.13791174069</v>
      </c>
      <c r="V19" s="831">
        <f>U19*(1+'LTFP Assumptions'!$J$13)</f>
        <v>113254.82066997551</v>
      </c>
      <c r="W19" s="831">
        <f>V19*(1+'LTFP Assumptions'!$J$13)</f>
        <v>115519.91708337502</v>
      </c>
      <c r="X19" s="831">
        <f>W19*(1+'LTFP Assumptions'!$J$13)</f>
        <v>117830.31542504253</v>
      </c>
      <c r="Y19" s="831">
        <f>X19*(1+'LTFP Assumptions'!$J$13)</f>
        <v>120186.92173354338</v>
      </c>
    </row>
    <row r="20" spans="1:25" ht="14.25" x14ac:dyDescent="0.2">
      <c r="A20" s="832" t="s">
        <v>1131</v>
      </c>
      <c r="B20" s="832"/>
      <c r="C20" s="831">
        <v>103000</v>
      </c>
      <c r="D20" s="833">
        <v>110000</v>
      </c>
      <c r="E20" s="831">
        <v>115000</v>
      </c>
      <c r="F20" s="831">
        <v>120000</v>
      </c>
      <c r="G20" s="831">
        <f>F20*(1+'LTFP Assumptions'!$J$13)</f>
        <v>122400</v>
      </c>
      <c r="H20" s="831">
        <f>G20*(1+'LTFP Assumptions'!$J$13)</f>
        <v>124848</v>
      </c>
      <c r="I20" s="831">
        <f>H20*(1+'LTFP Assumptions'!$J$13)</f>
        <v>127344.96000000001</v>
      </c>
      <c r="J20" s="831">
        <f>I20*(1+'LTFP Assumptions'!$J$13)</f>
        <v>129891.85920000001</v>
      </c>
      <c r="K20" s="831">
        <f>J20*(1+'LTFP Assumptions'!$J$13)</f>
        <v>132489.69638400001</v>
      </c>
      <c r="L20" s="831">
        <f>K20*(1+'LTFP Assumptions'!$J$13)</f>
        <v>135139.49031168001</v>
      </c>
      <c r="M20" s="831">
        <f>L20*(1+'LTFP Assumptions'!$J$13)</f>
        <v>137842.28011791361</v>
      </c>
      <c r="N20" s="831">
        <f>M20*(1+'LTFP Assumptions'!$J$13)</f>
        <v>140599.1257202719</v>
      </c>
      <c r="O20" s="831">
        <f>N20*(1+'LTFP Assumptions'!$J$13)</f>
        <v>143411.10823467735</v>
      </c>
      <c r="P20" s="831">
        <f>O20*(1+'LTFP Assumptions'!$J$13)</f>
        <v>146279.3303993709</v>
      </c>
      <c r="Q20" s="831">
        <f>P20*(1+'LTFP Assumptions'!$J$13)</f>
        <v>149204.91700735831</v>
      </c>
      <c r="R20" s="831">
        <f>Q20*(1+'LTFP Assumptions'!$J$13)</f>
        <v>152189.01534750548</v>
      </c>
      <c r="S20" s="831">
        <f>R20*(1+'LTFP Assumptions'!$J$13)</f>
        <v>155232.79565445561</v>
      </c>
      <c r="T20" s="831">
        <f>S20*(1+'LTFP Assumptions'!$J$13)</f>
        <v>158337.45156754472</v>
      </c>
      <c r="U20" s="831">
        <f>T20*(1+'LTFP Assumptions'!$J$13)</f>
        <v>161504.20059889561</v>
      </c>
      <c r="V20" s="831">
        <f>U20*(1+'LTFP Assumptions'!$J$13)</f>
        <v>164734.28461087352</v>
      </c>
      <c r="W20" s="831">
        <f>V20*(1+'LTFP Assumptions'!$J$13)</f>
        <v>168028.97030309099</v>
      </c>
      <c r="X20" s="831">
        <f>W20*(1+'LTFP Assumptions'!$J$13)</f>
        <v>171389.54970915281</v>
      </c>
      <c r="Y20" s="831">
        <f>X20*(1+'LTFP Assumptions'!$J$13)</f>
        <v>174817.34070333588</v>
      </c>
    </row>
    <row r="21" spans="1:25" ht="14.25" x14ac:dyDescent="0.2">
      <c r="A21" s="832" t="s">
        <v>1132</v>
      </c>
      <c r="B21" s="832"/>
      <c r="C21" s="831">
        <v>65000</v>
      </c>
      <c r="D21" s="833"/>
      <c r="E21" s="831"/>
      <c r="F21" s="831"/>
      <c r="G21" s="831"/>
      <c r="H21" s="831"/>
      <c r="I21" s="831"/>
      <c r="J21" s="831"/>
      <c r="K21" s="831"/>
      <c r="L21" s="831"/>
      <c r="M21" s="831"/>
      <c r="N21" s="831"/>
      <c r="O21" s="831"/>
      <c r="P21" s="831"/>
      <c r="Q21" s="831"/>
      <c r="R21" s="831"/>
      <c r="S21" s="831"/>
      <c r="T21" s="831"/>
      <c r="U21" s="831"/>
      <c r="V21" s="831"/>
      <c r="W21" s="831"/>
      <c r="X21" s="831"/>
      <c r="Y21" s="831"/>
    </row>
    <row r="22" spans="1:25" ht="14.25" x14ac:dyDescent="0.2">
      <c r="A22" s="832" t="s">
        <v>908</v>
      </c>
      <c r="B22" s="832"/>
      <c r="C22" s="831">
        <v>158000</v>
      </c>
      <c r="D22" s="833">
        <v>158000</v>
      </c>
      <c r="E22" s="831">
        <v>159000</v>
      </c>
      <c r="F22" s="831">
        <v>160000</v>
      </c>
      <c r="G22" s="831">
        <f>F22*(1+'LTFP Assumptions'!$J$13)</f>
        <v>163200</v>
      </c>
      <c r="H22" s="831">
        <f>G22*(1+'LTFP Assumptions'!$J$13)</f>
        <v>166464</v>
      </c>
      <c r="I22" s="831">
        <f>H22*(1+'LTFP Assumptions'!$J$13)</f>
        <v>169793.28</v>
      </c>
      <c r="J22" s="831">
        <f>I22*(1+'LTFP Assumptions'!$J$13)</f>
        <v>173189.14559999999</v>
      </c>
      <c r="K22" s="831">
        <f>J22*(1+'LTFP Assumptions'!$J$13)</f>
        <v>176652.92851199998</v>
      </c>
      <c r="L22" s="831">
        <f>K22*(1+'LTFP Assumptions'!$J$13)</f>
        <v>180185.98708224</v>
      </c>
      <c r="M22" s="831">
        <f>L22*(1+'LTFP Assumptions'!$J$13)</f>
        <v>183789.7068238848</v>
      </c>
      <c r="N22" s="831">
        <f>M22*(1+'LTFP Assumptions'!$J$13)</f>
        <v>187465.50096036249</v>
      </c>
      <c r="O22" s="831">
        <f>N22*(1+'LTFP Assumptions'!$J$13)</f>
        <v>191214.81097956974</v>
      </c>
      <c r="P22" s="831">
        <f>O22*(1+'LTFP Assumptions'!$J$13)</f>
        <v>195039.10719916114</v>
      </c>
      <c r="Q22" s="831">
        <f>P22*(1+'LTFP Assumptions'!$J$13)</f>
        <v>198939.88934314437</v>
      </c>
      <c r="R22" s="831">
        <f>Q22*(1+'LTFP Assumptions'!$J$13)</f>
        <v>202918.68713000725</v>
      </c>
      <c r="S22" s="831">
        <f>R22*(1+'LTFP Assumptions'!$J$13)</f>
        <v>206977.0608726074</v>
      </c>
      <c r="T22" s="831">
        <f>S22*(1+'LTFP Assumptions'!$J$13)</f>
        <v>211116.60209005955</v>
      </c>
      <c r="U22" s="831">
        <f>T22*(1+'LTFP Assumptions'!$J$13)</f>
        <v>215338.93413186073</v>
      </c>
      <c r="V22" s="831">
        <f>U22*(1+'LTFP Assumptions'!$J$13)</f>
        <v>219645.71281449797</v>
      </c>
      <c r="W22" s="831">
        <f>V22*(1+'LTFP Assumptions'!$J$13)</f>
        <v>224038.62707078792</v>
      </c>
      <c r="X22" s="831">
        <f>W22*(1+'LTFP Assumptions'!$J$13)</f>
        <v>228519.39961220368</v>
      </c>
      <c r="Y22" s="831">
        <f>X22*(1+'LTFP Assumptions'!$J$13)</f>
        <v>233089.78760444775</v>
      </c>
    </row>
    <row r="23" spans="1:25" ht="14.25" x14ac:dyDescent="0.2">
      <c r="A23" s="832" t="s">
        <v>1133</v>
      </c>
      <c r="B23" s="832"/>
      <c r="C23" s="831">
        <v>128591</v>
      </c>
      <c r="D23" s="833">
        <v>117539</v>
      </c>
      <c r="E23" s="831">
        <v>135124</v>
      </c>
      <c r="F23" s="831">
        <v>100000</v>
      </c>
      <c r="G23" s="831">
        <f>F23*(1+'LTFP Assumptions'!$J$13)</f>
        <v>102000</v>
      </c>
      <c r="H23" s="831">
        <f>G23*(1+'LTFP Assumptions'!$J$13)</f>
        <v>104040</v>
      </c>
      <c r="I23" s="831">
        <f>H23*(1+'LTFP Assumptions'!$J$13)</f>
        <v>106120.8</v>
      </c>
      <c r="J23" s="831">
        <f>I23*(1+'LTFP Assumptions'!$J$13)</f>
        <v>108243.216</v>
      </c>
      <c r="K23" s="831">
        <f>J23*(1+'LTFP Assumptions'!$J$13)</f>
        <v>110408.08032000001</v>
      </c>
      <c r="L23" s="831">
        <f>K23*(1+'LTFP Assumptions'!$J$13)</f>
        <v>112616.24192640001</v>
      </c>
      <c r="M23" s="831">
        <f>L23*(1+'LTFP Assumptions'!$J$13)</f>
        <v>114868.56676492801</v>
      </c>
      <c r="N23" s="831">
        <f>M23*(1+'LTFP Assumptions'!$J$13)</f>
        <v>117165.93810022657</v>
      </c>
      <c r="O23" s="831">
        <f>N23*(1+'LTFP Assumptions'!$J$13)</f>
        <v>119509.25686223111</v>
      </c>
      <c r="P23" s="831">
        <f>O23*(1+'LTFP Assumptions'!$J$13)</f>
        <v>121899.44199947573</v>
      </c>
      <c r="Q23" s="831">
        <f>P23*(1+'LTFP Assumptions'!$J$13)</f>
        <v>124337.43083946525</v>
      </c>
      <c r="R23" s="831">
        <f>Q23*(1+'LTFP Assumptions'!$J$13)</f>
        <v>126824.17945625455</v>
      </c>
      <c r="S23" s="831">
        <f>R23*(1+'LTFP Assumptions'!$J$13)</f>
        <v>129360.66304537965</v>
      </c>
      <c r="T23" s="831">
        <f>S23*(1+'LTFP Assumptions'!$J$13)</f>
        <v>131947.87630628725</v>
      </c>
      <c r="U23" s="831">
        <f>T23*(1+'LTFP Assumptions'!$J$13)</f>
        <v>134586.83383241299</v>
      </c>
      <c r="V23" s="831">
        <f>U23*(1+'LTFP Assumptions'!$J$13)</f>
        <v>137278.57050906125</v>
      </c>
      <c r="W23" s="831">
        <f>V23*(1+'LTFP Assumptions'!$J$13)</f>
        <v>140024.14191924248</v>
      </c>
      <c r="X23" s="831">
        <f>W23*(1+'LTFP Assumptions'!$J$13)</f>
        <v>142824.62475762735</v>
      </c>
      <c r="Y23" s="831">
        <f>X23*(1+'LTFP Assumptions'!$J$13)</f>
        <v>145681.11725277989</v>
      </c>
    </row>
    <row r="24" spans="1:25" ht="14.25" x14ac:dyDescent="0.2">
      <c r="A24" s="832" t="s">
        <v>1134</v>
      </c>
      <c r="B24" s="832"/>
      <c r="C24" s="831">
        <v>743672</v>
      </c>
      <c r="D24" s="833">
        <v>762263.79999999993</v>
      </c>
      <c r="E24" s="833">
        <v>781320.3949999999</v>
      </c>
      <c r="F24" s="833">
        <v>800853.40487499977</v>
      </c>
      <c r="G24" s="831">
        <f>F24*(1+'LTFP Assumptions'!$J$13)</f>
        <v>816870.47297249979</v>
      </c>
      <c r="H24" s="831">
        <f>G24*(1+'LTFP Assumptions'!$J$13)</f>
        <v>833207.88243194984</v>
      </c>
      <c r="I24" s="831">
        <f>H24*(1+'LTFP Assumptions'!$J$13)</f>
        <v>849872.04008058889</v>
      </c>
      <c r="J24" s="831">
        <f>I24*(1+'LTFP Assumptions'!$J$13)</f>
        <v>866869.48088220065</v>
      </c>
      <c r="K24" s="831">
        <f>J24*(1+'LTFP Assumptions'!$J$13)</f>
        <v>884206.87049984466</v>
      </c>
      <c r="L24" s="831">
        <f>K24*(1+'LTFP Assumptions'!$J$13)</f>
        <v>901891.0079098416</v>
      </c>
      <c r="M24" s="831">
        <f>L24*(1+'LTFP Assumptions'!$J$13)</f>
        <v>919928.82806803845</v>
      </c>
      <c r="N24" s="831">
        <f>M24*(1+'LTFP Assumptions'!$J$13)</f>
        <v>938327.40462939919</v>
      </c>
      <c r="O24" s="831">
        <f>N24*(1+'LTFP Assumptions'!$J$13)</f>
        <v>957093.95272198715</v>
      </c>
      <c r="P24" s="831">
        <f>O24*(1+'LTFP Assumptions'!$J$13)</f>
        <v>976235.83177642687</v>
      </c>
      <c r="Q24" s="831">
        <f>P24*(1+'LTFP Assumptions'!$J$13)</f>
        <v>995760.54841195547</v>
      </c>
      <c r="R24" s="831">
        <f>Q24*(1+'LTFP Assumptions'!$J$13)</f>
        <v>1015675.7593801946</v>
      </c>
      <c r="S24" s="831">
        <f>R24*(1+'LTFP Assumptions'!$J$13)</f>
        <v>1035989.2745677985</v>
      </c>
      <c r="T24" s="831">
        <f>S24*(1+'LTFP Assumptions'!$J$13)</f>
        <v>1056709.0600591544</v>
      </c>
      <c r="U24" s="831">
        <f>T24*(1+'LTFP Assumptions'!$J$13)</f>
        <v>1077843.2412603374</v>
      </c>
      <c r="V24" s="831">
        <f>U24*(1+'LTFP Assumptions'!$J$13)</f>
        <v>1099400.1060855442</v>
      </c>
      <c r="W24" s="831">
        <f>V24*(1+'LTFP Assumptions'!$J$13)</f>
        <v>1121388.1082072551</v>
      </c>
      <c r="X24" s="831">
        <f>W24*(1+'LTFP Assumptions'!$J$13)</f>
        <v>1143815.8703714001</v>
      </c>
      <c r="Y24" s="831">
        <f>X24*(1+'LTFP Assumptions'!$J$13)</f>
        <v>1166692.1877788282</v>
      </c>
    </row>
    <row r="25" spans="1:25" ht="14.25" x14ac:dyDescent="0.2">
      <c r="A25" s="832" t="s">
        <v>1157</v>
      </c>
      <c r="B25" s="832"/>
      <c r="C25" s="831"/>
      <c r="D25" s="833"/>
      <c r="E25" s="831"/>
      <c r="F25" s="831"/>
      <c r="G25" s="831"/>
      <c r="H25" s="831"/>
      <c r="I25" s="831"/>
      <c r="J25" s="831"/>
      <c r="K25" s="831"/>
      <c r="L25" s="831"/>
      <c r="M25" s="831"/>
      <c r="N25" s="831"/>
      <c r="O25" s="831"/>
      <c r="P25" s="831"/>
      <c r="Q25" s="831"/>
      <c r="R25" s="831"/>
      <c r="S25" s="831"/>
      <c r="T25" s="831"/>
      <c r="U25" s="831"/>
      <c r="V25" s="831"/>
      <c r="W25" s="831"/>
      <c r="X25" s="831"/>
      <c r="Y25" s="831"/>
    </row>
    <row r="26" spans="1:25" ht="14.25" x14ac:dyDescent="0.2">
      <c r="A26" s="832" t="s">
        <v>1135</v>
      </c>
      <c r="B26" s="832"/>
      <c r="C26" s="831">
        <v>250000</v>
      </c>
      <c r="D26" s="833">
        <v>250000</v>
      </c>
      <c r="E26" s="831">
        <v>255000</v>
      </c>
      <c r="F26" s="831">
        <v>260000</v>
      </c>
      <c r="G26" s="831">
        <f>F26*(1+'LTFP Assumptions'!$J$13)</f>
        <v>265200</v>
      </c>
      <c r="H26" s="831">
        <f>G26*(1+'LTFP Assumptions'!$J$13)</f>
        <v>270504</v>
      </c>
      <c r="I26" s="831">
        <f>H26*(1+'LTFP Assumptions'!$J$13)</f>
        <v>275914.08</v>
      </c>
      <c r="J26" s="831">
        <f>I26*(1+'LTFP Assumptions'!$J$13)</f>
        <v>281432.3616</v>
      </c>
      <c r="K26" s="831">
        <f>J26*(1+'LTFP Assumptions'!$J$13)</f>
        <v>287061.00883200002</v>
      </c>
      <c r="L26" s="831">
        <f>K26*(1+'LTFP Assumptions'!$J$13)</f>
        <v>292802.22900864005</v>
      </c>
      <c r="M26" s="831">
        <f>L26*(1+'LTFP Assumptions'!$J$13)</f>
        <v>298658.27358881285</v>
      </c>
      <c r="N26" s="831">
        <f>M26*(1+'LTFP Assumptions'!$J$13)</f>
        <v>304631.43906058912</v>
      </c>
      <c r="O26" s="831">
        <f>N26*(1+'LTFP Assumptions'!$J$13)</f>
        <v>310724.06784180092</v>
      </c>
      <c r="P26" s="831">
        <f>O26*(1+'LTFP Assumptions'!$J$13)</f>
        <v>316938.54919863696</v>
      </c>
      <c r="Q26" s="831">
        <f>P26*(1+'LTFP Assumptions'!$J$13)</f>
        <v>323277.32018260972</v>
      </c>
      <c r="R26" s="831">
        <f>Q26*(1+'LTFP Assumptions'!$J$13)</f>
        <v>329742.86658626189</v>
      </c>
      <c r="S26" s="831">
        <f>R26*(1+'LTFP Assumptions'!$J$13)</f>
        <v>336337.72391798714</v>
      </c>
      <c r="T26" s="831">
        <f>S26*(1+'LTFP Assumptions'!$J$13)</f>
        <v>343064.47839634691</v>
      </c>
      <c r="U26" s="831">
        <f>T26*(1+'LTFP Assumptions'!$J$13)</f>
        <v>349925.76796427387</v>
      </c>
      <c r="V26" s="831">
        <f>U26*(1+'LTFP Assumptions'!$J$13)</f>
        <v>356924.28332355933</v>
      </c>
      <c r="W26" s="831">
        <f>V26*(1+'LTFP Assumptions'!$J$13)</f>
        <v>364062.76899003051</v>
      </c>
      <c r="X26" s="831">
        <f>W26*(1+'LTFP Assumptions'!$J$13)</f>
        <v>371344.02436983114</v>
      </c>
      <c r="Y26" s="831">
        <f>X26*(1+'LTFP Assumptions'!$J$13)</f>
        <v>378770.90485722775</v>
      </c>
    </row>
    <row r="27" spans="1:25" ht="14.25" x14ac:dyDescent="0.2">
      <c r="A27" s="832" t="s">
        <v>1136</v>
      </c>
      <c r="B27" s="832"/>
      <c r="C27" s="831">
        <v>25000</v>
      </c>
      <c r="D27" s="833">
        <v>25000</v>
      </c>
      <c r="E27" s="831">
        <v>25000</v>
      </c>
      <c r="F27" s="831">
        <v>25000</v>
      </c>
      <c r="G27" s="831">
        <f>F27*(1+'LTFP Assumptions'!$J$13)</f>
        <v>25500</v>
      </c>
      <c r="H27" s="831">
        <f>G27*(1+'LTFP Assumptions'!$J$13)</f>
        <v>26010</v>
      </c>
      <c r="I27" s="831">
        <f>H27*(1+'LTFP Assumptions'!$J$13)</f>
        <v>26530.2</v>
      </c>
      <c r="J27" s="831">
        <f>I27*(1+'LTFP Assumptions'!$J$13)</f>
        <v>27060.804</v>
      </c>
      <c r="K27" s="831">
        <f>J27*(1+'LTFP Assumptions'!$J$13)</f>
        <v>27602.020080000002</v>
      </c>
      <c r="L27" s="831">
        <f>K27*(1+'LTFP Assumptions'!$J$13)</f>
        <v>28154.060481600001</v>
      </c>
      <c r="M27" s="831">
        <f>L27*(1+'LTFP Assumptions'!$J$13)</f>
        <v>28717.141691232002</v>
      </c>
      <c r="N27" s="831">
        <f>M27*(1+'LTFP Assumptions'!$J$13)</f>
        <v>29291.484525056643</v>
      </c>
      <c r="O27" s="831">
        <f>N27*(1+'LTFP Assumptions'!$J$13)</f>
        <v>29877.314215557777</v>
      </c>
      <c r="P27" s="831">
        <f>O27*(1+'LTFP Assumptions'!$J$13)</f>
        <v>30474.860499868933</v>
      </c>
      <c r="Q27" s="831">
        <f>P27*(1+'LTFP Assumptions'!$J$13)</f>
        <v>31084.357709866312</v>
      </c>
      <c r="R27" s="831">
        <f>Q27*(1+'LTFP Assumptions'!$J$13)</f>
        <v>31706.044864063639</v>
      </c>
      <c r="S27" s="831">
        <f>R27*(1+'LTFP Assumptions'!$J$13)</f>
        <v>32340.165761344913</v>
      </c>
      <c r="T27" s="831">
        <f>S27*(1+'LTFP Assumptions'!$J$13)</f>
        <v>32986.969076571811</v>
      </c>
      <c r="U27" s="831">
        <f>T27*(1+'LTFP Assumptions'!$J$13)</f>
        <v>33646.708458103247</v>
      </c>
      <c r="V27" s="831">
        <f>U27*(1+'LTFP Assumptions'!$J$13)</f>
        <v>34319.642627265312</v>
      </c>
      <c r="W27" s="831">
        <f>V27*(1+'LTFP Assumptions'!$J$13)</f>
        <v>35006.03547981062</v>
      </c>
      <c r="X27" s="831">
        <f>W27*(1+'LTFP Assumptions'!$J$13)</f>
        <v>35706.156189406836</v>
      </c>
      <c r="Y27" s="831">
        <f>X27*(1+'LTFP Assumptions'!$J$13)</f>
        <v>36420.279313194973</v>
      </c>
    </row>
    <row r="28" spans="1:25" ht="14.25" x14ac:dyDescent="0.2">
      <c r="A28" s="832" t="s">
        <v>1137</v>
      </c>
      <c r="B28" s="832"/>
      <c r="C28" s="831">
        <v>105000</v>
      </c>
      <c r="D28" s="833">
        <v>3500000</v>
      </c>
      <c r="E28" s="831">
        <v>0</v>
      </c>
      <c r="F28" s="831">
        <v>60000</v>
      </c>
      <c r="G28" s="831">
        <f>F28*(1+'LTFP Assumptions'!$J$13)</f>
        <v>61200</v>
      </c>
      <c r="H28" s="831">
        <f>G28*(1+'LTFP Assumptions'!$J$13)</f>
        <v>62424</v>
      </c>
      <c r="I28" s="831">
        <f>H28*(1+'LTFP Assumptions'!$J$13)</f>
        <v>63672.480000000003</v>
      </c>
      <c r="J28" s="831">
        <f>I28*(1+'LTFP Assumptions'!$J$13)</f>
        <v>64945.929600000003</v>
      </c>
      <c r="K28" s="831">
        <f>J28*(1+'LTFP Assumptions'!$J$13)</f>
        <v>66244.848192000005</v>
      </c>
      <c r="L28" s="831">
        <f>K28*(1+'LTFP Assumptions'!$J$13)</f>
        <v>67569.745155840006</v>
      </c>
      <c r="M28" s="831">
        <f>L28*(1+'LTFP Assumptions'!$J$13)</f>
        <v>68921.140058956807</v>
      </c>
      <c r="N28" s="831">
        <f>M28*(1+'LTFP Assumptions'!$J$13)</f>
        <v>70299.562860135949</v>
      </c>
      <c r="O28" s="831">
        <f>N28*(1+'LTFP Assumptions'!$J$13)</f>
        <v>71705.554117338674</v>
      </c>
      <c r="P28" s="831">
        <f>O28*(1+'LTFP Assumptions'!$J$13)</f>
        <v>73139.665199685449</v>
      </c>
      <c r="Q28" s="831">
        <f>P28*(1+'LTFP Assumptions'!$J$13)</f>
        <v>74602.458503679154</v>
      </c>
      <c r="R28" s="831">
        <f>Q28*(1+'LTFP Assumptions'!$J$13)</f>
        <v>76094.507673752742</v>
      </c>
      <c r="S28" s="831">
        <f>R28*(1+'LTFP Assumptions'!$J$13)</f>
        <v>77616.397827227804</v>
      </c>
      <c r="T28" s="831">
        <f>S28*(1+'LTFP Assumptions'!$J$13)</f>
        <v>79168.725783772359</v>
      </c>
      <c r="U28" s="831">
        <f>T28*(1+'LTFP Assumptions'!$J$13)</f>
        <v>80752.100299447804</v>
      </c>
      <c r="V28" s="831">
        <f>U28*(1+'LTFP Assumptions'!$J$13)</f>
        <v>82367.142305436762</v>
      </c>
      <c r="W28" s="831">
        <f>V28*(1+'LTFP Assumptions'!$J$13)</f>
        <v>84014.485151545494</v>
      </c>
      <c r="X28" s="831">
        <f>W28*(1+'LTFP Assumptions'!$J$13)</f>
        <v>85694.774854576404</v>
      </c>
      <c r="Y28" s="831">
        <f>X28*(1+'LTFP Assumptions'!$J$13)</f>
        <v>87408.670351667941</v>
      </c>
    </row>
    <row r="29" spans="1:25" ht="14.25" x14ac:dyDescent="0.2">
      <c r="A29" s="832" t="s">
        <v>1138</v>
      </c>
      <c r="B29" s="832"/>
      <c r="C29" s="831">
        <v>100000</v>
      </c>
      <c r="D29" s="833">
        <v>105000</v>
      </c>
      <c r="E29" s="831">
        <v>90000</v>
      </c>
      <c r="F29" s="831">
        <v>90000</v>
      </c>
      <c r="G29" s="831">
        <f>F29*(1+'LTFP Assumptions'!$J$13)</f>
        <v>91800</v>
      </c>
      <c r="H29" s="831">
        <f>G29*(1+'LTFP Assumptions'!$J$13)</f>
        <v>93636</v>
      </c>
      <c r="I29" s="831">
        <f>H29*(1+'LTFP Assumptions'!$J$13)</f>
        <v>95508.72</v>
      </c>
      <c r="J29" s="831">
        <f>I29*(1+'LTFP Assumptions'!$J$13)</f>
        <v>97418.894400000005</v>
      </c>
      <c r="K29" s="831">
        <f>J29*(1+'LTFP Assumptions'!$J$13)</f>
        <v>99367.272288000007</v>
      </c>
      <c r="L29" s="831">
        <f>K29*(1+'LTFP Assumptions'!$J$13)</f>
        <v>101354.61773376001</v>
      </c>
      <c r="M29" s="831">
        <f>L29*(1+'LTFP Assumptions'!$J$13)</f>
        <v>103381.71008843521</v>
      </c>
      <c r="N29" s="831">
        <f>M29*(1+'LTFP Assumptions'!$J$13)</f>
        <v>105449.34429020392</v>
      </c>
      <c r="O29" s="831">
        <f>N29*(1+'LTFP Assumptions'!$J$13)</f>
        <v>107558.33117600801</v>
      </c>
      <c r="P29" s="831">
        <f>O29*(1+'LTFP Assumptions'!$J$13)</f>
        <v>109709.49779952817</v>
      </c>
      <c r="Q29" s="831">
        <f>P29*(1+'LTFP Assumptions'!$J$13)</f>
        <v>111903.68775551874</v>
      </c>
      <c r="R29" s="831">
        <f>Q29*(1+'LTFP Assumptions'!$J$13)</f>
        <v>114141.76151062912</v>
      </c>
      <c r="S29" s="831">
        <f>R29*(1+'LTFP Assumptions'!$J$13)</f>
        <v>116424.59674084171</v>
      </c>
      <c r="T29" s="831">
        <f>S29*(1+'LTFP Assumptions'!$J$13)</f>
        <v>118753.08867565854</v>
      </c>
      <c r="U29" s="831">
        <f>T29*(1+'LTFP Assumptions'!$J$13)</f>
        <v>121128.15044917171</v>
      </c>
      <c r="V29" s="831">
        <f>U29*(1+'LTFP Assumptions'!$J$13)</f>
        <v>123550.71345815514</v>
      </c>
      <c r="W29" s="831">
        <f>V29*(1+'LTFP Assumptions'!$J$13)</f>
        <v>126021.72772731824</v>
      </c>
      <c r="X29" s="831">
        <f>W29*(1+'LTFP Assumptions'!$J$13)</f>
        <v>128542.16228186461</v>
      </c>
      <c r="Y29" s="831">
        <f>X29*(1+'LTFP Assumptions'!$J$13)</f>
        <v>131113.0055275019</v>
      </c>
    </row>
    <row r="30" spans="1:25" ht="14.25" x14ac:dyDescent="0.2">
      <c r="A30" s="832" t="s">
        <v>1139</v>
      </c>
      <c r="B30" s="832"/>
      <c r="C30" s="831">
        <v>75000</v>
      </c>
      <c r="D30" s="833">
        <v>75000</v>
      </c>
      <c r="E30" s="831">
        <v>75000</v>
      </c>
      <c r="F30" s="831">
        <v>65000</v>
      </c>
      <c r="G30" s="831">
        <f>F30*(1+'LTFP Assumptions'!$J$13)</f>
        <v>66300</v>
      </c>
      <c r="H30" s="831">
        <f>G30*(1+'LTFP Assumptions'!$J$13)</f>
        <v>67626</v>
      </c>
      <c r="I30" s="831">
        <f>H30*(1+'LTFP Assumptions'!$J$13)</f>
        <v>68978.52</v>
      </c>
      <c r="J30" s="831">
        <f>I30*(1+'LTFP Assumptions'!$J$13)</f>
        <v>70358.090400000001</v>
      </c>
      <c r="K30" s="831">
        <f>J30*(1+'LTFP Assumptions'!$J$13)</f>
        <v>71765.252208000005</v>
      </c>
      <c r="L30" s="831">
        <f>K30*(1+'LTFP Assumptions'!$J$13)</f>
        <v>73200.557252160012</v>
      </c>
      <c r="M30" s="831">
        <f>L30*(1+'LTFP Assumptions'!$J$13)</f>
        <v>74664.568397203213</v>
      </c>
      <c r="N30" s="831">
        <f>M30*(1+'LTFP Assumptions'!$J$13)</f>
        <v>76157.859765147281</v>
      </c>
      <c r="O30" s="831">
        <f>N30*(1+'LTFP Assumptions'!$J$13)</f>
        <v>77681.01696045023</v>
      </c>
      <c r="P30" s="831">
        <f>O30*(1+'LTFP Assumptions'!$J$13)</f>
        <v>79234.63729965924</v>
      </c>
      <c r="Q30" s="831">
        <f>P30*(1+'LTFP Assumptions'!$J$13)</f>
        <v>80819.33004565243</v>
      </c>
      <c r="R30" s="831">
        <f>Q30*(1+'LTFP Assumptions'!$J$13)</f>
        <v>82435.716646565474</v>
      </c>
      <c r="S30" s="831">
        <f>R30*(1+'LTFP Assumptions'!$J$13)</f>
        <v>84084.430979496785</v>
      </c>
      <c r="T30" s="831">
        <f>S30*(1+'LTFP Assumptions'!$J$13)</f>
        <v>85766.119599086727</v>
      </c>
      <c r="U30" s="831">
        <f>T30*(1+'LTFP Assumptions'!$J$13)</f>
        <v>87481.441991068466</v>
      </c>
      <c r="V30" s="831">
        <f>U30*(1+'LTFP Assumptions'!$J$13)</f>
        <v>89231.070830889832</v>
      </c>
      <c r="W30" s="831">
        <f>V30*(1+'LTFP Assumptions'!$J$13)</f>
        <v>91015.692247507628</v>
      </c>
      <c r="X30" s="831">
        <f>W30*(1+'LTFP Assumptions'!$J$13)</f>
        <v>92836.006092457785</v>
      </c>
      <c r="Y30" s="831">
        <f>X30*(1+'LTFP Assumptions'!$J$13)</f>
        <v>94692.726214306938</v>
      </c>
    </row>
    <row r="31" spans="1:25" ht="14.25" x14ac:dyDescent="0.2">
      <c r="A31" s="832" t="s">
        <v>1140</v>
      </c>
      <c r="B31" s="832"/>
      <c r="C31" s="831">
        <v>300000</v>
      </c>
      <c r="D31" s="833">
        <v>350000</v>
      </c>
      <c r="E31" s="831">
        <v>375000</v>
      </c>
      <c r="F31" s="831">
        <v>385000</v>
      </c>
      <c r="G31" s="831">
        <f>F31*(1+'LTFP Assumptions'!$J$13)</f>
        <v>392700</v>
      </c>
      <c r="H31" s="831">
        <f>G31*(1+'LTFP Assumptions'!$J$13)</f>
        <v>400554</v>
      </c>
      <c r="I31" s="831">
        <f>H31*(1+'LTFP Assumptions'!$J$13)</f>
        <v>408565.08</v>
      </c>
      <c r="J31" s="831">
        <f>I31*(1+'LTFP Assumptions'!$J$13)</f>
        <v>416736.38160000002</v>
      </c>
      <c r="K31" s="831">
        <f>J31*(1+'LTFP Assumptions'!$J$13)</f>
        <v>425071.10923200002</v>
      </c>
      <c r="L31" s="831">
        <f>K31*(1+'LTFP Assumptions'!$J$13)</f>
        <v>433572.53141664003</v>
      </c>
      <c r="M31" s="831">
        <f>L31*(1+'LTFP Assumptions'!$J$13)</f>
        <v>442243.98204497283</v>
      </c>
      <c r="N31" s="831">
        <f>M31*(1+'LTFP Assumptions'!$J$13)</f>
        <v>451088.86168587231</v>
      </c>
      <c r="O31" s="831">
        <f>N31*(1+'LTFP Assumptions'!$J$13)</f>
        <v>460110.63891958975</v>
      </c>
      <c r="P31" s="831">
        <f>O31*(1+'LTFP Assumptions'!$J$13)</f>
        <v>469312.85169798153</v>
      </c>
      <c r="Q31" s="831">
        <f>P31*(1+'LTFP Assumptions'!$J$13)</f>
        <v>478699.10873194115</v>
      </c>
      <c r="R31" s="831">
        <f>Q31*(1+'LTFP Assumptions'!$J$13)</f>
        <v>488273.09090657998</v>
      </c>
      <c r="S31" s="831">
        <f>R31*(1+'LTFP Assumptions'!$J$13)</f>
        <v>498038.5527247116</v>
      </c>
      <c r="T31" s="831">
        <f>S31*(1+'LTFP Assumptions'!$J$13)</f>
        <v>507999.32377920585</v>
      </c>
      <c r="U31" s="831">
        <f>T31*(1+'LTFP Assumptions'!$J$13)</f>
        <v>518159.31025478995</v>
      </c>
      <c r="V31" s="831">
        <f>U31*(1+'LTFP Assumptions'!$J$13)</f>
        <v>528522.49645988573</v>
      </c>
      <c r="W31" s="831">
        <f>V31*(1+'LTFP Assumptions'!$J$13)</f>
        <v>539092.9463890834</v>
      </c>
      <c r="X31" s="831">
        <f>W31*(1+'LTFP Assumptions'!$J$13)</f>
        <v>549874.80531686509</v>
      </c>
      <c r="Y31" s="831">
        <f>X31*(1+'LTFP Assumptions'!$J$13)</f>
        <v>560872.30142320239</v>
      </c>
    </row>
    <row r="32" spans="1:25" ht="14.25" x14ac:dyDescent="0.2">
      <c r="A32" s="832" t="s">
        <v>1141</v>
      </c>
      <c r="B32" s="832"/>
      <c r="C32" s="831">
        <v>300000</v>
      </c>
      <c r="D32" s="833">
        <v>300000</v>
      </c>
      <c r="E32" s="831">
        <v>300000</v>
      </c>
      <c r="F32" s="831">
        <v>300000</v>
      </c>
      <c r="G32" s="831">
        <f>F32*(1+'LTFP Assumptions'!$J$13)</f>
        <v>306000</v>
      </c>
      <c r="H32" s="831">
        <f>G32*(1+'LTFP Assumptions'!$J$13)</f>
        <v>312120</v>
      </c>
      <c r="I32" s="831">
        <f>H32*(1+'LTFP Assumptions'!$J$13)</f>
        <v>318362.40000000002</v>
      </c>
      <c r="J32" s="831">
        <f>I32*(1+'LTFP Assumptions'!$J$13)</f>
        <v>324729.64800000004</v>
      </c>
      <c r="K32" s="831">
        <f>J32*(1+'LTFP Assumptions'!$J$13)</f>
        <v>331224.24096000002</v>
      </c>
      <c r="L32" s="831">
        <f>K32*(1+'LTFP Assumptions'!$J$13)</f>
        <v>337848.72577920003</v>
      </c>
      <c r="M32" s="831">
        <f>L32*(1+'LTFP Assumptions'!$J$13)</f>
        <v>344605.70029478404</v>
      </c>
      <c r="N32" s="831">
        <f>M32*(1+'LTFP Assumptions'!$J$13)</f>
        <v>351497.81430067972</v>
      </c>
      <c r="O32" s="831">
        <f>N32*(1+'LTFP Assumptions'!$J$13)</f>
        <v>358527.77058669331</v>
      </c>
      <c r="P32" s="831">
        <f>O32*(1+'LTFP Assumptions'!$J$13)</f>
        <v>365698.32599842717</v>
      </c>
      <c r="Q32" s="831">
        <f>P32*(1+'LTFP Assumptions'!$J$13)</f>
        <v>373012.2925183957</v>
      </c>
      <c r="R32" s="831">
        <f>Q32*(1+'LTFP Assumptions'!$J$13)</f>
        <v>380472.53836876363</v>
      </c>
      <c r="S32" s="831">
        <f>R32*(1+'LTFP Assumptions'!$J$13)</f>
        <v>388081.98913613893</v>
      </c>
      <c r="T32" s="831">
        <f>S32*(1+'LTFP Assumptions'!$J$13)</f>
        <v>395843.62891886174</v>
      </c>
      <c r="U32" s="831">
        <f>T32*(1+'LTFP Assumptions'!$J$13)</f>
        <v>403760.50149723899</v>
      </c>
      <c r="V32" s="831">
        <f>U32*(1+'LTFP Assumptions'!$J$13)</f>
        <v>411835.71152718377</v>
      </c>
      <c r="W32" s="831">
        <f>V32*(1+'LTFP Assumptions'!$J$13)</f>
        <v>420072.42575772747</v>
      </c>
      <c r="X32" s="831">
        <f>W32*(1+'LTFP Assumptions'!$J$13)</f>
        <v>428473.87427288201</v>
      </c>
      <c r="Y32" s="831">
        <f>X32*(1+'LTFP Assumptions'!$J$13)</f>
        <v>437043.35175833968</v>
      </c>
    </row>
    <row r="33" spans="1:25" ht="14.25" x14ac:dyDescent="0.2">
      <c r="A33" s="832" t="s">
        <v>1158</v>
      </c>
      <c r="B33" s="832"/>
      <c r="C33" s="831"/>
      <c r="D33" s="833"/>
      <c r="E33" s="831"/>
      <c r="F33" s="831"/>
      <c r="G33" s="831"/>
      <c r="H33" s="831"/>
      <c r="I33" s="831"/>
      <c r="J33" s="831"/>
      <c r="K33" s="831"/>
      <c r="L33" s="831"/>
      <c r="M33" s="831"/>
      <c r="N33" s="831"/>
      <c r="O33" s="831"/>
      <c r="P33" s="831"/>
      <c r="Q33" s="831"/>
      <c r="R33" s="831"/>
      <c r="S33" s="831"/>
      <c r="T33" s="831"/>
      <c r="U33" s="831"/>
      <c r="V33" s="831"/>
      <c r="W33" s="831"/>
      <c r="X33" s="831"/>
      <c r="Y33" s="831"/>
    </row>
    <row r="34" spans="1:25" ht="14.25" x14ac:dyDescent="0.2">
      <c r="A34" s="829" t="s">
        <v>1142</v>
      </c>
      <c r="B34" s="829"/>
      <c r="C34" s="830">
        <v>250000</v>
      </c>
      <c r="D34" s="833">
        <v>250000</v>
      </c>
      <c r="E34" s="831">
        <v>250000</v>
      </c>
      <c r="F34" s="831">
        <v>250000</v>
      </c>
      <c r="G34" s="831">
        <f>F34*(1+'LTFP Assumptions'!$J$13)</f>
        <v>255000</v>
      </c>
      <c r="H34" s="831">
        <f>G34*(1+'LTFP Assumptions'!$J$13)</f>
        <v>260100</v>
      </c>
      <c r="I34" s="831">
        <f>H34*(1+'LTFP Assumptions'!$J$13)</f>
        <v>265302</v>
      </c>
      <c r="J34" s="831">
        <f>I34*(1+'LTFP Assumptions'!$J$13)</f>
        <v>270608.03999999998</v>
      </c>
      <c r="K34" s="831">
        <f>J34*(1+'LTFP Assumptions'!$J$13)</f>
        <v>276020.20079999999</v>
      </c>
      <c r="L34" s="831">
        <f>K34*(1+'LTFP Assumptions'!$J$13)</f>
        <v>281540.60481599998</v>
      </c>
      <c r="M34" s="831">
        <f>L34*(1+'LTFP Assumptions'!$J$13)</f>
        <v>287171.41691231995</v>
      </c>
      <c r="N34" s="831">
        <f>M34*(1+'LTFP Assumptions'!$J$13)</f>
        <v>292914.84525056637</v>
      </c>
      <c r="O34" s="831">
        <f>N34*(1+'LTFP Assumptions'!$J$13)</f>
        <v>298773.14215557772</v>
      </c>
      <c r="P34" s="831">
        <f>O34*(1+'LTFP Assumptions'!$J$13)</f>
        <v>304748.60499868926</v>
      </c>
      <c r="Q34" s="831">
        <f>P34*(1+'LTFP Assumptions'!$J$13)</f>
        <v>310843.57709866302</v>
      </c>
      <c r="R34" s="831">
        <f>Q34*(1+'LTFP Assumptions'!$J$13)</f>
        <v>317060.44864063628</v>
      </c>
      <c r="S34" s="831">
        <f>R34*(1+'LTFP Assumptions'!$J$13)</f>
        <v>323401.65761344903</v>
      </c>
      <c r="T34" s="831">
        <f>S34*(1+'LTFP Assumptions'!$J$13)</f>
        <v>329869.690765718</v>
      </c>
      <c r="U34" s="831">
        <f>T34*(1+'LTFP Assumptions'!$J$13)</f>
        <v>336467.08458103234</v>
      </c>
      <c r="V34" s="831">
        <f>U34*(1+'LTFP Assumptions'!$J$13)</f>
        <v>343196.42627265299</v>
      </c>
      <c r="W34" s="831">
        <f>V34*(1+'LTFP Assumptions'!$J$13)</f>
        <v>350060.35479810607</v>
      </c>
      <c r="X34" s="831">
        <f>W34*(1+'LTFP Assumptions'!$J$13)</f>
        <v>357061.5618940682</v>
      </c>
      <c r="Y34" s="831">
        <f>X34*(1+'LTFP Assumptions'!$J$13)</f>
        <v>364202.79313194955</v>
      </c>
    </row>
    <row r="35" spans="1:25" ht="14.25" x14ac:dyDescent="0.2">
      <c r="A35" s="832" t="s">
        <v>1143</v>
      </c>
      <c r="B35" s="832"/>
      <c r="C35" s="831">
        <v>141000</v>
      </c>
      <c r="D35" s="833">
        <v>133250</v>
      </c>
      <c r="E35" s="833">
        <v>136581.25</v>
      </c>
      <c r="F35" s="833">
        <v>139995.78125</v>
      </c>
      <c r="G35" s="831">
        <f>F35*(1+'LTFP Assumptions'!$J$13)</f>
        <v>142795.69687499999</v>
      </c>
      <c r="H35" s="831">
        <f>G35*(1+'LTFP Assumptions'!$J$13)</f>
        <v>145651.6108125</v>
      </c>
      <c r="I35" s="831">
        <f>H35*(1+'LTFP Assumptions'!$J$13)</f>
        <v>148564.64302875</v>
      </c>
      <c r="J35" s="831">
        <f>I35*(1+'LTFP Assumptions'!$J$13)</f>
        <v>151535.93588932499</v>
      </c>
      <c r="K35" s="831">
        <f>J35*(1+'LTFP Assumptions'!$J$13)</f>
        <v>154566.6546071115</v>
      </c>
      <c r="L35" s="831">
        <f>K35*(1+'LTFP Assumptions'!$J$13)</f>
        <v>157657.98769925375</v>
      </c>
      <c r="M35" s="831">
        <f>L35*(1+'LTFP Assumptions'!$J$13)</f>
        <v>160811.14745323884</v>
      </c>
      <c r="N35" s="831">
        <f>M35*(1+'LTFP Assumptions'!$J$13)</f>
        <v>164027.37040230361</v>
      </c>
      <c r="O35" s="831">
        <f>N35*(1+'LTFP Assumptions'!$J$13)</f>
        <v>167307.9178103497</v>
      </c>
      <c r="P35" s="831">
        <f>O35*(1+'LTFP Assumptions'!$J$13)</f>
        <v>170654.07616655668</v>
      </c>
      <c r="Q35" s="831">
        <f>P35*(1+'LTFP Assumptions'!$J$13)</f>
        <v>174067.15768988783</v>
      </c>
      <c r="R35" s="831">
        <f>Q35*(1+'LTFP Assumptions'!$J$13)</f>
        <v>177548.50084368559</v>
      </c>
      <c r="S35" s="831">
        <f>R35*(1+'LTFP Assumptions'!$J$13)</f>
        <v>181099.47086055929</v>
      </c>
      <c r="T35" s="831">
        <f>S35*(1+'LTFP Assumptions'!$J$13)</f>
        <v>184721.46027777047</v>
      </c>
      <c r="U35" s="831">
        <f>T35*(1+'LTFP Assumptions'!$J$13)</f>
        <v>188415.88948332588</v>
      </c>
      <c r="V35" s="831">
        <f>U35*(1+'LTFP Assumptions'!$J$13)</f>
        <v>192184.20727299241</v>
      </c>
      <c r="W35" s="831">
        <f>V35*(1+'LTFP Assumptions'!$J$13)</f>
        <v>196027.89141845226</v>
      </c>
      <c r="X35" s="831">
        <f>W35*(1+'LTFP Assumptions'!$J$13)</f>
        <v>199948.44924682131</v>
      </c>
      <c r="Y35" s="831">
        <f>X35*(1+'LTFP Assumptions'!$J$13)</f>
        <v>203947.41823175774</v>
      </c>
    </row>
    <row r="36" spans="1:25" ht="14.25" x14ac:dyDescent="0.2">
      <c r="B36" s="1356"/>
      <c r="C36" s="1356"/>
      <c r="D36" s="1356"/>
      <c r="E36" s="1356"/>
      <c r="F36" s="1356"/>
      <c r="G36" s="846"/>
      <c r="H36" s="846"/>
      <c r="I36" s="846"/>
      <c r="J36" s="846"/>
      <c r="K36" s="846"/>
      <c r="L36" s="846"/>
      <c r="M36" s="846"/>
      <c r="N36" s="846"/>
      <c r="O36" s="846"/>
      <c r="P36" s="846"/>
      <c r="Q36" s="846"/>
      <c r="R36" s="846"/>
      <c r="S36" s="846"/>
      <c r="T36" s="846"/>
      <c r="U36" s="846"/>
      <c r="V36" s="846"/>
      <c r="W36" s="846"/>
      <c r="X36" s="846"/>
      <c r="Y36" s="846"/>
    </row>
    <row r="37" spans="1:25" ht="14.25" x14ac:dyDescent="0.2">
      <c r="A37" s="829" t="s">
        <v>1144</v>
      </c>
      <c r="B37" s="829"/>
      <c r="C37" s="830">
        <v>200000</v>
      </c>
      <c r="D37" s="833"/>
      <c r="E37" s="833"/>
      <c r="F37" s="833"/>
      <c r="G37" s="833"/>
      <c r="H37" s="833"/>
      <c r="I37" s="833"/>
      <c r="J37" s="833"/>
      <c r="K37" s="833"/>
      <c r="L37" s="833"/>
      <c r="M37" s="833"/>
      <c r="N37" s="833"/>
      <c r="O37" s="833"/>
      <c r="P37" s="833"/>
      <c r="Q37" s="833"/>
      <c r="R37" s="833"/>
      <c r="S37" s="833"/>
      <c r="T37" s="833"/>
      <c r="U37" s="833"/>
      <c r="V37" s="833"/>
      <c r="W37" s="833"/>
      <c r="X37" s="833"/>
      <c r="Y37" s="833"/>
    </row>
    <row r="38" spans="1:25" ht="14.25" x14ac:dyDescent="0.2">
      <c r="A38" s="834" t="s">
        <v>1145</v>
      </c>
      <c r="B38" s="834"/>
      <c r="C38" s="835">
        <v>200000</v>
      </c>
      <c r="D38" s="833">
        <v>250000</v>
      </c>
      <c r="E38" s="833">
        <v>250000</v>
      </c>
      <c r="F38" s="833">
        <v>200000</v>
      </c>
      <c r="G38" s="831">
        <f>F38*(1+'LTFP Assumptions'!$J$13)</f>
        <v>204000</v>
      </c>
      <c r="H38" s="831">
        <f>G38*(1+'LTFP Assumptions'!$J$13)</f>
        <v>208080</v>
      </c>
      <c r="I38" s="831">
        <f>H38*(1+'LTFP Assumptions'!$J$13)</f>
        <v>212241.6</v>
      </c>
      <c r="J38" s="831">
        <f>I38*(1+'LTFP Assumptions'!$J$13)</f>
        <v>216486.432</v>
      </c>
      <c r="K38" s="831">
        <f>J38*(1+'LTFP Assumptions'!$J$13)</f>
        <v>220816.16064000002</v>
      </c>
      <c r="L38" s="831">
        <f>K38*(1+'LTFP Assumptions'!$J$13)</f>
        <v>225232.48385280001</v>
      </c>
      <c r="M38" s="831">
        <f>L38*(1+'LTFP Assumptions'!$J$13)</f>
        <v>229737.13352985602</v>
      </c>
      <c r="N38" s="831">
        <f>M38*(1+'LTFP Assumptions'!$J$13)</f>
        <v>234331.87620045315</v>
      </c>
      <c r="O38" s="831">
        <f>N38*(1+'LTFP Assumptions'!$J$13)</f>
        <v>239018.51372446222</v>
      </c>
      <c r="P38" s="831">
        <f>O38*(1+'LTFP Assumptions'!$J$13)</f>
        <v>243798.88399895147</v>
      </c>
      <c r="Q38" s="831">
        <f>P38*(1+'LTFP Assumptions'!$J$13)</f>
        <v>248674.86167893049</v>
      </c>
      <c r="R38" s="831">
        <f>Q38*(1+'LTFP Assumptions'!$J$13)</f>
        <v>253648.35891250911</v>
      </c>
      <c r="S38" s="831">
        <f>R38*(1+'LTFP Assumptions'!$J$13)</f>
        <v>258721.32609075931</v>
      </c>
      <c r="T38" s="831">
        <f>S38*(1+'LTFP Assumptions'!$J$13)</f>
        <v>263895.75261257449</v>
      </c>
      <c r="U38" s="831">
        <f>T38*(1+'LTFP Assumptions'!$J$13)</f>
        <v>269173.66766482597</v>
      </c>
      <c r="V38" s="831">
        <f>U38*(1+'LTFP Assumptions'!$J$13)</f>
        <v>274557.14101812249</v>
      </c>
      <c r="W38" s="831">
        <f>V38*(1+'LTFP Assumptions'!$J$13)</f>
        <v>280048.28383848496</v>
      </c>
      <c r="X38" s="831">
        <f>W38*(1+'LTFP Assumptions'!$J$13)</f>
        <v>285649.24951525469</v>
      </c>
      <c r="Y38" s="831">
        <f>X38*(1+'LTFP Assumptions'!$J$13)</f>
        <v>291362.23450555978</v>
      </c>
    </row>
    <row r="39" spans="1:25" ht="14.25" x14ac:dyDescent="0.2">
      <c r="A39" s="834" t="s">
        <v>1146</v>
      </c>
      <c r="B39" s="834"/>
      <c r="C39" s="835">
        <v>40579</v>
      </c>
      <c r="D39" s="833" t="s">
        <v>516</v>
      </c>
      <c r="E39" s="833">
        <v>135447</v>
      </c>
      <c r="F39" s="833">
        <v>6069</v>
      </c>
      <c r="G39" s="831">
        <f>F39*(1+'LTFP Assumptions'!$J$13)</f>
        <v>6190.38</v>
      </c>
      <c r="H39" s="831">
        <f>G39*(1+'LTFP Assumptions'!$J$13)</f>
        <v>6314.1876000000002</v>
      </c>
      <c r="I39" s="831">
        <f>H39*(1+'LTFP Assumptions'!$J$13)</f>
        <v>6440.4713520000005</v>
      </c>
      <c r="J39" s="831">
        <f>I39*(1+'LTFP Assumptions'!$J$13)</f>
        <v>6569.2807790400002</v>
      </c>
      <c r="K39" s="831">
        <f>J39*(1+'LTFP Assumptions'!$J$13)</f>
        <v>6700.6663946208</v>
      </c>
      <c r="L39" s="831">
        <f>K39*(1+'LTFP Assumptions'!$J$13)</f>
        <v>6834.6797225132159</v>
      </c>
      <c r="M39" s="831">
        <f>L39*(1+'LTFP Assumptions'!$J$13)</f>
        <v>6971.3733169634806</v>
      </c>
      <c r="N39" s="831">
        <f>M39*(1+'LTFP Assumptions'!$J$13)</f>
        <v>7110.8007833027505</v>
      </c>
      <c r="O39" s="831">
        <f>N39*(1+'LTFP Assumptions'!$J$13)</f>
        <v>7253.0167989688052</v>
      </c>
      <c r="P39" s="831">
        <f>O39*(1+'LTFP Assumptions'!$J$13)</f>
        <v>7398.0771349481811</v>
      </c>
      <c r="Q39" s="831">
        <f>P39*(1+'LTFP Assumptions'!$J$13)</f>
        <v>7546.0386776471451</v>
      </c>
      <c r="R39" s="831">
        <f>Q39*(1+'LTFP Assumptions'!$J$13)</f>
        <v>7696.9594512000876</v>
      </c>
      <c r="S39" s="831">
        <f>R39*(1+'LTFP Assumptions'!$J$13)</f>
        <v>7850.8986402240898</v>
      </c>
      <c r="T39" s="831">
        <f>S39*(1+'LTFP Assumptions'!$J$13)</f>
        <v>8007.9166130285721</v>
      </c>
      <c r="U39" s="831">
        <f>T39*(1+'LTFP Assumptions'!$J$13)</f>
        <v>8168.0749452891441</v>
      </c>
      <c r="V39" s="831">
        <f>U39*(1+'LTFP Assumptions'!$J$13)</f>
        <v>8331.4364441949274</v>
      </c>
      <c r="W39" s="831">
        <f>V39*(1+'LTFP Assumptions'!$J$13)</f>
        <v>8498.0651730788268</v>
      </c>
      <c r="X39" s="831">
        <f>W39*(1+'LTFP Assumptions'!$J$13)</f>
        <v>8668.0264765404027</v>
      </c>
      <c r="Y39" s="831">
        <f>X39*(1+'LTFP Assumptions'!$J$13)</f>
        <v>8841.3870060712106</v>
      </c>
    </row>
    <row r="40" spans="1:25" ht="14.25" x14ac:dyDescent="0.2">
      <c r="A40" s="832" t="s">
        <v>1147</v>
      </c>
      <c r="B40" s="832"/>
      <c r="C40" s="831">
        <v>75000</v>
      </c>
      <c r="D40" s="833">
        <v>75000</v>
      </c>
      <c r="E40" s="831">
        <v>90000</v>
      </c>
      <c r="F40" s="831">
        <v>82500</v>
      </c>
      <c r="G40" s="831">
        <f>F40*(1+'LTFP Assumptions'!$J$13)</f>
        <v>84150</v>
      </c>
      <c r="H40" s="831">
        <f>G40*(1+'LTFP Assumptions'!$J$13)</f>
        <v>85833</v>
      </c>
      <c r="I40" s="831">
        <f>H40*(1+'LTFP Assumptions'!$J$13)</f>
        <v>87549.66</v>
      </c>
      <c r="J40" s="831">
        <f>I40*(1+'LTFP Assumptions'!$J$13)</f>
        <v>89300.653200000001</v>
      </c>
      <c r="K40" s="831">
        <f>J40*(1+'LTFP Assumptions'!$J$13)</f>
        <v>91086.666264</v>
      </c>
      <c r="L40" s="831">
        <f>K40*(1+'LTFP Assumptions'!$J$13)</f>
        <v>92908.399589280001</v>
      </c>
      <c r="M40" s="831">
        <f>L40*(1+'LTFP Assumptions'!$J$13)</f>
        <v>94766.567581065596</v>
      </c>
      <c r="N40" s="831">
        <f>M40*(1+'LTFP Assumptions'!$J$13)</f>
        <v>96661.898932686905</v>
      </c>
      <c r="O40" s="831">
        <f>N40*(1+'LTFP Assumptions'!$J$13)</f>
        <v>98595.13691134064</v>
      </c>
      <c r="P40" s="831">
        <f>O40*(1+'LTFP Assumptions'!$J$13)</f>
        <v>100567.03964956745</v>
      </c>
      <c r="Q40" s="831">
        <f>P40*(1+'LTFP Assumptions'!$J$13)</f>
        <v>102578.3804425588</v>
      </c>
      <c r="R40" s="831">
        <f>Q40*(1+'LTFP Assumptions'!$J$13)</f>
        <v>104629.94805140999</v>
      </c>
      <c r="S40" s="831">
        <f>R40*(1+'LTFP Assumptions'!$J$13)</f>
        <v>106722.54701243818</v>
      </c>
      <c r="T40" s="831">
        <f>S40*(1+'LTFP Assumptions'!$J$13)</f>
        <v>108856.99795268694</v>
      </c>
      <c r="U40" s="831">
        <f>T40*(1+'LTFP Assumptions'!$J$13)</f>
        <v>111034.13791174069</v>
      </c>
      <c r="V40" s="831">
        <f>U40*(1+'LTFP Assumptions'!$J$13)</f>
        <v>113254.82066997551</v>
      </c>
      <c r="W40" s="831">
        <f>V40*(1+'LTFP Assumptions'!$J$13)</f>
        <v>115519.91708337502</v>
      </c>
      <c r="X40" s="831">
        <f>W40*(1+'LTFP Assumptions'!$J$13)</f>
        <v>117830.31542504253</v>
      </c>
      <c r="Y40" s="831">
        <f>X40*(1+'LTFP Assumptions'!$J$13)</f>
        <v>120186.92173354338</v>
      </c>
    </row>
    <row r="41" spans="1:25" ht="14.25" x14ac:dyDescent="0.2">
      <c r="A41" s="836" t="s">
        <v>1148</v>
      </c>
      <c r="B41" s="836"/>
      <c r="C41" s="837">
        <v>250000</v>
      </c>
      <c r="D41" s="838">
        <v>250000</v>
      </c>
      <c r="E41" s="838">
        <v>250000</v>
      </c>
      <c r="F41" s="838">
        <v>250000</v>
      </c>
      <c r="G41" s="831">
        <f>F41*(1+'LTFP Assumptions'!$J$13)</f>
        <v>255000</v>
      </c>
      <c r="H41" s="831">
        <f>G41*(1+'LTFP Assumptions'!$J$13)</f>
        <v>260100</v>
      </c>
      <c r="I41" s="831">
        <f>H41*(1+'LTFP Assumptions'!$J$13)</f>
        <v>265302</v>
      </c>
      <c r="J41" s="831">
        <f>I41*(1+'LTFP Assumptions'!$J$13)</f>
        <v>270608.03999999998</v>
      </c>
      <c r="K41" s="831">
        <f>J41*(1+'LTFP Assumptions'!$J$13)</f>
        <v>276020.20079999999</v>
      </c>
      <c r="L41" s="831">
        <f>K41*(1+'LTFP Assumptions'!$J$13)</f>
        <v>281540.60481599998</v>
      </c>
      <c r="M41" s="831">
        <f>L41*(1+'LTFP Assumptions'!$J$13)</f>
        <v>287171.41691231995</v>
      </c>
      <c r="N41" s="831">
        <f>M41*(1+'LTFP Assumptions'!$J$13)</f>
        <v>292914.84525056637</v>
      </c>
      <c r="O41" s="831">
        <f>N41*(1+'LTFP Assumptions'!$J$13)</f>
        <v>298773.14215557772</v>
      </c>
      <c r="P41" s="831">
        <f>O41*(1+'LTFP Assumptions'!$J$13)</f>
        <v>304748.60499868926</v>
      </c>
      <c r="Q41" s="831">
        <f>P41*(1+'LTFP Assumptions'!$J$13)</f>
        <v>310843.57709866302</v>
      </c>
      <c r="R41" s="831">
        <f>Q41*(1+'LTFP Assumptions'!$J$13)</f>
        <v>317060.44864063628</v>
      </c>
      <c r="S41" s="831">
        <f>R41*(1+'LTFP Assumptions'!$J$13)</f>
        <v>323401.65761344903</v>
      </c>
      <c r="T41" s="831">
        <f>S41*(1+'LTFP Assumptions'!$J$13)</f>
        <v>329869.690765718</v>
      </c>
      <c r="U41" s="831">
        <f>T41*(1+'LTFP Assumptions'!$J$13)</f>
        <v>336467.08458103234</v>
      </c>
      <c r="V41" s="831">
        <f>U41*(1+'LTFP Assumptions'!$J$13)</f>
        <v>343196.42627265299</v>
      </c>
      <c r="W41" s="831">
        <f>V41*(1+'LTFP Assumptions'!$J$13)</f>
        <v>350060.35479810607</v>
      </c>
      <c r="X41" s="831">
        <f>W41*(1+'LTFP Assumptions'!$J$13)</f>
        <v>357061.5618940682</v>
      </c>
      <c r="Y41" s="831">
        <f>X41*(1+'LTFP Assumptions'!$J$13)</f>
        <v>364202.79313194955</v>
      </c>
    </row>
    <row r="42" spans="1:25" ht="14.25" x14ac:dyDescent="0.2">
      <c r="C42" s="843">
        <f>SUM(C6:C41)</f>
        <v>6682827</v>
      </c>
      <c r="D42" s="843">
        <f t="shared" ref="D42:F42" si="0">SUM(D6:D41)</f>
        <v>9940077.8000000007</v>
      </c>
      <c r="E42" s="843">
        <f t="shared" si="0"/>
        <v>8208117.6449999996</v>
      </c>
      <c r="F42" s="843">
        <f t="shared" si="0"/>
        <v>9034266.1861249991</v>
      </c>
      <c r="G42" s="843">
        <f t="shared" ref="G42:Y42" si="1">SUM(G6:G41)</f>
        <v>9286351.5098475013</v>
      </c>
      <c r="H42" s="843">
        <f t="shared" si="1"/>
        <v>9472078.5400444493</v>
      </c>
      <c r="I42" s="843">
        <f t="shared" si="1"/>
        <v>9661520.1108453386</v>
      </c>
      <c r="J42" s="843">
        <f t="shared" si="1"/>
        <v>9915950.5130622424</v>
      </c>
      <c r="K42" s="843">
        <f t="shared" si="1"/>
        <v>10114269.523323489</v>
      </c>
      <c r="L42" s="843">
        <f t="shared" si="1"/>
        <v>10367554.913789961</v>
      </c>
      <c r="M42" s="843">
        <f t="shared" si="1"/>
        <v>10574906.012065761</v>
      </c>
      <c r="N42" s="843">
        <f t="shared" si="1"/>
        <v>10786404.132307075</v>
      </c>
      <c r="O42" s="843">
        <f t="shared" si="1"/>
        <v>11002132.21495322</v>
      </c>
      <c r="P42" s="843">
        <f t="shared" si="1"/>
        <v>11222174.85925228</v>
      </c>
      <c r="Q42" s="843">
        <f t="shared" si="1"/>
        <v>11446618.356437331</v>
      </c>
      <c r="R42" s="843">
        <f t="shared" si="1"/>
        <v>11675550.72356608</v>
      </c>
      <c r="S42" s="843">
        <f t="shared" si="1"/>
        <v>11909061.738037396</v>
      </c>
      <c r="T42" s="843">
        <f t="shared" si="1"/>
        <v>12147242.972798146</v>
      </c>
      <c r="U42" s="843">
        <f t="shared" si="1"/>
        <v>12390187.832254106</v>
      </c>
      <c r="V42" s="843">
        <f t="shared" si="1"/>
        <v>12637991.58889919</v>
      </c>
      <c r="W42" s="843">
        <f t="shared" si="1"/>
        <v>12890751.420677172</v>
      </c>
      <c r="X42" s="843">
        <f t="shared" si="1"/>
        <v>13148566.449090714</v>
      </c>
      <c r="Y42" s="843">
        <f t="shared" si="1"/>
        <v>13411537.778072532</v>
      </c>
    </row>
    <row r="43" spans="1:25" ht="14.25" x14ac:dyDescent="0.2">
      <c r="A43" s="844" t="s">
        <v>1159</v>
      </c>
      <c r="B43" s="999"/>
    </row>
    <row r="44" spans="1:25" ht="14.25" x14ac:dyDescent="0.2">
      <c r="A44" s="829" t="s">
        <v>1123</v>
      </c>
      <c r="B44" s="829"/>
      <c r="C44" s="845">
        <v>256000</v>
      </c>
      <c r="D44" s="841">
        <v>260000</v>
      </c>
      <c r="E44" s="841">
        <v>265000</v>
      </c>
      <c r="F44" s="841">
        <v>265000</v>
      </c>
      <c r="G44" s="841">
        <f>F44*(1+'LTFP Assumptions'!$J$13)</f>
        <v>270300</v>
      </c>
      <c r="H44" s="841">
        <f>G44*(1+'LTFP Assumptions'!$J$13)</f>
        <v>275706</v>
      </c>
      <c r="I44" s="841">
        <f>H44*(1+'LTFP Assumptions'!$J$13)</f>
        <v>281220.12</v>
      </c>
      <c r="J44" s="841">
        <f>I44*(1+'LTFP Assumptions'!$J$13)</f>
        <v>286844.52240000002</v>
      </c>
      <c r="K44" s="841">
        <f>J44*(1+'LTFP Assumptions'!$J$13)</f>
        <v>292581.41284800001</v>
      </c>
      <c r="L44" s="841">
        <f>K44*(1+'LTFP Assumptions'!$J$13)</f>
        <v>298433.04110496002</v>
      </c>
      <c r="M44" s="841">
        <f>L44*(1+'LTFP Assumptions'!$J$13)</f>
        <v>304401.70192705921</v>
      </c>
      <c r="N44" s="841">
        <f>M44*(1+'LTFP Assumptions'!$J$13)</f>
        <v>310489.73596560041</v>
      </c>
      <c r="O44" s="841">
        <f>N44*(1+'LTFP Assumptions'!$J$13)</f>
        <v>316699.5306849124</v>
      </c>
      <c r="P44" s="841">
        <f>O44*(1+'LTFP Assumptions'!$J$13)</f>
        <v>323033.52129861066</v>
      </c>
      <c r="Q44" s="841">
        <f>P44*(1+'LTFP Assumptions'!$J$13)</f>
        <v>329494.19172458287</v>
      </c>
      <c r="R44" s="841">
        <f>Q44*(1+'LTFP Assumptions'!$J$13)</f>
        <v>336084.07555907452</v>
      </c>
      <c r="S44" s="841">
        <f>R44*(1+'LTFP Assumptions'!$J$13)</f>
        <v>342805.75707025605</v>
      </c>
      <c r="T44" s="841">
        <f>S44*(1+'LTFP Assumptions'!$J$13)</f>
        <v>349661.87221166119</v>
      </c>
      <c r="U44" s="841">
        <f>T44*(1+'LTFP Assumptions'!$J$13)</f>
        <v>356655.1096558944</v>
      </c>
      <c r="V44" s="841">
        <f>U44*(1+'LTFP Assumptions'!$J$13)</f>
        <v>363788.2118490123</v>
      </c>
      <c r="W44" s="841">
        <f>V44*(1+'LTFP Assumptions'!$J$13)</f>
        <v>371063.97608599253</v>
      </c>
      <c r="X44" s="841">
        <f>W44*(1+'LTFP Assumptions'!$J$13)</f>
        <v>378485.25560771237</v>
      </c>
      <c r="Y44" s="841">
        <f>X44*(1+'LTFP Assumptions'!$J$13)</f>
        <v>386054.96071986662</v>
      </c>
    </row>
    <row r="45" spans="1:25" ht="14.25" x14ac:dyDescent="0.2">
      <c r="A45" s="829" t="s">
        <v>1124</v>
      </c>
      <c r="B45" s="829"/>
      <c r="C45" s="830">
        <v>205000</v>
      </c>
      <c r="D45" s="831">
        <v>205000</v>
      </c>
      <c r="E45" s="831">
        <v>210000</v>
      </c>
      <c r="F45" s="831">
        <v>210000</v>
      </c>
      <c r="G45" s="831">
        <f>F45*(1+'LTFP Assumptions'!$J$13)</f>
        <v>214200</v>
      </c>
      <c r="H45" s="831">
        <f>G45*(1+'LTFP Assumptions'!$J$13)</f>
        <v>218484</v>
      </c>
      <c r="I45" s="831">
        <f>H45*(1+'LTFP Assumptions'!$J$13)</f>
        <v>222853.68</v>
      </c>
      <c r="J45" s="831">
        <f>I45*(1+'LTFP Assumptions'!$J$13)</f>
        <v>227310.7536</v>
      </c>
      <c r="K45" s="831">
        <f>J45*(1+'LTFP Assumptions'!$J$13)</f>
        <v>231856.96867199999</v>
      </c>
      <c r="L45" s="831">
        <f>K45*(1+'LTFP Assumptions'!$J$13)</f>
        <v>236494.10804543999</v>
      </c>
      <c r="M45" s="831">
        <f>L45*(1+'LTFP Assumptions'!$J$13)</f>
        <v>241223.9902063488</v>
      </c>
      <c r="N45" s="831">
        <f>M45*(1+'LTFP Assumptions'!$J$13)</f>
        <v>246048.47001047578</v>
      </c>
      <c r="O45" s="831">
        <f>N45*(1+'LTFP Assumptions'!$J$13)</f>
        <v>250969.4394106853</v>
      </c>
      <c r="P45" s="831">
        <f>O45*(1+'LTFP Assumptions'!$J$13)</f>
        <v>255988.82819889902</v>
      </c>
      <c r="Q45" s="831">
        <f>P45*(1+'LTFP Assumptions'!$J$13)</f>
        <v>261108.60476287702</v>
      </c>
      <c r="R45" s="831">
        <f>Q45*(1+'LTFP Assumptions'!$J$13)</f>
        <v>266330.77685813454</v>
      </c>
      <c r="S45" s="831">
        <f>R45*(1+'LTFP Assumptions'!$J$13)</f>
        <v>271657.39239529724</v>
      </c>
      <c r="T45" s="831">
        <f>S45*(1+'LTFP Assumptions'!$J$13)</f>
        <v>277090.54024320317</v>
      </c>
      <c r="U45" s="831">
        <f>T45*(1+'LTFP Assumptions'!$J$13)</f>
        <v>282632.35104806721</v>
      </c>
      <c r="V45" s="831">
        <f>U45*(1+'LTFP Assumptions'!$J$13)</f>
        <v>288284.99806902854</v>
      </c>
      <c r="W45" s="831">
        <f>V45*(1+'LTFP Assumptions'!$J$13)</f>
        <v>294050.69803040911</v>
      </c>
      <c r="X45" s="831">
        <f>W45*(1+'LTFP Assumptions'!$J$13)</f>
        <v>299931.71199101728</v>
      </c>
      <c r="Y45" s="831">
        <f>X45*(1+'LTFP Assumptions'!$J$13)</f>
        <v>305930.34623083763</v>
      </c>
    </row>
    <row r="46" spans="1:25" ht="14.25" x14ac:dyDescent="0.2">
      <c r="A46" s="829" t="s">
        <v>1150</v>
      </c>
      <c r="B46" s="829"/>
      <c r="C46" s="830"/>
      <c r="D46" s="831">
        <v>2500000</v>
      </c>
      <c r="E46" s="831">
        <v>2500000</v>
      </c>
      <c r="F46" s="831"/>
      <c r="G46" s="831"/>
      <c r="H46" s="831"/>
      <c r="I46" s="831"/>
      <c r="J46" s="831"/>
      <c r="K46" s="831"/>
      <c r="L46" s="831"/>
      <c r="M46" s="831"/>
      <c r="N46" s="831"/>
      <c r="O46" s="831"/>
      <c r="P46" s="831"/>
      <c r="Q46" s="831"/>
      <c r="R46" s="831"/>
      <c r="S46" s="831"/>
      <c r="T46" s="831"/>
      <c r="U46" s="831"/>
      <c r="V46" s="831"/>
      <c r="W46" s="831"/>
      <c r="X46" s="831"/>
      <c r="Y46" s="831"/>
    </row>
    <row r="47" spans="1:25" ht="14.25" x14ac:dyDescent="0.2">
      <c r="A47" s="829" t="s">
        <v>1127</v>
      </c>
      <c r="B47" s="829"/>
      <c r="C47" s="830">
        <v>201985</v>
      </c>
      <c r="D47" s="831">
        <v>206025</v>
      </c>
      <c r="E47" s="831">
        <v>210145</v>
      </c>
      <c r="F47" s="831">
        <v>214348</v>
      </c>
      <c r="G47" s="831">
        <f>F47*(1+'LTFP Assumptions'!$J$13)</f>
        <v>218634.96</v>
      </c>
      <c r="H47" s="831">
        <f>G47*(1+'LTFP Assumptions'!$J$13)</f>
        <v>223007.65919999999</v>
      </c>
      <c r="I47" s="831">
        <f>H47*(1+'LTFP Assumptions'!$J$13)</f>
        <v>227467.81238399999</v>
      </c>
      <c r="J47" s="831">
        <f>I47*(1+'LTFP Assumptions'!$J$13)</f>
        <v>232017.16863167999</v>
      </c>
      <c r="K47" s="831">
        <f>J47*(1+'LTFP Assumptions'!$J$13)</f>
        <v>236657.51200431358</v>
      </c>
      <c r="L47" s="831">
        <f>K47*(1+'LTFP Assumptions'!$J$13)</f>
        <v>241390.66224439986</v>
      </c>
      <c r="M47" s="831">
        <f>L47*(1+'LTFP Assumptions'!$J$13)</f>
        <v>246218.47548928787</v>
      </c>
      <c r="N47" s="831">
        <f>M47*(1+'LTFP Assumptions'!$J$13)</f>
        <v>251142.84499907363</v>
      </c>
      <c r="O47" s="831">
        <f>N47*(1+'LTFP Assumptions'!$J$13)</f>
        <v>256165.7018990551</v>
      </c>
      <c r="P47" s="831">
        <f>O47*(1+'LTFP Assumptions'!$J$13)</f>
        <v>261289.01593703619</v>
      </c>
      <c r="Q47" s="831">
        <f>P47*(1+'LTFP Assumptions'!$J$13)</f>
        <v>266514.79625577695</v>
      </c>
      <c r="R47" s="831">
        <f>Q47*(1+'LTFP Assumptions'!$J$13)</f>
        <v>271845.09218089248</v>
      </c>
      <c r="S47" s="831">
        <f>R47*(1+'LTFP Assumptions'!$J$13)</f>
        <v>277281.99402451032</v>
      </c>
      <c r="T47" s="831">
        <f>S47*(1+'LTFP Assumptions'!$J$13)</f>
        <v>282827.63390500052</v>
      </c>
      <c r="U47" s="831">
        <f>T47*(1+'LTFP Assumptions'!$J$13)</f>
        <v>288484.18658310053</v>
      </c>
      <c r="V47" s="831">
        <f>U47*(1+'LTFP Assumptions'!$J$13)</f>
        <v>294253.87031476252</v>
      </c>
      <c r="W47" s="831">
        <f>V47*(1+'LTFP Assumptions'!$J$13)</f>
        <v>300138.9477210578</v>
      </c>
      <c r="X47" s="831">
        <f>W47*(1+'LTFP Assumptions'!$J$13)</f>
        <v>306141.72667547897</v>
      </c>
      <c r="Y47" s="831">
        <f>X47*(1+'LTFP Assumptions'!$J$13)</f>
        <v>312264.56120898854</v>
      </c>
    </row>
    <row r="48" spans="1:25" ht="14.25" x14ac:dyDescent="0.2">
      <c r="A48" s="832" t="s">
        <v>1151</v>
      </c>
      <c r="B48" s="832"/>
      <c r="C48" s="831"/>
      <c r="D48" s="831">
        <v>300000</v>
      </c>
      <c r="E48" s="831">
        <v>300000</v>
      </c>
      <c r="F48" s="831">
        <v>250000</v>
      </c>
      <c r="G48" s="1347">
        <f>(F48-100000)*(1+'LTFP Assumptions'!$J$13)</f>
        <v>153000</v>
      </c>
      <c r="H48" s="831">
        <f>G48*(1+'LTFP Assumptions'!$J$13)</f>
        <v>156060</v>
      </c>
      <c r="I48" s="831">
        <f>H48*(1+'LTFP Assumptions'!$J$13)</f>
        <v>159181.20000000001</v>
      </c>
      <c r="J48" s="831">
        <f>I48*(1+'LTFP Assumptions'!$J$13)</f>
        <v>162364.82400000002</v>
      </c>
      <c r="K48" s="831">
        <f>J48*(1+'LTFP Assumptions'!$J$13)</f>
        <v>165612.12048000001</v>
      </c>
      <c r="L48" s="831">
        <f>K48*(1+'LTFP Assumptions'!$J$13)</f>
        <v>168924.36288960002</v>
      </c>
      <c r="M48" s="831">
        <f>L48*(1+'LTFP Assumptions'!$J$13)</f>
        <v>172302.85014739202</v>
      </c>
      <c r="N48" s="831">
        <f>M48*(1+'LTFP Assumptions'!$J$13)</f>
        <v>175748.90715033986</v>
      </c>
      <c r="O48" s="831">
        <f>N48*(1+'LTFP Assumptions'!$J$13)</f>
        <v>179263.88529334666</v>
      </c>
      <c r="P48" s="831">
        <f>O48*(1+'LTFP Assumptions'!$J$13)</f>
        <v>182849.16299921359</v>
      </c>
      <c r="Q48" s="831">
        <f>P48*(1+'LTFP Assumptions'!$J$13)</f>
        <v>186506.14625919785</v>
      </c>
      <c r="R48" s="831">
        <f>Q48*(1+'LTFP Assumptions'!$J$13)</f>
        <v>190236.26918438182</v>
      </c>
      <c r="S48" s="831">
        <f>R48*(1+'LTFP Assumptions'!$J$13)</f>
        <v>194040.99456806947</v>
      </c>
      <c r="T48" s="831">
        <f>S48*(1+'LTFP Assumptions'!$J$13)</f>
        <v>197921.81445943087</v>
      </c>
      <c r="U48" s="831">
        <f>T48*(1+'LTFP Assumptions'!$J$13)</f>
        <v>201880.2507486195</v>
      </c>
      <c r="V48" s="831">
        <f>U48*(1+'LTFP Assumptions'!$J$13)</f>
        <v>205917.85576359188</v>
      </c>
      <c r="W48" s="831">
        <f>V48*(1+'LTFP Assumptions'!$J$13)</f>
        <v>210036.21287886373</v>
      </c>
      <c r="X48" s="831">
        <f>W48*(1+'LTFP Assumptions'!$J$13)</f>
        <v>214236.937136441</v>
      </c>
      <c r="Y48" s="831">
        <f>X48*(1+'LTFP Assumptions'!$J$13)</f>
        <v>218521.67587916984</v>
      </c>
    </row>
    <row r="49" spans="1:25" ht="14.25" x14ac:dyDescent="0.2">
      <c r="A49" s="1420" t="s">
        <v>1516</v>
      </c>
      <c r="B49" s="1420"/>
      <c r="C49" s="1419">
        <v>750000</v>
      </c>
      <c r="D49" s="1419">
        <f>C49*(1+'LTFP Assumptions'!$J13)</f>
        <v>765000</v>
      </c>
      <c r="E49" s="1419">
        <f>D49*(1+'LTFP Assumptions'!$J13)</f>
        <v>780300</v>
      </c>
      <c r="F49" s="1419">
        <f>E49*(1+'LTFP Assumptions'!$J13)</f>
        <v>795906</v>
      </c>
      <c r="G49" s="1419">
        <f>F49*(1+'LTFP Assumptions'!$J13)</f>
        <v>811824.12</v>
      </c>
      <c r="H49" s="1419">
        <f>G49*(1+'LTFP Assumptions'!$J13)</f>
        <v>828060.60239999997</v>
      </c>
      <c r="I49" s="1419">
        <f>H49*(1+'LTFP Assumptions'!$J13)</f>
        <v>844621.81444799993</v>
      </c>
      <c r="J49" s="1419">
        <f>I49*(1+'LTFP Assumptions'!$J13)</f>
        <v>861514.25073695998</v>
      </c>
      <c r="K49" s="1419">
        <f>J49*(1+'LTFP Assumptions'!$J13)</f>
        <v>878744.53575169924</v>
      </c>
      <c r="L49" s="1419">
        <f>K49*(1+'LTFP Assumptions'!$J13)</f>
        <v>896319.42646673322</v>
      </c>
      <c r="M49" s="1419">
        <f>L49*(1+'LTFP Assumptions'!$J13)</f>
        <v>914245.8149960679</v>
      </c>
      <c r="N49" s="1419">
        <f>M49*(1+'LTFP Assumptions'!$J13)</f>
        <v>932530.73129598924</v>
      </c>
      <c r="O49" s="1419">
        <f>N49*(1+'LTFP Assumptions'!$J13)</f>
        <v>951181.34592190909</v>
      </c>
      <c r="P49" s="1419">
        <f>O49*(1+'LTFP Assumptions'!$J13)</f>
        <v>970204.97284034733</v>
      </c>
      <c r="Q49" s="1419">
        <f>P49*(1+'LTFP Assumptions'!$J13)</f>
        <v>989609.07229715434</v>
      </c>
      <c r="R49" s="1419">
        <f>Q49*(1+'LTFP Assumptions'!$J13)</f>
        <v>1009401.2537430974</v>
      </c>
      <c r="S49" s="1419">
        <f>R49*(1+'LTFP Assumptions'!$J13)</f>
        <v>1029589.2788179594</v>
      </c>
      <c r="T49" s="1419">
        <f>S49*(1+'LTFP Assumptions'!$J13)</f>
        <v>1050181.0643943185</v>
      </c>
      <c r="U49" s="1419">
        <f>T49*(1+'LTFP Assumptions'!$J13)</f>
        <v>1071184.6856822048</v>
      </c>
      <c r="V49" s="1419">
        <f>U49*(1+'LTFP Assumptions'!$J13)</f>
        <v>1092608.3793958488</v>
      </c>
      <c r="W49" s="1419">
        <f>V49*(1+'LTFP Assumptions'!$J13)</f>
        <v>1114460.5469837659</v>
      </c>
      <c r="X49" s="1419">
        <f>W49*(1+'LTFP Assumptions'!$J13)</f>
        <v>1136749.7579234412</v>
      </c>
      <c r="Y49" s="1419">
        <f>X49*(1+'LTFP Assumptions'!$J13)</f>
        <v>1159484.7530819101</v>
      </c>
    </row>
    <row r="50" spans="1:25" ht="14.25" x14ac:dyDescent="0.2">
      <c r="A50" s="832" t="s">
        <v>1130</v>
      </c>
      <c r="B50" s="832"/>
      <c r="C50" s="831">
        <v>78000</v>
      </c>
      <c r="D50" s="833">
        <v>80000</v>
      </c>
      <c r="E50" s="831">
        <v>82500</v>
      </c>
      <c r="F50" s="831">
        <v>82500</v>
      </c>
      <c r="G50" s="831">
        <f>F50*(1+'LTFP Assumptions'!$J$13)</f>
        <v>84150</v>
      </c>
      <c r="H50" s="831">
        <f>G50*(1+'LTFP Assumptions'!$J$13)</f>
        <v>85833</v>
      </c>
      <c r="I50" s="831">
        <f>H50*(1+'LTFP Assumptions'!$J$13)</f>
        <v>87549.66</v>
      </c>
      <c r="J50" s="831">
        <f>I50*(1+'LTFP Assumptions'!$J$13)</f>
        <v>89300.653200000001</v>
      </c>
      <c r="K50" s="831">
        <f>J50*(1+'LTFP Assumptions'!$J$13)</f>
        <v>91086.666264</v>
      </c>
      <c r="L50" s="831">
        <f>K50*(1+'LTFP Assumptions'!$J$13)</f>
        <v>92908.399589280001</v>
      </c>
      <c r="M50" s="831">
        <f>L50*(1+'LTFP Assumptions'!$J$13)</f>
        <v>94766.567581065596</v>
      </c>
      <c r="N50" s="831">
        <f>M50*(1+'LTFP Assumptions'!$J$13)</f>
        <v>96661.898932686905</v>
      </c>
      <c r="O50" s="831">
        <f>N50*(1+'LTFP Assumptions'!$J$13)</f>
        <v>98595.13691134064</v>
      </c>
      <c r="P50" s="831">
        <f>O50*(1+'LTFP Assumptions'!$J$13)</f>
        <v>100567.03964956745</v>
      </c>
      <c r="Q50" s="831">
        <f>P50*(1+'LTFP Assumptions'!$J$13)</f>
        <v>102578.3804425588</v>
      </c>
      <c r="R50" s="831">
        <f>Q50*(1+'LTFP Assumptions'!$J$13)</f>
        <v>104629.94805140999</v>
      </c>
      <c r="S50" s="831">
        <f>R50*(1+'LTFP Assumptions'!$J$13)</f>
        <v>106722.54701243818</v>
      </c>
      <c r="T50" s="831">
        <f>S50*(1+'LTFP Assumptions'!$J$13)</f>
        <v>108856.99795268694</v>
      </c>
      <c r="U50" s="831">
        <f>T50*(1+'LTFP Assumptions'!$J$13)</f>
        <v>111034.13791174069</v>
      </c>
      <c r="V50" s="831">
        <f>U50*(1+'LTFP Assumptions'!$J$13)</f>
        <v>113254.82066997551</v>
      </c>
      <c r="W50" s="831">
        <f>V50*(1+'LTFP Assumptions'!$J$13)</f>
        <v>115519.91708337502</v>
      </c>
      <c r="X50" s="831">
        <f>W50*(1+'LTFP Assumptions'!$J$13)</f>
        <v>117830.31542504253</v>
      </c>
      <c r="Y50" s="831">
        <f>X50*(1+'LTFP Assumptions'!$J$13)</f>
        <v>120186.92173354338</v>
      </c>
    </row>
    <row r="51" spans="1:25" ht="14.25" x14ac:dyDescent="0.2">
      <c r="A51" s="832" t="s">
        <v>1132</v>
      </c>
      <c r="B51" s="832"/>
      <c r="C51" s="846"/>
      <c r="D51" s="846"/>
      <c r="E51" s="846"/>
      <c r="F51" s="846"/>
      <c r="G51" s="846"/>
      <c r="H51" s="846"/>
      <c r="I51" s="846"/>
      <c r="J51" s="846"/>
      <c r="K51" s="846"/>
      <c r="L51" s="846"/>
      <c r="M51" s="846"/>
      <c r="N51" s="846"/>
      <c r="O51" s="846"/>
      <c r="P51" s="846"/>
      <c r="Q51" s="846"/>
      <c r="R51" s="846"/>
      <c r="S51" s="846"/>
      <c r="T51" s="846"/>
      <c r="U51" s="846"/>
      <c r="V51" s="846"/>
      <c r="W51" s="846"/>
      <c r="X51" s="846"/>
      <c r="Y51" s="846"/>
    </row>
    <row r="52" spans="1:25" ht="14.25" x14ac:dyDescent="0.2">
      <c r="A52" s="832" t="s">
        <v>1135</v>
      </c>
      <c r="B52" s="832"/>
      <c r="C52" s="1021">
        <v>-10000</v>
      </c>
      <c r="D52" s="1038"/>
      <c r="E52" s="1038"/>
      <c r="F52" s="1038"/>
      <c r="G52" s="1038"/>
      <c r="H52" s="1038"/>
      <c r="I52" s="1038"/>
      <c r="J52" s="1038"/>
      <c r="K52" s="1038"/>
      <c r="L52" s="1038"/>
      <c r="M52" s="1038"/>
      <c r="N52" s="1038"/>
      <c r="O52" s="1038"/>
      <c r="P52" s="1038"/>
      <c r="Q52" s="1038"/>
      <c r="R52" s="1038"/>
      <c r="S52" s="1038"/>
      <c r="T52" s="1038"/>
      <c r="U52" s="1038"/>
      <c r="V52" s="1038"/>
      <c r="W52" s="1038"/>
      <c r="X52" s="1038"/>
      <c r="Y52" s="1038"/>
    </row>
    <row r="53" spans="1:25" ht="14.25" x14ac:dyDescent="0.2">
      <c r="A53" s="832" t="s">
        <v>1137</v>
      </c>
      <c r="B53" s="832"/>
      <c r="C53" s="831">
        <v>105000</v>
      </c>
      <c r="D53" s="833">
        <v>3500000</v>
      </c>
      <c r="E53" s="831">
        <v>0</v>
      </c>
      <c r="F53" s="831">
        <v>0</v>
      </c>
      <c r="G53" s="831">
        <v>0</v>
      </c>
      <c r="H53" s="831">
        <v>0</v>
      </c>
      <c r="I53" s="831">
        <v>0</v>
      </c>
      <c r="J53" s="831">
        <v>0</v>
      </c>
      <c r="K53" s="831">
        <v>0</v>
      </c>
      <c r="L53" s="831">
        <v>0</v>
      </c>
      <c r="M53" s="831">
        <v>0</v>
      </c>
      <c r="N53" s="831">
        <v>0</v>
      </c>
      <c r="O53" s="831">
        <v>0</v>
      </c>
      <c r="P53" s="831">
        <v>0</v>
      </c>
      <c r="Q53" s="831">
        <v>0</v>
      </c>
      <c r="R53" s="831">
        <v>0</v>
      </c>
      <c r="S53" s="831">
        <v>12</v>
      </c>
      <c r="T53" s="831">
        <v>13</v>
      </c>
      <c r="U53" s="831">
        <v>14</v>
      </c>
      <c r="V53" s="831">
        <v>15</v>
      </c>
      <c r="W53" s="831">
        <v>16</v>
      </c>
      <c r="X53" s="831">
        <v>17</v>
      </c>
      <c r="Y53" s="831">
        <v>18</v>
      </c>
    </row>
    <row r="54" spans="1:25" ht="14.25" x14ac:dyDescent="0.2">
      <c r="A54" s="829" t="s">
        <v>1160</v>
      </c>
      <c r="B54" s="829"/>
      <c r="C54" s="830">
        <v>200000</v>
      </c>
      <c r="D54" s="833">
        <v>5000000</v>
      </c>
      <c r="E54" s="831">
        <v>5000000</v>
      </c>
      <c r="F54" s="831"/>
      <c r="G54" s="831"/>
      <c r="H54" s="831"/>
      <c r="I54" s="831"/>
      <c r="J54" s="831"/>
      <c r="K54" s="831"/>
      <c r="L54" s="831"/>
      <c r="M54" s="831"/>
      <c r="N54" s="831"/>
      <c r="O54" s="831"/>
      <c r="P54" s="831"/>
      <c r="Q54" s="831"/>
      <c r="R54" s="831"/>
      <c r="S54" s="831"/>
      <c r="T54" s="831"/>
      <c r="U54" s="831"/>
      <c r="V54" s="831"/>
      <c r="W54" s="831"/>
      <c r="X54" s="831"/>
      <c r="Y54" s="831"/>
    </row>
    <row r="55" spans="1:25" ht="14.25" x14ac:dyDescent="0.2">
      <c r="A55" s="829" t="s">
        <v>1155</v>
      </c>
      <c r="B55" s="829"/>
      <c r="C55" s="830"/>
      <c r="D55" s="833">
        <v>0</v>
      </c>
      <c r="E55" s="833">
        <v>520000</v>
      </c>
      <c r="F55" s="833">
        <v>500000</v>
      </c>
      <c r="G55" s="1347">
        <v>0</v>
      </c>
      <c r="H55" s="1347">
        <f>G55*(1+'LTFP Assumptions'!$J$13)</f>
        <v>0</v>
      </c>
      <c r="I55" s="1347">
        <f>H55*(1+'LTFP Assumptions'!$J$13)</f>
        <v>0</v>
      </c>
      <c r="J55" s="1347">
        <f>I55*(1+'LTFP Assumptions'!$J$13)</f>
        <v>0</v>
      </c>
      <c r="K55" s="1347">
        <f>J55*(1+'LTFP Assumptions'!$J$13)</f>
        <v>0</v>
      </c>
      <c r="L55" s="831">
        <f>K55*(1+'LTFP Assumptions'!$J$13)</f>
        <v>0</v>
      </c>
      <c r="M55" s="831">
        <f>L55*(1+'LTFP Assumptions'!$J$13)</f>
        <v>0</v>
      </c>
      <c r="N55" s="831">
        <f>M55*(1+'LTFP Assumptions'!$J$13)</f>
        <v>0</v>
      </c>
      <c r="O55" s="831">
        <f>N55*(1+'LTFP Assumptions'!$J$13)</f>
        <v>0</v>
      </c>
      <c r="P55" s="831">
        <f>O55*(1+'LTFP Assumptions'!$J$13)</f>
        <v>0</v>
      </c>
      <c r="Q55" s="831">
        <f>P55*(1+'LTFP Assumptions'!$J$13)</f>
        <v>0</v>
      </c>
      <c r="R55" s="831">
        <f>Q55*(1+'LTFP Assumptions'!$J$13)</f>
        <v>0</v>
      </c>
      <c r="S55" s="831">
        <f>R55*(1+'LTFP Assumptions'!$J$13)</f>
        <v>0</v>
      </c>
      <c r="T55" s="831">
        <f>S55*(1+'LTFP Assumptions'!$J$13)</f>
        <v>0</v>
      </c>
      <c r="U55" s="831">
        <f>T55*(1+'LTFP Assumptions'!$J$13)</f>
        <v>0</v>
      </c>
      <c r="V55" s="831">
        <f>U55*(1+'LTFP Assumptions'!$J$13)</f>
        <v>0</v>
      </c>
      <c r="W55" s="831">
        <f>V55*(1+'LTFP Assumptions'!$J$13)</f>
        <v>0</v>
      </c>
      <c r="X55" s="831">
        <f>W55*(1+'LTFP Assumptions'!$J$13)</f>
        <v>0</v>
      </c>
      <c r="Y55" s="831">
        <f>X55*(1+'LTFP Assumptions'!$J$13)</f>
        <v>0</v>
      </c>
    </row>
    <row r="56" spans="1:25" ht="14.25" x14ac:dyDescent="0.2">
      <c r="A56" s="832" t="s">
        <v>1152</v>
      </c>
      <c r="B56" s="832"/>
      <c r="C56" s="831"/>
      <c r="D56" s="833">
        <v>200000</v>
      </c>
      <c r="E56" s="831">
        <v>120000</v>
      </c>
      <c r="F56" s="831">
        <v>80000</v>
      </c>
      <c r="G56" s="831">
        <f>F56*(1+'LTFP Assumptions'!$J$13)</f>
        <v>81600</v>
      </c>
      <c r="H56" s="831">
        <f>G56*(1+'LTFP Assumptions'!$J$13)</f>
        <v>83232</v>
      </c>
      <c r="I56" s="831">
        <f>H56*(1+'LTFP Assumptions'!$J$13)</f>
        <v>84896.639999999999</v>
      </c>
      <c r="J56" s="831">
        <f>I56*(1+'LTFP Assumptions'!$J$13)</f>
        <v>86594.572799999994</v>
      </c>
      <c r="K56" s="831">
        <f>J56*(1+'LTFP Assumptions'!$J$13)</f>
        <v>88326.464255999992</v>
      </c>
      <c r="L56" s="831">
        <f>K56*(1+'LTFP Assumptions'!$J$13)</f>
        <v>90092.993541119999</v>
      </c>
      <c r="M56" s="831">
        <f>L56*(1+'LTFP Assumptions'!$J$13)</f>
        <v>91894.8534119424</v>
      </c>
      <c r="N56" s="831">
        <f>M56*(1+'LTFP Assumptions'!$J$13)</f>
        <v>93732.750480181247</v>
      </c>
      <c r="O56" s="831">
        <f>N56*(1+'LTFP Assumptions'!$J$13)</f>
        <v>95607.405489784869</v>
      </c>
      <c r="P56" s="831">
        <f>O56*(1+'LTFP Assumptions'!$J$13)</f>
        <v>97519.553599580569</v>
      </c>
      <c r="Q56" s="831">
        <f>P56*(1+'LTFP Assumptions'!$J$13)</f>
        <v>99469.944671572186</v>
      </c>
      <c r="R56" s="831">
        <f>Q56*(1+'LTFP Assumptions'!$J$13)</f>
        <v>101459.34356500363</v>
      </c>
      <c r="S56" s="831">
        <f>R56*(1+'LTFP Assumptions'!$J$13)</f>
        <v>103488.5304363037</v>
      </c>
      <c r="T56" s="831">
        <f>S56*(1+'LTFP Assumptions'!$J$13)</f>
        <v>105558.30104502977</v>
      </c>
      <c r="U56" s="831">
        <f>T56*(1+'LTFP Assumptions'!$J$13)</f>
        <v>107669.46706593037</v>
      </c>
      <c r="V56" s="831">
        <f>U56*(1+'LTFP Assumptions'!$J$13)</f>
        <v>109822.85640724898</v>
      </c>
      <c r="W56" s="831">
        <f>V56*(1+'LTFP Assumptions'!$J$13)</f>
        <v>112019.31353539396</v>
      </c>
      <c r="X56" s="831">
        <f>W56*(1+'LTFP Assumptions'!$J$13)</f>
        <v>114259.69980610184</v>
      </c>
      <c r="Y56" s="831">
        <f>X56*(1+'LTFP Assumptions'!$J$13)</f>
        <v>116544.89380222387</v>
      </c>
    </row>
    <row r="57" spans="1:25" ht="14.25" x14ac:dyDescent="0.2">
      <c r="A57" s="829" t="s">
        <v>1153</v>
      </c>
      <c r="B57" s="829"/>
      <c r="C57" s="830">
        <v>25000</v>
      </c>
      <c r="D57" s="833">
        <v>25000</v>
      </c>
      <c r="E57" s="831">
        <v>25000</v>
      </c>
      <c r="F57" s="831">
        <v>25000</v>
      </c>
      <c r="G57" s="831">
        <f>F57*(1+'LTFP Assumptions'!$J$13)</f>
        <v>25500</v>
      </c>
      <c r="H57" s="831">
        <f>G57*(1+'LTFP Assumptions'!$J$13)</f>
        <v>26010</v>
      </c>
      <c r="I57" s="831">
        <f>H57*(1+'LTFP Assumptions'!$J$13)</f>
        <v>26530.2</v>
      </c>
      <c r="J57" s="831">
        <f>I57*(1+'LTFP Assumptions'!$J$13)</f>
        <v>27060.804</v>
      </c>
      <c r="K57" s="831">
        <f>J57*(1+'LTFP Assumptions'!$J$13)</f>
        <v>27602.020080000002</v>
      </c>
      <c r="L57" s="831">
        <f>K57*(1+'LTFP Assumptions'!$J$13)</f>
        <v>28154.060481600001</v>
      </c>
      <c r="M57" s="831">
        <f>L57*(1+'LTFP Assumptions'!$J$13)</f>
        <v>28717.141691232002</v>
      </c>
      <c r="N57" s="831">
        <f>M57*(1+'LTFP Assumptions'!$J$13)</f>
        <v>29291.484525056643</v>
      </c>
      <c r="O57" s="831">
        <f>N57*(1+'LTFP Assumptions'!$J$13)</f>
        <v>29877.314215557777</v>
      </c>
      <c r="P57" s="831">
        <f>O57*(1+'LTFP Assumptions'!$J$13)</f>
        <v>30474.860499868933</v>
      </c>
      <c r="Q57" s="831">
        <f>P57*(1+'LTFP Assumptions'!$J$13)</f>
        <v>31084.357709866312</v>
      </c>
      <c r="R57" s="831">
        <f>Q57*(1+'LTFP Assumptions'!$J$13)</f>
        <v>31706.044864063639</v>
      </c>
      <c r="S57" s="831">
        <f>R57*(1+'LTFP Assumptions'!$J$13)</f>
        <v>32340.165761344913</v>
      </c>
      <c r="T57" s="831">
        <f>S57*(1+'LTFP Assumptions'!$J$13)</f>
        <v>32986.969076571811</v>
      </c>
      <c r="U57" s="831">
        <f>T57*(1+'LTFP Assumptions'!$J$13)</f>
        <v>33646.708458103247</v>
      </c>
      <c r="V57" s="831">
        <f>U57*(1+'LTFP Assumptions'!$J$13)</f>
        <v>34319.642627265312</v>
      </c>
      <c r="W57" s="831">
        <f>V57*(1+'LTFP Assumptions'!$J$13)</f>
        <v>35006.03547981062</v>
      </c>
      <c r="X57" s="831">
        <f>W57*(1+'LTFP Assumptions'!$J$13)</f>
        <v>35706.156189406836</v>
      </c>
      <c r="Y57" s="831">
        <f>X57*(1+'LTFP Assumptions'!$J$13)</f>
        <v>36420.279313194973</v>
      </c>
    </row>
    <row r="58" spans="1:25" ht="14.25" x14ac:dyDescent="0.2">
      <c r="A58" s="832" t="s">
        <v>1154</v>
      </c>
      <c r="B58" s="832"/>
      <c r="C58" s="831">
        <v>40000</v>
      </c>
      <c r="D58" s="833">
        <v>40000</v>
      </c>
      <c r="E58" s="831">
        <v>40000</v>
      </c>
      <c r="F58" s="831">
        <v>40000</v>
      </c>
      <c r="G58" s="831">
        <f>F58*(1+'LTFP Assumptions'!$J$13)</f>
        <v>40800</v>
      </c>
      <c r="H58" s="831">
        <f>G58*(1+'LTFP Assumptions'!$J$13)</f>
        <v>41616</v>
      </c>
      <c r="I58" s="831">
        <f>H58*(1+'LTFP Assumptions'!$J$13)</f>
        <v>42448.32</v>
      </c>
      <c r="J58" s="831">
        <f>I58*(1+'LTFP Assumptions'!$J$13)</f>
        <v>43297.286399999997</v>
      </c>
      <c r="K58" s="831">
        <f>J58*(1+'LTFP Assumptions'!$J$13)</f>
        <v>44163.232127999996</v>
      </c>
      <c r="L58" s="831">
        <f>K58*(1+'LTFP Assumptions'!$J$13)</f>
        <v>45046.496770559999</v>
      </c>
      <c r="M58" s="831">
        <f>L58*(1+'LTFP Assumptions'!$J$13)</f>
        <v>45947.4267059712</v>
      </c>
      <c r="N58" s="831">
        <f>M58*(1+'LTFP Assumptions'!$J$13)</f>
        <v>46866.375240090623</v>
      </c>
      <c r="O58" s="831">
        <f>N58*(1+'LTFP Assumptions'!$J$13)</f>
        <v>47803.702744892435</v>
      </c>
      <c r="P58" s="831">
        <f>O58*(1+'LTFP Assumptions'!$J$13)</f>
        <v>48759.776799790285</v>
      </c>
      <c r="Q58" s="831">
        <f>P58*(1+'LTFP Assumptions'!$J$13)</f>
        <v>49734.972335786093</v>
      </c>
      <c r="R58" s="831">
        <f>Q58*(1+'LTFP Assumptions'!$J$13)</f>
        <v>50729.671782501813</v>
      </c>
      <c r="S58" s="831">
        <f>R58*(1+'LTFP Assumptions'!$J$13)</f>
        <v>51744.26521815185</v>
      </c>
      <c r="T58" s="831">
        <f>S58*(1+'LTFP Assumptions'!$J$13)</f>
        <v>52779.150522514887</v>
      </c>
      <c r="U58" s="831">
        <f>T58*(1+'LTFP Assumptions'!$J$13)</f>
        <v>53834.733532965183</v>
      </c>
      <c r="V58" s="831">
        <f>U58*(1+'LTFP Assumptions'!$J$13)</f>
        <v>54911.428203624491</v>
      </c>
      <c r="W58" s="831">
        <f>V58*(1+'LTFP Assumptions'!$J$13)</f>
        <v>56009.656767696979</v>
      </c>
      <c r="X58" s="831">
        <f>W58*(1+'LTFP Assumptions'!$J$13)</f>
        <v>57129.849903050919</v>
      </c>
      <c r="Y58" s="831">
        <f>X58*(1+'LTFP Assumptions'!$J$13)</f>
        <v>58272.446901111936</v>
      </c>
    </row>
    <row r="59" spans="1:25" ht="14.25" x14ac:dyDescent="0.2">
      <c r="A59" s="834" t="s">
        <v>1145</v>
      </c>
      <c r="B59" s="834"/>
      <c r="C59" s="835">
        <v>200000</v>
      </c>
      <c r="D59" s="833">
        <v>250000</v>
      </c>
      <c r="E59" s="833">
        <v>250000</v>
      </c>
      <c r="F59" s="833">
        <v>200000</v>
      </c>
      <c r="G59" s="1347">
        <f>(F59-150000)*(1+'LTFP Assumptions'!$J$13)</f>
        <v>51000</v>
      </c>
      <c r="H59" s="1347">
        <f>G59*(1+'LTFP Assumptions'!$J$13)</f>
        <v>52020</v>
      </c>
      <c r="I59" s="1347">
        <f>H59*(1+'LTFP Assumptions'!$J$13)</f>
        <v>53060.4</v>
      </c>
      <c r="J59" s="1347">
        <f>I59*(1+'LTFP Assumptions'!$J$13)</f>
        <v>54121.608</v>
      </c>
      <c r="K59" s="831">
        <f>J59*(1+'LTFP Assumptions'!$J$13)</f>
        <v>55204.040160000004</v>
      </c>
      <c r="L59" s="831">
        <f>K59*(1+'LTFP Assumptions'!$J$13)</f>
        <v>56308.120963200003</v>
      </c>
      <c r="M59" s="831">
        <f>L59*(1+'LTFP Assumptions'!$J$13)</f>
        <v>57434.283382464004</v>
      </c>
      <c r="N59" s="831">
        <f>M59*(1+'LTFP Assumptions'!$J$13)</f>
        <v>58582.969050113286</v>
      </c>
      <c r="O59" s="831">
        <f>N59*(1+'LTFP Assumptions'!$J$13)</f>
        <v>59754.628431115554</v>
      </c>
      <c r="P59" s="831">
        <f>O59*(1+'LTFP Assumptions'!$J$13)</f>
        <v>60949.720999737867</v>
      </c>
      <c r="Q59" s="831">
        <f>P59*(1+'LTFP Assumptions'!$J$13)</f>
        <v>62168.715419732624</v>
      </c>
      <c r="R59" s="831">
        <f>Q59*(1+'LTFP Assumptions'!$J$13)</f>
        <v>63412.089728127277</v>
      </c>
      <c r="S59" s="831">
        <f>R59*(1+'LTFP Assumptions'!$J$13)</f>
        <v>64680.331522689827</v>
      </c>
      <c r="T59" s="831">
        <f>S59*(1+'LTFP Assumptions'!$J$13)</f>
        <v>65973.938153143623</v>
      </c>
      <c r="U59" s="831">
        <f>T59*(1+'LTFP Assumptions'!$J$13)</f>
        <v>67293.416916206494</v>
      </c>
      <c r="V59" s="831">
        <f>U59*(1+'LTFP Assumptions'!$J$13)</f>
        <v>68639.285254530623</v>
      </c>
      <c r="W59" s="831">
        <f>V59*(1+'LTFP Assumptions'!$J$13)</f>
        <v>70012.07095962124</v>
      </c>
      <c r="X59" s="831">
        <f>W59*(1+'LTFP Assumptions'!$J$13)</f>
        <v>71412.312378813673</v>
      </c>
      <c r="Y59" s="831">
        <f>X59*(1+'LTFP Assumptions'!$J$13)</f>
        <v>72840.558626389946</v>
      </c>
    </row>
    <row r="60" spans="1:25" ht="14.25" x14ac:dyDescent="0.2">
      <c r="A60" s="836" t="s">
        <v>1147</v>
      </c>
      <c r="B60" s="836"/>
      <c r="C60" s="837">
        <v>75000</v>
      </c>
      <c r="D60" s="838">
        <v>75000</v>
      </c>
      <c r="E60" s="837">
        <v>90000</v>
      </c>
      <c r="F60" s="837">
        <v>82500</v>
      </c>
      <c r="G60" s="831">
        <f>F60*(1+'LTFP Assumptions'!$J$13)</f>
        <v>84150</v>
      </c>
      <c r="H60" s="831">
        <f>G60*(1+'LTFP Assumptions'!$J$13)</f>
        <v>85833</v>
      </c>
      <c r="I60" s="831">
        <f>H60*(1+'LTFP Assumptions'!$J$13)</f>
        <v>87549.66</v>
      </c>
      <c r="J60" s="831">
        <f>I60*(1+'LTFP Assumptions'!$J$13)</f>
        <v>89300.653200000001</v>
      </c>
      <c r="K60" s="831">
        <f>J60*(1+'LTFP Assumptions'!$J$13)</f>
        <v>91086.666264</v>
      </c>
      <c r="L60" s="831">
        <f>K60*(1+'LTFP Assumptions'!$J$13)</f>
        <v>92908.399589280001</v>
      </c>
      <c r="M60" s="831">
        <f>L60*(1+'LTFP Assumptions'!$J$13)</f>
        <v>94766.567581065596</v>
      </c>
      <c r="N60" s="831">
        <f>M60*(1+'LTFP Assumptions'!$J$13)</f>
        <v>96661.898932686905</v>
      </c>
      <c r="O60" s="831">
        <f>N60*(1+'LTFP Assumptions'!$J$13)</f>
        <v>98595.13691134064</v>
      </c>
      <c r="P60" s="831">
        <f>O60*(1+'LTFP Assumptions'!$J$13)</f>
        <v>100567.03964956745</v>
      </c>
      <c r="Q60" s="831">
        <f>P60*(1+'LTFP Assumptions'!$J$13)</f>
        <v>102578.3804425588</v>
      </c>
      <c r="R60" s="831">
        <f>Q60*(1+'LTFP Assumptions'!$J$13)</f>
        <v>104629.94805140999</v>
      </c>
      <c r="S60" s="831">
        <f>R60*(1+'LTFP Assumptions'!$J$13)</f>
        <v>106722.54701243818</v>
      </c>
      <c r="T60" s="831">
        <f>S60*(1+'LTFP Assumptions'!$J$13)</f>
        <v>108856.99795268694</v>
      </c>
      <c r="U60" s="831">
        <f>T60*(1+'LTFP Assumptions'!$J$13)</f>
        <v>111034.13791174069</v>
      </c>
      <c r="V60" s="831">
        <f>U60*(1+'LTFP Assumptions'!$J$13)</f>
        <v>113254.82066997551</v>
      </c>
      <c r="W60" s="831">
        <f>V60*(1+'LTFP Assumptions'!$J$13)</f>
        <v>115519.91708337502</v>
      </c>
      <c r="X60" s="831">
        <f>W60*(1+'LTFP Assumptions'!$J$13)</f>
        <v>117830.31542504253</v>
      </c>
      <c r="Y60" s="831">
        <f>X60*(1+'LTFP Assumptions'!$J$13)</f>
        <v>120186.92173354338</v>
      </c>
    </row>
    <row r="61" spans="1:25" ht="14.25" x14ac:dyDescent="0.2">
      <c r="C61" s="843">
        <f>SUM(C44:C60)</f>
        <v>2125985</v>
      </c>
      <c r="D61" s="843">
        <f t="shared" ref="D61:F61" si="2">SUM(D44:D60)</f>
        <v>13406025</v>
      </c>
      <c r="E61" s="843">
        <f t="shared" si="2"/>
        <v>10392945</v>
      </c>
      <c r="F61" s="843">
        <f t="shared" si="2"/>
        <v>2745254</v>
      </c>
      <c r="G61" s="843">
        <f t="shared" ref="G61:Y61" si="3">SUM(G44:G60)</f>
        <v>2035159.08</v>
      </c>
      <c r="H61" s="843">
        <f t="shared" si="3"/>
        <v>2075862.2615999999</v>
      </c>
      <c r="I61" s="843">
        <f t="shared" si="3"/>
        <v>2117379.5068319999</v>
      </c>
      <c r="J61" s="843">
        <f t="shared" si="3"/>
        <v>2159727.0969686401</v>
      </c>
      <c r="K61" s="843">
        <f t="shared" si="3"/>
        <v>2202921.6389080123</v>
      </c>
      <c r="L61" s="843">
        <f t="shared" si="3"/>
        <v>2246980.0716861733</v>
      </c>
      <c r="M61" s="843">
        <f t="shared" si="3"/>
        <v>2291919.673119897</v>
      </c>
      <c r="N61" s="843">
        <f t="shared" si="3"/>
        <v>2337758.0665822946</v>
      </c>
      <c r="O61" s="843">
        <f t="shared" si="3"/>
        <v>2384513.2279139399</v>
      </c>
      <c r="P61" s="843">
        <f t="shared" si="3"/>
        <v>2432203.4924722193</v>
      </c>
      <c r="Q61" s="843">
        <f t="shared" si="3"/>
        <v>2480847.5623216638</v>
      </c>
      <c r="R61" s="843">
        <f t="shared" si="3"/>
        <v>2530464.5135680968</v>
      </c>
      <c r="S61" s="843">
        <f t="shared" si="3"/>
        <v>2581085.8038394586</v>
      </c>
      <c r="T61" s="843">
        <f t="shared" si="3"/>
        <v>2632708.2799162487</v>
      </c>
      <c r="U61" s="843">
        <f t="shared" si="3"/>
        <v>2685363.185514573</v>
      </c>
      <c r="V61" s="843">
        <f t="shared" si="3"/>
        <v>2739071.1692248643</v>
      </c>
      <c r="W61" s="843">
        <f t="shared" si="3"/>
        <v>2793853.2926093624</v>
      </c>
      <c r="X61" s="843">
        <f t="shared" si="3"/>
        <v>2849731.0384615487</v>
      </c>
      <c r="Y61" s="843">
        <f t="shared" si="3"/>
        <v>2906726.3192307795</v>
      </c>
    </row>
    <row r="63" spans="1:25" ht="14.25" x14ac:dyDescent="0.2">
      <c r="A63" s="842" t="s">
        <v>23</v>
      </c>
      <c r="C63" s="847">
        <f>C42+C61</f>
        <v>8808812</v>
      </c>
      <c r="D63" s="847">
        <f t="shared" ref="D63:F63" si="4">D42+D61</f>
        <v>23346102.800000001</v>
      </c>
      <c r="E63" s="847">
        <f t="shared" si="4"/>
        <v>18601062.645</v>
      </c>
      <c r="F63" s="847">
        <f t="shared" si="4"/>
        <v>11779520.186124999</v>
      </c>
      <c r="G63" s="847">
        <f t="shared" ref="G63:Y63" si="5">G42+G61</f>
        <v>11321510.589847501</v>
      </c>
      <c r="H63" s="847">
        <f t="shared" si="5"/>
        <v>11547940.801644448</v>
      </c>
      <c r="I63" s="847">
        <f t="shared" si="5"/>
        <v>11778899.617677338</v>
      </c>
      <c r="J63" s="847">
        <f t="shared" si="5"/>
        <v>12075677.610030882</v>
      </c>
      <c r="K63" s="847">
        <f t="shared" si="5"/>
        <v>12317191.162231501</v>
      </c>
      <c r="L63" s="847">
        <f t="shared" si="5"/>
        <v>12614534.985476134</v>
      </c>
      <c r="M63" s="847">
        <f t="shared" si="5"/>
        <v>12866825.685185658</v>
      </c>
      <c r="N63" s="847">
        <f t="shared" si="5"/>
        <v>13124162.198889369</v>
      </c>
      <c r="O63" s="847">
        <f t="shared" si="5"/>
        <v>13386645.44286716</v>
      </c>
      <c r="P63" s="847">
        <f t="shared" si="5"/>
        <v>13654378.351724498</v>
      </c>
      <c r="Q63" s="847">
        <f t="shared" si="5"/>
        <v>13927465.918758996</v>
      </c>
      <c r="R63" s="847">
        <f t="shared" si="5"/>
        <v>14206015.237134177</v>
      </c>
      <c r="S63" s="847">
        <f t="shared" si="5"/>
        <v>14490147.541876854</v>
      </c>
      <c r="T63" s="847">
        <f t="shared" si="5"/>
        <v>14779951.252714396</v>
      </c>
      <c r="U63" s="847">
        <f t="shared" si="5"/>
        <v>15075551.017768679</v>
      </c>
      <c r="V63" s="847">
        <f t="shared" si="5"/>
        <v>15377062.758124053</v>
      </c>
      <c r="W63" s="847">
        <f t="shared" si="5"/>
        <v>15684604.713286534</v>
      </c>
      <c r="X63" s="847">
        <f t="shared" si="5"/>
        <v>15998297.487552263</v>
      </c>
      <c r="Y63" s="847">
        <f t="shared" si="5"/>
        <v>16318264.097303312</v>
      </c>
    </row>
    <row r="64" spans="1:25" ht="14.25" x14ac:dyDescent="0.2">
      <c r="A64" s="842" t="s">
        <v>1327</v>
      </c>
      <c r="C64" s="847">
        <f>E148</f>
        <v>8058812</v>
      </c>
      <c r="D64" s="847">
        <f t="shared" ref="D64:G64" si="6">F148</f>
        <v>22581101.800000001</v>
      </c>
      <c r="E64" s="847">
        <f t="shared" si="6"/>
        <v>16320762.645</v>
      </c>
      <c r="F64" s="847">
        <f t="shared" si="6"/>
        <v>8533614.1861249991</v>
      </c>
      <c r="G64" s="847">
        <f t="shared" si="6"/>
        <v>11321510.589847501</v>
      </c>
      <c r="H64" s="847">
        <f t="shared" ref="H64" si="7">J148</f>
        <v>11547940.801644448</v>
      </c>
      <c r="I64" s="847">
        <f t="shared" ref="I64" si="8">K148</f>
        <v>11778899.617677338</v>
      </c>
      <c r="J64" s="847">
        <f t="shared" ref="J64" si="9">L148</f>
        <v>12075677.610030882</v>
      </c>
      <c r="K64" s="847">
        <f t="shared" ref="K64" si="10">M148</f>
        <v>12317191.162231501</v>
      </c>
      <c r="L64" s="847">
        <f t="shared" ref="L64" si="11">N148</f>
        <v>12614534.985476134</v>
      </c>
      <c r="M64" s="847">
        <f t="shared" ref="M64" si="12">O148</f>
        <v>12866825.685185658</v>
      </c>
      <c r="N64" s="847">
        <f t="shared" ref="N64" si="13">P148</f>
        <v>13124162.198889369</v>
      </c>
      <c r="O64" s="847">
        <f t="shared" ref="O64" si="14">Q148</f>
        <v>13386645.44286716</v>
      </c>
      <c r="P64" s="847">
        <f t="shared" ref="P64" si="15">R148</f>
        <v>13654378.351724498</v>
      </c>
      <c r="Q64" s="847">
        <f t="shared" ref="Q64" si="16">S148</f>
        <v>13927465.918758996</v>
      </c>
      <c r="R64" s="847">
        <f t="shared" ref="R64" si="17">T148</f>
        <v>14206015.237134177</v>
      </c>
      <c r="S64" s="847">
        <f t="shared" ref="S64" si="18">U148</f>
        <v>14490147.541876854</v>
      </c>
      <c r="T64" s="847">
        <f t="shared" ref="T64" si="19">V148</f>
        <v>14779951.252714396</v>
      </c>
      <c r="U64" s="847">
        <f t="shared" ref="U64" si="20">W148</f>
        <v>15075551.017768679</v>
      </c>
      <c r="V64" s="847">
        <f t="shared" ref="V64" si="21">X148</f>
        <v>15377062.758124053</v>
      </c>
      <c r="W64" s="847">
        <f t="shared" ref="W64" si="22">Y148</f>
        <v>15684604.713286534</v>
      </c>
      <c r="X64" s="847">
        <f t="shared" ref="X64" si="23">Z148</f>
        <v>15998297.487552263</v>
      </c>
      <c r="Y64" s="847">
        <f t="shared" ref="Y64" si="24">AA148</f>
        <v>16318264.097303312</v>
      </c>
    </row>
    <row r="65" spans="1:25" ht="15.75" thickBot="1" x14ac:dyDescent="0.3">
      <c r="A65" s="964" t="s">
        <v>131</v>
      </c>
      <c r="B65" s="964"/>
      <c r="C65" s="965">
        <f>C63-C64</f>
        <v>750000</v>
      </c>
      <c r="D65" s="965">
        <f t="shared" ref="D65:F65" si="25">D63-D64</f>
        <v>765001</v>
      </c>
      <c r="E65" s="965">
        <f t="shared" si="25"/>
        <v>2280300</v>
      </c>
      <c r="F65" s="965">
        <f t="shared" si="25"/>
        <v>3245906</v>
      </c>
      <c r="G65" s="965">
        <f t="shared" ref="G65:Y65" si="26">G63-G64</f>
        <v>0</v>
      </c>
      <c r="H65" s="965">
        <f t="shared" si="26"/>
        <v>0</v>
      </c>
      <c r="I65" s="965">
        <f t="shared" si="26"/>
        <v>0</v>
      </c>
      <c r="J65" s="965">
        <f t="shared" si="26"/>
        <v>0</v>
      </c>
      <c r="K65" s="965">
        <f t="shared" si="26"/>
        <v>0</v>
      </c>
      <c r="L65" s="965">
        <f t="shared" si="26"/>
        <v>0</v>
      </c>
      <c r="M65" s="965">
        <f t="shared" si="26"/>
        <v>0</v>
      </c>
      <c r="N65" s="965">
        <f t="shared" si="26"/>
        <v>0</v>
      </c>
      <c r="O65" s="965">
        <f t="shared" si="26"/>
        <v>0</v>
      </c>
      <c r="P65" s="965">
        <f t="shared" si="26"/>
        <v>0</v>
      </c>
      <c r="Q65" s="965">
        <f t="shared" si="26"/>
        <v>0</v>
      </c>
      <c r="R65" s="965">
        <f t="shared" si="26"/>
        <v>0</v>
      </c>
      <c r="S65" s="965">
        <f t="shared" si="26"/>
        <v>0</v>
      </c>
      <c r="T65" s="965">
        <f t="shared" si="26"/>
        <v>0</v>
      </c>
      <c r="U65" s="965">
        <f t="shared" si="26"/>
        <v>0</v>
      </c>
      <c r="V65" s="965">
        <f t="shared" si="26"/>
        <v>0</v>
      </c>
      <c r="W65" s="965">
        <f t="shared" si="26"/>
        <v>0</v>
      </c>
      <c r="X65" s="965">
        <f t="shared" si="26"/>
        <v>0</v>
      </c>
      <c r="Y65" s="965">
        <f t="shared" si="26"/>
        <v>0</v>
      </c>
    </row>
    <row r="66" spans="1:25" ht="14.25" x14ac:dyDescent="0.2">
      <c r="B66" s="842" t="s">
        <v>1431</v>
      </c>
    </row>
    <row r="67" spans="1:25" ht="14.25" x14ac:dyDescent="0.2">
      <c r="A67" s="832" t="s">
        <v>1135</v>
      </c>
      <c r="B67" s="1037">
        <v>250000</v>
      </c>
      <c r="C67" s="1037">
        <v>250000</v>
      </c>
      <c r="D67" s="1037">
        <v>255000</v>
      </c>
      <c r="E67" s="1037">
        <v>260000</v>
      </c>
    </row>
    <row r="68" spans="1:25" ht="15.75" thickBot="1" x14ac:dyDescent="0.3">
      <c r="A68" s="890" t="s">
        <v>1263</v>
      </c>
      <c r="B68" s="890"/>
      <c r="C68" s="826"/>
      <c r="D68" s="825"/>
      <c r="E68" s="825"/>
      <c r="F68" s="825"/>
    </row>
    <row r="69" spans="1:25" ht="15" x14ac:dyDescent="0.25">
      <c r="A69" s="825"/>
      <c r="B69" s="825"/>
      <c r="C69" s="826"/>
      <c r="D69" s="825"/>
      <c r="E69" s="825"/>
      <c r="F69" s="825"/>
      <c r="H69" s="946" t="s">
        <v>9</v>
      </c>
      <c r="I69" s="946" t="s">
        <v>514</v>
      </c>
      <c r="J69" s="946" t="s">
        <v>515</v>
      </c>
      <c r="K69" s="946" t="s">
        <v>904</v>
      </c>
      <c r="L69" s="946" t="s">
        <v>1046</v>
      </c>
      <c r="M69" s="946" t="s">
        <v>1424</v>
      </c>
      <c r="N69" s="946" t="s">
        <v>1425</v>
      </c>
      <c r="O69" s="946" t="s">
        <v>1426</v>
      </c>
      <c r="P69" s="946" t="s">
        <v>1427</v>
      </c>
      <c r="Q69" s="946" t="s">
        <v>1428</v>
      </c>
      <c r="R69" s="946" t="s">
        <v>1429</v>
      </c>
      <c r="S69" s="946" t="s">
        <v>1430</v>
      </c>
      <c r="T69" s="946" t="s">
        <v>1433</v>
      </c>
      <c r="U69" s="946" t="s">
        <v>1434</v>
      </c>
      <c r="V69" s="946" t="s">
        <v>1435</v>
      </c>
      <c r="W69" s="946" t="s">
        <v>1436</v>
      </c>
      <c r="X69" s="946" t="s">
        <v>1437</v>
      </c>
      <c r="Y69" s="946" t="s">
        <v>1432</v>
      </c>
    </row>
    <row r="70" spans="1:25" ht="14.25" x14ac:dyDescent="0.2">
      <c r="A70" s="825" t="s">
        <v>1264</v>
      </c>
      <c r="B70" s="825"/>
      <c r="C70" s="826">
        <f>SUM(C7:C23)+C30+C26+C28+C31</f>
        <v>4357576</v>
      </c>
      <c r="D70" s="826">
        <f t="shared" ref="D70:F70" si="27">SUM(D7:D23)+D30+D26+D28+D31</f>
        <v>7789564</v>
      </c>
      <c r="E70" s="826">
        <f t="shared" si="27"/>
        <v>5899769</v>
      </c>
      <c r="F70" s="826">
        <f t="shared" si="27"/>
        <v>6889848</v>
      </c>
      <c r="G70" s="826">
        <f t="shared" ref="G70:Q70" si="28">SUM(G7:G23)+G30+G26+G28+G31</f>
        <v>7099044.96</v>
      </c>
      <c r="H70" s="826">
        <f t="shared" si="28"/>
        <v>7241025.8591999998</v>
      </c>
      <c r="I70" s="826">
        <f t="shared" si="28"/>
        <v>7385846.3763840003</v>
      </c>
      <c r="J70" s="826">
        <f t="shared" si="28"/>
        <v>7594763.3039116804</v>
      </c>
      <c r="K70" s="826">
        <f t="shared" si="28"/>
        <v>7746658.5699899141</v>
      </c>
      <c r="L70" s="826">
        <f t="shared" si="28"/>
        <v>7952591.7413897123</v>
      </c>
      <c r="M70" s="826">
        <f t="shared" si="28"/>
        <v>8111643.5762175079</v>
      </c>
      <c r="N70" s="826">
        <f t="shared" si="28"/>
        <v>8273876.4477418559</v>
      </c>
      <c r="O70" s="826">
        <f t="shared" si="28"/>
        <v>8439353.9766966961</v>
      </c>
      <c r="P70" s="826">
        <f t="shared" si="28"/>
        <v>8608141.0562306289</v>
      </c>
      <c r="Q70" s="826">
        <f t="shared" si="28"/>
        <v>8780303.8773552421</v>
      </c>
      <c r="R70" s="826">
        <f t="shared" ref="R70:X70" si="29">SUM(R7:R23)+R30+R26+R28+R31</f>
        <v>8955909.9549023472</v>
      </c>
      <c r="S70" s="826">
        <f t="shared" si="29"/>
        <v>9135028.154000394</v>
      </c>
      <c r="T70" s="826">
        <f t="shared" si="29"/>
        <v>9317728.7170804031</v>
      </c>
      <c r="U70" s="826">
        <f t="shared" si="29"/>
        <v>9504083.2914220095</v>
      </c>
      <c r="V70" s="826">
        <f t="shared" si="29"/>
        <v>9694164.9572504517</v>
      </c>
      <c r="W70" s="826">
        <f t="shared" si="29"/>
        <v>9888048.2563954592</v>
      </c>
      <c r="X70" s="826">
        <f t="shared" si="29"/>
        <v>10085809.221523365</v>
      </c>
      <c r="Y70" s="826">
        <f t="shared" ref="Y70" si="30">SUM(Y7:Y23)+Y30+Y26+Y28+Y31</f>
        <v>10287525.405953836</v>
      </c>
    </row>
    <row r="71" spans="1:25" ht="14.25" x14ac:dyDescent="0.2">
      <c r="A71" s="825" t="s">
        <v>1265</v>
      </c>
      <c r="B71" s="825"/>
      <c r="C71" s="826">
        <f>C24+C34+C37+C41</f>
        <v>1443672</v>
      </c>
      <c r="D71" s="826">
        <f t="shared" ref="D71:F71" si="31">D24+D34+D37+D41</f>
        <v>1262263.7999999998</v>
      </c>
      <c r="E71" s="826">
        <f t="shared" si="31"/>
        <v>1281320.395</v>
      </c>
      <c r="F71" s="826">
        <f t="shared" si="31"/>
        <v>1300853.4048749998</v>
      </c>
      <c r="G71" s="826">
        <f t="shared" ref="G71:Q71" si="32">G24+G34+G37+G41</f>
        <v>1326870.4729724997</v>
      </c>
      <c r="H71" s="826">
        <f t="shared" si="32"/>
        <v>1353407.88243195</v>
      </c>
      <c r="I71" s="826">
        <f t="shared" si="32"/>
        <v>1380476.0400805888</v>
      </c>
      <c r="J71" s="826">
        <f t="shared" si="32"/>
        <v>1408085.5608822007</v>
      </c>
      <c r="K71" s="826">
        <f t="shared" si="32"/>
        <v>1436247.2720998446</v>
      </c>
      <c r="L71" s="826">
        <f t="shared" si="32"/>
        <v>1464972.2175418416</v>
      </c>
      <c r="M71" s="826">
        <f t="shared" si="32"/>
        <v>1494271.6618926786</v>
      </c>
      <c r="N71" s="826">
        <f t="shared" si="32"/>
        <v>1524157.095130532</v>
      </c>
      <c r="O71" s="826">
        <f t="shared" si="32"/>
        <v>1554640.2370331425</v>
      </c>
      <c r="P71" s="826">
        <f t="shared" si="32"/>
        <v>1585733.0417738054</v>
      </c>
      <c r="Q71" s="826">
        <f t="shared" si="32"/>
        <v>1617447.7026092815</v>
      </c>
      <c r="R71" s="826">
        <f t="shared" ref="R71:X71" si="33">R24+R34+R37+R41</f>
        <v>1649796.6566614672</v>
      </c>
      <c r="S71" s="826">
        <f t="shared" si="33"/>
        <v>1682792.5897946965</v>
      </c>
      <c r="T71" s="826">
        <f t="shared" si="33"/>
        <v>1716448.4415905904</v>
      </c>
      <c r="U71" s="826">
        <f t="shared" si="33"/>
        <v>1750777.4104224022</v>
      </c>
      <c r="V71" s="826">
        <f t="shared" si="33"/>
        <v>1785792.9586308503</v>
      </c>
      <c r="W71" s="826">
        <f t="shared" si="33"/>
        <v>1821508.8178034672</v>
      </c>
      <c r="X71" s="826">
        <f t="shared" si="33"/>
        <v>1857938.9941595367</v>
      </c>
      <c r="Y71" s="826">
        <f t="shared" ref="Y71" si="34">Y24+Y34+Y37+Y41</f>
        <v>1895097.7740427274</v>
      </c>
    </row>
    <row r="72" spans="1:25" ht="14.25" x14ac:dyDescent="0.2">
      <c r="A72" s="825" t="s">
        <v>41</v>
      </c>
      <c r="B72" s="825"/>
      <c r="C72" s="826">
        <f>C42-C70-C71</f>
        <v>881579</v>
      </c>
      <c r="D72" s="826">
        <f t="shared" ref="D72:F72" si="35">D42-D70-D71</f>
        <v>888250.00000000093</v>
      </c>
      <c r="E72" s="826">
        <f t="shared" si="35"/>
        <v>1027028.2499999995</v>
      </c>
      <c r="F72" s="826">
        <f t="shared" si="35"/>
        <v>843564.7812499993</v>
      </c>
      <c r="G72" s="826">
        <f t="shared" ref="G72:Q72" si="36">G42-G70-G71</f>
        <v>860436.07687500166</v>
      </c>
      <c r="H72" s="826">
        <f t="shared" si="36"/>
        <v>877644.79841249948</v>
      </c>
      <c r="I72" s="826">
        <f t="shared" si="36"/>
        <v>895197.69438074948</v>
      </c>
      <c r="J72" s="826">
        <f t="shared" si="36"/>
        <v>913101.64826836134</v>
      </c>
      <c r="K72" s="826">
        <f t="shared" si="36"/>
        <v>931363.68123373063</v>
      </c>
      <c r="L72" s="826">
        <f t="shared" si="36"/>
        <v>949990.95485840761</v>
      </c>
      <c r="M72" s="826">
        <f t="shared" si="36"/>
        <v>968990.77395557426</v>
      </c>
      <c r="N72" s="826">
        <f t="shared" si="36"/>
        <v>988370.58943468705</v>
      </c>
      <c r="O72" s="826">
        <f t="shared" si="36"/>
        <v>1008138.0012233809</v>
      </c>
      <c r="P72" s="826">
        <f t="shared" si="36"/>
        <v>1028300.7612478454</v>
      </c>
      <c r="Q72" s="826">
        <f t="shared" si="36"/>
        <v>1048866.7764728074</v>
      </c>
      <c r="R72" s="826">
        <f t="shared" ref="R72:X72" si="37">R42-R70-R71</f>
        <v>1069844.1120022652</v>
      </c>
      <c r="S72" s="826">
        <f t="shared" si="37"/>
        <v>1091240.9942423056</v>
      </c>
      <c r="T72" s="826">
        <f t="shared" si="37"/>
        <v>1113065.8141271528</v>
      </c>
      <c r="U72" s="826">
        <f t="shared" si="37"/>
        <v>1135327.1304096945</v>
      </c>
      <c r="V72" s="826">
        <f t="shared" si="37"/>
        <v>1158033.6730178876</v>
      </c>
      <c r="W72" s="826">
        <f t="shared" si="37"/>
        <v>1181194.3464782457</v>
      </c>
      <c r="X72" s="826">
        <f t="shared" si="37"/>
        <v>1204818.233407812</v>
      </c>
      <c r="Y72" s="826">
        <f t="shared" ref="Y72" si="38">Y42-Y70-Y71</f>
        <v>1228914.5980759691</v>
      </c>
    </row>
    <row r="73" spans="1:25" ht="15.75" thickBot="1" x14ac:dyDescent="0.3">
      <c r="A73" s="825"/>
      <c r="B73" s="825"/>
      <c r="C73" s="892">
        <f>SUM(C70:C72)</f>
        <v>6682827</v>
      </c>
      <c r="D73" s="892">
        <f t="shared" ref="D73:F73" si="39">SUM(D70:D72)</f>
        <v>9940077.8000000007</v>
      </c>
      <c r="E73" s="892">
        <f t="shared" si="39"/>
        <v>8208117.6449999996</v>
      </c>
      <c r="F73" s="892">
        <f t="shared" si="39"/>
        <v>9034266.1861249991</v>
      </c>
      <c r="G73" s="892">
        <f t="shared" ref="G73:Q73" si="40">SUM(G70:G72)</f>
        <v>9286351.5098475013</v>
      </c>
      <c r="H73" s="892">
        <f t="shared" si="40"/>
        <v>9472078.5400444493</v>
      </c>
      <c r="I73" s="892">
        <f t="shared" si="40"/>
        <v>9661520.1108453386</v>
      </c>
      <c r="J73" s="892">
        <f t="shared" si="40"/>
        <v>9915950.5130622424</v>
      </c>
      <c r="K73" s="892">
        <f t="shared" si="40"/>
        <v>10114269.523323489</v>
      </c>
      <c r="L73" s="892">
        <f t="shared" si="40"/>
        <v>10367554.913789961</v>
      </c>
      <c r="M73" s="892">
        <f t="shared" si="40"/>
        <v>10574906.012065761</v>
      </c>
      <c r="N73" s="892">
        <f t="shared" si="40"/>
        <v>10786404.132307075</v>
      </c>
      <c r="O73" s="892">
        <f t="shared" si="40"/>
        <v>11002132.21495322</v>
      </c>
      <c r="P73" s="892">
        <f t="shared" si="40"/>
        <v>11222174.85925228</v>
      </c>
      <c r="Q73" s="892">
        <f t="shared" si="40"/>
        <v>11446618.356437331</v>
      </c>
      <c r="R73" s="892">
        <f t="shared" ref="R73:X73" si="41">SUM(R70:R72)</f>
        <v>11675550.72356608</v>
      </c>
      <c r="S73" s="892">
        <f t="shared" si="41"/>
        <v>11909061.738037396</v>
      </c>
      <c r="T73" s="892">
        <f t="shared" si="41"/>
        <v>12147242.972798146</v>
      </c>
      <c r="U73" s="892">
        <f t="shared" si="41"/>
        <v>12390187.832254106</v>
      </c>
      <c r="V73" s="892">
        <f t="shared" si="41"/>
        <v>12637991.58889919</v>
      </c>
      <c r="W73" s="892">
        <f t="shared" si="41"/>
        <v>12890751.420677172</v>
      </c>
      <c r="X73" s="892">
        <f t="shared" si="41"/>
        <v>13148566.449090714</v>
      </c>
      <c r="Y73" s="892">
        <f t="shared" ref="Y73" si="42">SUM(Y70:Y72)</f>
        <v>13411537.778072532</v>
      </c>
    </row>
    <row r="75" spans="1:25" ht="15" x14ac:dyDescent="0.25">
      <c r="A75" s="891" t="s">
        <v>1257</v>
      </c>
      <c r="B75" s="891"/>
      <c r="C75" s="893" t="s">
        <v>4</v>
      </c>
      <c r="D75" s="893" t="s">
        <v>5</v>
      </c>
      <c r="E75" s="893" t="s">
        <v>6</v>
      </c>
      <c r="F75" s="893" t="s">
        <v>7</v>
      </c>
      <c r="H75" s="893" t="s">
        <v>23</v>
      </c>
      <c r="I75" s="842" t="s">
        <v>1358</v>
      </c>
      <c r="J75" s="842" t="s">
        <v>1359</v>
      </c>
    </row>
    <row r="76" spans="1:25" ht="14.25" x14ac:dyDescent="0.2">
      <c r="A76" s="842" t="s">
        <v>1256</v>
      </c>
      <c r="C76" s="847">
        <f>C61-'OLD Capital Budget - NO SRV'!F230</f>
        <v>-858000</v>
      </c>
      <c r="D76" s="847">
        <f>D61-'OLD Capital Budget - NO SRV'!G230</f>
        <v>7757000</v>
      </c>
      <c r="E76" s="847">
        <f>E61-'OLD Capital Budget - NO SRV'!H230</f>
        <v>6681000</v>
      </c>
      <c r="F76" s="847">
        <f>F61-'OLD Capital Budget - NO SRV'!I230</f>
        <v>-1080000</v>
      </c>
      <c r="H76" s="847">
        <f>SUM(C76:G76)</f>
        <v>12500000</v>
      </c>
      <c r="I76" s="1022">
        <v>0.02</v>
      </c>
      <c r="J76" s="847">
        <f>H76*I76</f>
        <v>250000</v>
      </c>
    </row>
    <row r="77" spans="1:25" ht="14.25" x14ac:dyDescent="0.2">
      <c r="A77" s="842" t="s">
        <v>870</v>
      </c>
      <c r="C77" s="847">
        <f>C42-'OLD Capital Budget - NO SRV'!F213</f>
        <v>511564</v>
      </c>
      <c r="D77" s="847">
        <f>D42-'OLD Capital Budget - NO SRV'!G213</f>
        <v>-283319</v>
      </c>
      <c r="E77" s="847">
        <f>E42-'OLD Capital Budget - NO SRV'!H213</f>
        <v>-135659.75</v>
      </c>
      <c r="F77" s="847">
        <f>F42-'OLD Capital Budget - NO SRV'!I213</f>
        <v>98827.78125</v>
      </c>
      <c r="H77" s="847">
        <f>SUM(C77:G77)</f>
        <v>191413.03125</v>
      </c>
    </row>
    <row r="78" spans="1:25" ht="15.75" thickBot="1" x14ac:dyDescent="0.3">
      <c r="C78" s="892">
        <f>SUM(C76:C77)</f>
        <v>-346436</v>
      </c>
      <c r="D78" s="892">
        <f t="shared" ref="D78:H78" si="43">SUM(D76:D77)</f>
        <v>7473681</v>
      </c>
      <c r="E78" s="892">
        <f t="shared" si="43"/>
        <v>6545340.25</v>
      </c>
      <c r="F78" s="892">
        <f t="shared" si="43"/>
        <v>-981172.21875</v>
      </c>
      <c r="H78" s="892">
        <f t="shared" si="43"/>
        <v>12691413.03125</v>
      </c>
    </row>
    <row r="79" spans="1:25" ht="15" thickBot="1" x14ac:dyDescent="0.25"/>
    <row r="80" spans="1:25" ht="15" x14ac:dyDescent="0.25">
      <c r="A80" s="992" t="s">
        <v>1373</v>
      </c>
      <c r="B80" s="991"/>
      <c r="C80" s="990" t="s">
        <v>4</v>
      </c>
      <c r="D80" s="990" t="s">
        <v>5</v>
      </c>
      <c r="E80" s="990" t="s">
        <v>6</v>
      </c>
      <c r="F80" s="946" t="s">
        <v>7</v>
      </c>
      <c r="G80" s="946" t="s">
        <v>8</v>
      </c>
      <c r="H80" s="946" t="s">
        <v>9</v>
      </c>
      <c r="I80" s="946" t="s">
        <v>514</v>
      </c>
      <c r="J80" s="946" t="s">
        <v>515</v>
      </c>
      <c r="K80" s="946" t="s">
        <v>904</v>
      </c>
      <c r="L80" s="946" t="s">
        <v>1046</v>
      </c>
      <c r="M80" s="946" t="s">
        <v>1424</v>
      </c>
      <c r="N80" s="946" t="s">
        <v>1425</v>
      </c>
      <c r="O80" s="946" t="s">
        <v>1426</v>
      </c>
      <c r="P80" s="946" t="s">
        <v>1427</v>
      </c>
      <c r="Q80" s="946" t="s">
        <v>1428</v>
      </c>
      <c r="R80" s="946" t="s">
        <v>1429</v>
      </c>
      <c r="S80" s="946" t="s">
        <v>1430</v>
      </c>
      <c r="T80" s="946" t="s">
        <v>1433</v>
      </c>
      <c r="U80" s="946" t="s">
        <v>1434</v>
      </c>
      <c r="V80" s="946" t="s">
        <v>1435</v>
      </c>
      <c r="W80" s="946" t="s">
        <v>1436</v>
      </c>
      <c r="X80" s="946" t="s">
        <v>1437</v>
      </c>
      <c r="Y80" s="946" t="s">
        <v>1432</v>
      </c>
    </row>
    <row r="81" spans="1:25" ht="15" x14ac:dyDescent="0.25">
      <c r="A81" s="947" t="s">
        <v>1345</v>
      </c>
      <c r="B81" s="894"/>
      <c r="C81" s="948">
        <f>C63</f>
        <v>8808812</v>
      </c>
      <c r="D81" s="948">
        <f t="shared" ref="D81:F81" si="44">D63</f>
        <v>23346102.800000001</v>
      </c>
      <c r="E81" s="948">
        <f t="shared" si="44"/>
        <v>18601062.645</v>
      </c>
      <c r="F81" s="949">
        <f t="shared" si="44"/>
        <v>11779520.186124999</v>
      </c>
      <c r="G81" s="949">
        <f t="shared" ref="G81:I81" si="45">G63</f>
        <v>11321510.589847501</v>
      </c>
      <c r="H81" s="949">
        <f t="shared" si="45"/>
        <v>11547940.801644448</v>
      </c>
      <c r="I81" s="949">
        <f t="shared" si="45"/>
        <v>11778899.617677338</v>
      </c>
      <c r="J81" s="949">
        <f t="shared" ref="J81:Y81" si="46">J63</f>
        <v>12075677.610030882</v>
      </c>
      <c r="K81" s="949">
        <f t="shared" si="46"/>
        <v>12317191.162231501</v>
      </c>
      <c r="L81" s="949">
        <f t="shared" si="46"/>
        <v>12614534.985476134</v>
      </c>
      <c r="M81" s="949">
        <f t="shared" si="46"/>
        <v>12866825.685185658</v>
      </c>
      <c r="N81" s="949">
        <f t="shared" si="46"/>
        <v>13124162.198889369</v>
      </c>
      <c r="O81" s="949">
        <f t="shared" si="46"/>
        <v>13386645.44286716</v>
      </c>
      <c r="P81" s="949">
        <f t="shared" si="46"/>
        <v>13654378.351724498</v>
      </c>
      <c r="Q81" s="949">
        <f t="shared" si="46"/>
        <v>13927465.918758996</v>
      </c>
      <c r="R81" s="949">
        <f t="shared" si="46"/>
        <v>14206015.237134177</v>
      </c>
      <c r="S81" s="949">
        <f t="shared" si="46"/>
        <v>14490147.541876854</v>
      </c>
      <c r="T81" s="949">
        <f t="shared" si="46"/>
        <v>14779951.252714396</v>
      </c>
      <c r="U81" s="949">
        <f t="shared" si="46"/>
        <v>15075551.017768679</v>
      </c>
      <c r="V81" s="949">
        <f t="shared" si="46"/>
        <v>15377062.758124053</v>
      </c>
      <c r="W81" s="949">
        <f t="shared" si="46"/>
        <v>15684604.713286534</v>
      </c>
      <c r="X81" s="949">
        <f t="shared" si="46"/>
        <v>15998297.487552263</v>
      </c>
      <c r="Y81" s="949">
        <f t="shared" si="46"/>
        <v>16318264.097303312</v>
      </c>
    </row>
    <row r="82" spans="1:25" ht="14.25" x14ac:dyDescent="0.2">
      <c r="A82" s="947" t="s">
        <v>1083</v>
      </c>
      <c r="B82" s="996"/>
      <c r="C82" s="995">
        <f>E149+E173</f>
        <v>621839</v>
      </c>
      <c r="D82" s="995">
        <f t="shared" ref="D82:F82" si="47">F149+F173</f>
        <v>555486</v>
      </c>
      <c r="E82" s="995">
        <f t="shared" si="47"/>
        <v>445162</v>
      </c>
      <c r="F82" s="950">
        <f t="shared" si="47"/>
        <v>518558</v>
      </c>
      <c r="G82" s="831">
        <f>F82*(1+'LTFP Assumptions'!$J$13)</f>
        <v>528929.16</v>
      </c>
      <c r="H82" s="831">
        <f>G82*(1+'LTFP Assumptions'!$J$13)</f>
        <v>539507.74320000003</v>
      </c>
      <c r="I82" s="831">
        <f>H82*(1+'LTFP Assumptions'!$J$13)</f>
        <v>550297.89806400007</v>
      </c>
      <c r="J82" s="831">
        <f>I82*(1+'LTFP Assumptions'!$J$13)</f>
        <v>561303.85602528008</v>
      </c>
      <c r="K82" s="831">
        <f>J82*(1+'LTFP Assumptions'!$J$13)</f>
        <v>572529.9331457857</v>
      </c>
      <c r="L82" s="831">
        <f>K82*(1+'LTFP Assumptions'!$J$13)</f>
        <v>583980.53180870146</v>
      </c>
      <c r="M82" s="831">
        <f>L82*(1+'LTFP Assumptions'!$J$13)</f>
        <v>595660.14244487556</v>
      </c>
      <c r="N82" s="831">
        <f>M82*(1+'LTFP Assumptions'!$J$13)</f>
        <v>607573.34529377311</v>
      </c>
      <c r="O82" s="831">
        <f>N82*(1+'LTFP Assumptions'!$J$13)</f>
        <v>619724.81219964859</v>
      </c>
      <c r="P82" s="831">
        <f>O82*(1+'LTFP Assumptions'!$J$13)</f>
        <v>632119.30844364152</v>
      </c>
      <c r="Q82" s="831">
        <f>P82*(1+'LTFP Assumptions'!$J$13)</f>
        <v>644761.69461251434</v>
      </c>
      <c r="R82" s="831">
        <f>Q82*(1+'LTFP Assumptions'!$J$13)</f>
        <v>657656.92850476468</v>
      </c>
      <c r="S82" s="831">
        <f>R82*(1+'LTFP Assumptions'!$J$13)</f>
        <v>670810.06707485998</v>
      </c>
      <c r="T82" s="831">
        <f>S82*(1+'LTFP Assumptions'!$J$13)</f>
        <v>684226.26841635723</v>
      </c>
      <c r="U82" s="831">
        <f>T82*(1+'LTFP Assumptions'!$J$13)</f>
        <v>697910.79378468439</v>
      </c>
      <c r="V82" s="831">
        <f>U82*(1+'LTFP Assumptions'!$J$13)</f>
        <v>711869.0096603781</v>
      </c>
      <c r="W82" s="831">
        <f>V82*(1+'LTFP Assumptions'!$J$13)</f>
        <v>726106.38985358563</v>
      </c>
      <c r="X82" s="831">
        <f>W82*(1+'LTFP Assumptions'!$J$13)</f>
        <v>740628.51765065733</v>
      </c>
      <c r="Y82" s="831">
        <f>X82*(1+'LTFP Assumptions'!$J$13)</f>
        <v>755441.08800367045</v>
      </c>
    </row>
    <row r="83" spans="1:25" x14ac:dyDescent="0.25">
      <c r="A83" s="947" t="s">
        <v>1258</v>
      </c>
      <c r="B83" s="996"/>
      <c r="C83" s="995"/>
      <c r="D83" s="966"/>
      <c r="E83" s="966"/>
      <c r="F83" s="951"/>
      <c r="G83" s="951"/>
      <c r="H83" s="951"/>
      <c r="I83" s="951"/>
      <c r="J83" s="951"/>
      <c r="K83" s="951"/>
      <c r="L83" s="951"/>
      <c r="M83" s="951"/>
      <c r="N83" s="951"/>
      <c r="O83" s="951"/>
      <c r="P83" s="951"/>
      <c r="Q83" s="951"/>
      <c r="R83" s="951"/>
      <c r="S83" s="951"/>
      <c r="T83" s="951"/>
      <c r="U83" s="951"/>
      <c r="V83" s="951"/>
      <c r="W83" s="951"/>
      <c r="X83" s="951"/>
      <c r="Y83" s="951"/>
    </row>
    <row r="84" spans="1:25" x14ac:dyDescent="0.25">
      <c r="A84" s="947" t="s">
        <v>1259</v>
      </c>
      <c r="B84" s="996"/>
      <c r="C84" s="995">
        <v>1825967</v>
      </c>
      <c r="D84" s="995">
        <v>1880746</v>
      </c>
      <c r="E84" s="995">
        <v>1937168</v>
      </c>
      <c r="F84" s="950">
        <f>1999283-4000</f>
        <v>1995283</v>
      </c>
      <c r="G84" s="950">
        <f t="shared" ref="G84:Y84" si="48">1999283-4000</f>
        <v>1995283</v>
      </c>
      <c r="H84" s="950">
        <f t="shared" si="48"/>
        <v>1995283</v>
      </c>
      <c r="I84" s="950">
        <f t="shared" si="48"/>
        <v>1995283</v>
      </c>
      <c r="J84" s="950">
        <f t="shared" si="48"/>
        <v>1995283</v>
      </c>
      <c r="K84" s="950">
        <f t="shared" si="48"/>
        <v>1995283</v>
      </c>
      <c r="L84" s="950">
        <f t="shared" si="48"/>
        <v>1995283</v>
      </c>
      <c r="M84" s="950">
        <f t="shared" si="48"/>
        <v>1995283</v>
      </c>
      <c r="N84" s="950">
        <f t="shared" si="48"/>
        <v>1995283</v>
      </c>
      <c r="O84" s="950">
        <f t="shared" si="48"/>
        <v>1995283</v>
      </c>
      <c r="P84" s="950">
        <f t="shared" si="48"/>
        <v>1995283</v>
      </c>
      <c r="Q84" s="950">
        <f t="shared" si="48"/>
        <v>1995283</v>
      </c>
      <c r="R84" s="950">
        <f t="shared" si="48"/>
        <v>1995283</v>
      </c>
      <c r="S84" s="950">
        <f t="shared" si="48"/>
        <v>1995283</v>
      </c>
      <c r="T84" s="950">
        <f t="shared" si="48"/>
        <v>1995283</v>
      </c>
      <c r="U84" s="950">
        <f t="shared" si="48"/>
        <v>1995283</v>
      </c>
      <c r="V84" s="950">
        <f t="shared" si="48"/>
        <v>1995283</v>
      </c>
      <c r="W84" s="950">
        <f t="shared" si="48"/>
        <v>1995283</v>
      </c>
      <c r="X84" s="950">
        <f t="shared" si="48"/>
        <v>1995283</v>
      </c>
      <c r="Y84" s="950">
        <f t="shared" si="48"/>
        <v>1995283</v>
      </c>
    </row>
    <row r="85" spans="1:25" x14ac:dyDescent="0.25">
      <c r="A85" s="947" t="s">
        <v>1260</v>
      </c>
      <c r="B85" s="996"/>
      <c r="C85" s="995">
        <v>318318</v>
      </c>
      <c r="D85" s="995">
        <v>337417</v>
      </c>
      <c r="E85" s="995">
        <v>357653</v>
      </c>
      <c r="F85" s="950">
        <v>379122</v>
      </c>
      <c r="G85" s="950">
        <v>379123</v>
      </c>
      <c r="H85" s="950">
        <v>379124</v>
      </c>
      <c r="I85" s="950">
        <v>379125</v>
      </c>
      <c r="J85" s="950">
        <v>379126</v>
      </c>
      <c r="K85" s="950">
        <v>379127</v>
      </c>
      <c r="L85" s="950">
        <v>379128</v>
      </c>
      <c r="M85" s="950">
        <v>379129</v>
      </c>
      <c r="N85" s="950">
        <v>379130</v>
      </c>
      <c r="O85" s="950">
        <v>379131</v>
      </c>
      <c r="P85" s="950">
        <v>379132</v>
      </c>
      <c r="Q85" s="950">
        <v>379133</v>
      </c>
      <c r="R85" s="950">
        <v>379134</v>
      </c>
      <c r="S85" s="950">
        <v>379135</v>
      </c>
      <c r="T85" s="950">
        <v>379136</v>
      </c>
      <c r="U85" s="950">
        <v>379137</v>
      </c>
      <c r="V85" s="950">
        <v>379138</v>
      </c>
      <c r="W85" s="950">
        <v>379139</v>
      </c>
      <c r="X85" s="950">
        <v>379140</v>
      </c>
      <c r="Y85" s="950">
        <v>379141</v>
      </c>
    </row>
    <row r="86" spans="1:25" ht="14.4" thickBot="1" x14ac:dyDescent="0.3">
      <c r="A86" s="952" t="s">
        <v>1261</v>
      </c>
      <c r="B86" s="994"/>
      <c r="C86" s="993">
        <f>SUM(C81:C85)</f>
        <v>11574936</v>
      </c>
      <c r="D86" s="993">
        <f t="shared" ref="D86:F86" si="49">SUM(D81:D85)</f>
        <v>26119751.800000001</v>
      </c>
      <c r="E86" s="993">
        <f t="shared" si="49"/>
        <v>21341045.645</v>
      </c>
      <c r="F86" s="953">
        <f t="shared" si="49"/>
        <v>14672483.186124999</v>
      </c>
      <c r="G86" s="953">
        <f t="shared" ref="G86:I86" si="50">SUM(G81:G85)</f>
        <v>14224845.749847502</v>
      </c>
      <c r="H86" s="953">
        <f t="shared" si="50"/>
        <v>14461855.544844449</v>
      </c>
      <c r="I86" s="953">
        <f t="shared" si="50"/>
        <v>14703605.515741339</v>
      </c>
      <c r="J86" s="953">
        <f t="shared" ref="J86:Y86" si="51">SUM(J81:J85)</f>
        <v>15011390.466056162</v>
      </c>
      <c r="K86" s="953">
        <f t="shared" si="51"/>
        <v>15264131.095377287</v>
      </c>
      <c r="L86" s="953">
        <f t="shared" si="51"/>
        <v>15572926.517284837</v>
      </c>
      <c r="M86" s="953">
        <f t="shared" si="51"/>
        <v>15836897.827630533</v>
      </c>
      <c r="N86" s="953">
        <f t="shared" si="51"/>
        <v>16106148.544183142</v>
      </c>
      <c r="O86" s="953">
        <f t="shared" si="51"/>
        <v>16380784.255066808</v>
      </c>
      <c r="P86" s="953">
        <f t="shared" si="51"/>
        <v>16660912.660168139</v>
      </c>
      <c r="Q86" s="953">
        <f t="shared" si="51"/>
        <v>16946643.61337151</v>
      </c>
      <c r="R86" s="953">
        <f t="shared" si="51"/>
        <v>17238089.165638942</v>
      </c>
      <c r="S86" s="953">
        <f t="shared" si="51"/>
        <v>17535375.608951714</v>
      </c>
      <c r="T86" s="953">
        <f t="shared" si="51"/>
        <v>17838596.521130752</v>
      </c>
      <c r="U86" s="953">
        <f t="shared" si="51"/>
        <v>18147881.811553363</v>
      </c>
      <c r="V86" s="953">
        <f t="shared" si="51"/>
        <v>18463352.767784432</v>
      </c>
      <c r="W86" s="953">
        <f t="shared" si="51"/>
        <v>18785133.103140119</v>
      </c>
      <c r="X86" s="953">
        <f t="shared" si="51"/>
        <v>19113349.005202919</v>
      </c>
      <c r="Y86" s="953">
        <f t="shared" si="51"/>
        <v>19448129.185306981</v>
      </c>
    </row>
    <row r="87" spans="1:25" x14ac:dyDescent="0.25">
      <c r="A87" s="954"/>
      <c r="B87" s="999"/>
      <c r="C87" s="999"/>
      <c r="D87" s="999"/>
      <c r="E87" s="999"/>
      <c r="F87" s="955"/>
      <c r="G87" s="955"/>
      <c r="H87" s="955"/>
      <c r="I87" s="955"/>
      <c r="J87" s="955"/>
      <c r="K87" s="955"/>
      <c r="L87" s="955"/>
      <c r="M87" s="955"/>
      <c r="N87" s="955"/>
      <c r="O87" s="955"/>
      <c r="P87" s="955"/>
      <c r="Q87" s="955"/>
      <c r="R87" s="955"/>
      <c r="S87" s="955"/>
      <c r="T87" s="955"/>
      <c r="U87" s="955"/>
      <c r="V87" s="955"/>
      <c r="W87" s="955"/>
      <c r="X87" s="955"/>
      <c r="Y87" s="955"/>
    </row>
    <row r="88" spans="1:25" x14ac:dyDescent="0.25">
      <c r="A88" s="956" t="s">
        <v>1031</v>
      </c>
      <c r="B88" s="999"/>
      <c r="C88" s="999"/>
      <c r="D88" s="999"/>
      <c r="E88" s="999"/>
      <c r="F88" s="955"/>
      <c r="G88" s="955"/>
      <c r="H88" s="955"/>
      <c r="I88" s="955"/>
      <c r="J88" s="955"/>
      <c r="K88" s="955"/>
      <c r="L88" s="955"/>
      <c r="M88" s="955"/>
      <c r="N88" s="955"/>
      <c r="O88" s="955"/>
      <c r="P88" s="955"/>
      <c r="Q88" s="955"/>
      <c r="R88" s="955"/>
      <c r="S88" s="955"/>
      <c r="T88" s="955"/>
      <c r="U88" s="955"/>
      <c r="V88" s="955"/>
      <c r="W88" s="955"/>
      <c r="X88" s="955"/>
      <c r="Y88" s="955"/>
    </row>
    <row r="89" spans="1:25" x14ac:dyDescent="0.25">
      <c r="A89" s="954" t="s">
        <v>931</v>
      </c>
      <c r="B89" s="957">
        <f>-(C136+C163)</f>
        <v>30000</v>
      </c>
      <c r="C89" s="957">
        <f>-(E136+E163)</f>
        <v>61970</v>
      </c>
      <c r="D89" s="957">
        <f t="shared" ref="D89:F89" si="52">-(F136+F163)</f>
        <v>387811</v>
      </c>
      <c r="E89" s="957">
        <f t="shared" si="52"/>
        <v>773693</v>
      </c>
      <c r="F89" s="958">
        <f t="shared" si="52"/>
        <v>316100</v>
      </c>
      <c r="G89" s="958">
        <f t="shared" ref="G89" si="53">-(I136+I163)</f>
        <v>0</v>
      </c>
      <c r="H89" s="958">
        <f t="shared" ref="H89" si="54">-(J136+J163)</f>
        <v>0</v>
      </c>
      <c r="I89" s="958">
        <f t="shared" ref="I89" si="55">-(K136+K163)</f>
        <v>0</v>
      </c>
      <c r="J89" s="958">
        <f t="shared" ref="J89" si="56">-(L136+L163)</f>
        <v>0</v>
      </c>
      <c r="K89" s="958">
        <f t="shared" ref="K89" si="57">-(M136+M163)</f>
        <v>0</v>
      </c>
      <c r="L89" s="958">
        <f t="shared" ref="L89" si="58">-(N136+N163)</f>
        <v>0</v>
      </c>
      <c r="M89" s="958">
        <f t="shared" ref="M89" si="59">-(O136+O163)</f>
        <v>0</v>
      </c>
      <c r="N89" s="958">
        <f t="shared" ref="N89" si="60">-(P136+P163)</f>
        <v>0</v>
      </c>
      <c r="O89" s="958">
        <f t="shared" ref="O89" si="61">-(Q136+Q163)</f>
        <v>0</v>
      </c>
      <c r="P89" s="958">
        <f t="shared" ref="P89" si="62">-(R136+R163)</f>
        <v>0</v>
      </c>
      <c r="Q89" s="958">
        <f t="shared" ref="Q89" si="63">-(S136+S163)</f>
        <v>0</v>
      </c>
      <c r="R89" s="958">
        <f t="shared" ref="R89" si="64">-(T136+T163)</f>
        <v>0</v>
      </c>
      <c r="S89" s="958">
        <f t="shared" ref="S89" si="65">-(U136+U163)</f>
        <v>0</v>
      </c>
      <c r="T89" s="958">
        <f t="shared" ref="T89" si="66">-(V136+V163)</f>
        <v>0</v>
      </c>
      <c r="U89" s="958">
        <f t="shared" ref="U89" si="67">-(W136+W163)</f>
        <v>0</v>
      </c>
      <c r="V89" s="958">
        <f t="shared" ref="V89" si="68">-(X136+X163)</f>
        <v>0</v>
      </c>
      <c r="W89" s="958">
        <f t="shared" ref="W89" si="69">-(Y136+Y163)</f>
        <v>0</v>
      </c>
      <c r="X89" s="958">
        <f t="shared" ref="X89" si="70">-(Z136+Z163)</f>
        <v>0</v>
      </c>
      <c r="Y89" s="958">
        <f t="shared" ref="Y89" si="71">-(AA136+AA163)</f>
        <v>0</v>
      </c>
    </row>
    <row r="90" spans="1:25" x14ac:dyDescent="0.25">
      <c r="A90" s="954" t="s">
        <v>244</v>
      </c>
      <c r="B90" s="957">
        <f>-C137</f>
        <v>1554007</v>
      </c>
      <c r="C90" s="957">
        <f>-E137</f>
        <v>1981967</v>
      </c>
      <c r="D90" s="957">
        <f t="shared" ref="D90:F90" si="72">-F137</f>
        <v>2036746.01</v>
      </c>
      <c r="E90" s="957">
        <f t="shared" si="72"/>
        <v>2093168.3903000001</v>
      </c>
      <c r="F90" s="958">
        <f t="shared" si="72"/>
        <v>2151283.4420090001</v>
      </c>
      <c r="G90" s="831">
        <f>F90*(1+'LTFP Assumptions'!$J$13)</f>
        <v>2194309.1108491803</v>
      </c>
      <c r="H90" s="831">
        <f>G90*(1+'LTFP Assumptions'!$J$13)</f>
        <v>2238195.293066164</v>
      </c>
      <c r="I90" s="831">
        <f>H90*(1+'LTFP Assumptions'!$J$13)</f>
        <v>2282959.1989274872</v>
      </c>
      <c r="J90" s="831">
        <f>I90*(1+'LTFP Assumptions'!$J$13)</f>
        <v>2328618.3829060369</v>
      </c>
      <c r="K90" s="831">
        <f>J90*(1+'LTFP Assumptions'!$J$13)</f>
        <v>2375190.7505641575</v>
      </c>
      <c r="L90" s="831">
        <f>K90*(1+'LTFP Assumptions'!$J$13)</f>
        <v>2422694.5655754409</v>
      </c>
      <c r="M90" s="831">
        <f>L90*(1+'LTFP Assumptions'!$J$13)</f>
        <v>2471148.4568869499</v>
      </c>
      <c r="N90" s="831">
        <f>M90*(1+'LTFP Assumptions'!$J$13)</f>
        <v>2520571.4260246889</v>
      </c>
      <c r="O90" s="831">
        <f>N90*(1+'LTFP Assumptions'!$J$13)</f>
        <v>2570982.8545451825</v>
      </c>
      <c r="P90" s="831">
        <f>O90*(1+'LTFP Assumptions'!$J$13)</f>
        <v>2622402.5116360863</v>
      </c>
      <c r="Q90" s="831">
        <f>P90*(1+'LTFP Assumptions'!$J$13)</f>
        <v>2674850.5618688082</v>
      </c>
      <c r="R90" s="831">
        <f>Q90*(1+'LTFP Assumptions'!$J$13)</f>
        <v>2728347.5731061846</v>
      </c>
      <c r="S90" s="831">
        <f>R90*(1+'LTFP Assumptions'!$J$13)</f>
        <v>2782914.5245683081</v>
      </c>
      <c r="T90" s="831">
        <f>S90*(1+'LTFP Assumptions'!$J$13)</f>
        <v>2838572.8150596744</v>
      </c>
      <c r="U90" s="831">
        <f>T90*(1+'LTFP Assumptions'!$J$13)</f>
        <v>2895344.2713608681</v>
      </c>
      <c r="V90" s="831">
        <f>U90*(1+'LTFP Assumptions'!$J$13)</f>
        <v>2953251.1567880856</v>
      </c>
      <c r="W90" s="831">
        <f>V90*(1+'LTFP Assumptions'!$J$13)</f>
        <v>3012316.1799238473</v>
      </c>
      <c r="X90" s="831">
        <f>W90*(1+'LTFP Assumptions'!$J$13)</f>
        <v>3072562.5035223244</v>
      </c>
      <c r="Y90" s="831">
        <f>X90*(1+'LTFP Assumptions'!$J$13)</f>
        <v>3134013.753592771</v>
      </c>
    </row>
    <row r="91" spans="1:25" x14ac:dyDescent="0.25">
      <c r="A91" s="954" t="s">
        <v>1085</v>
      </c>
      <c r="B91" s="957">
        <f>-(C138+C165)</f>
        <v>1266000</v>
      </c>
      <c r="C91" s="957">
        <f>-(E138+E165)</f>
        <v>741000</v>
      </c>
      <c r="D91" s="957">
        <f t="shared" ref="D91:F91" si="73">-(F138+F165)</f>
        <v>741000</v>
      </c>
      <c r="E91" s="957">
        <f t="shared" si="73"/>
        <v>741000</v>
      </c>
      <c r="F91" s="958">
        <f t="shared" si="73"/>
        <v>741000</v>
      </c>
      <c r="G91" s="831">
        <f>F91*(1+'LTFP Assumptions'!$J$13)</f>
        <v>755820</v>
      </c>
      <c r="H91" s="831">
        <f>G91*(1+'LTFP Assumptions'!$J$13)</f>
        <v>770936.4</v>
      </c>
      <c r="I91" s="831">
        <f>H91*(1+'LTFP Assumptions'!$J$13)</f>
        <v>786355.12800000003</v>
      </c>
      <c r="J91" s="831">
        <f>I91*(1+'LTFP Assumptions'!$J$13)</f>
        <v>802082.23056000005</v>
      </c>
      <c r="K91" s="831">
        <f>J91*(1+'LTFP Assumptions'!$J$13)</f>
        <v>818123.87517120002</v>
      </c>
      <c r="L91" s="831">
        <f>K91*(1+'LTFP Assumptions'!$J$13)</f>
        <v>834486.35267462407</v>
      </c>
      <c r="M91" s="831">
        <f>L91*(1+'LTFP Assumptions'!$J$13)</f>
        <v>851176.07972811651</v>
      </c>
      <c r="N91" s="831">
        <f>M91*(1+'LTFP Assumptions'!$J$13)</f>
        <v>868199.60132267885</v>
      </c>
      <c r="O91" s="831">
        <f>N91*(1+'LTFP Assumptions'!$J$13)</f>
        <v>885563.59334913245</v>
      </c>
      <c r="P91" s="831">
        <f>O91*(1+'LTFP Assumptions'!$J$13)</f>
        <v>903274.86521611514</v>
      </c>
      <c r="Q91" s="831">
        <f>P91*(1+'LTFP Assumptions'!$J$13)</f>
        <v>921340.36252043745</v>
      </c>
      <c r="R91" s="831">
        <f>Q91*(1+'LTFP Assumptions'!$J$13)</f>
        <v>939767.16977084626</v>
      </c>
      <c r="S91" s="831">
        <f>R91*(1+'LTFP Assumptions'!$J$13)</f>
        <v>958562.51316626323</v>
      </c>
      <c r="T91" s="831">
        <f>S91*(1+'LTFP Assumptions'!$J$13)</f>
        <v>977733.76342958852</v>
      </c>
      <c r="U91" s="831">
        <f>T91*(1+'LTFP Assumptions'!$J$13)</f>
        <v>997288.43869818025</v>
      </c>
      <c r="V91" s="831">
        <f>U91*(1+'LTFP Assumptions'!$J$13)</f>
        <v>1017234.2074721439</v>
      </c>
      <c r="W91" s="831">
        <f>V91*(1+'LTFP Assumptions'!$J$13)</f>
        <v>1037578.8916215869</v>
      </c>
      <c r="X91" s="831">
        <f>W91*(1+'LTFP Assumptions'!$J$13)</f>
        <v>1058330.4694540186</v>
      </c>
      <c r="Y91" s="831">
        <f>X91*(1+'LTFP Assumptions'!$J$13)</f>
        <v>1079497.0788430991</v>
      </c>
    </row>
    <row r="92" spans="1:25" x14ac:dyDescent="0.25">
      <c r="A92" s="954" t="s">
        <v>1086</v>
      </c>
      <c r="B92" s="957">
        <f>-C139</f>
        <v>78000</v>
      </c>
      <c r="C92" s="957">
        <f>-E139</f>
        <v>65000</v>
      </c>
      <c r="D92" s="957">
        <f t="shared" ref="D92:F92" si="74">-F139</f>
        <v>66625</v>
      </c>
      <c r="E92" s="957">
        <f t="shared" si="74"/>
        <v>68290.625</v>
      </c>
      <c r="F92" s="958">
        <f t="shared" si="74"/>
        <v>69997.890625</v>
      </c>
      <c r="G92" s="831">
        <f>F92*(1+'LTFP Assumptions'!$J$13)</f>
        <v>71397.848437499997</v>
      </c>
      <c r="H92" s="831">
        <f>G92*(1+'LTFP Assumptions'!$J$13)</f>
        <v>72825.805406250001</v>
      </c>
      <c r="I92" s="831">
        <f>H92*(1+'LTFP Assumptions'!$J$13)</f>
        <v>74282.321514374999</v>
      </c>
      <c r="J92" s="831">
        <f>I92*(1+'LTFP Assumptions'!$J$13)</f>
        <v>75767.967944662494</v>
      </c>
      <c r="K92" s="831">
        <f>J92*(1+'LTFP Assumptions'!$J$13)</f>
        <v>77283.32730355575</v>
      </c>
      <c r="L92" s="831">
        <f>K92*(1+'LTFP Assumptions'!$J$13)</f>
        <v>78828.993849626873</v>
      </c>
      <c r="M92" s="831">
        <f>L92*(1+'LTFP Assumptions'!$J$13)</f>
        <v>80405.573726619419</v>
      </c>
      <c r="N92" s="831">
        <f>M92*(1+'LTFP Assumptions'!$J$13)</f>
        <v>82013.685201151806</v>
      </c>
      <c r="O92" s="831">
        <f>N92*(1+'LTFP Assumptions'!$J$13)</f>
        <v>83653.958905174848</v>
      </c>
      <c r="P92" s="831">
        <f>O92*(1+'LTFP Assumptions'!$J$13)</f>
        <v>85327.038083278341</v>
      </c>
      <c r="Q92" s="831">
        <f>P92*(1+'LTFP Assumptions'!$J$13)</f>
        <v>87033.578844943913</v>
      </c>
      <c r="R92" s="831">
        <f>Q92*(1+'LTFP Assumptions'!$J$13)</f>
        <v>88774.250421842793</v>
      </c>
      <c r="S92" s="831">
        <f>R92*(1+'LTFP Assumptions'!$J$13)</f>
        <v>90549.735430279645</v>
      </c>
      <c r="T92" s="831">
        <f>S92*(1+'LTFP Assumptions'!$J$13)</f>
        <v>92360.730138885236</v>
      </c>
      <c r="U92" s="831">
        <f>T92*(1+'LTFP Assumptions'!$J$13)</f>
        <v>94207.944741662941</v>
      </c>
      <c r="V92" s="831">
        <f>U92*(1+'LTFP Assumptions'!$J$13)</f>
        <v>96092.103636496206</v>
      </c>
      <c r="W92" s="831">
        <f>V92*(1+'LTFP Assumptions'!$J$13)</f>
        <v>98013.945709226129</v>
      </c>
      <c r="X92" s="831">
        <f>W92*(1+'LTFP Assumptions'!$J$13)</f>
        <v>99974.224623410657</v>
      </c>
      <c r="Y92" s="831">
        <f>X92*(1+'LTFP Assumptions'!$J$13)</f>
        <v>101973.70911587887</v>
      </c>
    </row>
    <row r="93" spans="1:25" x14ac:dyDescent="0.25">
      <c r="A93" s="954" t="s">
        <v>33</v>
      </c>
      <c r="B93" s="957">
        <f>-(C140+C164)</f>
        <v>8510646</v>
      </c>
      <c r="C93" s="957">
        <f>-(E140+E164)</f>
        <v>7625465</v>
      </c>
      <c r="D93" s="957">
        <f t="shared" ref="D93:F93" si="75">-(F140+F164)</f>
        <v>7756784.1699999999</v>
      </c>
      <c r="E93" s="957">
        <f t="shared" si="75"/>
        <v>8074772.6536499988</v>
      </c>
      <c r="F93" s="958">
        <f t="shared" si="75"/>
        <v>8396079.2279792484</v>
      </c>
      <c r="G93" s="958">
        <f t="shared" ref="G93" si="76">-(I140+I164)</f>
        <v>0</v>
      </c>
      <c r="H93" s="958">
        <f t="shared" ref="H93" si="77">-(J140+J164)</f>
        <v>0</v>
      </c>
      <c r="I93" s="958">
        <f t="shared" ref="I93" si="78">-(K140+K164)</f>
        <v>0</v>
      </c>
      <c r="J93" s="958">
        <f t="shared" ref="J93" si="79">-(L140+L164)</f>
        <v>0</v>
      </c>
      <c r="K93" s="958">
        <f t="shared" ref="K93" si="80">-(M140+M164)</f>
        <v>0</v>
      </c>
      <c r="L93" s="958">
        <f t="shared" ref="L93" si="81">-(N140+N164)</f>
        <v>0</v>
      </c>
      <c r="M93" s="958">
        <f t="shared" ref="M93" si="82">-(O140+O164)</f>
        <v>0</v>
      </c>
      <c r="N93" s="958">
        <f t="shared" ref="N93" si="83">-(P140+P164)</f>
        <v>0</v>
      </c>
      <c r="O93" s="958">
        <f t="shared" ref="O93" si="84">-(Q140+Q164)</f>
        <v>0</v>
      </c>
      <c r="P93" s="958">
        <f t="shared" ref="P93" si="85">-(R140+R164)</f>
        <v>0</v>
      </c>
      <c r="Q93" s="958">
        <f t="shared" ref="Q93" si="86">-(S140+S164)</f>
        <v>0</v>
      </c>
      <c r="R93" s="958">
        <f t="shared" ref="R93" si="87">-(T140+T164)</f>
        <v>0</v>
      </c>
      <c r="S93" s="958">
        <f t="shared" ref="S93" si="88">-(U140+U164)</f>
        <v>0</v>
      </c>
      <c r="T93" s="958">
        <f t="shared" ref="T93" si="89">-(V140+V164)</f>
        <v>0</v>
      </c>
      <c r="U93" s="958">
        <f t="shared" ref="U93" si="90">-(W140+W164)</f>
        <v>0</v>
      </c>
      <c r="V93" s="958">
        <f t="shared" ref="V93" si="91">-(X140+X164)</f>
        <v>0</v>
      </c>
      <c r="W93" s="958">
        <f t="shared" ref="W93" si="92">-(Y140+Y164)</f>
        <v>0</v>
      </c>
      <c r="X93" s="958">
        <f t="shared" ref="X93" si="93">-(Z140+Z164)</f>
        <v>0</v>
      </c>
      <c r="Y93" s="958">
        <f t="shared" ref="Y93" si="94">-(AA140+AA164)</f>
        <v>0</v>
      </c>
    </row>
    <row r="94" spans="1:25" x14ac:dyDescent="0.25">
      <c r="A94" s="954" t="s">
        <v>22</v>
      </c>
      <c r="B94" s="957">
        <f>-(C141+C167)</f>
        <v>2262938</v>
      </c>
      <c r="C94" s="957">
        <f>-(E141+E167)</f>
        <v>550000</v>
      </c>
      <c r="D94" s="957">
        <f t="shared" ref="D94:F94" si="95">-(F141+F167)</f>
        <v>11000000</v>
      </c>
      <c r="E94" s="957">
        <f t="shared" si="95"/>
        <v>0</v>
      </c>
      <c r="F94" s="958">
        <f t="shared" si="95"/>
        <v>0</v>
      </c>
      <c r="G94" s="1358">
        <f>1000000+1000000</f>
        <v>2000000</v>
      </c>
      <c r="H94" s="831">
        <f>G94*(1+'LTFP Assumptions'!$J$13)</f>
        <v>2040000</v>
      </c>
      <c r="I94" s="831">
        <f>H94*(1+'LTFP Assumptions'!$J$13)</f>
        <v>2080800</v>
      </c>
      <c r="J94" s="831">
        <f>I94*(1+'LTFP Assumptions'!$J$13)</f>
        <v>2122416</v>
      </c>
      <c r="K94" s="831">
        <f>J94*(1+'LTFP Assumptions'!$J$13)</f>
        <v>2164864.3199999998</v>
      </c>
      <c r="L94" s="831">
        <f>K94*(1+'LTFP Assumptions'!$J$13)</f>
        <v>2208161.6063999999</v>
      </c>
      <c r="M94" s="831">
        <f>L94*(1+'LTFP Assumptions'!$J$13)</f>
        <v>2252324.8385279998</v>
      </c>
      <c r="N94" s="831">
        <f>M94*(1+'LTFP Assumptions'!$J$13)</f>
        <v>2297371.3352985596</v>
      </c>
      <c r="O94" s="831">
        <f>N94*(1+'LTFP Assumptions'!$J$13)</f>
        <v>2343318.762004531</v>
      </c>
      <c r="P94" s="831">
        <f>O94*(1+'LTFP Assumptions'!$J$13)</f>
        <v>2390185.1372446218</v>
      </c>
      <c r="Q94" s="831">
        <f>P94*(1+'LTFP Assumptions'!$J$13)</f>
        <v>2437988.8399895141</v>
      </c>
      <c r="R94" s="831">
        <f>Q94*(1+'LTFP Assumptions'!$J$13)</f>
        <v>2486748.6167893042</v>
      </c>
      <c r="S94" s="831">
        <f>R94*(1+'LTFP Assumptions'!$J$13)</f>
        <v>2536483.5891250903</v>
      </c>
      <c r="T94" s="831">
        <f>S94*(1+'LTFP Assumptions'!$J$13)</f>
        <v>2587213.2609075923</v>
      </c>
      <c r="U94" s="831">
        <f>T94*(1+'LTFP Assumptions'!$J$13)</f>
        <v>2638957.526125744</v>
      </c>
      <c r="V94" s="831">
        <f>U94*(1+'LTFP Assumptions'!$J$13)</f>
        <v>2691736.6766482587</v>
      </c>
      <c r="W94" s="831">
        <f>V94*(1+'LTFP Assumptions'!$J$13)</f>
        <v>2745571.4101812239</v>
      </c>
      <c r="X94" s="831">
        <f>W94*(1+'LTFP Assumptions'!$J$13)</f>
        <v>2800482.8383848486</v>
      </c>
      <c r="Y94" s="831">
        <f>X94*(1+'LTFP Assumptions'!$J$13)</f>
        <v>2856492.4951525456</v>
      </c>
    </row>
    <row r="95" spans="1:25" x14ac:dyDescent="0.25">
      <c r="A95" s="954" t="s">
        <v>1087</v>
      </c>
      <c r="B95" s="957">
        <f>-(C142+C166)</f>
        <v>10000000</v>
      </c>
      <c r="C95" s="957">
        <f>-(E142+E166)</f>
        <v>0</v>
      </c>
      <c r="D95" s="957">
        <f t="shared" ref="D95:F95" si="96">-(F142+F166)</f>
        <v>3500000</v>
      </c>
      <c r="E95" s="957">
        <f t="shared" si="96"/>
        <v>7500000</v>
      </c>
      <c r="F95" s="958">
        <f t="shared" si="96"/>
        <v>0</v>
      </c>
      <c r="G95" s="958">
        <f t="shared" ref="G95" si="97">-(I142+I166)</f>
        <v>0</v>
      </c>
      <c r="H95" s="958">
        <f t="shared" ref="H95" si="98">-(J142+J166)</f>
        <v>0</v>
      </c>
      <c r="I95" s="958">
        <f t="shared" ref="I95" si="99">-(K142+K166)</f>
        <v>0</v>
      </c>
      <c r="J95" s="958">
        <f t="shared" ref="J95" si="100">-(L142+L166)</f>
        <v>0</v>
      </c>
      <c r="K95" s="958">
        <f t="shared" ref="K95" si="101">-(M142+M166)</f>
        <v>0</v>
      </c>
      <c r="L95" s="958">
        <f t="shared" ref="L95" si="102">-(N142+N166)</f>
        <v>0</v>
      </c>
      <c r="M95" s="958">
        <f t="shared" ref="M95" si="103">-(O142+O166)</f>
        <v>0</v>
      </c>
      <c r="N95" s="958">
        <f t="shared" ref="N95" si="104">-(P142+P166)</f>
        <v>0</v>
      </c>
      <c r="O95" s="958">
        <f t="shared" ref="O95" si="105">-(Q142+Q166)</f>
        <v>0</v>
      </c>
      <c r="P95" s="958">
        <f t="shared" ref="P95" si="106">-(R142+R166)</f>
        <v>0</v>
      </c>
      <c r="Q95" s="958">
        <f t="shared" ref="Q95" si="107">-(S142+S166)</f>
        <v>0</v>
      </c>
      <c r="R95" s="958">
        <f t="shared" ref="R95" si="108">-(T142+T166)</f>
        <v>0</v>
      </c>
      <c r="S95" s="958">
        <f t="shared" ref="S95" si="109">-(U142+U166)</f>
        <v>0</v>
      </c>
      <c r="T95" s="958">
        <f t="shared" ref="T95" si="110">-(V142+V166)</f>
        <v>0</v>
      </c>
      <c r="U95" s="958">
        <f t="shared" ref="U95" si="111">-(W142+W166)</f>
        <v>0</v>
      </c>
      <c r="V95" s="958">
        <f t="shared" ref="V95" si="112">-(X142+X166)</f>
        <v>0</v>
      </c>
      <c r="W95" s="958">
        <f t="shared" ref="W95" si="113">-(Y142+Y166)</f>
        <v>0</v>
      </c>
      <c r="X95" s="958">
        <f t="shared" ref="X95" si="114">-(Z142+Z166)</f>
        <v>0</v>
      </c>
      <c r="Y95" s="958">
        <f t="shared" ref="Y95" si="115">-(AA142+AA166)</f>
        <v>0</v>
      </c>
    </row>
    <row r="96" spans="1:25" x14ac:dyDescent="0.25">
      <c r="A96" s="954" t="s">
        <v>1344</v>
      </c>
      <c r="B96" s="957">
        <f>-(C143+C168)</f>
        <v>70000</v>
      </c>
      <c r="C96" s="957">
        <f>-(E143+E168)</f>
        <v>70000</v>
      </c>
      <c r="D96" s="957">
        <f t="shared" ref="D96:F96" si="116">-(F143+F168)</f>
        <v>1570000</v>
      </c>
      <c r="E96" s="957">
        <f t="shared" si="116"/>
        <v>70000</v>
      </c>
      <c r="F96" s="958">
        <f t="shared" si="116"/>
        <v>70000</v>
      </c>
      <c r="G96" s="831">
        <f>F96*(1+'LTFP Assumptions'!$J$13)</f>
        <v>71400</v>
      </c>
      <c r="H96" s="831">
        <f>G96*(1+'LTFP Assumptions'!$J$13)</f>
        <v>72828</v>
      </c>
      <c r="I96" s="831">
        <f>H96*(1+'LTFP Assumptions'!$J$13)</f>
        <v>74284.56</v>
      </c>
      <c r="J96" s="831">
        <f>I96*(1+'LTFP Assumptions'!$J$13)</f>
        <v>75770.251199999999</v>
      </c>
      <c r="K96" s="831">
        <f>J96*(1+'LTFP Assumptions'!$J$13)</f>
        <v>77285.656224000006</v>
      </c>
      <c r="L96" s="831">
        <f>K96*(1+'LTFP Assumptions'!$J$13)</f>
        <v>78831.369348480002</v>
      </c>
      <c r="M96" s="831">
        <f>L96*(1+'LTFP Assumptions'!$J$13)</f>
        <v>80407.996735449604</v>
      </c>
      <c r="N96" s="831">
        <f>M96*(1+'LTFP Assumptions'!$J$13)</f>
        <v>82016.156670158598</v>
      </c>
      <c r="O96" s="831">
        <f>N96*(1+'LTFP Assumptions'!$J$13)</f>
        <v>83656.479803561771</v>
      </c>
      <c r="P96" s="831">
        <f>O96*(1+'LTFP Assumptions'!$J$13)</f>
        <v>85329.609399633002</v>
      </c>
      <c r="Q96" s="831">
        <f>P96*(1+'LTFP Assumptions'!$J$13)</f>
        <v>87036.201587625663</v>
      </c>
      <c r="R96" s="831">
        <f>Q96*(1+'LTFP Assumptions'!$J$13)</f>
        <v>88776.925619378177</v>
      </c>
      <c r="S96" s="831">
        <f>R96*(1+'LTFP Assumptions'!$J$13)</f>
        <v>90552.464131765737</v>
      </c>
      <c r="T96" s="831">
        <f>S96*(1+'LTFP Assumptions'!$J$13)</f>
        <v>92363.513414401052</v>
      </c>
      <c r="U96" s="831">
        <f>T96*(1+'LTFP Assumptions'!$J$13)</f>
        <v>94210.783682689071</v>
      </c>
      <c r="V96" s="831">
        <f>U96*(1+'LTFP Assumptions'!$J$13)</f>
        <v>96094.999356342858</v>
      </c>
      <c r="W96" s="831">
        <f>V96*(1+'LTFP Assumptions'!$J$13)</f>
        <v>98016.899343469719</v>
      </c>
      <c r="X96" s="831">
        <f>W96*(1+'LTFP Assumptions'!$J$13)</f>
        <v>99977.237330339121</v>
      </c>
      <c r="Y96" s="831">
        <f>X96*(1+'LTFP Assumptions'!$J$13)</f>
        <v>101976.78207694591</v>
      </c>
    </row>
    <row r="97" spans="1:25" x14ac:dyDescent="0.25">
      <c r="A97" s="954"/>
      <c r="B97" s="957"/>
      <c r="C97" s="957"/>
      <c r="D97" s="957"/>
      <c r="E97" s="957"/>
      <c r="F97" s="958"/>
      <c r="G97" s="958"/>
      <c r="H97" s="958"/>
      <c r="I97" s="958"/>
      <c r="J97" s="958"/>
      <c r="K97" s="958"/>
      <c r="L97" s="958"/>
      <c r="M97" s="958"/>
      <c r="N97" s="958"/>
      <c r="O97" s="958"/>
      <c r="P97" s="958"/>
      <c r="Q97" s="958"/>
      <c r="R97" s="958"/>
      <c r="S97" s="958"/>
      <c r="T97" s="958"/>
      <c r="U97" s="958"/>
      <c r="V97" s="958"/>
      <c r="W97" s="958"/>
      <c r="X97" s="958"/>
      <c r="Y97" s="958"/>
    </row>
    <row r="98" spans="1:25" ht="14.4" thickBot="1" x14ac:dyDescent="0.3">
      <c r="A98" s="954"/>
      <c r="B98" s="892">
        <f>SUM(B89:B97)</f>
        <v>23771591</v>
      </c>
      <c r="C98" s="892">
        <f>SUM(C89:C97)</f>
        <v>11095402</v>
      </c>
      <c r="D98" s="892">
        <f>SUM(D89:D97)</f>
        <v>27058966.18</v>
      </c>
      <c r="E98" s="892">
        <f>SUM(E89:E97)</f>
        <v>19320924.668949999</v>
      </c>
      <c r="F98" s="959">
        <f>SUM(F89:F97)</f>
        <v>11744460.560613248</v>
      </c>
      <c r="G98" s="959">
        <f t="shared" ref="G98:I98" si="117">SUM(G89:G97)</f>
        <v>5092926.9592866804</v>
      </c>
      <c r="H98" s="959">
        <f t="shared" si="117"/>
        <v>5194785.498472414</v>
      </c>
      <c r="I98" s="959">
        <f t="shared" si="117"/>
        <v>5298681.2084418619</v>
      </c>
      <c r="J98" s="959">
        <f t="shared" ref="J98" si="118">SUM(J89:J97)</f>
        <v>5404654.8326106993</v>
      </c>
      <c r="K98" s="959">
        <f t="shared" ref="K98" si="119">SUM(K89:K97)</f>
        <v>5512747.9292629128</v>
      </c>
      <c r="L98" s="959">
        <f t="shared" ref="L98" si="120">SUM(L89:L97)</f>
        <v>5623002.8878481714</v>
      </c>
      <c r="M98" s="959">
        <f t="shared" ref="M98" si="121">SUM(M89:M97)</f>
        <v>5735462.9456051355</v>
      </c>
      <c r="N98" s="959">
        <f t="shared" ref="N98" si="122">SUM(N89:N97)</f>
        <v>5850172.2045172378</v>
      </c>
      <c r="O98" s="959">
        <f t="shared" ref="O98" si="123">SUM(O89:O97)</f>
        <v>5967175.6486075837</v>
      </c>
      <c r="P98" s="959">
        <f t="shared" ref="P98" si="124">SUM(P89:P97)</f>
        <v>6086519.1615797346</v>
      </c>
      <c r="Q98" s="959">
        <f t="shared" ref="Q98" si="125">SUM(Q89:Q97)</f>
        <v>6208249.5448113298</v>
      </c>
      <c r="R98" s="959">
        <f t="shared" ref="R98" si="126">SUM(R89:R97)</f>
        <v>6332414.5357075548</v>
      </c>
      <c r="S98" s="959">
        <f t="shared" ref="S98" si="127">SUM(S89:S97)</f>
        <v>6459062.8264217069</v>
      </c>
      <c r="T98" s="959">
        <f t="shared" ref="T98" si="128">SUM(T89:T97)</f>
        <v>6588244.0829501413</v>
      </c>
      <c r="U98" s="959">
        <f t="shared" ref="U98" si="129">SUM(U89:U97)</f>
        <v>6720008.9646091443</v>
      </c>
      <c r="V98" s="959">
        <f t="shared" ref="V98" si="130">SUM(V89:V97)</f>
        <v>6854409.1439013267</v>
      </c>
      <c r="W98" s="959">
        <f t="shared" ref="W98" si="131">SUM(W89:W97)</f>
        <v>6991497.3267793544</v>
      </c>
      <c r="X98" s="959">
        <f t="shared" ref="X98" si="132">SUM(X89:X97)</f>
        <v>7131327.2733149407</v>
      </c>
      <c r="Y98" s="959">
        <f t="shared" ref="Y98" si="133">SUM(Y89:Y97)</f>
        <v>7273953.8187812399</v>
      </c>
    </row>
    <row r="99" spans="1:25" x14ac:dyDescent="0.25">
      <c r="A99" s="954" t="s">
        <v>131</v>
      </c>
      <c r="B99" s="999"/>
      <c r="C99" s="957">
        <f>C98-C86</f>
        <v>-479534</v>
      </c>
      <c r="D99" s="957">
        <f t="shared" ref="D99:F99" si="134">D98-D86</f>
        <v>939214.37999999896</v>
      </c>
      <c r="E99" s="957">
        <f t="shared" si="134"/>
        <v>-2020120.9760500006</v>
      </c>
      <c r="F99" s="958">
        <f t="shared" si="134"/>
        <v>-2928022.6255117506</v>
      </c>
      <c r="G99" s="958">
        <f t="shared" ref="G99:I99" si="135">G98-G86</f>
        <v>-9131918.7905608211</v>
      </c>
      <c r="H99" s="958">
        <f t="shared" si="135"/>
        <v>-9267070.0463720337</v>
      </c>
      <c r="I99" s="958">
        <f t="shared" si="135"/>
        <v>-9404924.3072994761</v>
      </c>
      <c r="J99" s="958">
        <f t="shared" ref="J99:Y99" si="136">J98-J86</f>
        <v>-9606735.6334454641</v>
      </c>
      <c r="K99" s="958">
        <f t="shared" si="136"/>
        <v>-9751383.166114375</v>
      </c>
      <c r="L99" s="958">
        <f t="shared" si="136"/>
        <v>-9949923.6294366643</v>
      </c>
      <c r="M99" s="958">
        <f t="shared" si="136"/>
        <v>-10101434.882025398</v>
      </c>
      <c r="N99" s="958">
        <f t="shared" si="136"/>
        <v>-10255976.339665905</v>
      </c>
      <c r="O99" s="958">
        <f t="shared" si="136"/>
        <v>-10413608.606459225</v>
      </c>
      <c r="P99" s="958">
        <f t="shared" si="136"/>
        <v>-10574393.498588406</v>
      </c>
      <c r="Q99" s="958">
        <f t="shared" si="136"/>
        <v>-10738394.068560179</v>
      </c>
      <c r="R99" s="958">
        <f t="shared" si="136"/>
        <v>-10905674.629931387</v>
      </c>
      <c r="S99" s="958">
        <f t="shared" si="136"/>
        <v>-11076312.782530006</v>
      </c>
      <c r="T99" s="958">
        <f t="shared" si="136"/>
        <v>-11250352.438180611</v>
      </c>
      <c r="U99" s="958">
        <f t="shared" si="136"/>
        <v>-11427872.846944219</v>
      </c>
      <c r="V99" s="958">
        <f t="shared" si="136"/>
        <v>-11608943.623883106</v>
      </c>
      <c r="W99" s="958">
        <f t="shared" si="136"/>
        <v>-11793635.776360765</v>
      </c>
      <c r="X99" s="958">
        <f t="shared" si="136"/>
        <v>-11982021.731887978</v>
      </c>
      <c r="Y99" s="958">
        <f t="shared" si="136"/>
        <v>-12174175.366525741</v>
      </c>
    </row>
    <row r="100" spans="1:25" ht="14.4" thickBot="1" x14ac:dyDescent="0.3">
      <c r="A100" s="960"/>
      <c r="B100" s="961"/>
      <c r="C100" s="961"/>
      <c r="D100" s="961"/>
      <c r="E100" s="961"/>
      <c r="F100" s="962"/>
      <c r="G100" s="962"/>
      <c r="H100" s="962"/>
      <c r="I100" s="962"/>
      <c r="J100" s="962"/>
      <c r="K100" s="962"/>
      <c r="L100" s="962"/>
      <c r="M100" s="962"/>
      <c r="N100" s="962"/>
      <c r="O100" s="962"/>
      <c r="P100" s="962"/>
      <c r="Q100" s="962"/>
      <c r="R100" s="962"/>
      <c r="S100" s="962"/>
      <c r="T100" s="962"/>
      <c r="U100" s="962"/>
      <c r="V100" s="962"/>
      <c r="W100" s="962"/>
      <c r="X100" s="962"/>
      <c r="Y100" s="962"/>
    </row>
    <row r="102" spans="1:25" s="221" customFormat="1" ht="14.4" x14ac:dyDescent="0.3">
      <c r="A102" s="1248" t="s">
        <v>1325</v>
      </c>
      <c r="B102" s="1155"/>
      <c r="C102" s="1155"/>
      <c r="D102" s="1155"/>
      <c r="E102" s="1155"/>
      <c r="F102" s="1155"/>
      <c r="G102" s="1155"/>
      <c r="H102" s="1155"/>
    </row>
    <row r="103" spans="1:25" s="221" customFormat="1" ht="14.4" x14ac:dyDescent="0.3">
      <c r="A103" s="1155"/>
      <c r="B103" s="1155"/>
      <c r="C103" s="1156"/>
      <c r="D103" s="1156"/>
      <c r="E103" s="1157"/>
      <c r="F103" s="1157"/>
      <c r="G103" s="1157"/>
      <c r="H103" s="1157"/>
    </row>
    <row r="104" spans="1:25" s="221" customFormat="1" ht="14.4" x14ac:dyDescent="0.3">
      <c r="A104" s="1158" t="s">
        <v>1164</v>
      </c>
      <c r="B104" s="1158" t="s">
        <v>1374</v>
      </c>
      <c r="C104" s="1159"/>
      <c r="D104" s="1157"/>
      <c r="E104" s="1157"/>
      <c r="F104" s="1157"/>
      <c r="G104" s="1157"/>
      <c r="H104" s="1157"/>
    </row>
    <row r="105" spans="1:25" s="221" customFormat="1" ht="14.4" x14ac:dyDescent="0.3">
      <c r="A105" s="1158" t="s">
        <v>1166</v>
      </c>
      <c r="B105" s="1158" t="str">
        <f>B104</f>
        <v>Consolidated General, Water, Sewer and Commercial Buildings Funds</v>
      </c>
      <c r="C105" s="1159"/>
      <c r="D105" s="1157"/>
      <c r="E105" s="1157"/>
      <c r="F105" s="1157"/>
      <c r="G105" s="1157"/>
      <c r="H105" s="1157"/>
    </row>
    <row r="106" spans="1:25" s="221" customFormat="1" ht="14.4" x14ac:dyDescent="0.3">
      <c r="A106" s="1158"/>
      <c r="B106" s="513"/>
      <c r="C106" s="1157"/>
      <c r="D106" s="1157"/>
      <c r="E106" s="1157"/>
      <c r="F106" s="1157"/>
      <c r="G106" s="1157"/>
      <c r="H106" s="1157"/>
    </row>
    <row r="107" spans="1:25" s="221" customFormat="1" ht="14.4" x14ac:dyDescent="0.3">
      <c r="A107" s="1155" t="s">
        <v>1326</v>
      </c>
      <c r="B107" s="1155"/>
      <c r="C107" s="1155"/>
      <c r="D107" s="1155"/>
      <c r="E107" s="1155"/>
      <c r="F107" s="1155"/>
      <c r="G107" s="1155"/>
      <c r="H107" s="1155"/>
    </row>
    <row r="108" spans="1:25" s="221" customFormat="1" ht="14.4" x14ac:dyDescent="0.3">
      <c r="C108" s="1157"/>
      <c r="D108" s="1157"/>
      <c r="E108" s="1160"/>
      <c r="F108" s="1160"/>
      <c r="G108" s="1157"/>
      <c r="H108" s="1157"/>
    </row>
    <row r="109" spans="1:25" s="221" customFormat="1" ht="53.4" x14ac:dyDescent="0.3">
      <c r="A109" s="221" t="s">
        <v>1091</v>
      </c>
      <c r="B109" s="1161"/>
      <c r="C109" s="1162" t="s">
        <v>1093</v>
      </c>
      <c r="D109" s="1162" t="s">
        <v>1094</v>
      </c>
      <c r="E109" s="1163" t="s">
        <v>1095</v>
      </c>
      <c r="F109" s="1163" t="s">
        <v>1096</v>
      </c>
      <c r="G109" s="1164" t="s">
        <v>1097</v>
      </c>
      <c r="H109" s="1164" t="s">
        <v>1098</v>
      </c>
    </row>
    <row r="110" spans="1:25" s="221" customFormat="1" ht="14.4" x14ac:dyDescent="0.3">
      <c r="A110" s="1165" t="s">
        <v>931</v>
      </c>
      <c r="B110" s="1166"/>
      <c r="C110" s="1167">
        <v>-974044</v>
      </c>
      <c r="D110" s="1167">
        <v>0</v>
      </c>
      <c r="E110" s="1167">
        <v>-542099</v>
      </c>
      <c r="F110" s="1167">
        <v>-517522</v>
      </c>
      <c r="G110" s="1167">
        <v>-911114</v>
      </c>
      <c r="H110" s="1168">
        <v>-508702</v>
      </c>
    </row>
    <row r="111" spans="1:25" s="221" customFormat="1" ht="14.4" x14ac:dyDescent="0.3">
      <c r="A111" s="1165" t="s">
        <v>244</v>
      </c>
      <c r="B111" s="1166"/>
      <c r="C111" s="1168">
        <v>-1654007</v>
      </c>
      <c r="D111" s="1168">
        <v>0</v>
      </c>
      <c r="E111" s="1168">
        <v>-2081967</v>
      </c>
      <c r="F111" s="1168">
        <v>-2136746.0099999998</v>
      </c>
      <c r="G111" s="1168">
        <v>-2193168.3903000001</v>
      </c>
      <c r="H111" s="1168">
        <v>-2251283.4420090001</v>
      </c>
    </row>
    <row r="112" spans="1:25" s="221" customFormat="1" ht="14.4" x14ac:dyDescent="0.3">
      <c r="A112" s="1165" t="s">
        <v>1085</v>
      </c>
      <c r="B112" s="1166"/>
      <c r="C112" s="1168">
        <v>-2226000</v>
      </c>
      <c r="D112" s="1168">
        <v>0</v>
      </c>
      <c r="E112" s="1168">
        <v>-9381000</v>
      </c>
      <c r="F112" s="1168">
        <v>-741000</v>
      </c>
      <c r="G112" s="1168">
        <v>-741000</v>
      </c>
      <c r="H112" s="1168">
        <v>-741000</v>
      </c>
    </row>
    <row r="113" spans="1:8" s="221" customFormat="1" ht="14.4" x14ac:dyDescent="0.3">
      <c r="A113" s="1165" t="s">
        <v>1086</v>
      </c>
      <c r="B113" s="1166"/>
      <c r="C113" s="1168">
        <v>-78000</v>
      </c>
      <c r="D113" s="1168">
        <v>0</v>
      </c>
      <c r="E113" s="1168">
        <v>-65000</v>
      </c>
      <c r="F113" s="1168">
        <v>-66625</v>
      </c>
      <c r="G113" s="1168">
        <v>-68290.625</v>
      </c>
      <c r="H113" s="1168">
        <v>-69997.890625</v>
      </c>
    </row>
    <row r="114" spans="1:8" s="221" customFormat="1" ht="14.4" x14ac:dyDescent="0.3">
      <c r="A114" s="1165" t="s">
        <v>584</v>
      </c>
      <c r="B114" s="1166"/>
      <c r="C114" s="1168">
        <v>-11286985</v>
      </c>
      <c r="D114" s="1168">
        <v>0</v>
      </c>
      <c r="E114" s="1168">
        <v>-10148165</v>
      </c>
      <c r="F114" s="1168">
        <v>-10497301.17</v>
      </c>
      <c r="G114" s="1168">
        <v>-10864801.653649999</v>
      </c>
      <c r="H114" s="1168">
        <v>-11234334.227979248</v>
      </c>
    </row>
    <row r="115" spans="1:8" s="221" customFormat="1" ht="14.4" x14ac:dyDescent="0.3">
      <c r="A115" s="1165" t="s">
        <v>22</v>
      </c>
      <c r="B115" s="1166"/>
      <c r="C115" s="1168">
        <v>-7989606</v>
      </c>
      <c r="D115" s="1168">
        <v>0</v>
      </c>
      <c r="E115" s="1168">
        <v>-2702262</v>
      </c>
      <c r="F115" s="1168">
        <v>-13251865</v>
      </c>
      <c r="G115" s="1168">
        <v>-2276472</v>
      </c>
      <c r="H115" s="1168">
        <v>-1387239</v>
      </c>
    </row>
    <row r="116" spans="1:8" s="221" customFormat="1" ht="14.4" x14ac:dyDescent="0.3">
      <c r="A116" s="1165" t="s">
        <v>1099</v>
      </c>
      <c r="B116" s="1166"/>
      <c r="C116" s="1168">
        <v>-19756000</v>
      </c>
      <c r="D116" s="1168">
        <v>0</v>
      </c>
      <c r="E116" s="1168">
        <v>-17356182</v>
      </c>
      <c r="F116" s="1168">
        <v>-3500000</v>
      </c>
      <c r="G116" s="1168">
        <v>-7500000</v>
      </c>
      <c r="H116" s="1168">
        <v>0</v>
      </c>
    </row>
    <row r="117" spans="1:8" s="221" customFormat="1" ht="14.4" x14ac:dyDescent="0.3">
      <c r="A117" s="1165" t="s">
        <v>950</v>
      </c>
      <c r="B117" s="1166"/>
      <c r="C117" s="1168">
        <v>-70000</v>
      </c>
      <c r="D117" s="1168">
        <v>0</v>
      </c>
      <c r="E117" s="1168">
        <v>-70000</v>
      </c>
      <c r="F117" s="1168">
        <v>-70000</v>
      </c>
      <c r="G117" s="1168">
        <v>-70000</v>
      </c>
      <c r="H117" s="1168">
        <v>-70000</v>
      </c>
    </row>
    <row r="118" spans="1:8" s="221" customFormat="1" ht="14.4" x14ac:dyDescent="0.3">
      <c r="B118" s="1169"/>
      <c r="C118" s="1151"/>
      <c r="D118" s="1157"/>
      <c r="E118" s="1160"/>
      <c r="F118" s="1160"/>
      <c r="G118" s="1157"/>
      <c r="H118" s="1157"/>
    </row>
    <row r="119" spans="1:8" s="221" customFormat="1" ht="14.4" x14ac:dyDescent="0.3">
      <c r="A119" s="1200" t="s">
        <v>1100</v>
      </c>
      <c r="B119" s="1170"/>
      <c r="C119" s="1150">
        <v>-44034642</v>
      </c>
      <c r="D119" s="1171">
        <v>0</v>
      </c>
      <c r="E119" s="1171">
        <v>-42346675</v>
      </c>
      <c r="F119" s="1171">
        <v>-30781059.18</v>
      </c>
      <c r="G119" s="1150">
        <v>-24624846.668949999</v>
      </c>
      <c r="H119" s="1150">
        <v>-16262556.560613248</v>
      </c>
    </row>
    <row r="120" spans="1:8" s="221" customFormat="1" ht="14.4" x14ac:dyDescent="0.3">
      <c r="B120" s="25"/>
      <c r="C120" s="1151"/>
      <c r="D120" s="1157"/>
      <c r="E120" s="1160"/>
      <c r="F120" s="1160"/>
      <c r="G120" s="1157"/>
      <c r="H120" s="1157"/>
    </row>
    <row r="121" spans="1:8" s="221" customFormat="1" ht="53.4" x14ac:dyDescent="0.3">
      <c r="A121" s="221" t="s">
        <v>30</v>
      </c>
      <c r="B121" s="1172"/>
      <c r="C121" s="1162" t="s">
        <v>1093</v>
      </c>
      <c r="D121" s="1162" t="s">
        <v>1094</v>
      </c>
      <c r="E121" s="1163" t="s">
        <v>1095</v>
      </c>
      <c r="F121" s="1163" t="s">
        <v>1096</v>
      </c>
      <c r="G121" s="1163" t="s">
        <v>1097</v>
      </c>
      <c r="H121" s="1164" t="s">
        <v>1098</v>
      </c>
    </row>
    <row r="122" spans="1:8" s="221" customFormat="1" ht="14.4" x14ac:dyDescent="0.3">
      <c r="A122" s="1165" t="s">
        <v>1101</v>
      </c>
      <c r="B122" s="1166"/>
      <c r="C122" s="1168">
        <v>40805422</v>
      </c>
      <c r="D122" s="1168">
        <v>0</v>
      </c>
      <c r="E122" s="1167">
        <v>38853812</v>
      </c>
      <c r="F122" s="1167">
        <v>27326101.800000001</v>
      </c>
      <c r="G122" s="1167">
        <v>20885762.645</v>
      </c>
      <c r="H122" s="1168">
        <v>12208614.186124999</v>
      </c>
    </row>
    <row r="123" spans="1:8" s="221" customFormat="1" ht="14.4" x14ac:dyDescent="0.3">
      <c r="A123" s="1165" t="s">
        <v>1083</v>
      </c>
      <c r="B123" s="1166"/>
      <c r="C123" s="1168">
        <v>1248338</v>
      </c>
      <c r="D123" s="1168">
        <v>0</v>
      </c>
      <c r="E123" s="1167">
        <v>1248578</v>
      </c>
      <c r="F123" s="1167">
        <v>1136804</v>
      </c>
      <c r="G123" s="1167">
        <v>1103403</v>
      </c>
      <c r="H123" s="1168">
        <v>1258447</v>
      </c>
    </row>
    <row r="124" spans="1:8" s="221" customFormat="1" ht="14.4" x14ac:dyDescent="0.3">
      <c r="A124" s="1173" t="s">
        <v>1089</v>
      </c>
      <c r="B124" s="1166"/>
      <c r="C124" s="1168">
        <v>1950882</v>
      </c>
      <c r="D124" s="1168">
        <v>0</v>
      </c>
      <c r="E124" s="1167">
        <v>2244285</v>
      </c>
      <c r="F124" s="1167">
        <v>2318163.0099999998</v>
      </c>
      <c r="G124" s="1167">
        <v>2635681.3903000001</v>
      </c>
      <c r="H124" s="1168">
        <v>2795555.4420090001</v>
      </c>
    </row>
    <row r="125" spans="1:8" s="221" customFormat="1" ht="14.4" x14ac:dyDescent="0.3">
      <c r="B125" s="25"/>
      <c r="C125" s="1151"/>
      <c r="D125" s="1157"/>
      <c r="E125" s="1160"/>
      <c r="F125" s="1160"/>
      <c r="G125" s="1160"/>
      <c r="H125" s="1160"/>
    </row>
    <row r="126" spans="1:8" s="221" customFormat="1" ht="14.4" x14ac:dyDescent="0.3">
      <c r="A126" s="1200" t="s">
        <v>910</v>
      </c>
      <c r="B126" s="1170"/>
      <c r="C126" s="1150">
        <v>44004642</v>
      </c>
      <c r="D126" s="1171">
        <v>0</v>
      </c>
      <c r="E126" s="1171">
        <v>42346675</v>
      </c>
      <c r="F126" s="1171">
        <v>30781068.810000002</v>
      </c>
      <c r="G126" s="1171">
        <v>24624847.035300002</v>
      </c>
      <c r="H126" s="1150">
        <v>16262616.628133999</v>
      </c>
    </row>
    <row r="127" spans="1:8" s="221" customFormat="1" ht="14.4" x14ac:dyDescent="0.3">
      <c r="B127" s="25"/>
      <c r="C127" s="1151"/>
      <c r="D127" s="1157"/>
      <c r="E127" s="1160"/>
      <c r="F127" s="1160"/>
      <c r="G127" s="1157"/>
      <c r="H127" s="1157"/>
    </row>
    <row r="128" spans="1:8" s="221" customFormat="1" ht="14.4" x14ac:dyDescent="0.3">
      <c r="A128" s="1247" t="s">
        <v>1102</v>
      </c>
      <c r="B128" s="1170"/>
      <c r="C128" s="1150">
        <v>-30000</v>
      </c>
      <c r="D128" s="1171">
        <v>0</v>
      </c>
      <c r="E128" s="1171">
        <v>0</v>
      </c>
      <c r="F128" s="1171">
        <v>9.630000002682209</v>
      </c>
      <c r="G128" s="1150">
        <v>0.36635000258684158</v>
      </c>
      <c r="H128" s="1150">
        <v>60.067520750686526</v>
      </c>
    </row>
    <row r="129" spans="1:27" s="221" customFormat="1" ht="14.4" x14ac:dyDescent="0.3">
      <c r="D129" s="1157"/>
      <c r="E129" s="1157"/>
      <c r="F129" s="1160"/>
      <c r="G129" s="1160"/>
      <c r="H129" s="1157"/>
      <c r="I129" s="1157"/>
    </row>
    <row r="130" spans="1:27" x14ac:dyDescent="0.25">
      <c r="A130" s="1593" t="s">
        <v>1325</v>
      </c>
      <c r="B130" s="1593"/>
      <c r="C130" s="1593"/>
      <c r="D130" s="1593"/>
      <c r="E130" s="1593"/>
      <c r="F130" s="1593"/>
      <c r="G130" s="1593"/>
      <c r="H130" s="1593"/>
      <c r="I130" s="1593"/>
    </row>
    <row r="131" spans="1:27" x14ac:dyDescent="0.25">
      <c r="A131" s="969"/>
      <c r="B131" s="969"/>
      <c r="C131" s="969"/>
      <c r="D131" s="969"/>
      <c r="E131" s="969"/>
      <c r="F131" s="967"/>
      <c r="G131" s="967"/>
      <c r="H131" s="967"/>
      <c r="I131" s="967"/>
    </row>
    <row r="132" spans="1:27" ht="15.6" x14ac:dyDescent="0.3">
      <c r="A132" s="970"/>
      <c r="B132" s="970"/>
      <c r="C132" s="1594" t="s">
        <v>1079</v>
      </c>
      <c r="D132" s="1594"/>
      <c r="E132" s="1594"/>
      <c r="F132" s="967"/>
      <c r="G132" s="967"/>
      <c r="H132" s="967"/>
      <c r="I132" s="967"/>
    </row>
    <row r="133" spans="1:27" x14ac:dyDescent="0.25">
      <c r="A133" s="1593" t="s">
        <v>1326</v>
      </c>
      <c r="B133" s="1593"/>
      <c r="C133" s="1593"/>
      <c r="D133" s="1593"/>
      <c r="E133" s="1593"/>
      <c r="F133" s="1593"/>
      <c r="G133" s="1593"/>
      <c r="H133" s="1593"/>
      <c r="I133" s="1593"/>
    </row>
    <row r="134" spans="1:27" ht="14.4" thickBot="1" x14ac:dyDescent="0.3"/>
    <row r="135" spans="1:27" ht="52.8" x14ac:dyDescent="0.25">
      <c r="A135" s="967" t="s">
        <v>1091</v>
      </c>
      <c r="B135" s="967"/>
      <c r="C135" s="985" t="s">
        <v>1093</v>
      </c>
      <c r="D135" s="985" t="s">
        <v>1094</v>
      </c>
      <c r="E135" s="988" t="s">
        <v>1095</v>
      </c>
      <c r="F135" s="988" t="s">
        <v>1096</v>
      </c>
      <c r="G135" s="989" t="s">
        <v>1097</v>
      </c>
      <c r="H135" s="989" t="s">
        <v>1098</v>
      </c>
      <c r="I135" s="1361" t="s">
        <v>8</v>
      </c>
      <c r="J135" s="946" t="s">
        <v>9</v>
      </c>
      <c r="K135" s="946" t="s">
        <v>514</v>
      </c>
      <c r="L135" s="946" t="s">
        <v>515</v>
      </c>
      <c r="M135" s="946" t="s">
        <v>904</v>
      </c>
      <c r="N135" s="946" t="s">
        <v>1046</v>
      </c>
      <c r="O135" s="946" t="s">
        <v>1424</v>
      </c>
      <c r="P135" s="946" t="s">
        <v>1425</v>
      </c>
      <c r="Q135" s="946" t="s">
        <v>1426</v>
      </c>
      <c r="R135" s="946" t="s">
        <v>1427</v>
      </c>
      <c r="S135" s="946" t="s">
        <v>1428</v>
      </c>
      <c r="T135" s="946" t="s">
        <v>1429</v>
      </c>
      <c r="U135" s="946" t="s">
        <v>1430</v>
      </c>
      <c r="V135" s="946" t="s">
        <v>1433</v>
      </c>
      <c r="W135" s="946" t="s">
        <v>1434</v>
      </c>
      <c r="X135" s="946" t="s">
        <v>1435</v>
      </c>
      <c r="Y135" s="946" t="s">
        <v>1436</v>
      </c>
      <c r="Z135" s="946" t="s">
        <v>1437</v>
      </c>
      <c r="AA135" s="946" t="s">
        <v>1432</v>
      </c>
    </row>
    <row r="136" spans="1:27" x14ac:dyDescent="0.25">
      <c r="A136" s="968" t="s">
        <v>931</v>
      </c>
      <c r="B136" s="998"/>
      <c r="C136" s="979">
        <v>97875</v>
      </c>
      <c r="D136" s="979">
        <v>0</v>
      </c>
      <c r="E136" s="979">
        <v>-61191</v>
      </c>
      <c r="F136" s="978">
        <v>-459591</v>
      </c>
      <c r="G136" s="982">
        <v>-794169</v>
      </c>
      <c r="H136" s="978">
        <v>-287286</v>
      </c>
      <c r="I136" s="1362"/>
    </row>
    <row r="137" spans="1:27" x14ac:dyDescent="0.25">
      <c r="A137" s="968" t="s">
        <v>244</v>
      </c>
      <c r="B137" s="998"/>
      <c r="C137" s="979">
        <v>-1554007</v>
      </c>
      <c r="D137" s="979">
        <v>0</v>
      </c>
      <c r="E137" s="979">
        <v>-1981967</v>
      </c>
      <c r="F137" s="979">
        <v>-2036746.01</v>
      </c>
      <c r="G137" s="979">
        <v>-2093168.3903000001</v>
      </c>
      <c r="H137" s="974">
        <v>-2151283.4420090001</v>
      </c>
      <c r="I137" s="831">
        <f>H137*(1+'LTFP Assumptions'!$J$13)</f>
        <v>-2194309.1108491803</v>
      </c>
      <c r="J137" s="831">
        <f>I137*(1+'LTFP Assumptions'!$J$13)</f>
        <v>-2238195.293066164</v>
      </c>
      <c r="K137" s="831">
        <f>J137*(1+'LTFP Assumptions'!$J$13)</f>
        <v>-2282959.1989274872</v>
      </c>
      <c r="L137" s="831">
        <f>K137*(1+'LTFP Assumptions'!$J$13)</f>
        <v>-2328618.3829060369</v>
      </c>
      <c r="M137" s="831">
        <f>L137*(1+'LTFP Assumptions'!$J$13)</f>
        <v>-2375190.7505641575</v>
      </c>
      <c r="N137" s="831">
        <f>M137*(1+'LTFP Assumptions'!$J$13)</f>
        <v>-2422694.5655754409</v>
      </c>
      <c r="O137" s="831">
        <f>N137*(1+'LTFP Assumptions'!$J$13)</f>
        <v>-2471148.4568869499</v>
      </c>
      <c r="P137" s="831">
        <f>O137*(1+'LTFP Assumptions'!$J$13)</f>
        <v>-2520571.4260246889</v>
      </c>
      <c r="Q137" s="831">
        <f>P137*(1+'LTFP Assumptions'!$J$13)</f>
        <v>-2570982.8545451825</v>
      </c>
      <c r="R137" s="831">
        <f>Q137*(1+'LTFP Assumptions'!$J$13)</f>
        <v>-2622402.5116360863</v>
      </c>
      <c r="S137" s="831">
        <f>R137*(1+'LTFP Assumptions'!$J$13)</f>
        <v>-2674850.5618688082</v>
      </c>
      <c r="T137" s="831">
        <f>S137*(1+'LTFP Assumptions'!$J$13)</f>
        <v>-2728347.5731061846</v>
      </c>
      <c r="U137" s="831">
        <f>T137*(1+'LTFP Assumptions'!$J$13)</f>
        <v>-2782914.5245683081</v>
      </c>
      <c r="V137" s="831">
        <f>U137*(1+'LTFP Assumptions'!$J$13)</f>
        <v>-2838572.8150596744</v>
      </c>
      <c r="W137" s="831">
        <f>V137*(1+'LTFP Assumptions'!$J$13)</f>
        <v>-2895344.2713608681</v>
      </c>
      <c r="X137" s="831">
        <f>W137*(1+'LTFP Assumptions'!$J$13)</f>
        <v>-2953251.1567880856</v>
      </c>
      <c r="Y137" s="831">
        <f>X137*(1+'LTFP Assumptions'!$J$13)</f>
        <v>-3012316.1799238473</v>
      </c>
      <c r="Z137" s="831">
        <f>Y137*(1+'LTFP Assumptions'!$J$13)</f>
        <v>-3072562.5035223244</v>
      </c>
      <c r="AA137" s="831">
        <f>Z137*(1+'LTFP Assumptions'!$J$13)</f>
        <v>-3134013.753592771</v>
      </c>
    </row>
    <row r="138" spans="1:27" x14ac:dyDescent="0.25">
      <c r="A138" s="968" t="s">
        <v>1085</v>
      </c>
      <c r="B138" s="998"/>
      <c r="C138" s="982">
        <v>-1266000</v>
      </c>
      <c r="D138" s="982">
        <v>0</v>
      </c>
      <c r="E138" s="982">
        <v>-741000</v>
      </c>
      <c r="F138" s="982">
        <v>-741000</v>
      </c>
      <c r="G138" s="982">
        <v>-741000</v>
      </c>
      <c r="H138" s="978">
        <v>-741000</v>
      </c>
      <c r="I138" s="831">
        <f>H138*(1+'LTFP Assumptions'!$J$13)</f>
        <v>-755820</v>
      </c>
      <c r="J138" s="831">
        <f>I138*(1+'LTFP Assumptions'!$J$13)</f>
        <v>-770936.4</v>
      </c>
      <c r="K138" s="831">
        <f>J138*(1+'LTFP Assumptions'!$J$13)</f>
        <v>-786355.12800000003</v>
      </c>
      <c r="L138" s="831">
        <f>K138*(1+'LTFP Assumptions'!$J$13)</f>
        <v>-802082.23056000005</v>
      </c>
      <c r="M138" s="831">
        <f>L138*(1+'LTFP Assumptions'!$J$13)</f>
        <v>-818123.87517120002</v>
      </c>
      <c r="N138" s="831">
        <f>M138*(1+'LTFP Assumptions'!$J$13)</f>
        <v>-834486.35267462407</v>
      </c>
      <c r="O138" s="831">
        <f>N138*(1+'LTFP Assumptions'!$J$13)</f>
        <v>-851176.07972811651</v>
      </c>
      <c r="P138" s="831">
        <f>O138*(1+'LTFP Assumptions'!$J$13)</f>
        <v>-868199.60132267885</v>
      </c>
      <c r="Q138" s="831">
        <f>P138*(1+'LTFP Assumptions'!$J$13)</f>
        <v>-885563.59334913245</v>
      </c>
      <c r="R138" s="831">
        <f>Q138*(1+'LTFP Assumptions'!$J$13)</f>
        <v>-903274.86521611514</v>
      </c>
      <c r="S138" s="831">
        <f>R138*(1+'LTFP Assumptions'!$J$13)</f>
        <v>-921340.36252043745</v>
      </c>
      <c r="T138" s="831">
        <f>S138*(1+'LTFP Assumptions'!$J$13)</f>
        <v>-939767.16977084626</v>
      </c>
      <c r="U138" s="831">
        <f>T138*(1+'LTFP Assumptions'!$J$13)</f>
        <v>-958562.51316626323</v>
      </c>
      <c r="V138" s="831">
        <f>U138*(1+'LTFP Assumptions'!$J$13)</f>
        <v>-977733.76342958852</v>
      </c>
      <c r="W138" s="831">
        <f>V138*(1+'LTFP Assumptions'!$J$13)</f>
        <v>-997288.43869818025</v>
      </c>
      <c r="X138" s="831">
        <f>W138*(1+'LTFP Assumptions'!$J$13)</f>
        <v>-1017234.2074721439</v>
      </c>
      <c r="Y138" s="831">
        <f>X138*(1+'LTFP Assumptions'!$J$13)</f>
        <v>-1037578.8916215869</v>
      </c>
      <c r="Z138" s="831">
        <f>Y138*(1+'LTFP Assumptions'!$J$13)</f>
        <v>-1058330.4694540186</v>
      </c>
      <c r="AA138" s="831">
        <f>Z138*(1+'LTFP Assumptions'!$J$13)</f>
        <v>-1079497.0788430991</v>
      </c>
    </row>
    <row r="139" spans="1:27" x14ac:dyDescent="0.25">
      <c r="A139" s="968" t="s">
        <v>1086</v>
      </c>
      <c r="B139" s="998"/>
      <c r="C139" s="982">
        <v>-78000</v>
      </c>
      <c r="D139" s="982">
        <v>0</v>
      </c>
      <c r="E139" s="982">
        <v>-65000</v>
      </c>
      <c r="F139" s="982">
        <v>-66625</v>
      </c>
      <c r="G139" s="982">
        <v>-68290.625</v>
      </c>
      <c r="H139" s="978">
        <v>-69997.890625</v>
      </c>
      <c r="I139" s="831">
        <f>H139*(1+'LTFP Assumptions'!$J$13)</f>
        <v>-71397.848437499997</v>
      </c>
      <c r="J139" s="831">
        <f>I139*(1+'LTFP Assumptions'!$J$13)</f>
        <v>-72825.805406250001</v>
      </c>
      <c r="K139" s="831">
        <f>J139*(1+'LTFP Assumptions'!$J$13)</f>
        <v>-74282.321514374999</v>
      </c>
      <c r="L139" s="831">
        <f>K139*(1+'LTFP Assumptions'!$J$13)</f>
        <v>-75767.967944662494</v>
      </c>
      <c r="M139" s="831">
        <f>L139*(1+'LTFP Assumptions'!$J$13)</f>
        <v>-77283.32730355575</v>
      </c>
      <c r="N139" s="831">
        <f>M139*(1+'LTFP Assumptions'!$J$13)</f>
        <v>-78828.993849626873</v>
      </c>
      <c r="O139" s="831">
        <f>N139*(1+'LTFP Assumptions'!$J$13)</f>
        <v>-80405.573726619419</v>
      </c>
      <c r="P139" s="831">
        <f>O139*(1+'LTFP Assumptions'!$J$13)</f>
        <v>-82013.685201151806</v>
      </c>
      <c r="Q139" s="831">
        <f>P139*(1+'LTFP Assumptions'!$J$13)</f>
        <v>-83653.958905174848</v>
      </c>
      <c r="R139" s="831">
        <f>Q139*(1+'LTFP Assumptions'!$J$13)</f>
        <v>-85327.038083278341</v>
      </c>
      <c r="S139" s="831">
        <f>R139*(1+'LTFP Assumptions'!$J$13)</f>
        <v>-87033.578844943913</v>
      </c>
      <c r="T139" s="831">
        <f>S139*(1+'LTFP Assumptions'!$J$13)</f>
        <v>-88774.250421842793</v>
      </c>
      <c r="U139" s="831">
        <f>T139*(1+'LTFP Assumptions'!$J$13)</f>
        <v>-90549.735430279645</v>
      </c>
      <c r="V139" s="831">
        <f>U139*(1+'LTFP Assumptions'!$J$13)</f>
        <v>-92360.730138885236</v>
      </c>
      <c r="W139" s="831">
        <f>V139*(1+'LTFP Assumptions'!$J$13)</f>
        <v>-94207.944741662941</v>
      </c>
      <c r="X139" s="831">
        <f>W139*(1+'LTFP Assumptions'!$J$13)</f>
        <v>-96092.103636496206</v>
      </c>
      <c r="Y139" s="831">
        <f>X139*(1+'LTFP Assumptions'!$J$13)</f>
        <v>-98013.945709226129</v>
      </c>
      <c r="Z139" s="831">
        <f>Y139*(1+'LTFP Assumptions'!$J$13)</f>
        <v>-99974.224623410657</v>
      </c>
      <c r="AA139" s="831">
        <f>Z139*(1+'LTFP Assumptions'!$J$13)</f>
        <v>-101973.70911587887</v>
      </c>
    </row>
    <row r="140" spans="1:27" x14ac:dyDescent="0.25">
      <c r="A140" s="968" t="s">
        <v>584</v>
      </c>
      <c r="B140" s="998"/>
      <c r="C140" s="982">
        <v>-8510646</v>
      </c>
      <c r="D140" s="982">
        <v>0</v>
      </c>
      <c r="E140" s="982">
        <v>-7355778</v>
      </c>
      <c r="F140" s="982">
        <v>-7480789.1699999999</v>
      </c>
      <c r="G140" s="982">
        <v>-7794117.6536499988</v>
      </c>
      <c r="H140" s="978">
        <v>-8107010.2279792484</v>
      </c>
      <c r="I140" s="1357"/>
      <c r="J140" s="1357"/>
      <c r="K140" s="1357"/>
      <c r="L140" s="1357"/>
      <c r="M140" s="1357"/>
      <c r="N140" s="1357"/>
      <c r="O140" s="1357"/>
      <c r="P140" s="1357"/>
      <c r="Q140" s="1357"/>
      <c r="R140" s="1357"/>
      <c r="S140" s="1357"/>
      <c r="T140" s="1357"/>
      <c r="U140" s="1357"/>
      <c r="V140" s="1357"/>
      <c r="W140" s="1357"/>
      <c r="X140" s="1357"/>
      <c r="Y140" s="1357"/>
      <c r="Z140" s="1357"/>
      <c r="AA140" s="1357"/>
    </row>
    <row r="141" spans="1:27" x14ac:dyDescent="0.25">
      <c r="A141" s="968" t="s">
        <v>22</v>
      </c>
      <c r="B141" s="998"/>
      <c r="C141" s="982">
        <v>-2262938</v>
      </c>
      <c r="D141" s="982">
        <v>0</v>
      </c>
      <c r="E141" s="982">
        <v>-550000</v>
      </c>
      <c r="F141" s="982">
        <v>-11000000</v>
      </c>
      <c r="G141" s="982">
        <v>0</v>
      </c>
      <c r="H141" s="978">
        <v>0</v>
      </c>
      <c r="I141" s="1445">
        <f>-G94</f>
        <v>-2000000</v>
      </c>
      <c r="J141" s="831">
        <f>I141*(1+'LTFP Assumptions'!$J$13)</f>
        <v>-2040000</v>
      </c>
      <c r="K141" s="831">
        <f>J141*(1+'LTFP Assumptions'!$J$13)</f>
        <v>-2080800</v>
      </c>
      <c r="L141" s="831">
        <f>K141*(1+'LTFP Assumptions'!$J$13)</f>
        <v>-2122416</v>
      </c>
      <c r="M141" s="831">
        <f>L141*(1+'LTFP Assumptions'!$J$13)</f>
        <v>-2164864.3199999998</v>
      </c>
      <c r="N141" s="831">
        <f>M141*(1+'LTFP Assumptions'!$J$13)</f>
        <v>-2208161.6063999999</v>
      </c>
      <c r="O141" s="831">
        <f>N141*(1+'LTFP Assumptions'!$J$13)</f>
        <v>-2252324.8385279998</v>
      </c>
      <c r="P141" s="831">
        <f>O141*(1+'LTFP Assumptions'!$J$13)</f>
        <v>-2297371.3352985596</v>
      </c>
      <c r="Q141" s="831">
        <f>P141*(1+'LTFP Assumptions'!$J$13)</f>
        <v>-2343318.762004531</v>
      </c>
      <c r="R141" s="831">
        <f>Q141*(1+'LTFP Assumptions'!$J$13)</f>
        <v>-2390185.1372446218</v>
      </c>
      <c r="S141" s="831">
        <f>R141*(1+'LTFP Assumptions'!$J$13)</f>
        <v>-2437988.8399895141</v>
      </c>
      <c r="T141" s="831">
        <f>S141*(1+'LTFP Assumptions'!$J$13)</f>
        <v>-2486748.6167893042</v>
      </c>
      <c r="U141" s="831">
        <f>T141*(1+'LTFP Assumptions'!$J$13)</f>
        <v>-2536483.5891250903</v>
      </c>
      <c r="V141" s="831">
        <f>U141*(1+'LTFP Assumptions'!$J$13)</f>
        <v>-2587213.2609075923</v>
      </c>
      <c r="W141" s="831">
        <f>V141*(1+'LTFP Assumptions'!$J$13)</f>
        <v>-2638957.526125744</v>
      </c>
      <c r="X141" s="831">
        <f>W141*(1+'LTFP Assumptions'!$J$13)</f>
        <v>-2691736.6766482587</v>
      </c>
      <c r="Y141" s="831">
        <f>X141*(1+'LTFP Assumptions'!$J$13)</f>
        <v>-2745571.4101812239</v>
      </c>
      <c r="Z141" s="831">
        <f>Y141*(1+'LTFP Assumptions'!$J$13)</f>
        <v>-2800482.8383848486</v>
      </c>
      <c r="AA141" s="831">
        <f>Z141*(1+'LTFP Assumptions'!$J$13)</f>
        <v>-2856492.4951525456</v>
      </c>
    </row>
    <row r="142" spans="1:27" x14ac:dyDescent="0.25">
      <c r="A142" s="968" t="s">
        <v>1099</v>
      </c>
      <c r="B142" s="998"/>
      <c r="C142" s="982">
        <v>0</v>
      </c>
      <c r="D142" s="982">
        <v>0</v>
      </c>
      <c r="E142" s="982">
        <v>0</v>
      </c>
      <c r="F142" s="982">
        <v>-3500000</v>
      </c>
      <c r="G142" s="982">
        <v>-7500000</v>
      </c>
      <c r="H142" s="978">
        <v>0</v>
      </c>
      <c r="I142" s="1357"/>
      <c r="J142" s="1357"/>
      <c r="K142" s="1357"/>
      <c r="L142" s="1357"/>
      <c r="M142" s="1357"/>
      <c r="N142" s="1357"/>
      <c r="O142" s="1357"/>
      <c r="P142" s="1357"/>
      <c r="Q142" s="1357"/>
      <c r="R142" s="1357"/>
      <c r="S142" s="1357"/>
      <c r="T142" s="1357"/>
      <c r="U142" s="1357"/>
      <c r="V142" s="1357"/>
      <c r="W142" s="1357"/>
      <c r="X142" s="1357"/>
      <c r="Y142" s="1357"/>
      <c r="Z142" s="1357"/>
      <c r="AA142" s="1357"/>
    </row>
    <row r="143" spans="1:27" x14ac:dyDescent="0.25">
      <c r="A143" s="968" t="s">
        <v>950</v>
      </c>
      <c r="B143" s="998"/>
      <c r="C143" s="982">
        <v>-70000</v>
      </c>
      <c r="D143" s="982">
        <v>0</v>
      </c>
      <c r="E143" s="982">
        <v>-70000</v>
      </c>
      <c r="F143" s="982">
        <v>-70000</v>
      </c>
      <c r="G143" s="982">
        <v>-70000</v>
      </c>
      <c r="H143" s="982">
        <v>-70000</v>
      </c>
      <c r="I143" s="831">
        <f>H143*(1+'LTFP Assumptions'!$J$13)</f>
        <v>-71400</v>
      </c>
      <c r="J143" s="831">
        <f>I143*(1+'LTFP Assumptions'!$J$13)</f>
        <v>-72828</v>
      </c>
      <c r="K143" s="831">
        <f>J143*(1+'LTFP Assumptions'!$J$13)</f>
        <v>-74284.56</v>
      </c>
      <c r="L143" s="831">
        <f>K143*(1+'LTFP Assumptions'!$J$13)</f>
        <v>-75770.251199999999</v>
      </c>
      <c r="M143" s="831">
        <f>L143*(1+'LTFP Assumptions'!$J$13)</f>
        <v>-77285.656224000006</v>
      </c>
      <c r="N143" s="831">
        <f>M143*(1+'LTFP Assumptions'!$J$13)</f>
        <v>-78831.369348480002</v>
      </c>
      <c r="O143" s="831">
        <f>N143*(1+'LTFP Assumptions'!$J$13)</f>
        <v>-80407.996735449604</v>
      </c>
      <c r="P143" s="831">
        <f>O143*(1+'LTFP Assumptions'!$J$13)</f>
        <v>-82016.156670158598</v>
      </c>
      <c r="Q143" s="831">
        <f>P143*(1+'LTFP Assumptions'!$J$13)</f>
        <v>-83656.479803561771</v>
      </c>
      <c r="R143" s="831">
        <f>Q143*(1+'LTFP Assumptions'!$J$13)</f>
        <v>-85329.609399633002</v>
      </c>
      <c r="S143" s="831">
        <f>R143*(1+'LTFP Assumptions'!$J$13)</f>
        <v>-87036.201587625663</v>
      </c>
      <c r="T143" s="831">
        <f>S143*(1+'LTFP Assumptions'!$J$13)</f>
        <v>-88776.925619378177</v>
      </c>
      <c r="U143" s="831">
        <f>T143*(1+'LTFP Assumptions'!$J$13)</f>
        <v>-90552.464131765737</v>
      </c>
      <c r="V143" s="831">
        <f>U143*(1+'LTFP Assumptions'!$J$13)</f>
        <v>-92363.513414401052</v>
      </c>
      <c r="W143" s="831">
        <f>V143*(1+'LTFP Assumptions'!$J$13)</f>
        <v>-94210.783682689071</v>
      </c>
      <c r="X143" s="831">
        <f>W143*(1+'LTFP Assumptions'!$J$13)</f>
        <v>-96094.999356342858</v>
      </c>
      <c r="Y143" s="831">
        <f>X143*(1+'LTFP Assumptions'!$J$13)</f>
        <v>-98016.899343469719</v>
      </c>
      <c r="Z143" s="831">
        <f>Y143*(1+'LTFP Assumptions'!$J$13)</f>
        <v>-99977.237330339121</v>
      </c>
      <c r="AA143" s="831">
        <f>Z143*(1+'LTFP Assumptions'!$J$13)</f>
        <v>-101976.78207694591</v>
      </c>
    </row>
    <row r="144" spans="1:27" x14ac:dyDescent="0.25">
      <c r="A144" s="967"/>
      <c r="B144" s="967"/>
      <c r="C144" s="976"/>
      <c r="D144" s="976"/>
      <c r="E144" s="977"/>
      <c r="F144" s="977"/>
      <c r="G144" s="986" t="s">
        <v>516</v>
      </c>
      <c r="H144" s="967"/>
      <c r="I144" s="1360"/>
    </row>
    <row r="145" spans="1:27" x14ac:dyDescent="0.25">
      <c r="A145" s="971" t="s">
        <v>1100</v>
      </c>
      <c r="B145" s="973"/>
      <c r="C145" s="984">
        <v>-13643716</v>
      </c>
      <c r="D145" s="984">
        <v>0</v>
      </c>
      <c r="E145" s="984">
        <v>-10824936</v>
      </c>
      <c r="F145" s="984">
        <v>-25354751.18</v>
      </c>
      <c r="G145" s="984">
        <v>-19060745.668949999</v>
      </c>
      <c r="H145" s="983">
        <f>SUM(H136:H143)</f>
        <v>-11426577.560613248</v>
      </c>
      <c r="I145" s="983">
        <f t="shared" ref="I145:AA145" si="137">SUM(I136:I143)</f>
        <v>-5092926.9592866804</v>
      </c>
      <c r="J145" s="983">
        <f t="shared" si="137"/>
        <v>-5194785.498472414</v>
      </c>
      <c r="K145" s="983">
        <f t="shared" si="137"/>
        <v>-5298681.2084418619</v>
      </c>
      <c r="L145" s="983">
        <f t="shared" si="137"/>
        <v>-5404654.8326106993</v>
      </c>
      <c r="M145" s="983">
        <f t="shared" si="137"/>
        <v>-5512747.9292629128</v>
      </c>
      <c r="N145" s="983">
        <f t="shared" si="137"/>
        <v>-5623002.8878481714</v>
      </c>
      <c r="O145" s="983">
        <f t="shared" si="137"/>
        <v>-5735462.9456051355</v>
      </c>
      <c r="P145" s="983">
        <f t="shared" si="137"/>
        <v>-5850172.2045172378</v>
      </c>
      <c r="Q145" s="983">
        <f t="shared" si="137"/>
        <v>-5967175.6486075837</v>
      </c>
      <c r="R145" s="983">
        <f t="shared" si="137"/>
        <v>-6086519.1615797346</v>
      </c>
      <c r="S145" s="983">
        <f t="shared" si="137"/>
        <v>-6208249.5448113298</v>
      </c>
      <c r="T145" s="983">
        <f t="shared" si="137"/>
        <v>-6332414.5357075548</v>
      </c>
      <c r="U145" s="983">
        <f t="shared" si="137"/>
        <v>-6459062.8264217069</v>
      </c>
      <c r="V145" s="983">
        <f t="shared" si="137"/>
        <v>-6588244.0829501413</v>
      </c>
      <c r="W145" s="983">
        <f t="shared" si="137"/>
        <v>-6720008.9646091443</v>
      </c>
      <c r="X145" s="983">
        <f t="shared" si="137"/>
        <v>-6854409.1439013267</v>
      </c>
      <c r="Y145" s="983">
        <f t="shared" si="137"/>
        <v>-6991497.3267793544</v>
      </c>
      <c r="Z145" s="983">
        <f t="shared" si="137"/>
        <v>-7131327.2733149407</v>
      </c>
      <c r="AA145" s="983">
        <f t="shared" si="137"/>
        <v>-7273953.8187812399</v>
      </c>
    </row>
    <row r="146" spans="1:27" ht="14.4" thickBot="1" x14ac:dyDescent="0.3">
      <c r="A146" s="967"/>
      <c r="B146" s="967"/>
      <c r="C146" s="976"/>
      <c r="D146" s="976"/>
      <c r="E146" s="977"/>
      <c r="F146" s="977"/>
      <c r="G146" s="977"/>
      <c r="H146" s="967"/>
    </row>
    <row r="147" spans="1:27" ht="52.8" x14ac:dyDescent="0.25">
      <c r="A147" s="967" t="s">
        <v>30</v>
      </c>
      <c r="B147" s="967"/>
      <c r="C147" s="985" t="s">
        <v>1093</v>
      </c>
      <c r="D147" s="985" t="s">
        <v>1094</v>
      </c>
      <c r="E147" s="988" t="s">
        <v>1095</v>
      </c>
      <c r="F147" s="988" t="s">
        <v>1096</v>
      </c>
      <c r="G147" s="989" t="s">
        <v>1097</v>
      </c>
      <c r="H147" s="989" t="s">
        <v>1098</v>
      </c>
      <c r="I147" s="1361" t="s">
        <v>8</v>
      </c>
      <c r="J147" s="946" t="s">
        <v>9</v>
      </c>
      <c r="K147" s="946" t="s">
        <v>514</v>
      </c>
      <c r="L147" s="946" t="s">
        <v>515</v>
      </c>
      <c r="M147" s="946" t="s">
        <v>904</v>
      </c>
      <c r="N147" s="946" t="s">
        <v>1046</v>
      </c>
      <c r="O147" s="946" t="s">
        <v>1424</v>
      </c>
      <c r="P147" s="946" t="s">
        <v>1425</v>
      </c>
      <c r="Q147" s="946" t="s">
        <v>1426</v>
      </c>
      <c r="R147" s="946" t="s">
        <v>1427</v>
      </c>
      <c r="S147" s="946" t="s">
        <v>1428</v>
      </c>
      <c r="T147" s="946" t="s">
        <v>1429</v>
      </c>
      <c r="U147" s="946" t="s">
        <v>1430</v>
      </c>
      <c r="V147" s="946" t="s">
        <v>1433</v>
      </c>
      <c r="W147" s="946" t="s">
        <v>1434</v>
      </c>
      <c r="X147" s="946" t="s">
        <v>1435</v>
      </c>
      <c r="Y147" s="946" t="s">
        <v>1436</v>
      </c>
      <c r="Z147" s="946" t="s">
        <v>1437</v>
      </c>
      <c r="AA147" s="946" t="s">
        <v>1432</v>
      </c>
    </row>
    <row r="148" spans="1:27" x14ac:dyDescent="0.25">
      <c r="A148" s="968" t="s">
        <v>1101</v>
      </c>
      <c r="B148" s="998"/>
      <c r="C148" s="987">
        <v>11320422</v>
      </c>
      <c r="D148" s="987">
        <v>0</v>
      </c>
      <c r="E148" s="987">
        <v>8058812</v>
      </c>
      <c r="F148" s="987">
        <v>22581101.800000001</v>
      </c>
      <c r="G148" s="987">
        <v>16320762.645</v>
      </c>
      <c r="H148" s="981">
        <v>8533614.1861249991</v>
      </c>
      <c r="I148" s="1359">
        <f>G81</f>
        <v>11321510.589847501</v>
      </c>
      <c r="J148" s="1359">
        <f t="shared" ref="J148:AA148" si="138">H81</f>
        <v>11547940.801644448</v>
      </c>
      <c r="K148" s="1359">
        <f t="shared" si="138"/>
        <v>11778899.617677338</v>
      </c>
      <c r="L148" s="1359">
        <f t="shared" si="138"/>
        <v>12075677.610030882</v>
      </c>
      <c r="M148" s="1359">
        <f t="shared" si="138"/>
        <v>12317191.162231501</v>
      </c>
      <c r="N148" s="1359">
        <f t="shared" si="138"/>
        <v>12614534.985476134</v>
      </c>
      <c r="O148" s="1359">
        <f t="shared" si="138"/>
        <v>12866825.685185658</v>
      </c>
      <c r="P148" s="1359">
        <f t="shared" si="138"/>
        <v>13124162.198889369</v>
      </c>
      <c r="Q148" s="1359">
        <f t="shared" si="138"/>
        <v>13386645.44286716</v>
      </c>
      <c r="R148" s="1359">
        <f t="shared" si="138"/>
        <v>13654378.351724498</v>
      </c>
      <c r="S148" s="1359">
        <f t="shared" si="138"/>
        <v>13927465.918758996</v>
      </c>
      <c r="T148" s="1359">
        <f t="shared" si="138"/>
        <v>14206015.237134177</v>
      </c>
      <c r="U148" s="1359">
        <f t="shared" si="138"/>
        <v>14490147.541876854</v>
      </c>
      <c r="V148" s="1359">
        <f t="shared" si="138"/>
        <v>14779951.252714396</v>
      </c>
      <c r="W148" s="1359">
        <f t="shared" si="138"/>
        <v>15075551.017768679</v>
      </c>
      <c r="X148" s="1359">
        <f t="shared" si="138"/>
        <v>15377062.758124053</v>
      </c>
      <c r="Y148" s="1359">
        <f t="shared" si="138"/>
        <v>15684604.713286534</v>
      </c>
      <c r="Z148" s="1359">
        <f t="shared" si="138"/>
        <v>15998297.487552263</v>
      </c>
      <c r="AA148" s="1359">
        <f t="shared" si="138"/>
        <v>16318264.097303312</v>
      </c>
    </row>
    <row r="149" spans="1:27" x14ac:dyDescent="0.25">
      <c r="A149" s="968" t="s">
        <v>1083</v>
      </c>
      <c r="B149" s="998"/>
      <c r="C149" s="982">
        <v>570287</v>
      </c>
      <c r="D149" s="982">
        <v>0</v>
      </c>
      <c r="E149" s="982">
        <v>621839</v>
      </c>
      <c r="F149" s="982">
        <v>555486</v>
      </c>
      <c r="G149" s="982">
        <v>445162</v>
      </c>
      <c r="H149" s="978">
        <v>518558</v>
      </c>
      <c r="I149" s="831">
        <f>H149*(1+'LTFP Assumptions'!$J$13)</f>
        <v>528929.16</v>
      </c>
      <c r="J149" s="831">
        <f>I149*(1+'LTFP Assumptions'!$J$13)</f>
        <v>539507.74320000003</v>
      </c>
      <c r="K149" s="831">
        <f>J149*(1+'LTFP Assumptions'!$J$13)</f>
        <v>550297.89806400007</v>
      </c>
      <c r="L149" s="831">
        <f>K149*(1+'LTFP Assumptions'!$J$13)</f>
        <v>561303.85602528008</v>
      </c>
      <c r="M149" s="831">
        <f>L149*(1+'LTFP Assumptions'!$J$13)</f>
        <v>572529.9331457857</v>
      </c>
      <c r="N149" s="831">
        <f>M149*(1+'LTFP Assumptions'!$J$13)</f>
        <v>583980.53180870146</v>
      </c>
      <c r="O149" s="831">
        <f>N149*(1+'LTFP Assumptions'!$J$13)</f>
        <v>595660.14244487556</v>
      </c>
      <c r="P149" s="831">
        <f>O149*(1+'LTFP Assumptions'!$J$13)</f>
        <v>607573.34529377311</v>
      </c>
      <c r="Q149" s="831">
        <f>P149*(1+'LTFP Assumptions'!$J$13)</f>
        <v>619724.81219964859</v>
      </c>
      <c r="R149" s="831">
        <f>Q149*(1+'LTFP Assumptions'!$J$13)</f>
        <v>632119.30844364152</v>
      </c>
      <c r="S149" s="831">
        <f>R149*(1+'LTFP Assumptions'!$J$13)</f>
        <v>644761.69461251434</v>
      </c>
      <c r="T149" s="831">
        <f>S149*(1+'LTFP Assumptions'!$J$13)</f>
        <v>657656.92850476468</v>
      </c>
      <c r="U149" s="831">
        <f>T149*(1+'LTFP Assumptions'!$J$13)</f>
        <v>670810.06707485998</v>
      </c>
      <c r="V149" s="831">
        <f>U149*(1+'LTFP Assumptions'!$J$13)</f>
        <v>684226.26841635723</v>
      </c>
      <c r="W149" s="831">
        <f>V149*(1+'LTFP Assumptions'!$J$13)</f>
        <v>697910.79378468439</v>
      </c>
      <c r="X149" s="831">
        <f>W149*(1+'LTFP Assumptions'!$J$13)</f>
        <v>711869.0096603781</v>
      </c>
      <c r="Y149" s="831">
        <f>X149*(1+'LTFP Assumptions'!$J$13)</f>
        <v>726106.38985358563</v>
      </c>
      <c r="Z149" s="831">
        <f>Y149*(1+'LTFP Assumptions'!$J$13)</f>
        <v>740628.51765065733</v>
      </c>
      <c r="AA149" s="831">
        <f>Z149*(1+'LTFP Assumptions'!$J$13)</f>
        <v>755441.08800367045</v>
      </c>
    </row>
    <row r="150" spans="1:27" x14ac:dyDescent="0.25">
      <c r="A150" s="972" t="s">
        <v>1089</v>
      </c>
      <c r="B150" s="997"/>
      <c r="C150" s="982">
        <v>1723007</v>
      </c>
      <c r="D150" s="982">
        <v>0</v>
      </c>
      <c r="E150" s="982">
        <v>2144285</v>
      </c>
      <c r="F150" s="982">
        <v>2218163.0099999998</v>
      </c>
      <c r="G150" s="982">
        <v>2294821.3903000001</v>
      </c>
      <c r="H150" s="978">
        <v>2374405.4420090001</v>
      </c>
      <c r="I150" s="831">
        <f>H150*(1+'LTFP Assumptions'!$J$13)</f>
        <v>2421893.5508491802</v>
      </c>
      <c r="J150" s="831">
        <f>I150*(1+'LTFP Assumptions'!$J$13)</f>
        <v>2470331.4218661641</v>
      </c>
      <c r="K150" s="831">
        <f>J150*(1+'LTFP Assumptions'!$J$13)</f>
        <v>2519738.0503034876</v>
      </c>
      <c r="L150" s="831">
        <f>K150*(1+'LTFP Assumptions'!$J$13)</f>
        <v>2570132.8113095574</v>
      </c>
      <c r="M150" s="831">
        <f>L150*(1+'LTFP Assumptions'!$J$13)</f>
        <v>2621535.4675357486</v>
      </c>
      <c r="N150" s="831">
        <f>M150*(1+'LTFP Assumptions'!$J$13)</f>
        <v>2673966.1768864635</v>
      </c>
      <c r="O150" s="831">
        <f>N150*(1+'LTFP Assumptions'!$J$13)</f>
        <v>2727445.5004241928</v>
      </c>
      <c r="P150" s="831">
        <f>O150*(1+'LTFP Assumptions'!$J$13)</f>
        <v>2781994.4104326768</v>
      </c>
      <c r="Q150" s="831">
        <f>P150*(1+'LTFP Assumptions'!$J$13)</f>
        <v>2837634.2986413306</v>
      </c>
      <c r="R150" s="831">
        <f>Q150*(1+'LTFP Assumptions'!$J$13)</f>
        <v>2894386.9846141571</v>
      </c>
      <c r="S150" s="831">
        <f>R150*(1+'LTFP Assumptions'!$J$13)</f>
        <v>2952274.7243064404</v>
      </c>
      <c r="T150" s="831">
        <f>S150*(1+'LTFP Assumptions'!$J$13)</f>
        <v>3011320.2187925694</v>
      </c>
      <c r="U150" s="831">
        <f>T150*(1+'LTFP Assumptions'!$J$13)</f>
        <v>3071546.623168421</v>
      </c>
      <c r="V150" s="831">
        <f>U150*(1+'LTFP Assumptions'!$J$13)</f>
        <v>3132977.5556317894</v>
      </c>
      <c r="W150" s="831">
        <f>V150*(1+'LTFP Assumptions'!$J$13)</f>
        <v>3195637.1067444254</v>
      </c>
      <c r="X150" s="831">
        <f>W150*(1+'LTFP Assumptions'!$J$13)</f>
        <v>3259549.848879314</v>
      </c>
      <c r="Y150" s="831">
        <f>X150*(1+'LTFP Assumptions'!$J$13)</f>
        <v>3324740.8458569003</v>
      </c>
      <c r="Z150" s="831">
        <f>Y150*(1+'LTFP Assumptions'!$J$13)</f>
        <v>3391235.6627740385</v>
      </c>
      <c r="AA150" s="831">
        <f>Z150*(1+'LTFP Assumptions'!$J$13)</f>
        <v>3459060.3760295194</v>
      </c>
    </row>
    <row r="151" spans="1:27" x14ac:dyDescent="0.25">
      <c r="A151" s="967"/>
      <c r="B151" s="967"/>
      <c r="C151" s="976"/>
      <c r="D151" s="976"/>
      <c r="E151" s="977"/>
      <c r="F151" s="977"/>
      <c r="G151" s="977"/>
      <c r="H151" s="967"/>
    </row>
    <row r="152" spans="1:27" x14ac:dyDescent="0.25">
      <c r="A152" s="971" t="s">
        <v>910</v>
      </c>
      <c r="B152" s="973"/>
      <c r="C152" s="984">
        <v>13613716</v>
      </c>
      <c r="D152" s="984">
        <v>0</v>
      </c>
      <c r="E152" s="984">
        <v>10824936</v>
      </c>
      <c r="F152" s="984">
        <v>25354750.810000002</v>
      </c>
      <c r="G152" s="984">
        <v>19060746.035300002</v>
      </c>
      <c r="H152" s="983">
        <f>SUM(H148:H151)</f>
        <v>11426577.628133999</v>
      </c>
      <c r="I152" s="983">
        <f t="shared" ref="I152:AA152" si="139">SUM(I148:I151)</f>
        <v>14272333.300696682</v>
      </c>
      <c r="J152" s="983">
        <f t="shared" si="139"/>
        <v>14557779.966710612</v>
      </c>
      <c r="K152" s="983">
        <f t="shared" si="139"/>
        <v>14848935.566044826</v>
      </c>
      <c r="L152" s="983">
        <f t="shared" si="139"/>
        <v>15207114.27736572</v>
      </c>
      <c r="M152" s="983">
        <f t="shared" si="139"/>
        <v>15511256.562913036</v>
      </c>
      <c r="N152" s="983">
        <f t="shared" si="139"/>
        <v>15872481.6941713</v>
      </c>
      <c r="O152" s="983">
        <f t="shared" si="139"/>
        <v>16189931.328054726</v>
      </c>
      <c r="P152" s="983">
        <f t="shared" si="139"/>
        <v>16513729.95461582</v>
      </c>
      <c r="Q152" s="983">
        <f t="shared" si="139"/>
        <v>16844004.55370814</v>
      </c>
      <c r="R152" s="983">
        <f t="shared" si="139"/>
        <v>17180884.644782297</v>
      </c>
      <c r="S152" s="983">
        <f t="shared" si="139"/>
        <v>17524502.337677952</v>
      </c>
      <c r="T152" s="983">
        <f t="shared" si="139"/>
        <v>17874992.384431511</v>
      </c>
      <c r="U152" s="983">
        <f t="shared" si="139"/>
        <v>18232504.232120134</v>
      </c>
      <c r="V152" s="983">
        <f t="shared" si="139"/>
        <v>18597155.076762542</v>
      </c>
      <c r="W152" s="983">
        <f t="shared" si="139"/>
        <v>18969098.91829779</v>
      </c>
      <c r="X152" s="983">
        <f t="shared" si="139"/>
        <v>19348481.616663747</v>
      </c>
      <c r="Y152" s="983">
        <f t="shared" si="139"/>
        <v>19735451.948997021</v>
      </c>
      <c r="Z152" s="983">
        <f t="shared" si="139"/>
        <v>20130161.667976957</v>
      </c>
      <c r="AA152" s="983">
        <f t="shared" si="139"/>
        <v>20532765.561336502</v>
      </c>
    </row>
    <row r="153" spans="1:27" x14ac:dyDescent="0.25">
      <c r="A153" s="967"/>
      <c r="B153" s="967"/>
      <c r="C153" s="976"/>
      <c r="D153" s="976"/>
      <c r="E153" s="977"/>
      <c r="F153" s="977"/>
      <c r="G153" s="977"/>
      <c r="H153" s="967"/>
    </row>
    <row r="154" spans="1:27" x14ac:dyDescent="0.25">
      <c r="A154" s="973" t="s">
        <v>1102</v>
      </c>
      <c r="B154" s="973"/>
      <c r="C154" s="980">
        <v>-30000</v>
      </c>
      <c r="D154" s="980">
        <v>0</v>
      </c>
      <c r="E154" s="980">
        <v>0</v>
      </c>
      <c r="F154" s="980">
        <v>-0.36999999731779099</v>
      </c>
      <c r="G154" s="980">
        <v>0.36635000258684158</v>
      </c>
      <c r="H154" s="975">
        <v>6.7520750686526299E-2</v>
      </c>
    </row>
    <row r="157" spans="1:27" ht="15.6" x14ac:dyDescent="0.3">
      <c r="A157" s="1001" t="s">
        <v>1328</v>
      </c>
      <c r="B157" s="1001"/>
      <c r="C157" s="1000"/>
      <c r="D157" s="1000"/>
      <c r="E157" s="1000"/>
      <c r="F157" s="1000"/>
      <c r="G157" s="1000"/>
      <c r="H157" s="1000"/>
      <c r="I157" s="1000"/>
    </row>
    <row r="158" spans="1:27" ht="15.6" x14ac:dyDescent="0.3">
      <c r="A158" s="1001" t="s">
        <v>1329</v>
      </c>
      <c r="B158" s="1001"/>
      <c r="C158" s="1000"/>
      <c r="D158" s="1000"/>
      <c r="E158" s="1000"/>
      <c r="F158" s="1000"/>
      <c r="G158" s="1000"/>
      <c r="H158" s="1000"/>
      <c r="I158" s="1000"/>
    </row>
    <row r="159" spans="1:27" ht="15.6" x14ac:dyDescent="0.3">
      <c r="A159" s="1008" t="s">
        <v>516</v>
      </c>
      <c r="B159" s="1008"/>
      <c r="C159" s="1000"/>
      <c r="D159" s="1000"/>
      <c r="E159" s="1000"/>
      <c r="F159" s="1000"/>
      <c r="G159" s="1000"/>
      <c r="H159" s="1000"/>
      <c r="I159" s="1000"/>
    </row>
    <row r="160" spans="1:27" ht="52.8" x14ac:dyDescent="0.25">
      <c r="A160" s="1002" t="s">
        <v>1330</v>
      </c>
      <c r="B160" s="1002"/>
      <c r="C160" s="1019" t="s">
        <v>1093</v>
      </c>
      <c r="D160" s="1019" t="s">
        <v>1094</v>
      </c>
      <c r="E160" s="1020" t="s">
        <v>1095</v>
      </c>
      <c r="F160" s="1020" t="s">
        <v>1096</v>
      </c>
      <c r="G160" s="1020" t="s">
        <v>1097</v>
      </c>
      <c r="H160" s="1020" t="s">
        <v>1098</v>
      </c>
    </row>
    <row r="161" spans="1:9" x14ac:dyDescent="0.25">
      <c r="A161" s="1000"/>
      <c r="B161" s="1000"/>
      <c r="C161" s="1007"/>
      <c r="D161" s="1007"/>
      <c r="E161" s="1004"/>
      <c r="F161" s="1004"/>
      <c r="G161" s="1004"/>
      <c r="H161" s="1000"/>
    </row>
    <row r="162" spans="1:9" x14ac:dyDescent="0.25">
      <c r="A162" s="1003" t="s">
        <v>1331</v>
      </c>
      <c r="B162" s="1003"/>
      <c r="C162" s="1007"/>
      <c r="D162" s="1007"/>
      <c r="E162" s="1004"/>
      <c r="F162" s="1004"/>
      <c r="G162" s="1004"/>
      <c r="H162" s="1000"/>
    </row>
    <row r="163" spans="1:9" x14ac:dyDescent="0.25">
      <c r="A163" s="1010" t="s">
        <v>1332</v>
      </c>
      <c r="B163" s="1010"/>
      <c r="C163" s="1012">
        <v>-127875</v>
      </c>
      <c r="D163" s="1016">
        <v>0</v>
      </c>
      <c r="E163" s="1018">
        <v>-779</v>
      </c>
      <c r="F163" s="1018">
        <v>71780</v>
      </c>
      <c r="G163" s="1018">
        <v>20476</v>
      </c>
      <c r="H163" s="1018">
        <v>-28814</v>
      </c>
    </row>
    <row r="164" spans="1:9" x14ac:dyDescent="0.25">
      <c r="A164" s="1010" t="s">
        <v>1333</v>
      </c>
      <c r="B164" s="1010"/>
      <c r="C164" s="1012">
        <v>0</v>
      </c>
      <c r="D164" s="1016">
        <v>0</v>
      </c>
      <c r="E164" s="1018">
        <v>-269687</v>
      </c>
      <c r="F164" s="1018">
        <v>-275995</v>
      </c>
      <c r="G164" s="1018">
        <v>-280655</v>
      </c>
      <c r="H164" s="1018">
        <v>-289069</v>
      </c>
    </row>
    <row r="165" spans="1:9" x14ac:dyDescent="0.25">
      <c r="A165" s="1010" t="s">
        <v>1334</v>
      </c>
      <c r="B165" s="1010"/>
      <c r="C165" s="1012">
        <v>0</v>
      </c>
      <c r="D165" s="1016">
        <v>0</v>
      </c>
      <c r="E165" s="1016">
        <v>0</v>
      </c>
      <c r="F165" s="1016">
        <v>0</v>
      </c>
      <c r="G165" s="1016">
        <v>0</v>
      </c>
      <c r="H165" s="1012">
        <v>0</v>
      </c>
    </row>
    <row r="166" spans="1:9" x14ac:dyDescent="0.25">
      <c r="A166" s="1010" t="s">
        <v>1335</v>
      </c>
      <c r="B166" s="1010"/>
      <c r="C166" s="1012">
        <v>-10000000</v>
      </c>
      <c r="D166" s="1016">
        <v>0</v>
      </c>
      <c r="E166" s="1018">
        <v>0</v>
      </c>
      <c r="F166" s="1018">
        <v>0</v>
      </c>
      <c r="G166" s="1018">
        <v>0</v>
      </c>
      <c r="H166" s="1018">
        <v>0</v>
      </c>
    </row>
    <row r="167" spans="1:9" x14ac:dyDescent="0.25">
      <c r="A167" s="1010" t="s">
        <v>1336</v>
      </c>
      <c r="B167" s="1010"/>
      <c r="C167" s="1012">
        <v>0</v>
      </c>
      <c r="D167" s="1016">
        <v>0</v>
      </c>
      <c r="E167" s="1018">
        <v>0</v>
      </c>
      <c r="F167" s="1018">
        <v>0</v>
      </c>
      <c r="G167" s="1018">
        <v>0</v>
      </c>
      <c r="H167" s="1018">
        <v>0</v>
      </c>
    </row>
    <row r="168" spans="1:9" x14ac:dyDescent="0.25">
      <c r="A168" s="1005" t="s">
        <v>1337</v>
      </c>
      <c r="B168" s="1005"/>
      <c r="C168" s="1012">
        <v>0</v>
      </c>
      <c r="D168" s="1016">
        <v>0</v>
      </c>
      <c r="E168" s="1244">
        <v>0</v>
      </c>
      <c r="F168" s="1405">
        <v>-1500000</v>
      </c>
      <c r="G168" s="1016">
        <v>0</v>
      </c>
      <c r="H168" s="1012">
        <v>0</v>
      </c>
      <c r="I168" s="842" t="s">
        <v>1498</v>
      </c>
    </row>
    <row r="169" spans="1:9" x14ac:dyDescent="0.25">
      <c r="A169" s="1006" t="s">
        <v>1338</v>
      </c>
      <c r="B169" s="1006"/>
      <c r="C169" s="1009">
        <v>-10127875</v>
      </c>
      <c r="D169" s="1009">
        <v>0</v>
      </c>
      <c r="E169" s="1009">
        <v>-270466</v>
      </c>
      <c r="F169" s="1009">
        <v>-204215</v>
      </c>
      <c r="G169" s="1009">
        <v>-260179</v>
      </c>
      <c r="H169" s="1009">
        <v>-317883</v>
      </c>
    </row>
    <row r="170" spans="1:9" x14ac:dyDescent="0.25">
      <c r="A170" s="1000"/>
      <c r="B170" s="1000"/>
      <c r="C170" s="1007"/>
      <c r="D170" s="1007"/>
      <c r="E170" s="1013"/>
      <c r="F170" s="1013"/>
      <c r="G170" s="1013"/>
      <c r="H170" s="1000"/>
    </row>
    <row r="171" spans="1:9" ht="52.8" x14ac:dyDescent="0.25">
      <c r="A171" s="1003" t="s">
        <v>1339</v>
      </c>
      <c r="B171" s="1003"/>
      <c r="C171" s="1019" t="s">
        <v>1093</v>
      </c>
      <c r="D171" s="1019" t="s">
        <v>1094</v>
      </c>
      <c r="E171" s="1020" t="s">
        <v>1095</v>
      </c>
      <c r="F171" s="1020" t="s">
        <v>1096</v>
      </c>
      <c r="G171" s="1020" t="s">
        <v>1097</v>
      </c>
      <c r="H171" s="1020" t="s">
        <v>1098</v>
      </c>
    </row>
    <row r="172" spans="1:9" x14ac:dyDescent="0.25">
      <c r="A172" s="1005" t="s">
        <v>1340</v>
      </c>
      <c r="B172" s="1005"/>
      <c r="C172" s="1015">
        <v>10000000</v>
      </c>
      <c r="D172" s="1015">
        <v>0</v>
      </c>
      <c r="E172" s="1015">
        <v>0</v>
      </c>
      <c r="F172" s="1014">
        <v>0</v>
      </c>
      <c r="G172" s="1014">
        <v>0</v>
      </c>
      <c r="H172" s="1014">
        <v>0</v>
      </c>
    </row>
    <row r="173" spans="1:9" x14ac:dyDescent="0.25">
      <c r="A173" s="1005" t="s">
        <v>1341</v>
      </c>
      <c r="B173" s="1005"/>
      <c r="C173" s="1015">
        <v>0</v>
      </c>
      <c r="D173" s="1017">
        <v>0</v>
      </c>
      <c r="E173" s="1402">
        <v>0</v>
      </c>
      <c r="F173" s="1402">
        <v>0</v>
      </c>
      <c r="G173" s="1402">
        <v>0</v>
      </c>
      <c r="H173" s="1402">
        <v>0</v>
      </c>
      <c r="I173" s="842" t="s">
        <v>1498</v>
      </c>
    </row>
    <row r="174" spans="1:9" x14ac:dyDescent="0.25">
      <c r="A174" s="1000" t="s">
        <v>1342</v>
      </c>
      <c r="B174" s="1000"/>
      <c r="C174" s="1015">
        <v>127875</v>
      </c>
      <c r="D174" s="1017">
        <v>0</v>
      </c>
      <c r="E174" s="1238">
        <v>0</v>
      </c>
      <c r="F174" s="1404">
        <v>1500000</v>
      </c>
      <c r="G174" s="1014">
        <v>0</v>
      </c>
      <c r="H174" s="1014">
        <v>0</v>
      </c>
      <c r="I174" s="842" t="s">
        <v>1499</v>
      </c>
    </row>
    <row r="175" spans="1:9" x14ac:dyDescent="0.25">
      <c r="A175" s="1003" t="s">
        <v>1343</v>
      </c>
      <c r="B175" s="1003"/>
      <c r="C175" s="1011">
        <v>10127875</v>
      </c>
      <c r="D175" s="1011">
        <v>0</v>
      </c>
      <c r="E175" s="1011">
        <v>270466</v>
      </c>
      <c r="F175" s="1011">
        <v>204215</v>
      </c>
      <c r="G175" s="1011">
        <v>260179</v>
      </c>
      <c r="H175" s="1011">
        <v>317883</v>
      </c>
    </row>
    <row r="177" spans="1:9" x14ac:dyDescent="0.25">
      <c r="A177" s="1227" t="s">
        <v>1341</v>
      </c>
      <c r="B177" s="1227"/>
      <c r="C177" s="1238">
        <v>0</v>
      </c>
      <c r="D177" s="1243">
        <v>0</v>
      </c>
      <c r="E177" s="1244">
        <v>270466</v>
      </c>
      <c r="F177" s="1237">
        <v>204215</v>
      </c>
      <c r="G177" s="1237">
        <v>260179</v>
      </c>
      <c r="H177" s="1237">
        <v>317883</v>
      </c>
      <c r="I177" s="842" t="s">
        <v>1497</v>
      </c>
    </row>
    <row r="180" spans="1:9" ht="15.6" x14ac:dyDescent="0.3">
      <c r="A180" s="1040" t="s">
        <v>1044</v>
      </c>
      <c r="B180" s="1039"/>
      <c r="C180" s="1039"/>
      <c r="D180" s="1039"/>
      <c r="E180" s="1039"/>
      <c r="F180" s="1039"/>
      <c r="G180" s="1039"/>
      <c r="H180" s="1039"/>
    </row>
    <row r="181" spans="1:9" ht="15.6" x14ac:dyDescent="0.3">
      <c r="A181" s="1040" t="s">
        <v>1346</v>
      </c>
      <c r="B181" s="1039"/>
      <c r="C181" s="1039"/>
      <c r="D181" s="1039"/>
      <c r="E181" s="1039"/>
      <c r="F181" s="1039"/>
      <c r="G181" s="1039"/>
      <c r="H181" s="1039"/>
    </row>
    <row r="182" spans="1:9" ht="15.6" x14ac:dyDescent="0.3">
      <c r="A182" s="1040" t="s">
        <v>1347</v>
      </c>
      <c r="B182" s="1039"/>
      <c r="C182" s="1039"/>
      <c r="D182" s="1039"/>
      <c r="E182" s="1039"/>
      <c r="F182" s="1039"/>
      <c r="G182" s="1039"/>
      <c r="H182" s="1039"/>
    </row>
    <row r="183" spans="1:9" ht="15.6" x14ac:dyDescent="0.3">
      <c r="A183" s="1045" t="s">
        <v>516</v>
      </c>
      <c r="B183" s="1039"/>
      <c r="C183" s="1039"/>
      <c r="D183" s="1039"/>
      <c r="E183" s="1039"/>
      <c r="F183" s="1039"/>
      <c r="G183" s="1039"/>
      <c r="H183" s="1039"/>
    </row>
    <row r="184" spans="1:9" ht="52.8" x14ac:dyDescent="0.25">
      <c r="A184" s="1041" t="s">
        <v>1330</v>
      </c>
      <c r="B184" s="1047"/>
      <c r="C184" s="1056" t="s">
        <v>1093</v>
      </c>
      <c r="D184" s="1056" t="s">
        <v>1094</v>
      </c>
      <c r="E184" s="1057" t="s">
        <v>1095</v>
      </c>
      <c r="F184" s="1057" t="s">
        <v>1096</v>
      </c>
      <c r="G184" s="1057" t="s">
        <v>1097</v>
      </c>
      <c r="H184" s="1057" t="s">
        <v>1098</v>
      </c>
    </row>
    <row r="185" spans="1:9" x14ac:dyDescent="0.25">
      <c r="A185" s="1039"/>
      <c r="B185" s="1039"/>
      <c r="C185" s="1039"/>
      <c r="D185" s="1039"/>
      <c r="E185" s="1052"/>
      <c r="F185" s="1052"/>
      <c r="G185" s="1052"/>
      <c r="H185" s="1039"/>
    </row>
    <row r="186" spans="1:9" x14ac:dyDescent="0.25">
      <c r="A186" s="1042" t="s">
        <v>1331</v>
      </c>
      <c r="B186" s="1039"/>
      <c r="C186" s="1039"/>
      <c r="D186" s="1039"/>
      <c r="E186" s="1052"/>
      <c r="F186" s="1052"/>
      <c r="G186" s="1052"/>
      <c r="H186" s="1039"/>
    </row>
    <row r="187" spans="1:9" x14ac:dyDescent="0.25">
      <c r="A187" s="1046" t="s">
        <v>1348</v>
      </c>
      <c r="B187" s="1051"/>
      <c r="C187" s="1051">
        <v>-740042</v>
      </c>
      <c r="D187" s="1053">
        <v>0</v>
      </c>
      <c r="E187" s="1051">
        <v>-158244</v>
      </c>
      <c r="F187" s="1051">
        <v>179816</v>
      </c>
      <c r="G187" s="1051">
        <v>238434</v>
      </c>
      <c r="H187" s="1051">
        <v>256066</v>
      </c>
    </row>
    <row r="188" spans="1:9" x14ac:dyDescent="0.25">
      <c r="A188" s="1043" t="s">
        <v>1349</v>
      </c>
      <c r="B188" s="1051"/>
      <c r="C188" s="1051">
        <v>-50000</v>
      </c>
      <c r="D188" s="1051">
        <v>0</v>
      </c>
      <c r="E188" s="1051">
        <v>-50000</v>
      </c>
      <c r="F188" s="1051">
        <v>-50000</v>
      </c>
      <c r="G188" s="1051">
        <v>-50000</v>
      </c>
      <c r="H188" s="1051">
        <v>-50000</v>
      </c>
    </row>
    <row r="189" spans="1:9" x14ac:dyDescent="0.25">
      <c r="A189" s="1043" t="s">
        <v>1350</v>
      </c>
      <c r="B189" s="1051"/>
      <c r="C189" s="1051">
        <v>-960000</v>
      </c>
      <c r="D189" s="1053">
        <v>0</v>
      </c>
      <c r="E189" s="1051">
        <v>-8640000</v>
      </c>
      <c r="F189" s="1051">
        <v>0</v>
      </c>
      <c r="G189" s="1051">
        <v>0</v>
      </c>
      <c r="H189" s="1051">
        <v>0</v>
      </c>
    </row>
    <row r="190" spans="1:9" x14ac:dyDescent="0.25">
      <c r="A190" s="1039" t="s">
        <v>1333</v>
      </c>
      <c r="B190" s="1051"/>
      <c r="C190" s="1051">
        <v>-1275067</v>
      </c>
      <c r="D190" s="1053">
        <v>0</v>
      </c>
      <c r="E190" s="1051">
        <v>-1268000</v>
      </c>
      <c r="F190" s="1051">
        <v>-1458450</v>
      </c>
      <c r="G190" s="1051">
        <v>-1479911</v>
      </c>
      <c r="H190" s="1051">
        <v>-1499384</v>
      </c>
    </row>
    <row r="191" spans="1:9" x14ac:dyDescent="0.25">
      <c r="A191" s="1046" t="s">
        <v>1335</v>
      </c>
      <c r="B191" s="1051"/>
      <c r="C191" s="1051">
        <v>-9756000</v>
      </c>
      <c r="D191" s="1053">
        <v>0</v>
      </c>
      <c r="E191" s="1051">
        <v>-17356182</v>
      </c>
      <c r="F191" s="1051"/>
      <c r="G191" s="1051">
        <v>0</v>
      </c>
      <c r="H191" s="1051">
        <v>0</v>
      </c>
    </row>
    <row r="192" spans="1:9" x14ac:dyDescent="0.25">
      <c r="A192" s="1039" t="s">
        <v>1351</v>
      </c>
      <c r="B192" s="1051"/>
      <c r="C192" s="1051">
        <v>-3869891</v>
      </c>
      <c r="D192" s="1053">
        <v>0</v>
      </c>
      <c r="E192" s="1051">
        <v>-1200000</v>
      </c>
      <c r="F192" s="1051">
        <v>-2236725</v>
      </c>
      <c r="G192" s="1051">
        <v>-2276472</v>
      </c>
      <c r="H192" s="1051">
        <v>-1387239</v>
      </c>
    </row>
    <row r="193" spans="1:8" x14ac:dyDescent="0.25">
      <c r="A193" s="1043" t="s">
        <v>1337</v>
      </c>
      <c r="B193" s="1051"/>
      <c r="C193" s="1051">
        <v>0</v>
      </c>
      <c r="D193" s="1053">
        <v>0</v>
      </c>
      <c r="E193" s="1051">
        <v>0</v>
      </c>
      <c r="F193" s="1051">
        <v>0</v>
      </c>
      <c r="G193" s="1051">
        <v>0</v>
      </c>
      <c r="H193" s="1051">
        <v>0</v>
      </c>
    </row>
    <row r="194" spans="1:8" x14ac:dyDescent="0.25">
      <c r="A194" s="1044" t="s">
        <v>1338</v>
      </c>
      <c r="B194" s="1050"/>
      <c r="C194" s="1050">
        <v>-16651000</v>
      </c>
      <c r="D194" s="1050">
        <v>0</v>
      </c>
      <c r="E194" s="1050">
        <v>-28672426</v>
      </c>
      <c r="F194" s="1050">
        <v>-3565359</v>
      </c>
      <c r="G194" s="1050">
        <v>-3567949</v>
      </c>
      <c r="H194" s="1050">
        <v>-2680557</v>
      </c>
    </row>
    <row r="195" spans="1:8" x14ac:dyDescent="0.25">
      <c r="A195" s="1039"/>
      <c r="B195" s="1048"/>
      <c r="C195" s="1048"/>
      <c r="D195" s="1048"/>
      <c r="E195" s="1054"/>
      <c r="F195" s="1054"/>
      <c r="G195" s="1054"/>
      <c r="H195" s="1039"/>
    </row>
    <row r="196" spans="1:8" ht="52.8" x14ac:dyDescent="0.25">
      <c r="A196" s="1042" t="s">
        <v>1339</v>
      </c>
      <c r="B196" s="1047"/>
      <c r="C196" s="1056" t="s">
        <v>1093</v>
      </c>
      <c r="D196" s="1056" t="s">
        <v>1094</v>
      </c>
      <c r="E196" s="1057" t="s">
        <v>1095</v>
      </c>
      <c r="F196" s="1057" t="s">
        <v>1096</v>
      </c>
      <c r="G196" s="1057" t="s">
        <v>1097</v>
      </c>
      <c r="H196" s="1057" t="s">
        <v>1098</v>
      </c>
    </row>
    <row r="197" spans="1:8" x14ac:dyDescent="0.25">
      <c r="A197" s="1043" t="s">
        <v>1340</v>
      </c>
      <c r="B197" s="1051"/>
      <c r="C197" s="1051">
        <v>16180000</v>
      </c>
      <c r="D197" s="1053">
        <v>0</v>
      </c>
      <c r="E197" s="1055">
        <v>28540000</v>
      </c>
      <c r="F197" s="1051">
        <v>3430000</v>
      </c>
      <c r="G197" s="1051">
        <v>3430000</v>
      </c>
      <c r="H197" s="1051">
        <v>2540000</v>
      </c>
    </row>
    <row r="198" spans="1:8" x14ac:dyDescent="0.25">
      <c r="A198" s="1043" t="s">
        <v>1341</v>
      </c>
      <c r="B198" s="1051"/>
      <c r="C198" s="1051">
        <v>421000</v>
      </c>
      <c r="D198" s="1053">
        <v>0</v>
      </c>
      <c r="E198" s="1051">
        <v>82426</v>
      </c>
      <c r="F198" s="1051">
        <v>85359</v>
      </c>
      <c r="G198" s="1051">
        <v>87949</v>
      </c>
      <c r="H198" s="1051">
        <v>90617</v>
      </c>
    </row>
    <row r="199" spans="1:8" x14ac:dyDescent="0.25">
      <c r="A199" s="1039" t="s">
        <v>1352</v>
      </c>
      <c r="B199" s="1051"/>
      <c r="C199" s="1051">
        <v>50000</v>
      </c>
      <c r="D199" s="1053">
        <v>0</v>
      </c>
      <c r="E199" s="1051">
        <v>50000</v>
      </c>
      <c r="F199" s="1051">
        <v>50000</v>
      </c>
      <c r="G199" s="1051">
        <v>50000</v>
      </c>
      <c r="H199" s="1051">
        <v>50000</v>
      </c>
    </row>
    <row r="200" spans="1:8" x14ac:dyDescent="0.25">
      <c r="A200" s="1042" t="s">
        <v>1343</v>
      </c>
      <c r="B200" s="1050"/>
      <c r="C200" s="1050">
        <v>16651000</v>
      </c>
      <c r="D200" s="1050">
        <v>0</v>
      </c>
      <c r="E200" s="1050">
        <v>28672426</v>
      </c>
      <c r="F200" s="1050">
        <v>3565359</v>
      </c>
      <c r="G200" s="1050">
        <v>3567949</v>
      </c>
      <c r="H200" s="1050">
        <v>2680617</v>
      </c>
    </row>
    <row r="201" spans="1:8" x14ac:dyDescent="0.25">
      <c r="A201" s="1039"/>
      <c r="B201" s="1049"/>
      <c r="C201" s="1049"/>
      <c r="D201" s="1049"/>
      <c r="E201" s="1039"/>
      <c r="F201" s="1039"/>
      <c r="G201" s="1039"/>
      <c r="H201" s="1039"/>
    </row>
    <row r="203" spans="1:8" ht="15.6" x14ac:dyDescent="0.3">
      <c r="A203" s="1060" t="s">
        <v>1044</v>
      </c>
      <c r="B203" s="1058"/>
      <c r="C203" s="1058"/>
      <c r="D203" s="1058"/>
      <c r="E203" s="1058"/>
      <c r="F203" s="1058"/>
      <c r="G203" s="1058"/>
      <c r="H203" s="1058"/>
    </row>
    <row r="204" spans="1:8" ht="15.6" x14ac:dyDescent="0.3">
      <c r="A204" s="1060" t="s">
        <v>1353</v>
      </c>
      <c r="B204" s="1058"/>
      <c r="C204" s="1058"/>
      <c r="D204" s="1058"/>
      <c r="E204" s="1058"/>
      <c r="F204" s="1058"/>
      <c r="G204" s="1058"/>
      <c r="H204" s="1058"/>
    </row>
    <row r="205" spans="1:8" ht="15.6" x14ac:dyDescent="0.3">
      <c r="A205" s="1060" t="s">
        <v>1354</v>
      </c>
      <c r="B205" s="1058"/>
      <c r="C205" s="1058"/>
      <c r="D205" s="1058"/>
      <c r="E205" s="1058"/>
      <c r="F205" s="1058"/>
      <c r="G205" s="1058"/>
      <c r="H205" s="1058"/>
    </row>
    <row r="206" spans="1:8" ht="15.6" x14ac:dyDescent="0.3">
      <c r="A206" s="1067" t="s">
        <v>516</v>
      </c>
      <c r="B206" s="1058"/>
      <c r="C206" s="1058"/>
      <c r="D206" s="1058"/>
      <c r="E206" s="1058"/>
      <c r="F206" s="1058"/>
      <c r="G206" s="1058"/>
      <c r="H206" s="1058"/>
    </row>
    <row r="207" spans="1:8" ht="15.6" x14ac:dyDescent="0.3">
      <c r="A207" s="1060"/>
      <c r="B207" s="1058"/>
      <c r="C207" s="1058"/>
      <c r="D207" s="1058"/>
      <c r="E207" s="1058"/>
      <c r="F207" s="1058"/>
      <c r="G207" s="1058"/>
      <c r="H207" s="1058"/>
    </row>
    <row r="208" spans="1:8" ht="52.8" x14ac:dyDescent="0.25">
      <c r="A208" s="1065" t="s">
        <v>1330</v>
      </c>
      <c r="B208" s="1071"/>
      <c r="C208" s="1081" t="s">
        <v>1093</v>
      </c>
      <c r="D208" s="1081" t="s">
        <v>1094</v>
      </c>
      <c r="E208" s="1083" t="s">
        <v>1095</v>
      </c>
      <c r="F208" s="1083" t="s">
        <v>1096</v>
      </c>
      <c r="G208" s="1083" t="s">
        <v>1097</v>
      </c>
      <c r="H208" s="1083" t="s">
        <v>1098</v>
      </c>
    </row>
    <row r="209" spans="1:8" x14ac:dyDescent="0.25">
      <c r="A209" s="1058"/>
      <c r="B209" s="1058"/>
      <c r="C209" s="1058"/>
      <c r="D209" s="1058"/>
      <c r="E209" s="1062"/>
      <c r="F209" s="1062"/>
      <c r="G209" s="1062"/>
      <c r="H209" s="1058"/>
    </row>
    <row r="210" spans="1:8" x14ac:dyDescent="0.25">
      <c r="A210" s="1061" t="s">
        <v>1331</v>
      </c>
      <c r="B210" s="1058"/>
      <c r="C210" s="1058"/>
      <c r="D210" s="1058"/>
      <c r="E210" s="1062"/>
      <c r="F210" s="1062"/>
      <c r="G210" s="1062"/>
      <c r="H210" s="1058"/>
    </row>
    <row r="211" spans="1:8" x14ac:dyDescent="0.25">
      <c r="A211" s="1059" t="s">
        <v>1355</v>
      </c>
      <c r="B211" s="1075"/>
      <c r="C211" s="1076">
        <v>-204002</v>
      </c>
      <c r="D211" s="1076">
        <v>0</v>
      </c>
      <c r="E211" s="1074">
        <v>-321885</v>
      </c>
      <c r="F211" s="1074">
        <v>-309527</v>
      </c>
      <c r="G211" s="1074">
        <v>-375855</v>
      </c>
      <c r="H211" s="1074">
        <v>-448668</v>
      </c>
    </row>
    <row r="212" spans="1:8" x14ac:dyDescent="0.25">
      <c r="A212" s="1063" t="s">
        <v>1349</v>
      </c>
      <c r="B212" s="1075"/>
      <c r="C212" s="1077">
        <v>-50000</v>
      </c>
      <c r="D212" s="1077">
        <v>0</v>
      </c>
      <c r="E212" s="1077">
        <v>-50000</v>
      </c>
      <c r="F212" s="1077">
        <v>-50000</v>
      </c>
      <c r="G212" s="1077">
        <v>-50000</v>
      </c>
      <c r="H212" s="1070">
        <v>-50000</v>
      </c>
    </row>
    <row r="213" spans="1:8" x14ac:dyDescent="0.25">
      <c r="A213" s="1072" t="s">
        <v>1350</v>
      </c>
      <c r="B213" s="1075"/>
      <c r="C213" s="1082">
        <v>0</v>
      </c>
      <c r="D213" s="1076">
        <v>0</v>
      </c>
      <c r="E213" s="1074">
        <v>0</v>
      </c>
      <c r="F213" s="1074">
        <v>0</v>
      </c>
      <c r="G213" s="1074">
        <v>0</v>
      </c>
      <c r="H213" s="1074">
        <v>0</v>
      </c>
    </row>
    <row r="214" spans="1:8" x14ac:dyDescent="0.25">
      <c r="A214" s="1058" t="s">
        <v>1333</v>
      </c>
      <c r="B214" s="1075"/>
      <c r="C214" s="1078">
        <v>-1501272</v>
      </c>
      <c r="D214" s="1076">
        <v>0</v>
      </c>
      <c r="E214" s="1074">
        <v>-1254700</v>
      </c>
      <c r="F214" s="1074">
        <v>-1282067</v>
      </c>
      <c r="G214" s="1074">
        <v>-1310118</v>
      </c>
      <c r="H214" s="1074">
        <v>-1338871</v>
      </c>
    </row>
    <row r="215" spans="1:8" x14ac:dyDescent="0.25">
      <c r="A215" s="1068" t="s">
        <v>1335</v>
      </c>
      <c r="B215" s="1075"/>
      <c r="C215" s="1078">
        <v>0</v>
      </c>
      <c r="D215" s="1076">
        <v>0</v>
      </c>
      <c r="E215" s="1074">
        <v>0</v>
      </c>
      <c r="F215" s="1074">
        <v>0</v>
      </c>
      <c r="G215" s="1074">
        <v>0</v>
      </c>
      <c r="H215" s="1074">
        <v>0</v>
      </c>
    </row>
    <row r="216" spans="1:8" x14ac:dyDescent="0.25">
      <c r="A216" s="1058" t="s">
        <v>1356</v>
      </c>
      <c r="B216" s="1075"/>
      <c r="C216" s="1076">
        <v>-1856777</v>
      </c>
      <c r="D216" s="1084">
        <v>0</v>
      </c>
      <c r="E216" s="1074">
        <v>-952262</v>
      </c>
      <c r="F216" s="1074">
        <v>-15140</v>
      </c>
      <c r="G216" s="1074">
        <v>0</v>
      </c>
      <c r="H216" s="1074">
        <v>0</v>
      </c>
    </row>
    <row r="217" spans="1:8" x14ac:dyDescent="0.25">
      <c r="A217" s="1063" t="s">
        <v>1337</v>
      </c>
      <c r="B217" s="1075"/>
      <c r="C217" s="1076">
        <v>0</v>
      </c>
      <c r="D217" s="1076">
        <v>0</v>
      </c>
      <c r="E217" s="1074">
        <v>0</v>
      </c>
      <c r="F217" s="1074">
        <v>0</v>
      </c>
      <c r="G217" s="1074">
        <v>0</v>
      </c>
      <c r="H217" s="1074">
        <v>0</v>
      </c>
    </row>
    <row r="218" spans="1:8" x14ac:dyDescent="0.25">
      <c r="A218" s="1064" t="s">
        <v>1338</v>
      </c>
      <c r="B218" s="1069"/>
      <c r="C218" s="1069">
        <v>-3612051</v>
      </c>
      <c r="D218" s="1069">
        <v>0</v>
      </c>
      <c r="E218" s="1069">
        <v>-2578847</v>
      </c>
      <c r="F218" s="1069">
        <v>-1656734</v>
      </c>
      <c r="G218" s="1069">
        <v>-1735973</v>
      </c>
      <c r="H218" s="1080">
        <v>-1837539</v>
      </c>
    </row>
    <row r="219" spans="1:8" x14ac:dyDescent="0.25">
      <c r="A219" s="1058"/>
      <c r="B219" s="1066"/>
      <c r="C219" s="1066"/>
      <c r="D219" s="1066"/>
      <c r="E219" s="1073"/>
      <c r="F219" s="1073"/>
      <c r="G219" s="1073"/>
      <c r="H219" s="1058"/>
    </row>
    <row r="220" spans="1:8" ht="52.8" x14ac:dyDescent="0.25">
      <c r="A220" s="1061" t="s">
        <v>1339</v>
      </c>
      <c r="B220" s="1071"/>
      <c r="C220" s="1081" t="s">
        <v>1093</v>
      </c>
      <c r="D220" s="1081" t="s">
        <v>1094</v>
      </c>
      <c r="E220" s="1083" t="s">
        <v>1095</v>
      </c>
      <c r="F220" s="1083" t="s">
        <v>1096</v>
      </c>
      <c r="G220" s="1083" t="s">
        <v>1097</v>
      </c>
      <c r="H220" s="1083" t="s">
        <v>1098</v>
      </c>
    </row>
    <row r="221" spans="1:8" x14ac:dyDescent="0.25">
      <c r="A221" s="1063" t="s">
        <v>1340</v>
      </c>
      <c r="B221" s="1070"/>
      <c r="C221" s="1077">
        <v>3305000</v>
      </c>
      <c r="D221" s="1076">
        <v>0</v>
      </c>
      <c r="E221" s="1074">
        <v>2255000</v>
      </c>
      <c r="F221" s="1074">
        <v>1315000</v>
      </c>
      <c r="G221" s="1074">
        <v>1135000</v>
      </c>
      <c r="H221" s="1074">
        <v>1135000</v>
      </c>
    </row>
    <row r="222" spans="1:8" x14ac:dyDescent="0.25">
      <c r="A222" s="1063" t="s">
        <v>1341</v>
      </c>
      <c r="B222" s="1075"/>
      <c r="C222" s="1076">
        <v>257051</v>
      </c>
      <c r="D222" s="1076">
        <v>0</v>
      </c>
      <c r="E222" s="1074">
        <v>273847</v>
      </c>
      <c r="F222" s="1074">
        <v>291744</v>
      </c>
      <c r="G222" s="1074">
        <v>310113</v>
      </c>
      <c r="H222" s="1074">
        <v>331389</v>
      </c>
    </row>
    <row r="223" spans="1:8" x14ac:dyDescent="0.25">
      <c r="A223" s="1068" t="s">
        <v>1357</v>
      </c>
      <c r="B223" s="1075"/>
      <c r="C223" s="1076">
        <v>50000</v>
      </c>
      <c r="D223" s="1076">
        <v>0</v>
      </c>
      <c r="E223" s="1074">
        <v>50000</v>
      </c>
      <c r="F223" s="1074">
        <v>50000</v>
      </c>
      <c r="G223" s="1074">
        <v>290860</v>
      </c>
      <c r="H223" s="1074">
        <v>371150</v>
      </c>
    </row>
    <row r="224" spans="1:8" x14ac:dyDescent="0.25">
      <c r="A224" s="1061" t="s">
        <v>1343</v>
      </c>
      <c r="B224" s="1069"/>
      <c r="C224" s="1069">
        <v>3612051</v>
      </c>
      <c r="D224" s="1069">
        <v>0</v>
      </c>
      <c r="E224" s="1069">
        <v>2578847</v>
      </c>
      <c r="F224" s="1069">
        <v>1656744</v>
      </c>
      <c r="G224" s="1069">
        <v>1735973</v>
      </c>
      <c r="H224" s="1069">
        <v>1837539</v>
      </c>
    </row>
    <row r="225" spans="1:8" x14ac:dyDescent="0.25">
      <c r="A225" s="1058"/>
      <c r="B225" s="1066"/>
      <c r="C225" s="1066"/>
      <c r="D225" s="1066"/>
      <c r="E225" s="1058"/>
      <c r="F225" s="1058"/>
      <c r="G225" s="1058"/>
      <c r="H225" s="1058"/>
    </row>
  </sheetData>
  <mergeCells count="5">
    <mergeCell ref="A1:F1"/>
    <mergeCell ref="A2:F2"/>
    <mergeCell ref="A130:I130"/>
    <mergeCell ref="A133:I133"/>
    <mergeCell ref="C132:E132"/>
  </mergeCells>
  <pageMargins left="0.7" right="0.7" top="0.75" bottom="0.75" header="0.3" footer="0.3"/>
  <pageSetup paperSize="9" orientation="portrait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268"/>
  <sheetViews>
    <sheetView topLeftCell="G175" workbookViewId="0">
      <selection activeCell="N194" sqref="N194"/>
    </sheetView>
  </sheetViews>
  <sheetFormatPr defaultColWidth="9.109375" defaultRowHeight="13.2" outlineLevelRow="1" x14ac:dyDescent="0.25"/>
  <cols>
    <col min="1" max="1" width="9.109375" style="742"/>
    <col min="2" max="2" width="24.5546875" style="742" customWidth="1"/>
    <col min="3" max="3" width="16.44140625" style="742" hidden="1" customWidth="1"/>
    <col min="4" max="4" width="17.88671875" style="742" customWidth="1"/>
    <col min="5" max="5" width="17.88671875" style="742" hidden="1" customWidth="1"/>
    <col min="6" max="8" width="18.5546875" style="742" customWidth="1"/>
    <col min="9" max="9" width="18.5546875" style="780" customWidth="1"/>
    <col min="10" max="10" width="15.88671875" style="742" customWidth="1"/>
    <col min="11" max="17" width="12.44140625" style="742" bestFit="1" customWidth="1"/>
    <col min="18" max="16384" width="9.109375" style="742"/>
  </cols>
  <sheetData>
    <row r="1" spans="2:9" ht="12.75" x14ac:dyDescent="0.2">
      <c r="B1" s="1595" t="s">
        <v>1325</v>
      </c>
      <c r="C1" s="1595"/>
      <c r="D1" s="1595"/>
      <c r="E1" s="1595"/>
      <c r="F1" s="1595"/>
      <c r="G1" s="1595"/>
      <c r="H1" s="1595"/>
      <c r="I1" s="1595"/>
    </row>
    <row r="2" spans="2:9" ht="12.75" x14ac:dyDescent="0.2">
      <c r="B2" s="779"/>
      <c r="C2" s="779"/>
      <c r="D2" s="779"/>
      <c r="E2" s="779"/>
    </row>
    <row r="3" spans="2:9" ht="12.75" x14ac:dyDescent="0.2">
      <c r="B3" s="781"/>
      <c r="C3" s="782"/>
      <c r="D3" s="782"/>
      <c r="E3" s="782"/>
    </row>
    <row r="4" spans="2:9" ht="12.75" x14ac:dyDescent="0.2">
      <c r="B4" s="1595" t="s">
        <v>1090</v>
      </c>
      <c r="C4" s="1595"/>
      <c r="D4" s="1595"/>
      <c r="E4" s="1595"/>
      <c r="F4" s="1595"/>
      <c r="G4" s="1595"/>
      <c r="H4" s="1595"/>
      <c r="I4" s="1595"/>
    </row>
    <row r="5" spans="2:9" ht="12.75" hidden="1" outlineLevel="1" x14ac:dyDescent="0.2"/>
    <row r="6" spans="2:9" ht="36.75" hidden="1" customHeight="1" outlineLevel="1" x14ac:dyDescent="0.2">
      <c r="B6" s="742" t="s">
        <v>1091</v>
      </c>
      <c r="C6" s="783" t="s">
        <v>1092</v>
      </c>
      <c r="D6" s="784" t="s">
        <v>1093</v>
      </c>
      <c r="E6" s="784" t="s">
        <v>1094</v>
      </c>
      <c r="F6" s="785" t="s">
        <v>1095</v>
      </c>
      <c r="G6" s="785" t="s">
        <v>1096</v>
      </c>
      <c r="H6" s="786" t="s">
        <v>1097</v>
      </c>
      <c r="I6" s="786" t="s">
        <v>1098</v>
      </c>
    </row>
    <row r="7" spans="2:9" ht="12.75" hidden="1" outlineLevel="1" x14ac:dyDescent="0.2">
      <c r="B7" s="787" t="s">
        <v>931</v>
      </c>
      <c r="C7" s="788">
        <v>4334115</v>
      </c>
      <c r="D7" s="789">
        <v>97875</v>
      </c>
      <c r="E7" s="789">
        <v>0</v>
      </c>
      <c r="F7" s="789">
        <v>242373</v>
      </c>
      <c r="G7" s="788">
        <v>71087</v>
      </c>
      <c r="H7" s="790">
        <v>-596155</v>
      </c>
      <c r="I7" s="788">
        <v>-838399</v>
      </c>
    </row>
    <row r="8" spans="2:9" ht="12.75" hidden="1" outlineLevel="1" x14ac:dyDescent="0.2">
      <c r="B8" s="787" t="s">
        <v>244</v>
      </c>
      <c r="C8" s="791" t="e">
        <f>#REF!+#REF!+#REF!</f>
        <v>#REF!</v>
      </c>
      <c r="D8" s="789">
        <v>-1554007</v>
      </c>
      <c r="E8" s="789">
        <v>0</v>
      </c>
      <c r="F8" s="789">
        <v>-1981967</v>
      </c>
      <c r="G8" s="789">
        <v>-2036746.01</v>
      </c>
      <c r="H8" s="789">
        <v>-2093168.3903000001</v>
      </c>
      <c r="I8" s="791">
        <v>-2151283.4420090001</v>
      </c>
    </row>
    <row r="9" spans="2:9" ht="12.75" hidden="1" outlineLevel="1" x14ac:dyDescent="0.2">
      <c r="B9" s="787" t="s">
        <v>1085</v>
      </c>
      <c r="C9" s="788" t="e">
        <f>#REF!+#REF!+#REF!</f>
        <v>#REF!</v>
      </c>
      <c r="D9" s="790">
        <v>-1266000</v>
      </c>
      <c r="E9" s="790">
        <v>0</v>
      </c>
      <c r="F9" s="790">
        <v>-741000</v>
      </c>
      <c r="G9" s="790">
        <v>-741000</v>
      </c>
      <c r="H9" s="790">
        <v>-741000</v>
      </c>
      <c r="I9" s="788">
        <v>-741000</v>
      </c>
    </row>
    <row r="10" spans="2:9" ht="12.75" hidden="1" outlineLevel="1" x14ac:dyDescent="0.2">
      <c r="B10" s="787" t="s">
        <v>1086</v>
      </c>
      <c r="C10" s="788" t="e">
        <f>#REF!+#REF!+#REF!</f>
        <v>#REF!</v>
      </c>
      <c r="D10" s="790">
        <v>-78000</v>
      </c>
      <c r="E10" s="790">
        <v>0</v>
      </c>
      <c r="F10" s="790">
        <v>-65000</v>
      </c>
      <c r="G10" s="790">
        <v>-66625</v>
      </c>
      <c r="H10" s="790">
        <v>-68290.625</v>
      </c>
      <c r="I10" s="788">
        <v>-69997.890625</v>
      </c>
    </row>
    <row r="11" spans="2:9" ht="12.75" hidden="1" outlineLevel="1" x14ac:dyDescent="0.2">
      <c r="B11" s="787" t="s">
        <v>584</v>
      </c>
      <c r="C11" s="788" t="e">
        <f>#REF!+#REF!+#REF!</f>
        <v>#REF!</v>
      </c>
      <c r="D11" s="790">
        <v>-8510646</v>
      </c>
      <c r="E11" s="790">
        <v>0</v>
      </c>
      <c r="F11" s="790">
        <v>-7355778</v>
      </c>
      <c r="G11" s="790">
        <v>-7537786.1699999999</v>
      </c>
      <c r="H11" s="790">
        <v>-7724288.6536499988</v>
      </c>
      <c r="I11" s="788">
        <v>-7915435.2279792484</v>
      </c>
    </row>
    <row r="12" spans="2:9" ht="12.75" hidden="1" outlineLevel="1" x14ac:dyDescent="0.2">
      <c r="B12" s="787" t="s">
        <v>22</v>
      </c>
      <c r="C12" s="788" t="e">
        <f>#REF!+#REF!+#REF!</f>
        <v>#REF!</v>
      </c>
      <c r="D12" s="790">
        <v>-2262938</v>
      </c>
      <c r="E12" s="790">
        <v>0</v>
      </c>
      <c r="F12" s="790">
        <v>-1200000</v>
      </c>
      <c r="G12" s="790">
        <v>-7000000</v>
      </c>
      <c r="H12" s="790">
        <v>-1000000</v>
      </c>
      <c r="I12" s="788">
        <v>-1000000</v>
      </c>
    </row>
    <row r="13" spans="2:9" ht="12.75" hidden="1" outlineLevel="1" x14ac:dyDescent="0.2">
      <c r="B13" s="787" t="s">
        <v>1099</v>
      </c>
      <c r="C13" s="788" t="e">
        <f>#REF!+#REF!+#REF!</f>
        <v>#REF!</v>
      </c>
      <c r="D13" s="790">
        <v>0</v>
      </c>
      <c r="E13" s="790">
        <v>0</v>
      </c>
      <c r="F13" s="790">
        <v>0</v>
      </c>
      <c r="G13" s="790">
        <v>0</v>
      </c>
      <c r="H13" s="790">
        <v>0</v>
      </c>
      <c r="I13" s="788">
        <v>0</v>
      </c>
    </row>
    <row r="14" spans="2:9" ht="12.75" hidden="1" outlineLevel="1" x14ac:dyDescent="0.2">
      <c r="B14" s="787" t="s">
        <v>950</v>
      </c>
      <c r="C14" s="788" t="e">
        <f>#REF!+#REF!</f>
        <v>#REF!</v>
      </c>
      <c r="D14" s="790">
        <v>-70000</v>
      </c>
      <c r="E14" s="790">
        <v>0</v>
      </c>
      <c r="F14" s="790">
        <v>-70000</v>
      </c>
      <c r="G14" s="790">
        <v>-70000</v>
      </c>
      <c r="H14" s="790">
        <v>-70000</v>
      </c>
      <c r="I14" s="788">
        <v>-70000</v>
      </c>
    </row>
    <row r="15" spans="2:9" ht="12.75" hidden="1" outlineLevel="1" x14ac:dyDescent="0.2">
      <c r="C15" s="780"/>
      <c r="D15" s="780"/>
      <c r="E15" s="780"/>
      <c r="F15" s="792"/>
      <c r="G15" s="792"/>
      <c r="H15" s="793" t="s">
        <v>516</v>
      </c>
    </row>
    <row r="16" spans="2:9" ht="12.75" hidden="1" outlineLevel="1" x14ac:dyDescent="0.2">
      <c r="B16" s="794" t="s">
        <v>1100</v>
      </c>
      <c r="C16" s="795" t="e">
        <f>SUM(C7:C14)</f>
        <v>#REF!</v>
      </c>
      <c r="D16" s="796">
        <v>-13643716</v>
      </c>
      <c r="E16" s="796">
        <v>0</v>
      </c>
      <c r="F16" s="796">
        <v>-11171372</v>
      </c>
      <c r="G16" s="796">
        <v>-17381070.18</v>
      </c>
      <c r="H16" s="796">
        <v>-12292902.668949999</v>
      </c>
      <c r="I16" s="795">
        <v>-12786115.560613248</v>
      </c>
    </row>
    <row r="17" spans="2:9" ht="12.75" hidden="1" outlineLevel="1" x14ac:dyDescent="0.2">
      <c r="C17" s="780"/>
      <c r="D17" s="780"/>
      <c r="E17" s="780"/>
      <c r="F17" s="792"/>
      <c r="G17" s="792"/>
      <c r="H17" s="792"/>
    </row>
    <row r="18" spans="2:9" ht="38.25" hidden="1" outlineLevel="1" x14ac:dyDescent="0.2">
      <c r="B18" s="742" t="s">
        <v>30</v>
      </c>
      <c r="C18" s="783" t="s">
        <v>1092</v>
      </c>
      <c r="D18" s="784" t="s">
        <v>1093</v>
      </c>
      <c r="E18" s="784" t="s">
        <v>1094</v>
      </c>
      <c r="F18" s="785" t="s">
        <v>1095</v>
      </c>
      <c r="G18" s="785" t="s">
        <v>1096</v>
      </c>
      <c r="H18" s="786" t="s">
        <v>1097</v>
      </c>
      <c r="I18" s="786" t="s">
        <v>1098</v>
      </c>
    </row>
    <row r="19" spans="2:9" ht="12.75" hidden="1" outlineLevel="1" x14ac:dyDescent="0.2">
      <c r="B19" s="787" t="s">
        <v>1101</v>
      </c>
      <c r="C19" s="788" t="e">
        <f>#REF!+#REF!+#REF!</f>
        <v>#REF!</v>
      </c>
      <c r="D19" s="797">
        <v>11320422</v>
      </c>
      <c r="E19" s="797">
        <v>0</v>
      </c>
      <c r="F19" s="797">
        <v>8405248</v>
      </c>
      <c r="G19" s="797">
        <v>14607420.800000001</v>
      </c>
      <c r="H19" s="797">
        <v>9575422.3949999996</v>
      </c>
      <c r="I19" s="798">
        <v>9964785.4048749991</v>
      </c>
    </row>
    <row r="20" spans="2:9" ht="12.75" hidden="1" outlineLevel="1" x14ac:dyDescent="0.2">
      <c r="B20" s="787" t="s">
        <v>1083</v>
      </c>
      <c r="C20" s="788">
        <v>353255</v>
      </c>
      <c r="D20" s="790">
        <v>570287</v>
      </c>
      <c r="E20" s="790">
        <v>0</v>
      </c>
      <c r="F20" s="790">
        <v>621839</v>
      </c>
      <c r="G20" s="790">
        <v>555486</v>
      </c>
      <c r="H20" s="790">
        <v>422659</v>
      </c>
      <c r="I20" s="788">
        <v>446925</v>
      </c>
    </row>
    <row r="21" spans="2:9" ht="12.75" hidden="1" outlineLevel="1" x14ac:dyDescent="0.2">
      <c r="B21" s="799" t="s">
        <v>1089</v>
      </c>
      <c r="C21" s="788">
        <v>2163006</v>
      </c>
      <c r="D21" s="790">
        <v>1723007</v>
      </c>
      <c r="E21" s="790">
        <v>0</v>
      </c>
      <c r="F21" s="790">
        <v>2144285</v>
      </c>
      <c r="G21" s="790">
        <v>2218163.0099999998</v>
      </c>
      <c r="H21" s="790">
        <v>2294821.3903000001</v>
      </c>
      <c r="I21" s="788">
        <v>2374405.4420090001</v>
      </c>
    </row>
    <row r="22" spans="2:9" ht="12.75" hidden="1" outlineLevel="1" x14ac:dyDescent="0.2">
      <c r="C22" s="780"/>
      <c r="D22" s="780"/>
      <c r="E22" s="780"/>
      <c r="F22" s="792"/>
      <c r="G22" s="792"/>
      <c r="H22" s="792"/>
    </row>
    <row r="23" spans="2:9" ht="12.75" hidden="1" outlineLevel="1" x14ac:dyDescent="0.2">
      <c r="B23" s="794" t="s">
        <v>910</v>
      </c>
      <c r="C23" s="795" t="e">
        <f t="shared" ref="C23" si="0">SUM(C19:C21)</f>
        <v>#REF!</v>
      </c>
      <c r="D23" s="796">
        <v>13613716</v>
      </c>
      <c r="E23" s="796">
        <v>0</v>
      </c>
      <c r="F23" s="796">
        <v>11171372</v>
      </c>
      <c r="G23" s="796">
        <v>17381069.810000002</v>
      </c>
      <c r="H23" s="796">
        <v>12292902.7853</v>
      </c>
      <c r="I23" s="795">
        <v>12786115.846883999</v>
      </c>
    </row>
    <row r="24" spans="2:9" ht="12.75" hidden="1" outlineLevel="1" x14ac:dyDescent="0.2">
      <c r="C24" s="780"/>
      <c r="D24" s="780"/>
      <c r="E24" s="780"/>
      <c r="F24" s="792"/>
      <c r="G24" s="792"/>
      <c r="H24" s="792"/>
    </row>
    <row r="25" spans="2:9" ht="12.75" hidden="1" outlineLevel="1" x14ac:dyDescent="0.2">
      <c r="B25" s="800" t="s">
        <v>1102</v>
      </c>
      <c r="C25" s="801" t="e">
        <f t="shared" ref="C25" si="1">C23+C16</f>
        <v>#REF!</v>
      </c>
      <c r="D25" s="802">
        <v>-30000</v>
      </c>
      <c r="E25" s="802">
        <v>0</v>
      </c>
      <c r="F25" s="802">
        <v>0</v>
      </c>
      <c r="G25" s="802">
        <v>-0.36999999731779099</v>
      </c>
      <c r="H25" s="802">
        <v>0.11635000072419643</v>
      </c>
      <c r="I25" s="801">
        <v>0.2862707506865263</v>
      </c>
    </row>
    <row r="26" spans="2:9" ht="12.75" hidden="1" outlineLevel="1" x14ac:dyDescent="0.2">
      <c r="F26" s="803"/>
      <c r="G26" s="803"/>
      <c r="H26" s="803"/>
    </row>
    <row r="27" spans="2:9" ht="12.75" hidden="1" outlineLevel="1" collapsed="1" x14ac:dyDescent="0.2"/>
    <row r="28" spans="2:9" ht="36.75" hidden="1" customHeight="1" outlineLevel="1" x14ac:dyDescent="0.25">
      <c r="B28" s="804" t="s">
        <v>1103</v>
      </c>
      <c r="C28" s="783"/>
      <c r="D28" s="784"/>
      <c r="E28" s="784"/>
      <c r="F28" s="785"/>
      <c r="G28" s="785"/>
      <c r="H28" s="786"/>
      <c r="I28" s="786"/>
    </row>
    <row r="29" spans="2:9" ht="12.75" hidden="1" outlineLevel="1" x14ac:dyDescent="0.2">
      <c r="B29" s="787"/>
      <c r="C29" s="788"/>
      <c r="D29" s="789"/>
      <c r="E29" s="789"/>
      <c r="F29" s="789"/>
      <c r="G29" s="788"/>
      <c r="H29" s="790"/>
      <c r="I29" s="788"/>
    </row>
    <row r="30" spans="2:9" s="807" customFormat="1" ht="38.25" hidden="1" outlineLevel="1" x14ac:dyDescent="0.2">
      <c r="B30" s="794" t="s">
        <v>1091</v>
      </c>
      <c r="C30" s="801" t="s">
        <v>1092</v>
      </c>
      <c r="D30" s="805" t="s">
        <v>1093</v>
      </c>
      <c r="E30" s="805" t="s">
        <v>1094</v>
      </c>
      <c r="F30" s="805" t="s">
        <v>1095</v>
      </c>
      <c r="G30" s="805" t="s">
        <v>1096</v>
      </c>
      <c r="H30" s="805" t="s">
        <v>1097</v>
      </c>
      <c r="I30" s="806" t="s">
        <v>1098</v>
      </c>
    </row>
    <row r="31" spans="2:9" ht="12.75" hidden="1" outlineLevel="1" x14ac:dyDescent="0.2">
      <c r="B31" s="787" t="s">
        <v>931</v>
      </c>
      <c r="C31" s="788">
        <v>4334115</v>
      </c>
      <c r="D31" s="790">
        <f t="shared" ref="D31:D38" si="2">D55+D82</f>
        <v>-974.04399999999998</v>
      </c>
      <c r="E31" s="790">
        <f t="shared" ref="E31:I31" si="3">E55+E82</f>
        <v>0</v>
      </c>
      <c r="F31" s="790">
        <f t="shared" si="3"/>
        <v>-238.53500000000003</v>
      </c>
      <c r="G31" s="790">
        <f t="shared" si="3"/>
        <v>13.155999999999977</v>
      </c>
      <c r="H31" s="790">
        <f t="shared" si="3"/>
        <v>-713.09999999999991</v>
      </c>
      <c r="I31" s="790">
        <f t="shared" si="3"/>
        <v>-1059.8150000000001</v>
      </c>
    </row>
    <row r="32" spans="2:9" ht="12.75" hidden="1" outlineLevel="1" x14ac:dyDescent="0.2">
      <c r="B32" s="787" t="s">
        <v>244</v>
      </c>
      <c r="C32" s="788" t="e">
        <v>#REF!</v>
      </c>
      <c r="D32" s="790">
        <f t="shared" si="2"/>
        <v>-1654.0070000000001</v>
      </c>
      <c r="E32" s="790">
        <f t="shared" ref="E32:I38" si="4">E56+E83</f>
        <v>0</v>
      </c>
      <c r="F32" s="790">
        <f t="shared" si="4"/>
        <v>-2081.9670000000001</v>
      </c>
      <c r="G32" s="790">
        <f t="shared" si="4"/>
        <v>-2136.7460099999998</v>
      </c>
      <c r="H32" s="790">
        <f t="shared" si="4"/>
        <v>-2193.1683903000003</v>
      </c>
      <c r="I32" s="790">
        <f t="shared" si="4"/>
        <v>-2251.2834420090003</v>
      </c>
    </row>
    <row r="33" spans="2:9" ht="12.75" hidden="1" outlineLevel="1" x14ac:dyDescent="0.2">
      <c r="B33" s="787" t="s">
        <v>1085</v>
      </c>
      <c r="C33" s="788" t="e">
        <v>#REF!</v>
      </c>
      <c r="D33" s="790">
        <f t="shared" si="2"/>
        <v>-2226</v>
      </c>
      <c r="E33" s="790">
        <f t="shared" si="4"/>
        <v>0</v>
      </c>
      <c r="F33" s="790">
        <f t="shared" si="4"/>
        <v>-9381</v>
      </c>
      <c r="G33" s="790">
        <f t="shared" si="4"/>
        <v>-741</v>
      </c>
      <c r="H33" s="790">
        <f t="shared" si="4"/>
        <v>-741</v>
      </c>
      <c r="I33" s="790">
        <f t="shared" si="4"/>
        <v>-741</v>
      </c>
    </row>
    <row r="34" spans="2:9" ht="12.75" hidden="1" outlineLevel="1" x14ac:dyDescent="0.2">
      <c r="B34" s="787" t="s">
        <v>1086</v>
      </c>
      <c r="C34" s="788" t="e">
        <v>#REF!</v>
      </c>
      <c r="D34" s="790">
        <f t="shared" si="2"/>
        <v>-78</v>
      </c>
      <c r="E34" s="790">
        <f t="shared" si="4"/>
        <v>0</v>
      </c>
      <c r="F34" s="790">
        <f t="shared" si="4"/>
        <v>-65</v>
      </c>
      <c r="G34" s="790">
        <f t="shared" si="4"/>
        <v>-66.625</v>
      </c>
      <c r="H34" s="790">
        <f t="shared" si="4"/>
        <v>-68.290625000000006</v>
      </c>
      <c r="I34" s="790">
        <f t="shared" si="4"/>
        <v>-69.997890624999997</v>
      </c>
    </row>
    <row r="35" spans="2:9" ht="12.75" hidden="1" outlineLevel="1" x14ac:dyDescent="0.2">
      <c r="B35" s="787" t="s">
        <v>584</v>
      </c>
      <c r="C35" s="788" t="e">
        <v>#REF!</v>
      </c>
      <c r="D35" s="790">
        <f t="shared" si="2"/>
        <v>-11286.985000000001</v>
      </c>
      <c r="E35" s="790">
        <f t="shared" si="4"/>
        <v>0</v>
      </c>
      <c r="F35" s="790">
        <f t="shared" si="4"/>
        <v>-10148.165000000001</v>
      </c>
      <c r="G35" s="790">
        <f t="shared" si="4"/>
        <v>-10554.29817</v>
      </c>
      <c r="H35" s="790">
        <f t="shared" si="4"/>
        <v>-10794.972653649998</v>
      </c>
      <c r="I35" s="790">
        <f t="shared" si="4"/>
        <v>-11042.759227979248</v>
      </c>
    </row>
    <row r="36" spans="2:9" ht="12.75" hidden="1" outlineLevel="1" x14ac:dyDescent="0.2">
      <c r="B36" s="787" t="s">
        <v>22</v>
      </c>
      <c r="C36" s="788" t="e">
        <v>#REF!</v>
      </c>
      <c r="D36" s="790">
        <f t="shared" si="2"/>
        <v>-7989.6059999999998</v>
      </c>
      <c r="E36" s="790">
        <f t="shared" si="4"/>
        <v>0</v>
      </c>
      <c r="F36" s="790">
        <f t="shared" si="4"/>
        <v>-3352.2620000000002</v>
      </c>
      <c r="G36" s="790">
        <f t="shared" si="4"/>
        <v>-9251.8649999999998</v>
      </c>
      <c r="H36" s="790">
        <f t="shared" si="4"/>
        <v>-3276.4720000000002</v>
      </c>
      <c r="I36" s="790">
        <f t="shared" si="4"/>
        <v>-2387.239</v>
      </c>
    </row>
    <row r="37" spans="2:9" ht="12.75" hidden="1" outlineLevel="1" x14ac:dyDescent="0.2">
      <c r="B37" s="742" t="s">
        <v>1099</v>
      </c>
      <c r="C37" s="780" t="e">
        <v>#REF!</v>
      </c>
      <c r="D37" s="790">
        <f t="shared" si="2"/>
        <v>-19756</v>
      </c>
      <c r="E37" s="790">
        <f t="shared" si="4"/>
        <v>0</v>
      </c>
      <c r="F37" s="790">
        <f t="shared" si="4"/>
        <v>-17356.182000000001</v>
      </c>
      <c r="G37" s="790">
        <f t="shared" si="4"/>
        <v>0</v>
      </c>
      <c r="H37" s="790">
        <f t="shared" si="4"/>
        <v>0</v>
      </c>
      <c r="I37" s="790">
        <f t="shared" si="4"/>
        <v>0</v>
      </c>
    </row>
    <row r="38" spans="2:9" ht="12.75" hidden="1" outlineLevel="1" x14ac:dyDescent="0.2">
      <c r="B38" s="794" t="s">
        <v>950</v>
      </c>
      <c r="C38" s="795" t="e">
        <v>#REF!</v>
      </c>
      <c r="D38" s="790">
        <f t="shared" si="2"/>
        <v>-70</v>
      </c>
      <c r="E38" s="790">
        <f t="shared" si="4"/>
        <v>0</v>
      </c>
      <c r="F38" s="790">
        <f t="shared" si="4"/>
        <v>-70</v>
      </c>
      <c r="G38" s="790">
        <f t="shared" si="4"/>
        <v>-70</v>
      </c>
      <c r="H38" s="790">
        <f t="shared" si="4"/>
        <v>-70</v>
      </c>
      <c r="I38" s="790">
        <f t="shared" si="4"/>
        <v>-70</v>
      </c>
    </row>
    <row r="39" spans="2:9" ht="12.75" hidden="1" outlineLevel="1" x14ac:dyDescent="0.2">
      <c r="C39" s="780"/>
      <c r="D39" s="780"/>
      <c r="E39" s="780"/>
      <c r="F39" s="780"/>
      <c r="G39" s="780"/>
      <c r="H39" s="780"/>
    </row>
    <row r="40" spans="2:9" ht="12.75" hidden="1" outlineLevel="1" x14ac:dyDescent="0.2">
      <c r="B40" s="742" t="s">
        <v>1100</v>
      </c>
      <c r="C40" s="783" t="e">
        <v>#REF!</v>
      </c>
      <c r="D40" s="808">
        <f>SUM(D31:D39)</f>
        <v>-44034.642</v>
      </c>
      <c r="E40" s="808">
        <f t="shared" ref="E40:I40" si="5">SUM(E31:E39)</f>
        <v>0</v>
      </c>
      <c r="F40" s="808">
        <f t="shared" si="5"/>
        <v>-42693.111000000004</v>
      </c>
      <c r="G40" s="808">
        <f t="shared" si="5"/>
        <v>-22807.37818</v>
      </c>
      <c r="H40" s="808">
        <f t="shared" si="5"/>
        <v>-17857.003668950001</v>
      </c>
      <c r="I40" s="808">
        <f t="shared" si="5"/>
        <v>-17622.094560613248</v>
      </c>
    </row>
    <row r="41" spans="2:9" ht="12.75" hidden="1" outlineLevel="1" x14ac:dyDescent="0.2">
      <c r="B41" s="787"/>
      <c r="C41" s="788"/>
      <c r="D41" s="797"/>
      <c r="E41" s="797"/>
      <c r="F41" s="797"/>
      <c r="G41" s="797"/>
      <c r="H41" s="797"/>
      <c r="I41" s="797"/>
    </row>
    <row r="42" spans="2:9" ht="15" hidden="1" outlineLevel="1" x14ac:dyDescent="0.25">
      <c r="B42" s="809" t="s">
        <v>30</v>
      </c>
      <c r="C42" s="788" t="s">
        <v>1092</v>
      </c>
      <c r="D42" s="790"/>
      <c r="E42" s="790"/>
      <c r="F42" s="790"/>
      <c r="G42" s="790"/>
      <c r="H42" s="790"/>
      <c r="I42" s="790"/>
    </row>
    <row r="43" spans="2:9" ht="12.75" hidden="1" outlineLevel="1" x14ac:dyDescent="0.2">
      <c r="B43" s="799" t="s">
        <v>1101</v>
      </c>
      <c r="C43" s="788" t="e">
        <v>#REF!</v>
      </c>
      <c r="D43" s="790">
        <f t="shared" ref="D43:I45" si="6">D67+D94</f>
        <v>40805.421999999999</v>
      </c>
      <c r="E43" s="790">
        <f t="shared" si="6"/>
        <v>0</v>
      </c>
      <c r="F43" s="790">
        <f t="shared" si="6"/>
        <v>39200.248</v>
      </c>
      <c r="G43" s="790">
        <f t="shared" si="6"/>
        <v>19352.4208</v>
      </c>
      <c r="H43" s="790">
        <f t="shared" si="6"/>
        <v>14140.422395</v>
      </c>
      <c r="I43" s="790">
        <f t="shared" si="6"/>
        <v>13639.785404875</v>
      </c>
    </row>
    <row r="44" spans="2:9" ht="12.75" hidden="1" outlineLevel="1" x14ac:dyDescent="0.2">
      <c r="B44" s="742" t="s">
        <v>1083</v>
      </c>
      <c r="C44" s="780">
        <v>353255</v>
      </c>
      <c r="D44" s="790">
        <f t="shared" si="6"/>
        <v>1248.3380000000002</v>
      </c>
      <c r="E44" s="790">
        <f t="shared" si="6"/>
        <v>0</v>
      </c>
      <c r="F44" s="790">
        <f t="shared" si="6"/>
        <v>1248.578</v>
      </c>
      <c r="G44" s="790">
        <f t="shared" si="6"/>
        <v>1136.8040000000001</v>
      </c>
      <c r="H44" s="790">
        <f t="shared" si="6"/>
        <v>1080.9000000000001</v>
      </c>
      <c r="I44" s="790">
        <f t="shared" si="6"/>
        <v>1186.8139999999999</v>
      </c>
    </row>
    <row r="45" spans="2:9" ht="12.75" hidden="1" outlineLevel="1" x14ac:dyDescent="0.2">
      <c r="B45" s="794" t="s">
        <v>1089</v>
      </c>
      <c r="C45" s="795">
        <v>2163006</v>
      </c>
      <c r="D45" s="790">
        <f t="shared" si="6"/>
        <v>1950.8820000000001</v>
      </c>
      <c r="E45" s="790">
        <f t="shared" si="6"/>
        <v>0</v>
      </c>
      <c r="F45" s="790">
        <f t="shared" si="6"/>
        <v>2244.2849999999999</v>
      </c>
      <c r="G45" s="790">
        <f t="shared" si="6"/>
        <v>2318.1630099999998</v>
      </c>
      <c r="H45" s="790">
        <f t="shared" si="6"/>
        <v>2635.6813903000002</v>
      </c>
      <c r="I45" s="790">
        <f t="shared" si="6"/>
        <v>2795.5554420090002</v>
      </c>
    </row>
    <row r="46" spans="2:9" ht="12.75" hidden="1" outlineLevel="1" x14ac:dyDescent="0.2">
      <c r="C46" s="780"/>
      <c r="D46" s="780"/>
      <c r="E46" s="780"/>
      <c r="F46" s="780"/>
      <c r="G46" s="780"/>
      <c r="H46" s="780"/>
    </row>
    <row r="47" spans="2:9" ht="12.75" hidden="1" outlineLevel="1" x14ac:dyDescent="0.2">
      <c r="B47" s="800" t="s">
        <v>910</v>
      </c>
      <c r="C47" s="801" t="e">
        <v>#REF!</v>
      </c>
      <c r="D47" s="810">
        <f>SUM(D43:D46)</f>
        <v>44004.642</v>
      </c>
      <c r="E47" s="810">
        <f t="shared" ref="E47:I47" si="7">SUM(E43:E46)</f>
        <v>0</v>
      </c>
      <c r="F47" s="810">
        <f t="shared" si="7"/>
        <v>42693.111000000004</v>
      </c>
      <c r="G47" s="810">
        <f t="shared" si="7"/>
        <v>22807.38781</v>
      </c>
      <c r="H47" s="810">
        <f t="shared" si="7"/>
        <v>17857.003785299999</v>
      </c>
      <c r="I47" s="810">
        <f t="shared" si="7"/>
        <v>17622.154846884001</v>
      </c>
    </row>
    <row r="48" spans="2:9" ht="12.75" hidden="1" outlineLevel="1" x14ac:dyDescent="0.2">
      <c r="I48" s="742"/>
    </row>
    <row r="49" spans="2:22" ht="12.75" hidden="1" outlineLevel="1" x14ac:dyDescent="0.2">
      <c r="B49" s="742" t="s">
        <v>1102</v>
      </c>
      <c r="C49" s="742" t="e">
        <v>#REF!</v>
      </c>
      <c r="D49" s="780">
        <f>D47+D40</f>
        <v>-30</v>
      </c>
      <c r="E49" s="780">
        <f t="shared" ref="E49:I49" si="8">E47+E40</f>
        <v>0</v>
      </c>
      <c r="F49" s="780">
        <f t="shared" si="8"/>
        <v>0</v>
      </c>
      <c r="G49" s="780">
        <f t="shared" si="8"/>
        <v>9.6300000004703179E-3</v>
      </c>
      <c r="H49" s="780">
        <f t="shared" si="8"/>
        <v>1.1634999827947468E-4</v>
      </c>
      <c r="I49" s="780">
        <f t="shared" si="8"/>
        <v>6.028627075284021E-2</v>
      </c>
    </row>
    <row r="50" spans="2:22" ht="12.75" hidden="1" outlineLevel="1" x14ac:dyDescent="0.2"/>
    <row r="51" spans="2:22" ht="12.75" hidden="1" outlineLevel="1" x14ac:dyDescent="0.2"/>
    <row r="52" spans="2:22" ht="36.75" customHeight="1" collapsed="1" x14ac:dyDescent="0.25">
      <c r="B52" s="804" t="s">
        <v>1104</v>
      </c>
      <c r="C52" s="783"/>
      <c r="D52" s="784"/>
      <c r="E52" s="784"/>
      <c r="F52" s="785"/>
      <c r="G52" s="785"/>
      <c r="H52" s="786"/>
      <c r="I52" s="786"/>
    </row>
    <row r="53" spans="2:22" ht="12.75" x14ac:dyDescent="0.2">
      <c r="B53" s="787"/>
      <c r="C53" s="788"/>
      <c r="D53" s="789"/>
      <c r="E53" s="789"/>
      <c r="F53" s="789"/>
      <c r="G53" s="788"/>
      <c r="H53" s="790"/>
      <c r="I53" s="788"/>
    </row>
    <row r="54" spans="2:22" s="807" customFormat="1" ht="39" x14ac:dyDescent="0.25">
      <c r="B54" s="794" t="s">
        <v>1091</v>
      </c>
      <c r="C54" s="801" t="s">
        <v>1092</v>
      </c>
      <c r="D54" s="805" t="s">
        <v>1093</v>
      </c>
      <c r="E54" s="805" t="s">
        <v>1094</v>
      </c>
      <c r="F54" s="805" t="s">
        <v>1095</v>
      </c>
      <c r="G54" s="805" t="s">
        <v>1096</v>
      </c>
      <c r="H54" s="805" t="s">
        <v>1097</v>
      </c>
      <c r="I54" s="806" t="s">
        <v>1098</v>
      </c>
      <c r="J54" s="1352" t="s">
        <v>8</v>
      </c>
      <c r="K54" s="1352" t="s">
        <v>9</v>
      </c>
      <c r="L54" s="1352" t="s">
        <v>514</v>
      </c>
      <c r="M54" s="1352" t="s">
        <v>515</v>
      </c>
      <c r="N54" s="1352" t="s">
        <v>904</v>
      </c>
      <c r="O54" s="1352" t="s">
        <v>1046</v>
      </c>
      <c r="P54" s="1352" t="s">
        <v>1424</v>
      </c>
      <c r="Q54" s="1352" t="s">
        <v>1425</v>
      </c>
      <c r="R54" s="1352" t="s">
        <v>1426</v>
      </c>
      <c r="S54" s="1352" t="s">
        <v>1427</v>
      </c>
      <c r="T54" s="1352" t="s">
        <v>1428</v>
      </c>
      <c r="U54" s="1352" t="s">
        <v>1429</v>
      </c>
      <c r="V54" s="1352" t="s">
        <v>1430</v>
      </c>
    </row>
    <row r="55" spans="2:22" ht="12.75" x14ac:dyDescent="0.2">
      <c r="B55" s="787" t="s">
        <v>931</v>
      </c>
      <c r="C55" s="788">
        <v>4334115</v>
      </c>
      <c r="D55" s="790">
        <v>-30</v>
      </c>
      <c r="E55" s="790">
        <v>0</v>
      </c>
      <c r="F55" s="790">
        <v>241.59399999999999</v>
      </c>
      <c r="G55" s="790">
        <v>142.86699999999999</v>
      </c>
      <c r="H55" s="790">
        <v>-575.67899999999997</v>
      </c>
      <c r="I55" s="790">
        <v>-867.21299999999997</v>
      </c>
      <c r="J55" s="1079"/>
      <c r="K55" s="1079"/>
      <c r="L55" s="1079"/>
      <c r="M55" s="1079"/>
      <c r="N55" s="1079"/>
      <c r="O55" s="1079"/>
      <c r="P55" s="1079"/>
      <c r="Q55" s="1079"/>
      <c r="R55" s="1079"/>
      <c r="S55" s="1079"/>
      <c r="T55" s="1079"/>
      <c r="U55" s="1079"/>
      <c r="V55" s="1079"/>
    </row>
    <row r="56" spans="2:22" ht="14.25" x14ac:dyDescent="0.2">
      <c r="B56" s="787" t="s">
        <v>244</v>
      </c>
      <c r="C56" s="788" t="e">
        <v>#REF!</v>
      </c>
      <c r="D56" s="790">
        <v>-1554.0070000000001</v>
      </c>
      <c r="E56" s="790">
        <v>0</v>
      </c>
      <c r="F56" s="790">
        <v>-1981.9670000000001</v>
      </c>
      <c r="G56" s="790">
        <v>-2036.7460100000001</v>
      </c>
      <c r="H56" s="790">
        <v>-2093.1683903000003</v>
      </c>
      <c r="I56" s="790">
        <v>-2151.2834420090003</v>
      </c>
      <c r="J56" s="831">
        <f>I56*(1+'LTFP Assumptions'!$J$13)</f>
        <v>-2194.3091108491803</v>
      </c>
      <c r="K56" s="831">
        <f>J56*(1+'LTFP Assumptions'!$J$13)</f>
        <v>-2238.1952930661641</v>
      </c>
      <c r="L56" s="831">
        <f>K56*(1+'LTFP Assumptions'!$J$13)</f>
        <v>-2282.9591989274873</v>
      </c>
      <c r="M56" s="831">
        <f>L56*(1+'LTFP Assumptions'!$J$13)</f>
        <v>-2328.6183829060369</v>
      </c>
      <c r="N56" s="831">
        <f>M56*(1+'LTFP Assumptions'!$J$13)</f>
        <v>-2375.1907505641575</v>
      </c>
      <c r="O56" s="831">
        <f>N56*(1+'LTFP Assumptions'!$J$13)</f>
        <v>-2422.6945655754407</v>
      </c>
      <c r="P56" s="831">
        <f>O56*(1+'LTFP Assumptions'!$J$13)</f>
        <v>-2471.1484568869496</v>
      </c>
      <c r="Q56" s="831">
        <f>P56*(1+'LTFP Assumptions'!$J$13)</f>
        <v>-2520.5714260246887</v>
      </c>
      <c r="R56" s="831">
        <f>Q56*(1+'LTFP Assumptions'!$J$13)</f>
        <v>-2570.9828545451824</v>
      </c>
      <c r="S56" s="831">
        <f>R56*(1+'LTFP Assumptions'!$J$13)</f>
        <v>-2622.4025116360863</v>
      </c>
      <c r="T56" s="831">
        <f>S56*(1+'LTFP Assumptions'!$J$13)</f>
        <v>-2674.8505618688082</v>
      </c>
      <c r="U56" s="831">
        <f>T56*(1+'LTFP Assumptions'!$J$13)</f>
        <v>-2728.3475731061844</v>
      </c>
      <c r="V56" s="831">
        <f>U56*(1+'LTFP Assumptions'!$J$13)</f>
        <v>-2782.914524568308</v>
      </c>
    </row>
    <row r="57" spans="2:22" ht="14.25" x14ac:dyDescent="0.2">
      <c r="B57" s="787" t="s">
        <v>1085</v>
      </c>
      <c r="C57" s="788" t="e">
        <v>#REF!</v>
      </c>
      <c r="D57" s="790">
        <v>-1266</v>
      </c>
      <c r="E57" s="790">
        <v>0</v>
      </c>
      <c r="F57" s="790">
        <v>-741</v>
      </c>
      <c r="G57" s="790">
        <v>-741</v>
      </c>
      <c r="H57" s="790">
        <v>-741</v>
      </c>
      <c r="I57" s="790">
        <v>-741</v>
      </c>
      <c r="J57" s="831">
        <f>I57*(1+'LTFP Assumptions'!$J$13)</f>
        <v>-755.82</v>
      </c>
      <c r="K57" s="831">
        <f>J57*(1+'LTFP Assumptions'!$J$13)</f>
        <v>-770.93640000000005</v>
      </c>
      <c r="L57" s="831">
        <f>K57*(1+'LTFP Assumptions'!$J$13)</f>
        <v>-786.35512800000004</v>
      </c>
      <c r="M57" s="831">
        <f>L57*(1+'LTFP Assumptions'!$J$13)</f>
        <v>-802.08223056000008</v>
      </c>
      <c r="N57" s="831">
        <f>M57*(1+'LTFP Assumptions'!$J$13)</f>
        <v>-818.1238751712001</v>
      </c>
      <c r="O57" s="831">
        <f>N57*(1+'LTFP Assumptions'!$J$13)</f>
        <v>-834.48635267462407</v>
      </c>
      <c r="P57" s="831">
        <f>O57*(1+'LTFP Assumptions'!$J$13)</f>
        <v>-851.17607972811652</v>
      </c>
      <c r="Q57" s="831">
        <f>P57*(1+'LTFP Assumptions'!$J$13)</f>
        <v>-868.19960132267886</v>
      </c>
      <c r="R57" s="831">
        <f>Q57*(1+'LTFP Assumptions'!$J$13)</f>
        <v>-885.56359334913247</v>
      </c>
      <c r="S57" s="831">
        <f>R57*(1+'LTFP Assumptions'!$J$13)</f>
        <v>-903.27486521611513</v>
      </c>
      <c r="T57" s="831">
        <f>S57*(1+'LTFP Assumptions'!$J$13)</f>
        <v>-921.34036252043745</v>
      </c>
      <c r="U57" s="831">
        <f>T57*(1+'LTFP Assumptions'!$J$13)</f>
        <v>-939.76716977084618</v>
      </c>
      <c r="V57" s="831">
        <f>U57*(1+'LTFP Assumptions'!$J$13)</f>
        <v>-958.5625131662631</v>
      </c>
    </row>
    <row r="58" spans="2:22" ht="14.25" x14ac:dyDescent="0.2">
      <c r="B58" s="787" t="s">
        <v>1086</v>
      </c>
      <c r="C58" s="788" t="e">
        <v>#REF!</v>
      </c>
      <c r="D58" s="790">
        <v>-78</v>
      </c>
      <c r="E58" s="790">
        <v>0</v>
      </c>
      <c r="F58" s="790">
        <v>-65</v>
      </c>
      <c r="G58" s="790">
        <v>-66.625</v>
      </c>
      <c r="H58" s="790">
        <v>-68.290625000000006</v>
      </c>
      <c r="I58" s="790">
        <v>-69.997890624999997</v>
      </c>
      <c r="J58" s="831">
        <f>I58*(1+'LTFP Assumptions'!$J$13)</f>
        <v>-71.397848437500002</v>
      </c>
      <c r="K58" s="831">
        <f>J58*(1+'LTFP Assumptions'!$J$13)</f>
        <v>-72.825805406249998</v>
      </c>
      <c r="L58" s="831">
        <f>K58*(1+'LTFP Assumptions'!$J$13)</f>
        <v>-74.282321514374999</v>
      </c>
      <c r="M58" s="831">
        <f>L58*(1+'LTFP Assumptions'!$J$13)</f>
        <v>-75.767967944662502</v>
      </c>
      <c r="N58" s="831">
        <f>M58*(1+'LTFP Assumptions'!$J$13)</f>
        <v>-77.283327303555751</v>
      </c>
      <c r="O58" s="831">
        <f>N58*(1+'LTFP Assumptions'!$J$13)</f>
        <v>-78.828993849626869</v>
      </c>
      <c r="P58" s="831">
        <f>O58*(1+'LTFP Assumptions'!$J$13)</f>
        <v>-80.405573726619409</v>
      </c>
      <c r="Q58" s="831">
        <f>P58*(1+'LTFP Assumptions'!$J$13)</f>
        <v>-82.013685201151802</v>
      </c>
      <c r="R58" s="831">
        <f>Q58*(1+'LTFP Assumptions'!$J$13)</f>
        <v>-83.653958905174832</v>
      </c>
      <c r="S58" s="831">
        <f>R58*(1+'LTFP Assumptions'!$J$13)</f>
        <v>-85.327038083278325</v>
      </c>
      <c r="T58" s="831">
        <f>S58*(1+'LTFP Assumptions'!$J$13)</f>
        <v>-87.033578844943889</v>
      </c>
      <c r="U58" s="831">
        <f>T58*(1+'LTFP Assumptions'!$J$13)</f>
        <v>-88.774250421842765</v>
      </c>
      <c r="V58" s="831">
        <f>U58*(1+'LTFP Assumptions'!$J$13)</f>
        <v>-90.549735430279625</v>
      </c>
    </row>
    <row r="59" spans="2:22" ht="12.75" x14ac:dyDescent="0.2">
      <c r="B59" s="787" t="s">
        <v>584</v>
      </c>
      <c r="C59" s="788" t="e">
        <v>#REF!</v>
      </c>
      <c r="D59" s="790">
        <v>-8510.6460000000006</v>
      </c>
      <c r="E59" s="790">
        <v>0</v>
      </c>
      <c r="F59" s="790">
        <v>-7625.4650000000001</v>
      </c>
      <c r="G59" s="790">
        <v>-7813.7811700000002</v>
      </c>
      <c r="H59" s="790">
        <v>-8004.9436536499989</v>
      </c>
      <c r="I59" s="790">
        <v>-8204.5042279792488</v>
      </c>
      <c r="J59" s="1079"/>
      <c r="K59" s="1079"/>
      <c r="L59" s="1079"/>
      <c r="M59" s="1079"/>
      <c r="N59" s="1079"/>
      <c r="O59" s="1079"/>
      <c r="P59" s="1079"/>
      <c r="Q59" s="1079"/>
      <c r="R59" s="1079"/>
      <c r="S59" s="1079"/>
      <c r="T59" s="1079"/>
      <c r="U59" s="1079"/>
      <c r="V59" s="1079"/>
    </row>
    <row r="60" spans="2:22" ht="12.75" x14ac:dyDescent="0.2">
      <c r="B60" s="787" t="s">
        <v>22</v>
      </c>
      <c r="C60" s="788" t="e">
        <v>#REF!</v>
      </c>
      <c r="D60" s="1079">
        <f t="shared" ref="D60:V60" si="9">D249</f>
        <v>-2262.9380000000001</v>
      </c>
      <c r="E60" s="1079">
        <f t="shared" si="9"/>
        <v>0</v>
      </c>
      <c r="F60" s="1079">
        <f t="shared" si="9"/>
        <v>-1200</v>
      </c>
      <c r="G60" s="1079">
        <f t="shared" si="9"/>
        <v>-7000</v>
      </c>
      <c r="H60" s="1079">
        <f t="shared" si="9"/>
        <v>-1000</v>
      </c>
      <c r="I60" s="1079">
        <f t="shared" si="9"/>
        <v>-1000</v>
      </c>
      <c r="J60" s="1079">
        <f t="shared" si="9"/>
        <v>-2020</v>
      </c>
      <c r="K60" s="1079">
        <f t="shared" si="9"/>
        <v>-2060.4</v>
      </c>
      <c r="L60" s="1079">
        <f t="shared" si="9"/>
        <v>-2101.6080000000002</v>
      </c>
      <c r="M60" s="1079">
        <f t="shared" si="9"/>
        <v>-2143.6401600000004</v>
      </c>
      <c r="N60" s="1079">
        <f t="shared" si="9"/>
        <v>-2186.5129632000003</v>
      </c>
      <c r="O60" s="1079">
        <f t="shared" si="9"/>
        <v>-2230.2432224640002</v>
      </c>
      <c r="P60" s="1079">
        <f t="shared" si="9"/>
        <v>-2274.84808691328</v>
      </c>
      <c r="Q60" s="1079">
        <f t="shared" si="9"/>
        <v>-2320.3450486515458</v>
      </c>
      <c r="R60" s="1079">
        <f t="shared" si="9"/>
        <v>-2366.7519496245768</v>
      </c>
      <c r="S60" s="1079">
        <f t="shared" si="9"/>
        <v>-2414.0869886170685</v>
      </c>
      <c r="T60" s="1079">
        <f t="shared" si="9"/>
        <v>-2462.3687283894101</v>
      </c>
      <c r="U60" s="1079">
        <f t="shared" si="9"/>
        <v>-2511.6161029571981</v>
      </c>
      <c r="V60" s="1079">
        <f t="shared" si="9"/>
        <v>-2561.8484250163419</v>
      </c>
    </row>
    <row r="61" spans="2:22" ht="12.75" x14ac:dyDescent="0.2">
      <c r="B61" s="742" t="s">
        <v>1099</v>
      </c>
      <c r="C61" s="780" t="e">
        <v>#REF!</v>
      </c>
      <c r="D61" s="790">
        <f>D250</f>
        <v>-10000</v>
      </c>
      <c r="E61" s="1079">
        <f t="shared" ref="E61:S61" si="10">E250</f>
        <v>0</v>
      </c>
      <c r="F61" s="1079">
        <f t="shared" si="10"/>
        <v>0</v>
      </c>
      <c r="G61" s="1079">
        <f t="shared" si="10"/>
        <v>0</v>
      </c>
      <c r="H61" s="1375">
        <f t="shared" si="10"/>
        <v>0</v>
      </c>
      <c r="I61" s="1375">
        <f t="shared" si="10"/>
        <v>0</v>
      </c>
      <c r="J61" s="1375">
        <f t="shared" si="10"/>
        <v>0</v>
      </c>
      <c r="K61" s="1375">
        <f t="shared" si="10"/>
        <v>0</v>
      </c>
      <c r="L61" s="1375">
        <f t="shared" si="10"/>
        <v>0</v>
      </c>
      <c r="M61" s="1375">
        <f t="shared" si="10"/>
        <v>0</v>
      </c>
      <c r="N61" s="1375">
        <f t="shared" si="10"/>
        <v>0</v>
      </c>
      <c r="O61" s="1375">
        <f t="shared" si="10"/>
        <v>0</v>
      </c>
      <c r="P61" s="1375">
        <f t="shared" si="10"/>
        <v>0</v>
      </c>
      <c r="Q61" s="1375">
        <f t="shared" si="10"/>
        <v>0</v>
      </c>
      <c r="R61" s="1375">
        <f t="shared" si="10"/>
        <v>0</v>
      </c>
      <c r="S61" s="1375">
        <f t="shared" si="10"/>
        <v>0</v>
      </c>
      <c r="T61" s="1079">
        <f t="shared" ref="T61:V61" si="11">S61</f>
        <v>0</v>
      </c>
      <c r="U61" s="1079">
        <f t="shared" si="11"/>
        <v>0</v>
      </c>
      <c r="V61" s="1079">
        <f t="shared" si="11"/>
        <v>0</v>
      </c>
    </row>
    <row r="62" spans="2:22" ht="14.25" x14ac:dyDescent="0.2">
      <c r="B62" s="794" t="s">
        <v>950</v>
      </c>
      <c r="C62" s="795" t="e">
        <v>#REF!</v>
      </c>
      <c r="D62" s="790">
        <v>-70</v>
      </c>
      <c r="E62" s="790">
        <v>0</v>
      </c>
      <c r="F62" s="790">
        <v>-70</v>
      </c>
      <c r="G62" s="790">
        <v>-70</v>
      </c>
      <c r="H62" s="790">
        <v>-70</v>
      </c>
      <c r="I62" s="790">
        <v>-70</v>
      </c>
      <c r="J62" s="831">
        <f>I62*(1+'LTFP Assumptions'!$J$13)</f>
        <v>-71.400000000000006</v>
      </c>
      <c r="K62" s="831">
        <f>J62*(1+'LTFP Assumptions'!$J$13)</f>
        <v>-72.828000000000003</v>
      </c>
      <c r="L62" s="831">
        <f>K62*(1+'LTFP Assumptions'!$J$13)</f>
        <v>-74.284559999999999</v>
      </c>
      <c r="M62" s="831">
        <f>L62*(1+'LTFP Assumptions'!$J$13)</f>
        <v>-75.770251200000004</v>
      </c>
      <c r="N62" s="831">
        <f>M62*(1+'LTFP Assumptions'!$J$13)</f>
        <v>-77.285656224000007</v>
      </c>
      <c r="O62" s="831">
        <f>N62*(1+'LTFP Assumptions'!$J$13)</f>
        <v>-78.83136934848001</v>
      </c>
      <c r="P62" s="831">
        <f>O62*(1+'LTFP Assumptions'!$J$13)</f>
        <v>-80.407996735449615</v>
      </c>
      <c r="Q62" s="831">
        <f>P62*(1+'LTFP Assumptions'!$J$13)</f>
        <v>-82.016156670158608</v>
      </c>
      <c r="R62" s="831">
        <f>Q62*(1+'LTFP Assumptions'!$J$13)</f>
        <v>-83.65647980356178</v>
      </c>
      <c r="S62" s="831">
        <f>R62*(1+'LTFP Assumptions'!$J$13)</f>
        <v>-85.329609399633014</v>
      </c>
      <c r="T62" s="831">
        <f>S62*(1+'LTFP Assumptions'!$J$13)</f>
        <v>-87.036201587625669</v>
      </c>
      <c r="U62" s="831">
        <f>T62*(1+'LTFP Assumptions'!$J$13)</f>
        <v>-88.77692561937819</v>
      </c>
      <c r="V62" s="831">
        <f>U62*(1+'LTFP Assumptions'!$J$13)</f>
        <v>-90.55246413176576</v>
      </c>
    </row>
    <row r="63" spans="2:22" ht="12.75" x14ac:dyDescent="0.2">
      <c r="C63" s="780"/>
      <c r="D63" s="780"/>
      <c r="E63" s="780"/>
      <c r="F63" s="780"/>
      <c r="G63" s="780"/>
      <c r="H63" s="780"/>
    </row>
    <row r="64" spans="2:22" ht="12.75" x14ac:dyDescent="0.2">
      <c r="B64" s="742" t="s">
        <v>1100</v>
      </c>
      <c r="C64" s="783" t="e">
        <v>#REF!</v>
      </c>
      <c r="D64" s="808">
        <f>SUM(D55:D63)</f>
        <v>-23771.591</v>
      </c>
      <c r="E64" s="808">
        <f t="shared" ref="E64:J64" si="12">SUM(E55:E63)</f>
        <v>0</v>
      </c>
      <c r="F64" s="808">
        <f t="shared" si="12"/>
        <v>-11441.838</v>
      </c>
      <c r="G64" s="808">
        <f t="shared" si="12"/>
        <v>-17585.285179999999</v>
      </c>
      <c r="H64" s="808">
        <f t="shared" si="12"/>
        <v>-12553.081668949999</v>
      </c>
      <c r="I64" s="808">
        <f t="shared" si="12"/>
        <v>-13103.998560613249</v>
      </c>
      <c r="J64" s="808">
        <f t="shared" si="12"/>
        <v>-5112.9269592866804</v>
      </c>
    </row>
    <row r="65" spans="2:22" ht="39" x14ac:dyDescent="0.25">
      <c r="B65" s="824" t="s">
        <v>1079</v>
      </c>
      <c r="C65" s="788"/>
      <c r="D65" s="823" t="s">
        <v>1093</v>
      </c>
      <c r="E65" s="823" t="s">
        <v>1094</v>
      </c>
      <c r="F65" s="823" t="s">
        <v>1095</v>
      </c>
      <c r="G65" s="823" t="s">
        <v>1096</v>
      </c>
      <c r="H65" s="823" t="s">
        <v>1097</v>
      </c>
      <c r="I65" s="823" t="s">
        <v>1098</v>
      </c>
      <c r="J65" s="1352" t="s">
        <v>8</v>
      </c>
      <c r="K65" s="1352" t="s">
        <v>9</v>
      </c>
      <c r="L65" s="1352" t="s">
        <v>514</v>
      </c>
      <c r="M65" s="1352" t="s">
        <v>515</v>
      </c>
      <c r="N65" s="1352" t="s">
        <v>904</v>
      </c>
      <c r="O65" s="1352" t="s">
        <v>1046</v>
      </c>
      <c r="P65" s="1352" t="s">
        <v>1424</v>
      </c>
      <c r="Q65" s="1352" t="s">
        <v>1425</v>
      </c>
      <c r="R65" s="1352" t="s">
        <v>1426</v>
      </c>
      <c r="S65" s="1352" t="s">
        <v>1427</v>
      </c>
      <c r="T65" s="1352" t="s">
        <v>1428</v>
      </c>
      <c r="U65" s="1352" t="s">
        <v>1429</v>
      </c>
      <c r="V65" s="1352" t="s">
        <v>1430</v>
      </c>
    </row>
    <row r="66" spans="2:22" ht="15" x14ac:dyDescent="0.25">
      <c r="B66" s="809" t="s">
        <v>30</v>
      </c>
      <c r="C66" s="788" t="s">
        <v>1092</v>
      </c>
      <c r="D66" s="790"/>
      <c r="E66" s="790"/>
      <c r="F66" s="790"/>
      <c r="G66" s="790"/>
      <c r="H66" s="790"/>
      <c r="I66" s="790"/>
      <c r="J66" s="1079"/>
      <c r="K66" s="1079"/>
      <c r="L66" s="1079"/>
      <c r="M66" s="1079"/>
      <c r="N66" s="1079"/>
      <c r="O66" s="1079"/>
      <c r="P66" s="1079"/>
      <c r="Q66" s="1079"/>
      <c r="R66" s="1079"/>
      <c r="S66" s="1079"/>
      <c r="T66" s="1079"/>
      <c r="U66" s="1079"/>
      <c r="V66" s="1079"/>
    </row>
    <row r="67" spans="2:22" ht="12.75" x14ac:dyDescent="0.2">
      <c r="B67" s="799" t="s">
        <v>1101</v>
      </c>
      <c r="C67" s="788" t="e">
        <v>#REF!</v>
      </c>
      <c r="D67" s="790">
        <v>21320.421999999999</v>
      </c>
      <c r="E67" s="790">
        <v>0</v>
      </c>
      <c r="F67" s="790">
        <v>8405.2479999999996</v>
      </c>
      <c r="G67" s="790">
        <v>14607.4208</v>
      </c>
      <c r="H67" s="790">
        <v>9575.4223949999996</v>
      </c>
      <c r="I67" s="790">
        <v>9964.7854048749996</v>
      </c>
      <c r="J67" s="1079">
        <v>9964.7854048749996</v>
      </c>
      <c r="K67" s="1079">
        <v>9964.7854048749996</v>
      </c>
      <c r="L67" s="1079">
        <v>9964.7854048749996</v>
      </c>
      <c r="M67" s="1079">
        <v>9964.7854048749996</v>
      </c>
      <c r="N67" s="1079">
        <v>9964.7854048749996</v>
      </c>
      <c r="O67" s="1079">
        <v>9964.7854048749996</v>
      </c>
      <c r="P67" s="1079">
        <v>9964.7854048749996</v>
      </c>
      <c r="Q67" s="1079">
        <v>9964.7854048749996</v>
      </c>
      <c r="R67" s="1079">
        <v>9964.7854048749996</v>
      </c>
      <c r="S67" s="1079">
        <v>9964.7854048749996</v>
      </c>
      <c r="T67" s="1079">
        <v>9964.7854048749996</v>
      </c>
      <c r="U67" s="1079">
        <v>9964.7854048749996</v>
      </c>
      <c r="V67" s="1079">
        <v>9964.7854048749996</v>
      </c>
    </row>
    <row r="68" spans="2:22" ht="12.75" x14ac:dyDescent="0.2">
      <c r="B68" s="742" t="s">
        <v>1083</v>
      </c>
      <c r="C68" s="780">
        <v>353255</v>
      </c>
      <c r="D68" s="790">
        <v>570.28700000000003</v>
      </c>
      <c r="E68" s="790">
        <v>0</v>
      </c>
      <c r="F68" s="790">
        <v>892.30499999999995</v>
      </c>
      <c r="G68" s="790">
        <v>759.70100000000002</v>
      </c>
      <c r="H68" s="790">
        <v>682.83799999999997</v>
      </c>
      <c r="I68" s="790">
        <v>764.80799999999999</v>
      </c>
      <c r="J68" s="1079">
        <v>764.80799999999999</v>
      </c>
      <c r="K68" s="1079">
        <v>764.80799999999999</v>
      </c>
      <c r="L68" s="1079">
        <v>764.80799999999999</v>
      </c>
      <c r="M68" s="1079">
        <v>764.80799999999999</v>
      </c>
      <c r="N68" s="1079">
        <v>764.80799999999999</v>
      </c>
      <c r="O68" s="1079">
        <v>764.80799999999999</v>
      </c>
      <c r="P68" s="1079">
        <v>764.80799999999999</v>
      </c>
      <c r="Q68" s="1079">
        <v>764.80799999999999</v>
      </c>
      <c r="R68" s="1079">
        <v>764.80799999999999</v>
      </c>
      <c r="S68" s="1079">
        <v>764.80799999999999</v>
      </c>
      <c r="T68" s="1079">
        <v>764.80799999999999</v>
      </c>
      <c r="U68" s="1079">
        <v>764.80799999999999</v>
      </c>
      <c r="V68" s="1079">
        <v>764.80799999999999</v>
      </c>
    </row>
    <row r="69" spans="2:22" ht="12.75" x14ac:dyDescent="0.2">
      <c r="B69" s="794" t="s">
        <v>1089</v>
      </c>
      <c r="C69" s="795">
        <v>2163006</v>
      </c>
      <c r="D69" s="790">
        <v>1850.8820000000001</v>
      </c>
      <c r="E69" s="790">
        <v>0</v>
      </c>
      <c r="F69" s="790">
        <v>2144.2849999999999</v>
      </c>
      <c r="G69" s="790">
        <v>2218.1630099999998</v>
      </c>
      <c r="H69" s="790">
        <v>2294.8213903000001</v>
      </c>
      <c r="I69" s="790">
        <v>2374.4054420090001</v>
      </c>
      <c r="J69" s="1079">
        <v>2374.4054420090001</v>
      </c>
      <c r="K69" s="1079">
        <v>2374.4054420090001</v>
      </c>
      <c r="L69" s="1079">
        <v>2374.4054420090001</v>
      </c>
      <c r="M69" s="1079">
        <v>2374.4054420090001</v>
      </c>
      <c r="N69" s="1079">
        <v>2374.4054420090001</v>
      </c>
      <c r="O69" s="1079">
        <v>2374.4054420090001</v>
      </c>
      <c r="P69" s="1079">
        <v>2374.4054420090001</v>
      </c>
      <c r="Q69" s="1079">
        <v>2374.4054420090001</v>
      </c>
      <c r="R69" s="1079">
        <v>2374.4054420090001</v>
      </c>
      <c r="S69" s="1079">
        <v>2374.4054420090001</v>
      </c>
      <c r="T69" s="1079">
        <v>2374.4054420090001</v>
      </c>
      <c r="U69" s="1079">
        <v>2374.4054420090001</v>
      </c>
      <c r="V69" s="1079">
        <v>2374.4054420090001</v>
      </c>
    </row>
    <row r="70" spans="2:22" ht="6.75" customHeight="1" x14ac:dyDescent="0.2">
      <c r="C70" s="780"/>
      <c r="D70" s="780"/>
      <c r="E70" s="780"/>
      <c r="F70" s="780"/>
      <c r="G70" s="780"/>
      <c r="H70" s="780"/>
      <c r="J70" s="1209"/>
      <c r="K70" s="1209"/>
      <c r="L70" s="1209"/>
      <c r="M70" s="1209"/>
      <c r="N70" s="1209"/>
      <c r="O70" s="1209"/>
      <c r="P70" s="1209"/>
      <c r="Q70" s="1209"/>
      <c r="R70" s="1209"/>
      <c r="S70" s="1209"/>
      <c r="T70" s="1209"/>
      <c r="U70" s="1209"/>
      <c r="V70" s="1209"/>
    </row>
    <row r="71" spans="2:22" ht="12.75" x14ac:dyDescent="0.2">
      <c r="B71" s="800" t="s">
        <v>910</v>
      </c>
      <c r="C71" s="801" t="e">
        <v>#REF!</v>
      </c>
      <c r="D71" s="810">
        <f>SUM(D67:D70)</f>
        <v>23741.591</v>
      </c>
      <c r="E71" s="810">
        <f t="shared" ref="E71:I71" si="13">SUM(E67:E70)</f>
        <v>0</v>
      </c>
      <c r="F71" s="810">
        <f t="shared" si="13"/>
        <v>11441.838</v>
      </c>
      <c r="G71" s="810">
        <f t="shared" si="13"/>
        <v>17585.284810000001</v>
      </c>
      <c r="H71" s="810">
        <f t="shared" si="13"/>
        <v>12553.081785299999</v>
      </c>
      <c r="I71" s="810">
        <f t="shared" si="13"/>
        <v>13103.998846883998</v>
      </c>
      <c r="J71" s="810">
        <f t="shared" ref="J71:V71" si="14">SUM(J67:J70)</f>
        <v>13103.998846883998</v>
      </c>
      <c r="K71" s="810">
        <f t="shared" si="14"/>
        <v>13103.998846883998</v>
      </c>
      <c r="L71" s="810">
        <f t="shared" si="14"/>
        <v>13103.998846883998</v>
      </c>
      <c r="M71" s="810">
        <f t="shared" si="14"/>
        <v>13103.998846883998</v>
      </c>
      <c r="N71" s="810">
        <f t="shared" si="14"/>
        <v>13103.998846883998</v>
      </c>
      <c r="O71" s="810">
        <f t="shared" si="14"/>
        <v>13103.998846883998</v>
      </c>
      <c r="P71" s="810">
        <f t="shared" si="14"/>
        <v>13103.998846883998</v>
      </c>
      <c r="Q71" s="810">
        <f t="shared" si="14"/>
        <v>13103.998846883998</v>
      </c>
      <c r="R71" s="810">
        <f t="shared" si="14"/>
        <v>13103.998846883998</v>
      </c>
      <c r="S71" s="810">
        <f t="shared" si="14"/>
        <v>13103.998846883998</v>
      </c>
      <c r="T71" s="810">
        <f t="shared" si="14"/>
        <v>13103.998846883998</v>
      </c>
      <c r="U71" s="810">
        <f t="shared" si="14"/>
        <v>13103.998846883998</v>
      </c>
      <c r="V71" s="810">
        <f t="shared" si="14"/>
        <v>13103.998846883998</v>
      </c>
    </row>
    <row r="72" spans="2:22" ht="7.5" customHeight="1" x14ac:dyDescent="0.2">
      <c r="I72" s="742"/>
      <c r="J72" s="1222"/>
      <c r="K72" s="1222"/>
      <c r="L72" s="1222"/>
      <c r="M72" s="1222"/>
      <c r="N72" s="1222"/>
      <c r="O72" s="1222"/>
      <c r="P72" s="1222"/>
      <c r="Q72" s="1222"/>
      <c r="R72" s="1222"/>
      <c r="S72" s="1222"/>
      <c r="T72" s="1222"/>
      <c r="U72" s="1222"/>
      <c r="V72" s="1222"/>
    </row>
    <row r="73" spans="2:22" ht="12.75" x14ac:dyDescent="0.2">
      <c r="B73" s="742" t="s">
        <v>1102</v>
      </c>
      <c r="C73" s="742" t="e">
        <v>#REF!</v>
      </c>
      <c r="D73" s="780">
        <f>D71+D64</f>
        <v>-30</v>
      </c>
      <c r="E73" s="780">
        <f t="shared" ref="E73:I73" si="15">E71+E64</f>
        <v>0</v>
      </c>
      <c r="F73" s="780">
        <f t="shared" si="15"/>
        <v>0</v>
      </c>
      <c r="G73" s="780">
        <f t="shared" si="15"/>
        <v>-3.6999999792897142E-4</v>
      </c>
      <c r="H73" s="780">
        <f t="shared" si="15"/>
        <v>1.1635000009846408E-4</v>
      </c>
      <c r="I73" s="780">
        <f t="shared" si="15"/>
        <v>2.8627074971154798E-4</v>
      </c>
      <c r="J73" s="1209">
        <f t="shared" ref="J73:V73" si="16">J71+J64</f>
        <v>7991.071887597318</v>
      </c>
      <c r="K73" s="1209">
        <f t="shared" si="16"/>
        <v>13103.998846883998</v>
      </c>
      <c r="L73" s="1209">
        <f t="shared" si="16"/>
        <v>13103.998846883998</v>
      </c>
      <c r="M73" s="1209">
        <f t="shared" si="16"/>
        <v>13103.998846883998</v>
      </c>
      <c r="N73" s="1209">
        <f t="shared" si="16"/>
        <v>13103.998846883998</v>
      </c>
      <c r="O73" s="1209">
        <f t="shared" si="16"/>
        <v>13103.998846883998</v>
      </c>
      <c r="P73" s="1209">
        <f t="shared" si="16"/>
        <v>13103.998846883998</v>
      </c>
      <c r="Q73" s="1209">
        <f t="shared" si="16"/>
        <v>13103.998846883998</v>
      </c>
      <c r="R73" s="1209">
        <f t="shared" si="16"/>
        <v>13103.998846883998</v>
      </c>
      <c r="S73" s="1209">
        <f t="shared" si="16"/>
        <v>13103.998846883998</v>
      </c>
      <c r="T73" s="1209">
        <f t="shared" si="16"/>
        <v>13103.998846883998</v>
      </c>
      <c r="U73" s="1209">
        <f t="shared" si="16"/>
        <v>13103.998846883998</v>
      </c>
      <c r="V73" s="1209">
        <f t="shared" si="16"/>
        <v>13103.998846883998</v>
      </c>
    </row>
    <row r="74" spans="2:22" ht="12.75" x14ac:dyDescent="0.2">
      <c r="J74" s="1209"/>
      <c r="K74" s="1209"/>
      <c r="L74" s="1209"/>
      <c r="M74" s="1209"/>
      <c r="N74" s="1209"/>
      <c r="O74" s="1209"/>
      <c r="P74" s="1209"/>
      <c r="Q74" s="1209"/>
      <c r="R74" s="1209"/>
      <c r="S74" s="1209"/>
      <c r="T74" s="1209"/>
      <c r="U74" s="1209"/>
      <c r="V74" s="1209"/>
    </row>
    <row r="75" spans="2:22" ht="12.75" x14ac:dyDescent="0.2">
      <c r="B75" s="799" t="s">
        <v>1161</v>
      </c>
      <c r="C75" s="788" t="e">
        <v>#REF!</v>
      </c>
      <c r="D75" s="1079">
        <f>D230/1000</f>
        <v>0</v>
      </c>
      <c r="E75" s="790">
        <v>0</v>
      </c>
      <c r="F75" s="1079">
        <f>F230/1000</f>
        <v>2983.9850000000001</v>
      </c>
      <c r="G75" s="1079">
        <f t="shared" ref="G75:I75" si="17">G230/1000</f>
        <v>5649.0249999999996</v>
      </c>
      <c r="H75" s="1079">
        <f t="shared" si="17"/>
        <v>3711.9450000000002</v>
      </c>
      <c r="I75" s="1079">
        <f t="shared" si="17"/>
        <v>3825.2539999999999</v>
      </c>
      <c r="J75" s="1079">
        <f t="shared" ref="J75:V75" si="18">J230/1000</f>
        <v>2065.7590800000003</v>
      </c>
      <c r="K75" s="1079">
        <f t="shared" si="18"/>
        <v>2107.0742615999998</v>
      </c>
      <c r="L75" s="1079">
        <f t="shared" si="18"/>
        <v>2149.2157468320001</v>
      </c>
      <c r="M75" s="1079">
        <f t="shared" si="18"/>
        <v>2192.2000617686399</v>
      </c>
      <c r="N75" s="1079">
        <f t="shared" si="18"/>
        <v>2236.0440630040121</v>
      </c>
      <c r="O75" s="1079">
        <f t="shared" si="18"/>
        <v>2280.7649442640932</v>
      </c>
      <c r="P75" s="1079">
        <f t="shared" si="18"/>
        <v>2326.3802431493755</v>
      </c>
      <c r="Q75" s="1079">
        <f t="shared" si="18"/>
        <v>2372.9078480123626</v>
      </c>
      <c r="R75" s="1079">
        <f t="shared" si="18"/>
        <v>0</v>
      </c>
      <c r="S75" s="1079">
        <f t="shared" si="18"/>
        <v>0</v>
      </c>
      <c r="T75" s="1079">
        <f t="shared" si="18"/>
        <v>0</v>
      </c>
      <c r="U75" s="1079">
        <f t="shared" si="18"/>
        <v>0</v>
      </c>
      <c r="V75" s="1079">
        <f t="shared" si="18"/>
        <v>0</v>
      </c>
    </row>
    <row r="76" spans="2:22" ht="12.75" x14ac:dyDescent="0.2">
      <c r="B76" s="848" t="s">
        <v>1162</v>
      </c>
      <c r="C76" s="792"/>
      <c r="D76" s="1079"/>
      <c r="E76" s="790"/>
      <c r="F76" s="790"/>
      <c r="G76" s="790"/>
      <c r="H76" s="790"/>
      <c r="I76" s="790"/>
      <c r="J76" s="1079"/>
      <c r="K76" s="1079"/>
      <c r="L76" s="1079"/>
      <c r="M76" s="1079"/>
      <c r="N76" s="1079"/>
      <c r="O76" s="1079"/>
      <c r="P76" s="1079"/>
      <c r="Q76" s="1079"/>
      <c r="R76" s="1079"/>
      <c r="S76" s="1079"/>
      <c r="T76" s="1079"/>
      <c r="U76" s="1079"/>
      <c r="V76" s="1079"/>
    </row>
    <row r="77" spans="2:22" ht="12.75" x14ac:dyDescent="0.2">
      <c r="B77" s="742" t="s">
        <v>870</v>
      </c>
      <c r="C77" s="780">
        <v>353255</v>
      </c>
      <c r="D77" s="1086">
        <f>D213/1000</f>
        <v>0</v>
      </c>
      <c r="E77" s="790">
        <v>0</v>
      </c>
      <c r="F77" s="1086">
        <f>F213/1000</f>
        <v>6171.2629999999999</v>
      </c>
      <c r="G77" s="1086">
        <f t="shared" ref="G77:I77" si="19">G213/1000</f>
        <v>10223.3968</v>
      </c>
      <c r="H77" s="1086">
        <f t="shared" si="19"/>
        <v>8343.7773949999992</v>
      </c>
      <c r="I77" s="1086">
        <f t="shared" si="19"/>
        <v>8935.4384048749998</v>
      </c>
      <c r="J77" s="1086">
        <f t="shared" ref="J77:V77" si="20">J213/1000</f>
        <v>9114.1471729724999</v>
      </c>
      <c r="K77" s="1086">
        <f t="shared" si="20"/>
        <v>9296.4301164319477</v>
      </c>
      <c r="L77" s="1086">
        <f t="shared" si="20"/>
        <v>9482.3587187605899</v>
      </c>
      <c r="M77" s="1086">
        <f t="shared" si="20"/>
        <v>9672.0058931357999</v>
      </c>
      <c r="N77" s="1086">
        <f t="shared" si="20"/>
        <v>9865.4460109985157</v>
      </c>
      <c r="O77" s="1086">
        <f t="shared" si="20"/>
        <v>10062.754931218486</v>
      </c>
      <c r="P77" s="1086">
        <f t="shared" si="20"/>
        <v>10264.010029842853</v>
      </c>
      <c r="Q77" s="1086">
        <f t="shared" si="20"/>
        <v>10469.290230439712</v>
      </c>
      <c r="R77" s="1086">
        <f t="shared" si="20"/>
        <v>0</v>
      </c>
      <c r="S77" s="1086">
        <f t="shared" si="20"/>
        <v>0</v>
      </c>
      <c r="T77" s="1086">
        <f t="shared" si="20"/>
        <v>0</v>
      </c>
      <c r="U77" s="1086">
        <f t="shared" si="20"/>
        <v>0</v>
      </c>
      <c r="V77" s="1086">
        <f t="shared" si="20"/>
        <v>0</v>
      </c>
    </row>
    <row r="78" spans="2:22" ht="12.75" x14ac:dyDescent="0.2">
      <c r="B78" s="794" t="s">
        <v>23</v>
      </c>
      <c r="C78" s="795">
        <v>2163006</v>
      </c>
      <c r="D78" s="796">
        <f>SUM(D75:D77)</f>
        <v>0</v>
      </c>
      <c r="E78" s="790">
        <v>0</v>
      </c>
      <c r="F78" s="796">
        <f>SUM(F75:F77)</f>
        <v>9155.2479999999996</v>
      </c>
      <c r="G78" s="796">
        <f t="shared" ref="G78:I78" si="21">SUM(G75:G77)</f>
        <v>15872.4218</v>
      </c>
      <c r="H78" s="796">
        <f t="shared" si="21"/>
        <v>12055.722394999999</v>
      </c>
      <c r="I78" s="796">
        <f t="shared" si="21"/>
        <v>12760.692404875001</v>
      </c>
      <c r="J78" s="796">
        <f t="shared" ref="J78:V78" si="22">SUM(J75:J77)</f>
        <v>11179.9062529725</v>
      </c>
      <c r="K78" s="796">
        <f t="shared" si="22"/>
        <v>11403.504378031947</v>
      </c>
      <c r="L78" s="796">
        <f t="shared" si="22"/>
        <v>11631.57446559259</v>
      </c>
      <c r="M78" s="796">
        <f t="shared" si="22"/>
        <v>11864.205954904439</v>
      </c>
      <c r="N78" s="796">
        <f t="shared" si="22"/>
        <v>12101.490074002528</v>
      </c>
      <c r="O78" s="796">
        <f t="shared" si="22"/>
        <v>12343.51987548258</v>
      </c>
      <c r="P78" s="796">
        <f t="shared" si="22"/>
        <v>12590.390272992228</v>
      </c>
      <c r="Q78" s="796">
        <f t="shared" si="22"/>
        <v>12842.198078452075</v>
      </c>
      <c r="R78" s="796">
        <f t="shared" si="22"/>
        <v>0</v>
      </c>
      <c r="S78" s="796">
        <f t="shared" si="22"/>
        <v>0</v>
      </c>
      <c r="T78" s="796">
        <f t="shared" si="22"/>
        <v>0</v>
      </c>
      <c r="U78" s="796">
        <f t="shared" si="22"/>
        <v>0</v>
      </c>
      <c r="V78" s="796">
        <f t="shared" si="22"/>
        <v>0</v>
      </c>
    </row>
    <row r="79" spans="2:22" ht="36.75" hidden="1" customHeight="1" outlineLevel="1" x14ac:dyDescent="0.25">
      <c r="B79" s="804" t="s">
        <v>1105</v>
      </c>
      <c r="C79" s="783"/>
      <c r="D79" s="784"/>
      <c r="E79" s="784"/>
      <c r="F79" s="785"/>
      <c r="G79" s="785"/>
      <c r="H79" s="786"/>
      <c r="I79" s="786"/>
    </row>
    <row r="80" spans="2:22" ht="12.75" hidden="1" outlineLevel="1" x14ac:dyDescent="0.2">
      <c r="B80" s="787"/>
      <c r="C80" s="788"/>
      <c r="D80" s="789"/>
      <c r="E80" s="789"/>
      <c r="F80" s="789"/>
      <c r="G80" s="788"/>
      <c r="H80" s="790"/>
      <c r="I80" s="788"/>
    </row>
    <row r="81" spans="2:9" s="807" customFormat="1" ht="38.25" hidden="1" outlineLevel="1" x14ac:dyDescent="0.2">
      <c r="B81" s="794" t="s">
        <v>1091</v>
      </c>
      <c r="C81" s="801" t="s">
        <v>1092</v>
      </c>
      <c r="D81" s="805" t="s">
        <v>1093</v>
      </c>
      <c r="E81" s="805" t="s">
        <v>1094</v>
      </c>
      <c r="F81" s="805" t="s">
        <v>1095</v>
      </c>
      <c r="G81" s="805" t="s">
        <v>1096</v>
      </c>
      <c r="H81" s="805" t="s">
        <v>1097</v>
      </c>
      <c r="I81" s="806" t="s">
        <v>1098</v>
      </c>
    </row>
    <row r="82" spans="2:9" ht="12.75" hidden="1" outlineLevel="1" x14ac:dyDescent="0.2">
      <c r="B82" s="787" t="s">
        <v>931</v>
      </c>
      <c r="C82" s="788">
        <v>4334115</v>
      </c>
      <c r="D82" s="790">
        <v>-944.04399999999998</v>
      </c>
      <c r="E82" s="790">
        <v>0</v>
      </c>
      <c r="F82" s="790">
        <v>-480.12900000000002</v>
      </c>
      <c r="G82" s="790">
        <v>-129.71100000000001</v>
      </c>
      <c r="H82" s="790">
        <v>-137.42099999999999</v>
      </c>
      <c r="I82" s="790">
        <v>-192.602</v>
      </c>
    </row>
    <row r="83" spans="2:9" ht="12.75" hidden="1" outlineLevel="1" x14ac:dyDescent="0.2">
      <c r="B83" s="787" t="s">
        <v>244</v>
      </c>
      <c r="C83" s="788" t="e">
        <v>#REF!</v>
      </c>
      <c r="D83" s="790">
        <v>-100</v>
      </c>
      <c r="E83" s="790">
        <v>0</v>
      </c>
      <c r="F83" s="790">
        <v>-100</v>
      </c>
      <c r="G83" s="790">
        <v>-100</v>
      </c>
      <c r="H83" s="790">
        <v>-100</v>
      </c>
      <c r="I83" s="790">
        <v>-100</v>
      </c>
    </row>
    <row r="84" spans="2:9" ht="12.75" hidden="1" outlineLevel="1" x14ac:dyDescent="0.2">
      <c r="B84" s="787" t="s">
        <v>1085</v>
      </c>
      <c r="C84" s="788" t="e">
        <v>#REF!</v>
      </c>
      <c r="D84" s="790">
        <v>-960</v>
      </c>
      <c r="E84" s="790">
        <v>0</v>
      </c>
      <c r="F84" s="790">
        <v>-8640</v>
      </c>
      <c r="G84" s="790">
        <v>0</v>
      </c>
      <c r="H84" s="790">
        <v>0</v>
      </c>
      <c r="I84" s="790">
        <v>0</v>
      </c>
    </row>
    <row r="85" spans="2:9" ht="12.75" hidden="1" outlineLevel="1" x14ac:dyDescent="0.2">
      <c r="B85" s="787" t="s">
        <v>1086</v>
      </c>
      <c r="C85" s="788" t="e">
        <v>#REF!</v>
      </c>
      <c r="I85" s="742"/>
    </row>
    <row r="86" spans="2:9" ht="12.75" hidden="1" outlineLevel="1" x14ac:dyDescent="0.2">
      <c r="B86" s="787" t="s">
        <v>584</v>
      </c>
      <c r="C86" s="788" t="e">
        <v>#REF!</v>
      </c>
      <c r="D86" s="790">
        <v>-2776.3389999999999</v>
      </c>
      <c r="E86" s="790">
        <v>0</v>
      </c>
      <c r="F86" s="790">
        <v>-2522.6999999999998</v>
      </c>
      <c r="G86" s="790">
        <v>-2740.5169999999998</v>
      </c>
      <c r="H86" s="790">
        <v>-2790.029</v>
      </c>
      <c r="I86" s="790">
        <v>-2838.2550000000001</v>
      </c>
    </row>
    <row r="87" spans="2:9" ht="12.75" hidden="1" outlineLevel="1" x14ac:dyDescent="0.2">
      <c r="B87" s="787" t="s">
        <v>22</v>
      </c>
      <c r="C87" s="788" t="e">
        <v>#REF!</v>
      </c>
      <c r="D87" s="790">
        <v>-5726.6679999999997</v>
      </c>
      <c r="E87" s="790">
        <v>0</v>
      </c>
      <c r="F87" s="790">
        <v>-2152.2620000000002</v>
      </c>
      <c r="G87" s="790">
        <v>-2251.8649999999998</v>
      </c>
      <c r="H87" s="790">
        <v>-2276.4720000000002</v>
      </c>
      <c r="I87" s="790">
        <v>-1387.239</v>
      </c>
    </row>
    <row r="88" spans="2:9" ht="12.75" hidden="1" outlineLevel="1" x14ac:dyDescent="0.2">
      <c r="B88" s="742" t="s">
        <v>1099</v>
      </c>
      <c r="C88" s="780" t="e">
        <v>#REF!</v>
      </c>
      <c r="D88" s="790">
        <v>-9756</v>
      </c>
      <c r="E88" s="790">
        <v>0</v>
      </c>
      <c r="F88" s="790">
        <v>-17356.182000000001</v>
      </c>
      <c r="G88" s="790">
        <v>0</v>
      </c>
      <c r="H88" s="790">
        <v>0</v>
      </c>
      <c r="I88" s="790">
        <v>0</v>
      </c>
    </row>
    <row r="89" spans="2:9" ht="12.75" hidden="1" outlineLevel="1" x14ac:dyDescent="0.2">
      <c r="B89" s="794" t="s">
        <v>950</v>
      </c>
      <c r="C89" s="795" t="e">
        <v>#REF!</v>
      </c>
      <c r="D89" s="790">
        <v>0</v>
      </c>
      <c r="E89" s="790">
        <v>0</v>
      </c>
      <c r="F89" s="790">
        <v>0</v>
      </c>
      <c r="G89" s="790">
        <v>0</v>
      </c>
      <c r="H89" s="790">
        <v>0</v>
      </c>
      <c r="I89" s="790">
        <v>0</v>
      </c>
    </row>
    <row r="90" spans="2:9" ht="12.75" hidden="1" outlineLevel="1" x14ac:dyDescent="0.2">
      <c r="C90" s="780"/>
      <c r="D90" s="780"/>
      <c r="E90" s="780"/>
      <c r="F90" s="780"/>
      <c r="G90" s="780"/>
      <c r="H90" s="780"/>
    </row>
    <row r="91" spans="2:9" ht="12.75" hidden="1" outlineLevel="1" x14ac:dyDescent="0.2">
      <c r="B91" s="742" t="s">
        <v>1100</v>
      </c>
      <c r="C91" s="783" t="e">
        <v>#REF!</v>
      </c>
      <c r="D91" s="808">
        <f>SUM(D82:D90)</f>
        <v>-20263.050999999999</v>
      </c>
      <c r="E91" s="808">
        <f t="shared" ref="E91:I91" si="23">SUM(E82:E90)</f>
        <v>0</v>
      </c>
      <c r="F91" s="808">
        <f t="shared" si="23"/>
        <v>-31251.273000000001</v>
      </c>
      <c r="G91" s="808">
        <f t="shared" si="23"/>
        <v>-5222.0929999999998</v>
      </c>
      <c r="H91" s="808">
        <f t="shared" si="23"/>
        <v>-5303.9220000000005</v>
      </c>
      <c r="I91" s="808">
        <f t="shared" si="23"/>
        <v>-4518.0959999999995</v>
      </c>
    </row>
    <row r="92" spans="2:9" ht="12.75" hidden="1" outlineLevel="1" x14ac:dyDescent="0.2">
      <c r="B92" s="787"/>
      <c r="C92" s="788"/>
      <c r="D92" s="797"/>
      <c r="E92" s="797"/>
      <c r="F92" s="797"/>
      <c r="G92" s="797"/>
      <c r="H92" s="797"/>
      <c r="I92" s="797"/>
    </row>
    <row r="93" spans="2:9" ht="15" hidden="1" outlineLevel="1" x14ac:dyDescent="0.25">
      <c r="B93" s="809" t="s">
        <v>30</v>
      </c>
      <c r="C93" s="788" t="s">
        <v>1092</v>
      </c>
      <c r="D93" s="790"/>
      <c r="E93" s="790"/>
      <c r="F93" s="790"/>
      <c r="G93" s="790"/>
      <c r="H93" s="790"/>
      <c r="I93" s="790"/>
    </row>
    <row r="94" spans="2:9" ht="12.75" hidden="1" outlineLevel="1" x14ac:dyDescent="0.2">
      <c r="B94" s="799" t="s">
        <v>1101</v>
      </c>
      <c r="C94" s="788" t="e">
        <v>#REF!</v>
      </c>
      <c r="D94" s="790">
        <v>19485</v>
      </c>
      <c r="E94" s="790">
        <v>0</v>
      </c>
      <c r="F94" s="790">
        <v>30795</v>
      </c>
      <c r="G94" s="790">
        <v>4745</v>
      </c>
      <c r="H94" s="790">
        <v>4565</v>
      </c>
      <c r="I94" s="790">
        <v>3675</v>
      </c>
    </row>
    <row r="95" spans="2:9" ht="12.75" hidden="1" outlineLevel="1" x14ac:dyDescent="0.2">
      <c r="B95" s="742" t="s">
        <v>1083</v>
      </c>
      <c r="C95" s="780">
        <v>353255</v>
      </c>
      <c r="D95" s="790">
        <v>678.05100000000004</v>
      </c>
      <c r="E95" s="790">
        <v>0</v>
      </c>
      <c r="F95" s="790">
        <v>356.27300000000002</v>
      </c>
      <c r="G95" s="790">
        <v>377.10300000000001</v>
      </c>
      <c r="H95" s="790">
        <v>398.06200000000001</v>
      </c>
      <c r="I95" s="790">
        <v>422.00599999999997</v>
      </c>
    </row>
    <row r="96" spans="2:9" ht="12.75" hidden="1" outlineLevel="1" x14ac:dyDescent="0.2">
      <c r="B96" s="794" t="s">
        <v>1089</v>
      </c>
      <c r="C96" s="795">
        <v>2163006</v>
      </c>
      <c r="D96" s="790">
        <v>100</v>
      </c>
      <c r="E96" s="790">
        <v>0</v>
      </c>
      <c r="F96" s="790">
        <v>100</v>
      </c>
      <c r="G96" s="790">
        <v>100</v>
      </c>
      <c r="H96" s="790">
        <v>340.86</v>
      </c>
      <c r="I96" s="790">
        <v>421.15</v>
      </c>
    </row>
    <row r="97" spans="2:9" ht="12.75" hidden="1" outlineLevel="1" x14ac:dyDescent="0.2">
      <c r="C97" s="780"/>
      <c r="D97" s="780"/>
      <c r="E97" s="780"/>
      <c r="F97" s="780"/>
      <c r="G97" s="780"/>
      <c r="H97" s="780"/>
    </row>
    <row r="98" spans="2:9" ht="12.75" hidden="1" outlineLevel="1" x14ac:dyDescent="0.2">
      <c r="B98" s="800" t="s">
        <v>910</v>
      </c>
      <c r="C98" s="801" t="e">
        <v>#REF!</v>
      </c>
      <c r="D98" s="810">
        <f>SUM(D94:D97)</f>
        <v>20263.050999999999</v>
      </c>
      <c r="E98" s="810">
        <f t="shared" ref="E98:I98" si="24">SUM(E94:E97)</f>
        <v>0</v>
      </c>
      <c r="F98" s="810">
        <f t="shared" si="24"/>
        <v>31251.273000000001</v>
      </c>
      <c r="G98" s="810">
        <f t="shared" si="24"/>
        <v>5222.1030000000001</v>
      </c>
      <c r="H98" s="810">
        <f t="shared" si="24"/>
        <v>5303.9219999999996</v>
      </c>
      <c r="I98" s="810">
        <f t="shared" si="24"/>
        <v>4518.1559999999999</v>
      </c>
    </row>
    <row r="99" spans="2:9" ht="12.75" hidden="1" outlineLevel="1" x14ac:dyDescent="0.2">
      <c r="I99" s="742"/>
    </row>
    <row r="100" spans="2:9" ht="12.75" hidden="1" outlineLevel="1" x14ac:dyDescent="0.2">
      <c r="B100" s="742" t="s">
        <v>1102</v>
      </c>
      <c r="C100" s="742" t="e">
        <v>#REF!</v>
      </c>
      <c r="D100" s="780">
        <f>D98+D91</f>
        <v>0</v>
      </c>
      <c r="E100" s="780">
        <f t="shared" ref="E100:I100" si="25">E98+E91</f>
        <v>0</v>
      </c>
      <c r="F100" s="780">
        <f t="shared" si="25"/>
        <v>0</v>
      </c>
      <c r="G100" s="780">
        <f t="shared" si="25"/>
        <v>1.0000000000218279E-2</v>
      </c>
      <c r="H100" s="780">
        <f t="shared" si="25"/>
        <v>0</v>
      </c>
      <c r="I100" s="780">
        <f t="shared" si="25"/>
        <v>6.0000000000400178E-2</v>
      </c>
    </row>
    <row r="101" spans="2:9" ht="12.75" hidden="1" outlineLevel="1" x14ac:dyDescent="0.2"/>
    <row r="102" spans="2:9" ht="12.75" hidden="1" outlineLevel="1" x14ac:dyDescent="0.2">
      <c r="B102" s="799" t="s">
        <v>1161</v>
      </c>
      <c r="C102" s="788" t="e">
        <v>#REF!</v>
      </c>
      <c r="D102" s="790"/>
      <c r="E102" s="790">
        <v>0</v>
      </c>
      <c r="F102" s="790"/>
      <c r="G102" s="790"/>
      <c r="H102" s="790"/>
      <c r="I102" s="790"/>
    </row>
    <row r="103" spans="2:9" ht="12.75" hidden="1" outlineLevel="1" x14ac:dyDescent="0.2">
      <c r="B103" s="848" t="s">
        <v>1162</v>
      </c>
      <c r="C103" s="792"/>
      <c r="D103" s="790"/>
      <c r="E103" s="790"/>
      <c r="F103" s="790"/>
      <c r="G103" s="790"/>
      <c r="H103" s="790"/>
      <c r="I103" s="790"/>
    </row>
    <row r="104" spans="2:9" ht="12.75" hidden="1" outlineLevel="1" x14ac:dyDescent="0.2">
      <c r="B104" s="742" t="s">
        <v>870</v>
      </c>
      <c r="C104" s="780">
        <v>353255</v>
      </c>
      <c r="D104" s="790"/>
      <c r="E104" s="790">
        <v>0</v>
      </c>
      <c r="F104" s="790"/>
      <c r="G104" s="790"/>
      <c r="H104" s="790"/>
      <c r="I104" s="790"/>
    </row>
    <row r="105" spans="2:9" ht="12.75" hidden="1" outlineLevel="1" x14ac:dyDescent="0.2">
      <c r="B105" s="794" t="s">
        <v>23</v>
      </c>
      <c r="C105" s="795">
        <v>2163006</v>
      </c>
      <c r="D105" s="790"/>
      <c r="E105" s="790">
        <v>0</v>
      </c>
      <c r="F105" s="796">
        <f>SUM(F102:F104)</f>
        <v>0</v>
      </c>
      <c r="G105" s="796">
        <f t="shared" ref="G105" si="26">SUM(G102:G104)</f>
        <v>0</v>
      </c>
      <c r="H105" s="796">
        <f t="shared" ref="H105" si="27">SUM(H102:H104)</f>
        <v>0</v>
      </c>
      <c r="I105" s="796">
        <f t="shared" ref="I105" si="28">SUM(I102:I104)</f>
        <v>0</v>
      </c>
    </row>
    <row r="106" spans="2:9" ht="12.75" hidden="1" outlineLevel="1" x14ac:dyDescent="0.2"/>
    <row r="107" spans="2:9" s="1148" customFormat="1" ht="12.75" hidden="1" outlineLevel="1" x14ac:dyDescent="0.2">
      <c r="I107" s="780"/>
    </row>
    <row r="108" spans="2:9" s="1148" customFormat="1" ht="12.75" hidden="1" outlineLevel="1" x14ac:dyDescent="0.2">
      <c r="I108" s="780"/>
    </row>
    <row r="109" spans="2:9" s="1148" customFormat="1" ht="15.75" hidden="1" outlineLevel="1" x14ac:dyDescent="0.25">
      <c r="B109" s="1176" t="s">
        <v>1044</v>
      </c>
      <c r="C109" s="1174"/>
      <c r="D109" s="1174"/>
      <c r="E109" s="1174"/>
      <c r="F109" s="1174"/>
      <c r="G109" s="1174"/>
      <c r="H109" s="1174"/>
      <c r="I109" s="1174"/>
    </row>
    <row r="110" spans="2:9" s="1148" customFormat="1" ht="15.75" hidden="1" outlineLevel="1" x14ac:dyDescent="0.25">
      <c r="B110" s="1176" t="s">
        <v>1353</v>
      </c>
      <c r="C110" s="1174"/>
      <c r="D110" s="1174"/>
      <c r="E110" s="1174"/>
      <c r="F110" s="1174"/>
      <c r="G110" s="1174"/>
      <c r="H110" s="1174"/>
      <c r="I110" s="1174"/>
    </row>
    <row r="111" spans="2:9" s="1148" customFormat="1" ht="15.75" hidden="1" outlineLevel="1" x14ac:dyDescent="0.25">
      <c r="B111" s="1176" t="s">
        <v>1354</v>
      </c>
      <c r="C111" s="1174"/>
      <c r="D111" s="1174"/>
      <c r="E111" s="1174"/>
      <c r="F111" s="1174"/>
      <c r="G111" s="1174"/>
      <c r="H111" s="1174"/>
      <c r="I111" s="1174"/>
    </row>
    <row r="112" spans="2:9" s="1148" customFormat="1" ht="15.75" hidden="1" outlineLevel="1" x14ac:dyDescent="0.25">
      <c r="B112" s="1183" t="s">
        <v>516</v>
      </c>
      <c r="C112" s="1174"/>
      <c r="D112" s="1174"/>
      <c r="E112" s="1174"/>
      <c r="F112" s="1174"/>
      <c r="G112" s="1174"/>
      <c r="H112" s="1174"/>
      <c r="I112" s="1174"/>
    </row>
    <row r="113" spans="2:9" s="1148" customFormat="1" ht="15.75" hidden="1" outlineLevel="1" x14ac:dyDescent="0.25">
      <c r="B113" s="1176"/>
      <c r="C113" s="1174"/>
      <c r="D113" s="1174"/>
      <c r="E113" s="1174"/>
      <c r="F113" s="1174"/>
      <c r="G113" s="1174"/>
      <c r="H113" s="1174"/>
      <c r="I113" s="1174"/>
    </row>
    <row r="114" spans="2:9" s="1148" customFormat="1" ht="38.25" hidden="1" outlineLevel="1" x14ac:dyDescent="0.2">
      <c r="B114" s="1181" t="s">
        <v>1330</v>
      </c>
      <c r="C114" s="1187" t="s">
        <v>1092</v>
      </c>
      <c r="D114" s="1196" t="s">
        <v>1093</v>
      </c>
      <c r="E114" s="1196" t="s">
        <v>1094</v>
      </c>
      <c r="F114" s="1198" t="s">
        <v>1095</v>
      </c>
      <c r="G114" s="1198" t="s">
        <v>1096</v>
      </c>
      <c r="H114" s="1198" t="s">
        <v>1097</v>
      </c>
      <c r="I114" s="1198" t="s">
        <v>1098</v>
      </c>
    </row>
    <row r="115" spans="2:9" s="1148" customFormat="1" ht="12.75" hidden="1" outlineLevel="1" x14ac:dyDescent="0.2">
      <c r="B115" s="1174"/>
      <c r="C115" s="1174"/>
      <c r="D115" s="1174"/>
      <c r="E115" s="1174"/>
      <c r="F115" s="1178"/>
      <c r="G115" s="1178"/>
      <c r="H115" s="1178"/>
      <c r="I115" s="1174"/>
    </row>
    <row r="116" spans="2:9" s="1148" customFormat="1" ht="12.75" hidden="1" outlineLevel="1" x14ac:dyDescent="0.2">
      <c r="B116" s="1177" t="s">
        <v>1331</v>
      </c>
      <c r="C116" s="1174"/>
      <c r="D116" s="1174"/>
      <c r="E116" s="1174"/>
      <c r="F116" s="1178"/>
      <c r="G116" s="1178"/>
      <c r="H116" s="1178"/>
      <c r="I116" s="1174"/>
    </row>
    <row r="117" spans="2:9" s="1148" customFormat="1" ht="12.75" hidden="1" outlineLevel="1" x14ac:dyDescent="0.2">
      <c r="B117" s="1175" t="s">
        <v>1355</v>
      </c>
      <c r="C117" s="1191">
        <v>-113418</v>
      </c>
      <c r="D117" s="1192">
        <v>-204002</v>
      </c>
      <c r="E117" s="1192">
        <v>0</v>
      </c>
      <c r="F117" s="1190">
        <v>-321885</v>
      </c>
      <c r="G117" s="1190">
        <v>-309527</v>
      </c>
      <c r="H117" s="1190">
        <v>-375855</v>
      </c>
      <c r="I117" s="1190">
        <v>-448668</v>
      </c>
    </row>
    <row r="118" spans="2:9" s="1148" customFormat="1" ht="12.75" hidden="1" outlineLevel="1" x14ac:dyDescent="0.2">
      <c r="B118" s="1179" t="s">
        <v>1349</v>
      </c>
      <c r="C118" s="1191">
        <v>0</v>
      </c>
      <c r="D118" s="1193">
        <v>-50000</v>
      </c>
      <c r="E118" s="1193">
        <v>0</v>
      </c>
      <c r="F118" s="1193">
        <v>-50000</v>
      </c>
      <c r="G118" s="1193">
        <v>-50000</v>
      </c>
      <c r="H118" s="1193">
        <v>-50000</v>
      </c>
      <c r="I118" s="1186">
        <v>-50000</v>
      </c>
    </row>
    <row r="119" spans="2:9" s="1148" customFormat="1" ht="12.75" hidden="1" outlineLevel="1" x14ac:dyDescent="0.2">
      <c r="B119" s="1188" t="s">
        <v>1350</v>
      </c>
      <c r="C119" s="1191"/>
      <c r="D119" s="1197">
        <v>0</v>
      </c>
      <c r="E119" s="1192">
        <v>0</v>
      </c>
      <c r="F119" s="1190">
        <v>0</v>
      </c>
      <c r="G119" s="1190">
        <v>0</v>
      </c>
      <c r="H119" s="1190">
        <v>0</v>
      </c>
      <c r="I119" s="1190">
        <v>0</v>
      </c>
    </row>
    <row r="120" spans="2:9" s="1148" customFormat="1" ht="12.75" hidden="1" outlineLevel="1" x14ac:dyDescent="0.2">
      <c r="B120" s="1174" t="s">
        <v>1333</v>
      </c>
      <c r="C120" s="1191">
        <v>-1111293</v>
      </c>
      <c r="D120" s="1194">
        <v>-1501272</v>
      </c>
      <c r="E120" s="1192">
        <v>0</v>
      </c>
      <c r="F120" s="1190">
        <v>-1254700</v>
      </c>
      <c r="G120" s="1190">
        <v>-1282067</v>
      </c>
      <c r="H120" s="1190">
        <v>-1310118</v>
      </c>
      <c r="I120" s="1190">
        <v>-1338871</v>
      </c>
    </row>
    <row r="121" spans="2:9" s="1148" customFormat="1" ht="12.75" hidden="1" outlineLevel="1" x14ac:dyDescent="0.2">
      <c r="B121" s="1184" t="s">
        <v>1335</v>
      </c>
      <c r="C121" s="1191"/>
      <c r="D121" s="1194">
        <v>0</v>
      </c>
      <c r="E121" s="1192">
        <v>0</v>
      </c>
      <c r="F121" s="1190">
        <v>0</v>
      </c>
      <c r="G121" s="1190">
        <v>0</v>
      </c>
      <c r="H121" s="1190">
        <v>0</v>
      </c>
      <c r="I121" s="1190">
        <v>0</v>
      </c>
    </row>
    <row r="122" spans="2:9" s="1148" customFormat="1" ht="12.75" hidden="1" outlineLevel="1" x14ac:dyDescent="0.2">
      <c r="B122" s="1174" t="s">
        <v>1356</v>
      </c>
      <c r="C122" s="1191">
        <v>-297087</v>
      </c>
      <c r="D122" s="1192">
        <v>-1856777</v>
      </c>
      <c r="E122" s="1199">
        <v>0</v>
      </c>
      <c r="F122" s="1190">
        <v>-952262</v>
      </c>
      <c r="G122" s="1190">
        <v>-15140</v>
      </c>
      <c r="H122" s="1190">
        <v>0</v>
      </c>
      <c r="I122" s="1190">
        <v>0</v>
      </c>
    </row>
    <row r="123" spans="2:9" s="1148" customFormat="1" ht="12.75" hidden="1" outlineLevel="1" x14ac:dyDescent="0.2">
      <c r="B123" s="1179" t="s">
        <v>1337</v>
      </c>
      <c r="C123" s="1191">
        <v>0</v>
      </c>
      <c r="D123" s="1192">
        <v>0</v>
      </c>
      <c r="E123" s="1192">
        <v>0</v>
      </c>
      <c r="F123" s="1190">
        <v>0</v>
      </c>
      <c r="G123" s="1190">
        <v>0</v>
      </c>
      <c r="H123" s="1190">
        <v>0</v>
      </c>
      <c r="I123" s="1190">
        <v>0</v>
      </c>
    </row>
    <row r="124" spans="2:9" s="1148" customFormat="1" ht="12.75" hidden="1" outlineLevel="1" x14ac:dyDescent="0.2">
      <c r="B124" s="1180" t="s">
        <v>1338</v>
      </c>
      <c r="C124" s="1185">
        <v>-1521798</v>
      </c>
      <c r="D124" s="1185">
        <v>-3612051</v>
      </c>
      <c r="E124" s="1185">
        <v>0</v>
      </c>
      <c r="F124" s="1185">
        <v>-2578847</v>
      </c>
      <c r="G124" s="1185">
        <v>-1656734</v>
      </c>
      <c r="H124" s="1185">
        <v>-1735973</v>
      </c>
      <c r="I124" s="1195">
        <v>-1837539</v>
      </c>
    </row>
    <row r="125" spans="2:9" s="1148" customFormat="1" ht="12.75" hidden="1" outlineLevel="1" x14ac:dyDescent="0.2">
      <c r="B125" s="1174"/>
      <c r="C125" s="1182"/>
      <c r="D125" s="1182"/>
      <c r="E125" s="1182"/>
      <c r="F125" s="1189"/>
      <c r="G125" s="1189"/>
      <c r="H125" s="1189"/>
      <c r="I125" s="1174"/>
    </row>
    <row r="126" spans="2:9" s="1148" customFormat="1" ht="38.25" hidden="1" outlineLevel="1" x14ac:dyDescent="0.2">
      <c r="B126" s="1177" t="s">
        <v>1339</v>
      </c>
      <c r="C126" s="1187" t="s">
        <v>1092</v>
      </c>
      <c r="D126" s="1196" t="s">
        <v>1093</v>
      </c>
      <c r="E126" s="1196" t="s">
        <v>1094</v>
      </c>
      <c r="F126" s="1198" t="s">
        <v>1095</v>
      </c>
      <c r="G126" s="1198" t="s">
        <v>1096</v>
      </c>
      <c r="H126" s="1198" t="s">
        <v>1097</v>
      </c>
      <c r="I126" s="1198" t="s">
        <v>1098</v>
      </c>
    </row>
    <row r="127" spans="2:9" s="1148" customFormat="1" ht="12.75" hidden="1" outlineLevel="1" x14ac:dyDescent="0.2">
      <c r="B127" s="1179" t="s">
        <v>1340</v>
      </c>
      <c r="C127" s="1186">
        <v>1335000</v>
      </c>
      <c r="D127" s="1193">
        <v>3305000</v>
      </c>
      <c r="E127" s="1192">
        <v>0</v>
      </c>
      <c r="F127" s="1190">
        <v>2255000</v>
      </c>
      <c r="G127" s="1190">
        <v>1315000</v>
      </c>
      <c r="H127" s="1190">
        <v>1135000</v>
      </c>
      <c r="I127" s="1190">
        <v>1135000</v>
      </c>
    </row>
    <row r="128" spans="2:9" s="1148" customFormat="1" ht="12.75" hidden="1" outlineLevel="1" x14ac:dyDescent="0.2">
      <c r="B128" s="1179" t="s">
        <v>1341</v>
      </c>
      <c r="C128" s="1191">
        <v>186798</v>
      </c>
      <c r="D128" s="1192">
        <v>257051</v>
      </c>
      <c r="E128" s="1192">
        <v>0</v>
      </c>
      <c r="F128" s="1190">
        <v>273847</v>
      </c>
      <c r="G128" s="1190">
        <v>291744</v>
      </c>
      <c r="H128" s="1190">
        <v>310113</v>
      </c>
      <c r="I128" s="1190">
        <v>331389</v>
      </c>
    </row>
    <row r="129" spans="2:9" s="1148" customFormat="1" ht="12.75" hidden="1" outlineLevel="1" x14ac:dyDescent="0.2">
      <c r="B129" s="1184" t="s">
        <v>1357</v>
      </c>
      <c r="C129" s="1191">
        <v>0</v>
      </c>
      <c r="D129" s="1192">
        <v>50000</v>
      </c>
      <c r="E129" s="1192">
        <v>0</v>
      </c>
      <c r="F129" s="1190">
        <v>50000</v>
      </c>
      <c r="G129" s="1190">
        <v>50000</v>
      </c>
      <c r="H129" s="1190">
        <v>290860</v>
      </c>
      <c r="I129" s="1190">
        <v>371150</v>
      </c>
    </row>
    <row r="130" spans="2:9" s="1148" customFormat="1" ht="12.75" hidden="1" outlineLevel="1" x14ac:dyDescent="0.2">
      <c r="B130" s="1177" t="s">
        <v>1343</v>
      </c>
      <c r="C130" s="1185">
        <v>1521798</v>
      </c>
      <c r="D130" s="1185">
        <v>3612051</v>
      </c>
      <c r="E130" s="1185">
        <v>0</v>
      </c>
      <c r="F130" s="1185">
        <v>2578847</v>
      </c>
      <c r="G130" s="1185">
        <v>1656744</v>
      </c>
      <c r="H130" s="1185">
        <v>1735973</v>
      </c>
      <c r="I130" s="1185">
        <v>1837539</v>
      </c>
    </row>
    <row r="131" spans="2:9" s="1148" customFormat="1" ht="12.75" hidden="1" outlineLevel="1" x14ac:dyDescent="0.2">
      <c r="I131" s="780"/>
    </row>
    <row r="132" spans="2:9" s="1148" customFormat="1" ht="12.75" hidden="1" outlineLevel="1" x14ac:dyDescent="0.2">
      <c r="I132" s="780"/>
    </row>
    <row r="133" spans="2:9" s="1201" customFormat="1" ht="12.75" hidden="1" outlineLevel="1" x14ac:dyDescent="0.2">
      <c r="I133" s="1202"/>
    </row>
    <row r="134" spans="2:9" s="1201" customFormat="1" ht="15.75" hidden="1" outlineLevel="1" x14ac:dyDescent="0.25">
      <c r="B134" s="1204" t="s">
        <v>1044</v>
      </c>
      <c r="C134" s="1203"/>
      <c r="D134" s="1203"/>
      <c r="E134" s="1203"/>
      <c r="F134" s="1203"/>
      <c r="G134" s="1203"/>
      <c r="H134" s="1203"/>
      <c r="I134" s="1203"/>
    </row>
    <row r="135" spans="2:9" s="1201" customFormat="1" ht="15.75" hidden="1" outlineLevel="1" x14ac:dyDescent="0.25">
      <c r="B135" s="1204" t="s">
        <v>1346</v>
      </c>
      <c r="C135" s="1203"/>
      <c r="D135" s="1203"/>
      <c r="E135" s="1203"/>
      <c r="F135" s="1203"/>
      <c r="G135" s="1203"/>
      <c r="H135" s="1203"/>
      <c r="I135" s="1203"/>
    </row>
    <row r="136" spans="2:9" s="1201" customFormat="1" ht="15.75" hidden="1" outlineLevel="1" x14ac:dyDescent="0.25">
      <c r="B136" s="1204" t="s">
        <v>1347</v>
      </c>
      <c r="C136" s="1203"/>
      <c r="D136" s="1203"/>
      <c r="E136" s="1203"/>
      <c r="F136" s="1203"/>
      <c r="G136" s="1203"/>
      <c r="H136" s="1203"/>
      <c r="I136" s="1203"/>
    </row>
    <row r="137" spans="2:9" s="1201" customFormat="1" ht="15.75" hidden="1" outlineLevel="1" x14ac:dyDescent="0.25">
      <c r="B137" s="1210" t="s">
        <v>516</v>
      </c>
      <c r="C137" s="1203"/>
      <c r="D137" s="1203"/>
      <c r="E137" s="1203"/>
      <c r="F137" s="1203"/>
      <c r="G137" s="1203"/>
      <c r="H137" s="1203"/>
      <c r="I137" s="1203"/>
    </row>
    <row r="138" spans="2:9" s="1201" customFormat="1" ht="38.25" hidden="1" outlineLevel="1" x14ac:dyDescent="0.2">
      <c r="B138" s="1205" t="s">
        <v>1330</v>
      </c>
      <c r="C138" s="1212" t="s">
        <v>1092</v>
      </c>
      <c r="D138" s="1220" t="s">
        <v>1093</v>
      </c>
      <c r="E138" s="1220" t="s">
        <v>1094</v>
      </c>
      <c r="F138" s="1221" t="s">
        <v>1095</v>
      </c>
      <c r="G138" s="1221" t="s">
        <v>1096</v>
      </c>
      <c r="H138" s="1221" t="s">
        <v>1097</v>
      </c>
      <c r="I138" s="1221" t="s">
        <v>1098</v>
      </c>
    </row>
    <row r="139" spans="2:9" s="1201" customFormat="1" ht="12.75" hidden="1" outlineLevel="1" x14ac:dyDescent="0.2">
      <c r="B139" s="1203"/>
      <c r="C139" s="1203"/>
      <c r="D139" s="1203"/>
      <c r="E139" s="1203"/>
      <c r="F139" s="1216"/>
      <c r="G139" s="1216"/>
      <c r="H139" s="1216"/>
      <c r="I139" s="1203"/>
    </row>
    <row r="140" spans="2:9" s="1201" customFormat="1" ht="12.75" hidden="1" outlineLevel="1" x14ac:dyDescent="0.2">
      <c r="B140" s="1206" t="s">
        <v>1331</v>
      </c>
      <c r="C140" s="1203"/>
      <c r="D140" s="1203"/>
      <c r="E140" s="1203"/>
      <c r="F140" s="1216"/>
      <c r="G140" s="1216"/>
      <c r="H140" s="1216"/>
      <c r="I140" s="1203"/>
    </row>
    <row r="141" spans="2:9" s="1201" customFormat="1" ht="12.75" hidden="1" outlineLevel="1" x14ac:dyDescent="0.2">
      <c r="B141" s="1211" t="s">
        <v>1348</v>
      </c>
      <c r="C141" s="1215">
        <v>-110934</v>
      </c>
      <c r="D141" s="1215">
        <v>-740042</v>
      </c>
      <c r="E141" s="1217">
        <v>0</v>
      </c>
      <c r="F141" s="1215">
        <v>-158244</v>
      </c>
      <c r="G141" s="1215">
        <v>179816</v>
      </c>
      <c r="H141" s="1215">
        <v>238434</v>
      </c>
      <c r="I141" s="1215">
        <v>256066</v>
      </c>
    </row>
    <row r="142" spans="2:9" s="1201" customFormat="1" ht="12.75" hidden="1" outlineLevel="1" x14ac:dyDescent="0.2">
      <c r="B142" s="1207" t="s">
        <v>1349</v>
      </c>
      <c r="C142" s="1215">
        <v>0</v>
      </c>
      <c r="D142" s="1215">
        <v>-50000</v>
      </c>
      <c r="E142" s="1215">
        <v>0</v>
      </c>
      <c r="F142" s="1215">
        <v>-50000</v>
      </c>
      <c r="G142" s="1215">
        <v>-50000</v>
      </c>
      <c r="H142" s="1215">
        <v>-50000</v>
      </c>
      <c r="I142" s="1215">
        <v>-50000</v>
      </c>
    </row>
    <row r="143" spans="2:9" s="1201" customFormat="1" ht="12.75" hidden="1" outlineLevel="1" x14ac:dyDescent="0.2">
      <c r="B143" s="1207" t="s">
        <v>1350</v>
      </c>
      <c r="C143" s="1215">
        <v>0</v>
      </c>
      <c r="D143" s="1215">
        <v>-960000</v>
      </c>
      <c r="E143" s="1217">
        <v>0</v>
      </c>
      <c r="F143" s="1215">
        <v>-8640000</v>
      </c>
      <c r="G143" s="1215">
        <v>0</v>
      </c>
      <c r="H143" s="1215">
        <v>0</v>
      </c>
      <c r="I143" s="1215">
        <v>0</v>
      </c>
    </row>
    <row r="144" spans="2:9" s="1201" customFormat="1" ht="12.75" hidden="1" outlineLevel="1" x14ac:dyDescent="0.2">
      <c r="B144" s="1203" t="s">
        <v>1333</v>
      </c>
      <c r="C144" s="1215">
        <v>-913994</v>
      </c>
      <c r="D144" s="1215">
        <v>-1275067</v>
      </c>
      <c r="E144" s="1217">
        <v>0</v>
      </c>
      <c r="F144" s="1215">
        <v>-1268000</v>
      </c>
      <c r="G144" s="1215">
        <v>-1458450</v>
      </c>
      <c r="H144" s="1215">
        <v>-1479911</v>
      </c>
      <c r="I144" s="1215">
        <v>-1499384</v>
      </c>
    </row>
    <row r="145" spans="2:9" s="1201" customFormat="1" ht="12.75" hidden="1" outlineLevel="1" x14ac:dyDescent="0.2">
      <c r="B145" s="1211" t="s">
        <v>1335</v>
      </c>
      <c r="C145" s="1215">
        <v>0</v>
      </c>
      <c r="D145" s="1215">
        <v>-9756000</v>
      </c>
      <c r="E145" s="1217">
        <v>0</v>
      </c>
      <c r="F145" s="1215">
        <v>-17356182</v>
      </c>
      <c r="G145" s="1215"/>
      <c r="H145" s="1215">
        <v>0</v>
      </c>
      <c r="I145" s="1215">
        <v>0</v>
      </c>
    </row>
    <row r="146" spans="2:9" s="1201" customFormat="1" ht="12.75" hidden="1" outlineLevel="1" x14ac:dyDescent="0.2">
      <c r="B146" s="1203" t="s">
        <v>1351</v>
      </c>
      <c r="C146" s="1215">
        <v>-1141688</v>
      </c>
      <c r="D146" s="1215">
        <v>-3869891</v>
      </c>
      <c r="E146" s="1217">
        <v>0</v>
      </c>
      <c r="F146" s="1215">
        <v>-1200000</v>
      </c>
      <c r="G146" s="1215">
        <v>-2236725</v>
      </c>
      <c r="H146" s="1215">
        <v>-2276472</v>
      </c>
      <c r="I146" s="1215">
        <v>-1387239</v>
      </c>
    </row>
    <row r="147" spans="2:9" s="1201" customFormat="1" ht="12.75" hidden="1" outlineLevel="1" x14ac:dyDescent="0.2">
      <c r="B147" s="1207" t="s">
        <v>1337</v>
      </c>
      <c r="C147" s="1215">
        <v>0</v>
      </c>
      <c r="D147" s="1215">
        <v>0</v>
      </c>
      <c r="E147" s="1217">
        <v>0</v>
      </c>
      <c r="F147" s="1215">
        <v>0</v>
      </c>
      <c r="G147" s="1215">
        <v>0</v>
      </c>
      <c r="H147" s="1215">
        <v>0</v>
      </c>
      <c r="I147" s="1215">
        <v>0</v>
      </c>
    </row>
    <row r="148" spans="2:9" s="1201" customFormat="1" ht="12.75" hidden="1" outlineLevel="1" x14ac:dyDescent="0.2">
      <c r="B148" s="1208" t="s">
        <v>1338</v>
      </c>
      <c r="C148" s="1214">
        <v>-2166616</v>
      </c>
      <c r="D148" s="1214">
        <v>-16651000</v>
      </c>
      <c r="E148" s="1214">
        <v>0</v>
      </c>
      <c r="F148" s="1214">
        <v>-28672426</v>
      </c>
      <c r="G148" s="1214">
        <v>-3565359</v>
      </c>
      <c r="H148" s="1214">
        <v>-3567949</v>
      </c>
      <c r="I148" s="1214">
        <v>-2680557</v>
      </c>
    </row>
    <row r="149" spans="2:9" s="1201" customFormat="1" ht="12.75" hidden="1" outlineLevel="1" x14ac:dyDescent="0.2">
      <c r="B149" s="1203"/>
      <c r="C149" s="1213"/>
      <c r="D149" s="1213"/>
      <c r="E149" s="1213"/>
      <c r="F149" s="1218"/>
      <c r="G149" s="1218"/>
      <c r="H149" s="1218"/>
      <c r="I149" s="1203"/>
    </row>
    <row r="150" spans="2:9" s="1201" customFormat="1" ht="38.25" hidden="1" outlineLevel="1" x14ac:dyDescent="0.2">
      <c r="B150" s="1206" t="s">
        <v>1339</v>
      </c>
      <c r="C150" s="1212" t="s">
        <v>1092</v>
      </c>
      <c r="D150" s="1220" t="s">
        <v>1093</v>
      </c>
      <c r="E150" s="1220" t="s">
        <v>1094</v>
      </c>
      <c r="F150" s="1221" t="s">
        <v>1095</v>
      </c>
      <c r="G150" s="1221" t="s">
        <v>1096</v>
      </c>
      <c r="H150" s="1221" t="s">
        <v>1097</v>
      </c>
      <c r="I150" s="1221" t="s">
        <v>1098</v>
      </c>
    </row>
    <row r="151" spans="2:9" s="1201" customFormat="1" ht="12.75" hidden="1" outlineLevel="1" x14ac:dyDescent="0.2">
      <c r="B151" s="1207" t="s">
        <v>1340</v>
      </c>
      <c r="C151" s="1215">
        <v>2121000</v>
      </c>
      <c r="D151" s="1215">
        <v>16180000</v>
      </c>
      <c r="E151" s="1217">
        <v>0</v>
      </c>
      <c r="F151" s="1219">
        <v>28540000</v>
      </c>
      <c r="G151" s="1215">
        <v>3430000</v>
      </c>
      <c r="H151" s="1215">
        <v>3430000</v>
      </c>
      <c r="I151" s="1215">
        <v>2540000</v>
      </c>
    </row>
    <row r="152" spans="2:9" s="1201" customFormat="1" ht="12.75" hidden="1" outlineLevel="1" x14ac:dyDescent="0.2">
      <c r="B152" s="1207" t="s">
        <v>1341</v>
      </c>
      <c r="C152" s="1215">
        <v>45616</v>
      </c>
      <c r="D152" s="1215">
        <v>421000</v>
      </c>
      <c r="E152" s="1217">
        <v>0</v>
      </c>
      <c r="F152" s="1215">
        <v>82426</v>
      </c>
      <c r="G152" s="1215">
        <v>85359</v>
      </c>
      <c r="H152" s="1215">
        <v>87949</v>
      </c>
      <c r="I152" s="1215">
        <v>90617</v>
      </c>
    </row>
    <row r="153" spans="2:9" s="1201" customFormat="1" ht="12.75" hidden="1" outlineLevel="1" x14ac:dyDescent="0.2">
      <c r="B153" s="1203" t="s">
        <v>1352</v>
      </c>
      <c r="C153" s="1215">
        <v>0</v>
      </c>
      <c r="D153" s="1215">
        <v>50000</v>
      </c>
      <c r="E153" s="1217">
        <v>0</v>
      </c>
      <c r="F153" s="1215">
        <v>50000</v>
      </c>
      <c r="G153" s="1215">
        <v>50000</v>
      </c>
      <c r="H153" s="1215">
        <v>50000</v>
      </c>
      <c r="I153" s="1215">
        <v>50000</v>
      </c>
    </row>
    <row r="154" spans="2:9" s="1148" customFormat="1" ht="12.75" hidden="1" outlineLevel="1" x14ac:dyDescent="0.2">
      <c r="B154" s="1206" t="s">
        <v>1343</v>
      </c>
      <c r="C154" s="1214">
        <v>2166616</v>
      </c>
      <c r="D154" s="1214">
        <v>16651000</v>
      </c>
      <c r="E154" s="1214">
        <v>0</v>
      </c>
      <c r="F154" s="1214">
        <v>28672426</v>
      </c>
      <c r="G154" s="1214">
        <v>3565359</v>
      </c>
      <c r="H154" s="1214">
        <v>3567949</v>
      </c>
      <c r="I154" s="1214">
        <v>2680617</v>
      </c>
    </row>
    <row r="155" spans="2:9" s="1222" customFormat="1" ht="12.75" hidden="1" outlineLevel="1" x14ac:dyDescent="0.2">
      <c r="B155" s="1225"/>
      <c r="C155" s="1240"/>
      <c r="D155" s="1240"/>
      <c r="E155" s="1240"/>
      <c r="F155" s="1240"/>
      <c r="G155" s="1240"/>
      <c r="H155" s="1240"/>
      <c r="I155" s="1240"/>
    </row>
    <row r="156" spans="2:9" s="1148" customFormat="1" ht="15.75" collapsed="1" x14ac:dyDescent="0.25">
      <c r="B156" s="1223" t="s">
        <v>1044</v>
      </c>
      <c r="C156" s="1222"/>
      <c r="D156" s="1222"/>
      <c r="E156" s="1222"/>
      <c r="F156" s="1222"/>
      <c r="G156" s="1222"/>
      <c r="H156" s="1222"/>
      <c r="I156" s="1222"/>
    </row>
    <row r="157" spans="2:9" s="1148" customFormat="1" ht="15.75" x14ac:dyDescent="0.25">
      <c r="B157" s="1223" t="s">
        <v>1328</v>
      </c>
      <c r="C157" s="1222"/>
      <c r="D157" s="1222"/>
      <c r="E157" s="1222"/>
      <c r="F157" s="1222"/>
      <c r="G157" s="1222"/>
      <c r="H157" s="1222"/>
      <c r="I157" s="1222"/>
    </row>
    <row r="158" spans="2:9" s="1148" customFormat="1" ht="15.75" x14ac:dyDescent="0.25">
      <c r="B158" s="1223" t="s">
        <v>1329</v>
      </c>
      <c r="C158" s="1222"/>
      <c r="D158" s="1222"/>
      <c r="E158" s="1222"/>
      <c r="F158" s="1222"/>
      <c r="G158" s="1222"/>
      <c r="H158" s="1222"/>
      <c r="I158" s="1222"/>
    </row>
    <row r="159" spans="2:9" s="1148" customFormat="1" ht="15.75" x14ac:dyDescent="0.25">
      <c r="B159" s="1230" t="s">
        <v>516</v>
      </c>
      <c r="C159" s="1222"/>
      <c r="D159" s="1222"/>
      <c r="E159" s="1222"/>
      <c r="F159" s="1222"/>
      <c r="G159" s="1222"/>
      <c r="H159" s="1222"/>
      <c r="I159" s="1222"/>
    </row>
    <row r="160" spans="2:9" s="1148" customFormat="1" ht="38.25" x14ac:dyDescent="0.2">
      <c r="B160" s="1224" t="s">
        <v>1330</v>
      </c>
      <c r="C160" s="1235" t="s">
        <v>1092</v>
      </c>
      <c r="D160" s="1245" t="s">
        <v>1093</v>
      </c>
      <c r="E160" s="1245" t="s">
        <v>1094</v>
      </c>
      <c r="F160" s="1246" t="s">
        <v>1095</v>
      </c>
      <c r="G160" s="1246" t="s">
        <v>1096</v>
      </c>
      <c r="H160" s="1246" t="s">
        <v>1097</v>
      </c>
      <c r="I160" s="1246" t="s">
        <v>1098</v>
      </c>
    </row>
    <row r="161" spans="2:10" s="1148" customFormat="1" ht="12.75" x14ac:dyDescent="0.2">
      <c r="B161" s="1222"/>
      <c r="C161" s="1229"/>
      <c r="D161" s="1229"/>
      <c r="E161" s="1229"/>
      <c r="F161" s="1226"/>
      <c r="G161" s="1226"/>
      <c r="H161" s="1226"/>
      <c r="I161" s="1222"/>
    </row>
    <row r="162" spans="2:10" s="1148" customFormat="1" ht="12.75" x14ac:dyDescent="0.2">
      <c r="B162" s="1225" t="s">
        <v>1331</v>
      </c>
      <c r="C162" s="1229"/>
      <c r="D162" s="1229"/>
      <c r="E162" s="1229"/>
      <c r="F162" s="1226"/>
      <c r="G162" s="1226"/>
      <c r="H162" s="1226"/>
      <c r="I162" s="1222"/>
    </row>
    <row r="163" spans="2:10" s="1148" customFormat="1" ht="12.75" x14ac:dyDescent="0.2">
      <c r="B163" s="1232" t="s">
        <v>1332</v>
      </c>
      <c r="C163" s="1239">
        <v>-493016</v>
      </c>
      <c r="D163" s="1234">
        <v>-127875</v>
      </c>
      <c r="E163" s="1241">
        <v>0</v>
      </c>
      <c r="F163" s="1244">
        <v>-779</v>
      </c>
      <c r="G163" s="1244">
        <v>71780</v>
      </c>
      <c r="H163" s="1244">
        <v>20476</v>
      </c>
      <c r="I163" s="1244">
        <v>-28814</v>
      </c>
    </row>
    <row r="164" spans="2:10" s="1148" customFormat="1" ht="12.75" x14ac:dyDescent="0.2">
      <c r="B164" s="1232" t="s">
        <v>1333</v>
      </c>
      <c r="C164" s="1239">
        <v>-65160</v>
      </c>
      <c r="D164" s="1234">
        <v>0</v>
      </c>
      <c r="E164" s="1241">
        <v>0</v>
      </c>
      <c r="F164" s="1244">
        <v>-269687</v>
      </c>
      <c r="G164" s="1244">
        <v>-275995</v>
      </c>
      <c r="H164" s="1244">
        <v>-280655</v>
      </c>
      <c r="I164" s="1244">
        <v>-289069</v>
      </c>
    </row>
    <row r="165" spans="2:10" s="1148" customFormat="1" ht="12.75" x14ac:dyDescent="0.2">
      <c r="B165" s="1232" t="s">
        <v>1334</v>
      </c>
      <c r="C165" s="1239"/>
      <c r="D165" s="1234">
        <v>0</v>
      </c>
      <c r="E165" s="1241">
        <v>0</v>
      </c>
      <c r="F165" s="1241">
        <v>0</v>
      </c>
      <c r="G165" s="1241">
        <v>0</v>
      </c>
      <c r="H165" s="1241">
        <v>0</v>
      </c>
      <c r="I165" s="1234">
        <v>0</v>
      </c>
    </row>
    <row r="166" spans="2:10" s="1148" customFormat="1" ht="12.75" x14ac:dyDescent="0.2">
      <c r="B166" s="1232" t="s">
        <v>1335</v>
      </c>
      <c r="C166" s="1239">
        <v>0</v>
      </c>
      <c r="D166" s="1234">
        <v>-10000000</v>
      </c>
      <c r="E166" s="1241">
        <v>0</v>
      </c>
      <c r="F166" s="1244">
        <v>0</v>
      </c>
      <c r="G166" s="1244">
        <v>0</v>
      </c>
      <c r="H166" s="1244">
        <v>0</v>
      </c>
      <c r="I166" s="1244">
        <v>0</v>
      </c>
    </row>
    <row r="167" spans="2:10" s="1148" customFormat="1" ht="12.75" x14ac:dyDescent="0.2">
      <c r="B167" s="1232" t="s">
        <v>1336</v>
      </c>
      <c r="C167" s="1241">
        <v>0</v>
      </c>
      <c r="D167" s="1234">
        <v>0</v>
      </c>
      <c r="E167" s="1241">
        <v>0</v>
      </c>
      <c r="F167" s="1244">
        <v>0</v>
      </c>
      <c r="G167" s="1244">
        <v>0</v>
      </c>
      <c r="H167" s="1244">
        <v>0</v>
      </c>
      <c r="I167" s="1244">
        <v>0</v>
      </c>
    </row>
    <row r="168" spans="2:10" s="1148" customFormat="1" ht="12.75" x14ac:dyDescent="0.2">
      <c r="B168" s="1227" t="s">
        <v>1337</v>
      </c>
      <c r="C168" s="1239">
        <v>0</v>
      </c>
      <c r="D168" s="1234">
        <v>0</v>
      </c>
      <c r="E168" s="1241">
        <v>0</v>
      </c>
      <c r="F168" s="1241">
        <v>0</v>
      </c>
      <c r="G168" s="1241">
        <v>0</v>
      </c>
      <c r="H168" s="1241">
        <v>0</v>
      </c>
      <c r="I168" s="1234">
        <v>0</v>
      </c>
    </row>
    <row r="169" spans="2:10" s="1148" customFormat="1" ht="12.75" x14ac:dyDescent="0.2">
      <c r="B169" s="1228" t="s">
        <v>1338</v>
      </c>
      <c r="C169" s="1231">
        <v>-558176</v>
      </c>
      <c r="D169" s="1231">
        <v>-10127875</v>
      </c>
      <c r="E169" s="1231">
        <v>0</v>
      </c>
      <c r="F169" s="1231">
        <v>-270466</v>
      </c>
      <c r="G169" s="1231">
        <v>-204215</v>
      </c>
      <c r="H169" s="1231">
        <v>-260179</v>
      </c>
      <c r="I169" s="1231">
        <v>-317883</v>
      </c>
    </row>
    <row r="170" spans="2:10" s="1148" customFormat="1" ht="12.75" x14ac:dyDescent="0.2">
      <c r="B170" s="1222"/>
      <c r="C170" s="1229"/>
      <c r="D170" s="1229"/>
      <c r="E170" s="1229"/>
      <c r="F170" s="1236"/>
      <c r="G170" s="1236"/>
      <c r="H170" s="1236"/>
      <c r="I170" s="1222"/>
    </row>
    <row r="171" spans="2:10" s="1148" customFormat="1" ht="38.25" x14ac:dyDescent="0.2">
      <c r="B171" s="1225" t="s">
        <v>1339</v>
      </c>
      <c r="C171" s="1235" t="s">
        <v>1092</v>
      </c>
      <c r="D171" s="1245" t="s">
        <v>1093</v>
      </c>
      <c r="E171" s="1245" t="s">
        <v>1094</v>
      </c>
      <c r="F171" s="1246" t="s">
        <v>1095</v>
      </c>
      <c r="G171" s="1246" t="s">
        <v>1096</v>
      </c>
      <c r="H171" s="1246" t="s">
        <v>1097</v>
      </c>
      <c r="I171" s="1246" t="s">
        <v>1098</v>
      </c>
    </row>
    <row r="172" spans="2:10" ht="12.75" x14ac:dyDescent="0.2">
      <c r="B172" s="1227" t="s">
        <v>1340</v>
      </c>
      <c r="C172" s="1238">
        <v>100000</v>
      </c>
      <c r="D172" s="1238">
        <v>10000000</v>
      </c>
      <c r="E172" s="1238">
        <v>0</v>
      </c>
      <c r="F172" s="1238">
        <v>0</v>
      </c>
      <c r="G172" s="1237">
        <v>0</v>
      </c>
      <c r="H172" s="1237">
        <v>0</v>
      </c>
      <c r="I172" s="1237">
        <v>0</v>
      </c>
    </row>
    <row r="173" spans="2:10" ht="12.75" x14ac:dyDescent="0.2">
      <c r="B173" s="1227" t="s">
        <v>1341</v>
      </c>
      <c r="C173" s="1238">
        <v>8494</v>
      </c>
      <c r="D173" s="1238">
        <v>0</v>
      </c>
      <c r="E173" s="1243">
        <v>0</v>
      </c>
      <c r="F173" s="1401">
        <v>0</v>
      </c>
      <c r="G173" s="1401">
        <v>0</v>
      </c>
      <c r="H173" s="1401">
        <v>0</v>
      </c>
      <c r="I173" s="1401">
        <v>0</v>
      </c>
      <c r="J173" s="742" t="s">
        <v>1496</v>
      </c>
    </row>
    <row r="174" spans="2:10" ht="12.75" x14ac:dyDescent="0.2">
      <c r="B174" s="1222" t="s">
        <v>1342</v>
      </c>
      <c r="C174" s="1238">
        <v>449682</v>
      </c>
      <c r="D174" s="1238">
        <v>127875</v>
      </c>
      <c r="E174" s="1243">
        <v>0</v>
      </c>
      <c r="F174" s="1237">
        <v>0</v>
      </c>
      <c r="G174" s="1237">
        <v>0</v>
      </c>
      <c r="H174" s="1237">
        <v>0</v>
      </c>
      <c r="I174" s="1237">
        <v>0</v>
      </c>
    </row>
    <row r="175" spans="2:10" ht="12.75" x14ac:dyDescent="0.2">
      <c r="B175" s="1225" t="s">
        <v>1343</v>
      </c>
      <c r="C175" s="1233">
        <v>558176</v>
      </c>
      <c r="D175" s="1233">
        <v>10127875</v>
      </c>
      <c r="E175" s="1233">
        <v>0</v>
      </c>
      <c r="F175" s="1233">
        <v>270466</v>
      </c>
      <c r="G175" s="1233">
        <v>204215</v>
      </c>
      <c r="H175" s="1233">
        <v>260179</v>
      </c>
      <c r="I175" s="1233">
        <v>317883</v>
      </c>
    </row>
    <row r="176" spans="2:10" ht="12.75" x14ac:dyDescent="0.2">
      <c r="B176" s="1400" t="s">
        <v>1341</v>
      </c>
      <c r="C176" s="1401">
        <v>8494</v>
      </c>
      <c r="D176" s="1401">
        <v>0</v>
      </c>
      <c r="E176" s="1402">
        <v>0</v>
      </c>
      <c r="F176" s="1403">
        <v>270466</v>
      </c>
      <c r="G176" s="1404">
        <v>204215</v>
      </c>
      <c r="H176" s="1404">
        <v>260179</v>
      </c>
      <c r="I176" s="1404">
        <v>317883</v>
      </c>
      <c r="J176" s="742" t="s">
        <v>1495</v>
      </c>
    </row>
    <row r="177" spans="1:17" s="1222" customFormat="1" ht="12.75" x14ac:dyDescent="0.2">
      <c r="B177" s="1225"/>
      <c r="C177" s="1233"/>
      <c r="D177" s="1242"/>
      <c r="E177" s="1233"/>
    </row>
    <row r="178" spans="1:17" ht="14.25" x14ac:dyDescent="0.2">
      <c r="B178" s="825" t="s">
        <v>1370</v>
      </c>
      <c r="C178" s="826"/>
      <c r="D178" s="825"/>
      <c r="E178" s="825"/>
      <c r="F178" s="825" t="s">
        <v>516</v>
      </c>
      <c r="G178" s="1203"/>
      <c r="H178" s="1203"/>
      <c r="I178" s="1209"/>
    </row>
    <row r="179" spans="1:17" ht="45" x14ac:dyDescent="0.25">
      <c r="B179" s="1024" t="s">
        <v>399</v>
      </c>
      <c r="C179" s="1031"/>
      <c r="D179" s="1035"/>
      <c r="E179" s="827"/>
      <c r="F179" s="827" t="s">
        <v>1117</v>
      </c>
      <c r="G179" s="828" t="s">
        <v>1118</v>
      </c>
      <c r="H179" s="828" t="s">
        <v>1119</v>
      </c>
      <c r="I179" s="828" t="s">
        <v>1120</v>
      </c>
      <c r="J179" s="1352" t="s">
        <v>8</v>
      </c>
      <c r="K179" s="1352" t="s">
        <v>9</v>
      </c>
      <c r="L179" s="1352" t="s">
        <v>514</v>
      </c>
      <c r="M179" s="1352" t="s">
        <v>515</v>
      </c>
      <c r="N179" s="1352" t="s">
        <v>904</v>
      </c>
      <c r="O179" s="1352" t="s">
        <v>1046</v>
      </c>
      <c r="P179" s="1352" t="s">
        <v>1424</v>
      </c>
      <c r="Q179" s="1352" t="s">
        <v>1425</v>
      </c>
    </row>
    <row r="180" spans="1:17" ht="15" x14ac:dyDescent="0.25">
      <c r="B180" s="1025" t="s">
        <v>1032</v>
      </c>
      <c r="C180" s="1031"/>
      <c r="E180" s="830"/>
      <c r="F180" s="830"/>
      <c r="G180" s="831" t="s">
        <v>516</v>
      </c>
      <c r="H180" s="831" t="s">
        <v>516</v>
      </c>
      <c r="I180" s="831" t="s">
        <v>516</v>
      </c>
      <c r="J180" s="831" t="s">
        <v>516</v>
      </c>
      <c r="K180" s="831" t="s">
        <v>516</v>
      </c>
      <c r="L180" s="831" t="s">
        <v>516</v>
      </c>
      <c r="M180" s="831" t="s">
        <v>516</v>
      </c>
      <c r="N180" s="831" t="s">
        <v>516</v>
      </c>
      <c r="O180" s="831" t="s">
        <v>516</v>
      </c>
      <c r="P180" s="831" t="s">
        <v>516</v>
      </c>
      <c r="Q180" s="831" t="s">
        <v>516</v>
      </c>
    </row>
    <row r="181" spans="1:17" ht="15" x14ac:dyDescent="0.25">
      <c r="B181" s="1025" t="s">
        <v>1121</v>
      </c>
      <c r="C181" s="1031"/>
      <c r="E181" s="830"/>
      <c r="F181" s="830">
        <v>70000</v>
      </c>
      <c r="G181" s="831">
        <v>70000</v>
      </c>
      <c r="H181" s="831">
        <v>70000</v>
      </c>
      <c r="I181" s="831">
        <v>70000</v>
      </c>
      <c r="J181" s="831">
        <f>I181*(1+'LTFP Assumptions'!$J$13)</f>
        <v>71400</v>
      </c>
      <c r="K181" s="831">
        <f>J181*(1+'LTFP Assumptions'!$J$13)</f>
        <v>72828</v>
      </c>
      <c r="L181" s="831">
        <f>K181*(1+'LTFP Assumptions'!$J$13)</f>
        <v>74284.56</v>
      </c>
      <c r="M181" s="831">
        <f>L181*(1+'LTFP Assumptions'!$J$13)</f>
        <v>75770.251199999999</v>
      </c>
      <c r="N181" s="831">
        <f>M181*(1+'LTFP Assumptions'!$J$13)</f>
        <v>77285.656224000006</v>
      </c>
      <c r="O181" s="831">
        <f>N181*(1+'LTFP Assumptions'!$J$13)</f>
        <v>78831.369348480002</v>
      </c>
      <c r="P181" s="831">
        <f>O181*(1+'LTFP Assumptions'!$J$13)</f>
        <v>80407.996735449604</v>
      </c>
      <c r="Q181" s="831">
        <f>P181*(1+'LTFP Assumptions'!$J$13)</f>
        <v>82016.156670158598</v>
      </c>
    </row>
    <row r="182" spans="1:17" ht="15" x14ac:dyDescent="0.25">
      <c r="B182" s="1025" t="s">
        <v>1122</v>
      </c>
      <c r="C182" s="1031"/>
      <c r="E182" s="830"/>
      <c r="F182" s="830">
        <v>1117000</v>
      </c>
      <c r="G182" s="830">
        <v>1117000</v>
      </c>
      <c r="H182" s="831">
        <v>1173000</v>
      </c>
      <c r="I182" s="831">
        <v>1203000</v>
      </c>
      <c r="J182" s="831">
        <f>I182*(1+'LTFP Assumptions'!$J$13)</f>
        <v>1227060</v>
      </c>
      <c r="K182" s="831">
        <f>J182*(1+'LTFP Assumptions'!$J$13)</f>
        <v>1251601.2</v>
      </c>
      <c r="L182" s="831">
        <f>K182*(1+'LTFP Assumptions'!$J$13)</f>
        <v>1276633.2239999999</v>
      </c>
      <c r="M182" s="831">
        <f>L182*(1+'LTFP Assumptions'!$J$13)</f>
        <v>1302165.88848</v>
      </c>
      <c r="N182" s="831">
        <f>M182*(1+'LTFP Assumptions'!$J$13)</f>
        <v>1328209.2062496</v>
      </c>
      <c r="O182" s="831">
        <f>N182*(1+'LTFP Assumptions'!$J$13)</f>
        <v>1354773.390374592</v>
      </c>
      <c r="P182" s="831">
        <f>O182*(1+'LTFP Assumptions'!$J$13)</f>
        <v>1381868.8581820838</v>
      </c>
      <c r="Q182" s="831">
        <f>P182*(1+'LTFP Assumptions'!$J$13)</f>
        <v>1409506.2353457254</v>
      </c>
    </row>
    <row r="183" spans="1:17" ht="15" x14ac:dyDescent="0.25">
      <c r="B183" s="1025" t="s">
        <v>1123</v>
      </c>
      <c r="C183" s="1031"/>
      <c r="E183" s="830"/>
      <c r="F183" s="830">
        <v>256000</v>
      </c>
      <c r="G183" s="831">
        <v>250000</v>
      </c>
      <c r="H183" s="831">
        <v>265000</v>
      </c>
      <c r="I183" s="831">
        <v>265000</v>
      </c>
      <c r="J183" s="831">
        <f>I183*(1+'LTFP Assumptions'!$J$13)</f>
        <v>270300</v>
      </c>
      <c r="K183" s="831">
        <f>J183*(1+'LTFP Assumptions'!$J$13)</f>
        <v>275706</v>
      </c>
      <c r="L183" s="831">
        <f>K183*(1+'LTFP Assumptions'!$J$13)</f>
        <v>281220.12</v>
      </c>
      <c r="M183" s="831">
        <f>L183*(1+'LTFP Assumptions'!$J$13)</f>
        <v>286844.52240000002</v>
      </c>
      <c r="N183" s="831">
        <f>M183*(1+'LTFP Assumptions'!$J$13)</f>
        <v>292581.41284800001</v>
      </c>
      <c r="O183" s="831">
        <f>N183*(1+'LTFP Assumptions'!$J$13)</f>
        <v>298433.04110496002</v>
      </c>
      <c r="P183" s="831">
        <f>O183*(1+'LTFP Assumptions'!$J$13)</f>
        <v>304401.70192705921</v>
      </c>
      <c r="Q183" s="831">
        <f>P183*(1+'LTFP Assumptions'!$J$13)</f>
        <v>310489.73596560041</v>
      </c>
    </row>
    <row r="184" spans="1:17" ht="15" x14ac:dyDescent="0.25">
      <c r="B184" s="1025" t="s">
        <v>1124</v>
      </c>
      <c r="C184" s="1031"/>
      <c r="E184" s="830"/>
      <c r="F184" s="830">
        <v>200000</v>
      </c>
      <c r="G184" s="831">
        <v>200000</v>
      </c>
      <c r="H184" s="831">
        <v>210000</v>
      </c>
      <c r="I184" s="831">
        <v>210000</v>
      </c>
      <c r="J184" s="831">
        <f>I184*(1+'LTFP Assumptions'!$J$13)</f>
        <v>214200</v>
      </c>
      <c r="K184" s="831">
        <f>J184*(1+'LTFP Assumptions'!$J$13)</f>
        <v>218484</v>
      </c>
      <c r="L184" s="831">
        <f>K184*(1+'LTFP Assumptions'!$J$13)</f>
        <v>222853.68</v>
      </c>
      <c r="M184" s="831">
        <f>L184*(1+'LTFP Assumptions'!$J$13)</f>
        <v>227310.7536</v>
      </c>
      <c r="N184" s="831">
        <f>M184*(1+'LTFP Assumptions'!$J$13)</f>
        <v>231856.96867199999</v>
      </c>
      <c r="O184" s="831">
        <f>N184*(1+'LTFP Assumptions'!$J$13)</f>
        <v>236494.10804543999</v>
      </c>
      <c r="P184" s="831">
        <f>O184*(1+'LTFP Assumptions'!$J$13)</f>
        <v>241223.9902063488</v>
      </c>
      <c r="Q184" s="831">
        <f>P184*(1+'LTFP Assumptions'!$J$13)</f>
        <v>246048.47001047578</v>
      </c>
    </row>
    <row r="185" spans="1:17" ht="15" x14ac:dyDescent="0.25">
      <c r="B185" s="1025" t="s">
        <v>1125</v>
      </c>
      <c r="C185" s="1031"/>
      <c r="E185" s="830"/>
      <c r="F185" s="830">
        <v>250000</v>
      </c>
      <c r="G185" s="831">
        <v>255000</v>
      </c>
      <c r="H185" s="831">
        <v>320000</v>
      </c>
      <c r="I185" s="831">
        <v>330000</v>
      </c>
      <c r="J185" s="831">
        <f>I185*(1+'LTFP Assumptions'!$J$13)</f>
        <v>336600</v>
      </c>
      <c r="K185" s="831">
        <f>J185*(1+'LTFP Assumptions'!$J$13)</f>
        <v>343332</v>
      </c>
      <c r="L185" s="831">
        <f>K185*(1+'LTFP Assumptions'!$J$13)</f>
        <v>350198.64</v>
      </c>
      <c r="M185" s="831">
        <f>L185*(1+'LTFP Assumptions'!$J$13)</f>
        <v>357202.6128</v>
      </c>
      <c r="N185" s="831">
        <f>M185*(1+'LTFP Assumptions'!$J$13)</f>
        <v>364346.665056</v>
      </c>
      <c r="O185" s="831">
        <f>N185*(1+'LTFP Assumptions'!$J$13)</f>
        <v>371633.59835712</v>
      </c>
      <c r="P185" s="831">
        <f>O185*(1+'LTFP Assumptions'!$J$13)</f>
        <v>379066.27032426238</v>
      </c>
      <c r="Q185" s="831">
        <f>P185*(1+'LTFP Assumptions'!$J$13)</f>
        <v>386647.59573074762</v>
      </c>
    </row>
    <row r="186" spans="1:17" ht="15" x14ac:dyDescent="0.25">
      <c r="B186" s="1025" t="s">
        <v>1126</v>
      </c>
      <c r="C186" s="1031"/>
      <c r="E186" s="830"/>
      <c r="F186" s="830">
        <v>492000</v>
      </c>
      <c r="G186" s="831">
        <v>500000</v>
      </c>
      <c r="H186" s="831">
        <v>530000</v>
      </c>
      <c r="I186" s="831">
        <v>550000</v>
      </c>
      <c r="J186" s="831">
        <f>I186*(1+'LTFP Assumptions'!$J$13)</f>
        <v>561000</v>
      </c>
      <c r="K186" s="831">
        <f>J186*(1+'LTFP Assumptions'!$J$13)</f>
        <v>572220</v>
      </c>
      <c r="L186" s="831">
        <f>K186*(1+'LTFP Assumptions'!$J$13)</f>
        <v>583664.4</v>
      </c>
      <c r="M186" s="831">
        <f>L186*(1+'LTFP Assumptions'!$J$13)</f>
        <v>595337.68800000008</v>
      </c>
      <c r="N186" s="831">
        <f>M186*(1+'LTFP Assumptions'!$J$13)</f>
        <v>607244.44176000007</v>
      </c>
      <c r="O186" s="831">
        <f>N186*(1+'LTFP Assumptions'!$J$13)</f>
        <v>619389.33059520007</v>
      </c>
      <c r="P186" s="831">
        <f>O186*(1+'LTFP Assumptions'!$J$13)</f>
        <v>631777.11720710411</v>
      </c>
      <c r="Q186" s="831">
        <f>P186*(1+'LTFP Assumptions'!$J$13)</f>
        <v>644412.65955124621</v>
      </c>
    </row>
    <row r="187" spans="1:17" s="1222" customFormat="1" ht="15" x14ac:dyDescent="0.25">
      <c r="B187" s="1025"/>
      <c r="C187" s="1031"/>
      <c r="E187" s="830"/>
      <c r="F187" s="830"/>
      <c r="G187" s="831"/>
      <c r="H187" s="831"/>
      <c r="I187" s="831"/>
      <c r="J187" s="831"/>
      <c r="K187" s="831"/>
      <c r="L187" s="831"/>
      <c r="M187" s="831"/>
      <c r="N187" s="831"/>
      <c r="O187" s="831"/>
      <c r="P187" s="831"/>
      <c r="Q187" s="831"/>
    </row>
    <row r="188" spans="1:17" s="1222" customFormat="1" ht="26.25" x14ac:dyDescent="0.25">
      <c r="A188" s="1351" t="s">
        <v>1423</v>
      </c>
      <c r="B188" s="1348" t="s">
        <v>1422</v>
      </c>
      <c r="C188" s="1349"/>
      <c r="D188" s="1350"/>
      <c r="E188" s="1346"/>
      <c r="F188" s="1346"/>
      <c r="G188" s="1347">
        <v>500000</v>
      </c>
      <c r="H188" s="1347">
        <v>1700000</v>
      </c>
      <c r="I188" s="1347">
        <v>2000000</v>
      </c>
      <c r="J188" s="1347">
        <f>I188*(1+'LTFP Assumptions'!$J$13)</f>
        <v>2040000</v>
      </c>
      <c r="K188" s="1347">
        <f>J188*(1+'LTFP Assumptions'!$J$13)</f>
        <v>2080800</v>
      </c>
      <c r="L188" s="1347">
        <f>K188*(1+'LTFP Assumptions'!$J$13)</f>
        <v>2122416</v>
      </c>
      <c r="M188" s="1347">
        <f>L188*(1+'LTFP Assumptions'!$J$13)</f>
        <v>2164864.3199999998</v>
      </c>
      <c r="N188" s="1347">
        <f>M188*(1+'LTFP Assumptions'!$J$13)</f>
        <v>2208161.6063999999</v>
      </c>
      <c r="O188" s="1347">
        <f>N188*(1+'LTFP Assumptions'!$J$13)</f>
        <v>2252324.8385279998</v>
      </c>
      <c r="P188" s="1347">
        <f>O188*(1+'LTFP Assumptions'!$J$13)</f>
        <v>2297371.3352985596</v>
      </c>
      <c r="Q188" s="1347">
        <f>P188*(1+'LTFP Assumptions'!$J$13)</f>
        <v>2343318.762004531</v>
      </c>
    </row>
    <row r="189" spans="1:17" s="1222" customFormat="1" ht="15" x14ac:dyDescent="0.25">
      <c r="B189" s="1025"/>
      <c r="C189" s="1031"/>
      <c r="E189" s="830"/>
      <c r="F189" s="830"/>
      <c r="G189" s="831"/>
      <c r="H189" s="831"/>
      <c r="I189" s="831"/>
      <c r="J189" s="831"/>
      <c r="K189" s="831"/>
      <c r="L189" s="831"/>
      <c r="M189" s="831"/>
      <c r="N189" s="831"/>
      <c r="O189" s="831"/>
      <c r="P189" s="831"/>
      <c r="Q189" s="831"/>
    </row>
    <row r="190" spans="1:17" ht="15" x14ac:dyDescent="0.25">
      <c r="B190" s="1025" t="s">
        <v>1127</v>
      </c>
      <c r="C190" s="1031"/>
      <c r="E190" s="830"/>
      <c r="F190" s="830">
        <v>201985</v>
      </c>
      <c r="G190" s="831">
        <v>206025</v>
      </c>
      <c r="H190" s="831">
        <v>210145</v>
      </c>
      <c r="I190" s="831">
        <v>214348</v>
      </c>
      <c r="J190" s="831">
        <f>I190*(1+'LTFP Assumptions'!$J$13)</f>
        <v>218634.96</v>
      </c>
      <c r="K190" s="831">
        <f>J190*(1+'LTFP Assumptions'!$J$13)</f>
        <v>223007.65919999999</v>
      </c>
      <c r="L190" s="831">
        <f>K190*(1+'LTFP Assumptions'!$J$13)</f>
        <v>227467.81238399999</v>
      </c>
      <c r="M190" s="831">
        <f>L190*(1+'LTFP Assumptions'!$J$13)</f>
        <v>232017.16863167999</v>
      </c>
      <c r="N190" s="831">
        <f>M190*(1+'LTFP Assumptions'!$J$13)</f>
        <v>236657.51200431358</v>
      </c>
      <c r="O190" s="831">
        <f>N190*(1+'LTFP Assumptions'!$J$13)</f>
        <v>241390.66224439986</v>
      </c>
      <c r="P190" s="831">
        <f>O190*(1+'LTFP Assumptions'!$J$13)</f>
        <v>246218.47548928787</v>
      </c>
      <c r="Q190" s="831">
        <f>P190*(1+'LTFP Assumptions'!$J$13)</f>
        <v>251142.84499907363</v>
      </c>
    </row>
    <row r="191" spans="1:17" ht="15" x14ac:dyDescent="0.25">
      <c r="B191" s="1026" t="s">
        <v>1128</v>
      </c>
      <c r="C191" s="963"/>
      <c r="E191" s="831"/>
      <c r="F191" s="831">
        <v>200000</v>
      </c>
      <c r="G191" s="831">
        <v>200000</v>
      </c>
      <c r="H191" s="831">
        <v>300000</v>
      </c>
      <c r="I191" s="831">
        <v>305000</v>
      </c>
      <c r="J191" s="831">
        <f>I191*(1+'LTFP Assumptions'!$J$13)</f>
        <v>311100</v>
      </c>
      <c r="K191" s="831">
        <f>J191*(1+'LTFP Assumptions'!$J$13)</f>
        <v>317322</v>
      </c>
      <c r="L191" s="831">
        <f>K191*(1+'LTFP Assumptions'!$J$13)</f>
        <v>323668.44</v>
      </c>
      <c r="M191" s="831">
        <f>L191*(1+'LTFP Assumptions'!$J$13)</f>
        <v>330141.8088</v>
      </c>
      <c r="N191" s="831">
        <f>M191*(1+'LTFP Assumptions'!$J$13)</f>
        <v>336744.64497600001</v>
      </c>
      <c r="O191" s="831">
        <f>N191*(1+'LTFP Assumptions'!$J$13)</f>
        <v>343479.53787552001</v>
      </c>
      <c r="P191" s="831">
        <f>O191*(1+'LTFP Assumptions'!$J$13)</f>
        <v>350349.1286330304</v>
      </c>
      <c r="Q191" s="831">
        <f>P191*(1+'LTFP Assumptions'!$J$13)</f>
        <v>357356.11120569101</v>
      </c>
    </row>
    <row r="192" spans="1:17" ht="15" x14ac:dyDescent="0.25">
      <c r="B192" s="1026" t="s">
        <v>1129</v>
      </c>
      <c r="C192" s="963"/>
      <c r="E192" s="831"/>
      <c r="F192" s="831">
        <v>125000</v>
      </c>
      <c r="G192" s="833">
        <v>130000</v>
      </c>
      <c r="H192" s="831">
        <v>130000</v>
      </c>
      <c r="I192" s="831">
        <v>130000</v>
      </c>
      <c r="J192" s="831">
        <f>I192*(1+'LTFP Assumptions'!$J$13)</f>
        <v>132600</v>
      </c>
      <c r="K192" s="831">
        <f>J192*(1+'LTFP Assumptions'!$J$13)</f>
        <v>135252</v>
      </c>
      <c r="L192" s="831">
        <f>K192*(1+'LTFP Assumptions'!$J$13)</f>
        <v>137957.04</v>
      </c>
      <c r="M192" s="831">
        <f>L192*(1+'LTFP Assumptions'!$J$13)</f>
        <v>140716.1808</v>
      </c>
      <c r="N192" s="831">
        <f>M192*(1+'LTFP Assumptions'!$J$13)</f>
        <v>143530.50441600001</v>
      </c>
      <c r="O192" s="831">
        <f>N192*(1+'LTFP Assumptions'!$J$13)</f>
        <v>146401.11450432002</v>
      </c>
      <c r="P192" s="831">
        <f>O192*(1+'LTFP Assumptions'!$J$13)</f>
        <v>149329.13679440643</v>
      </c>
      <c r="Q192" s="831">
        <f>P192*(1+'LTFP Assumptions'!$J$13)</f>
        <v>152315.71953029456</v>
      </c>
    </row>
    <row r="193" spans="1:17" ht="15" x14ac:dyDescent="0.25">
      <c r="B193" s="1026" t="s">
        <v>1130</v>
      </c>
      <c r="C193" s="963"/>
      <c r="E193" s="831"/>
      <c r="F193" s="831">
        <v>78000</v>
      </c>
      <c r="G193" s="833">
        <v>80000</v>
      </c>
      <c r="H193" s="831">
        <v>82500</v>
      </c>
      <c r="I193" s="831">
        <v>82500</v>
      </c>
      <c r="J193" s="831">
        <f>I193*(1+'LTFP Assumptions'!$J$13)</f>
        <v>84150</v>
      </c>
      <c r="K193" s="831">
        <f>J193*(1+'LTFP Assumptions'!$J$13)</f>
        <v>85833</v>
      </c>
      <c r="L193" s="831">
        <f>K193*(1+'LTFP Assumptions'!$J$13)</f>
        <v>87549.66</v>
      </c>
      <c r="M193" s="831">
        <f>L193*(1+'LTFP Assumptions'!$J$13)</f>
        <v>89300.653200000001</v>
      </c>
      <c r="N193" s="831">
        <f>M193*(1+'LTFP Assumptions'!$J$13)</f>
        <v>91086.666264</v>
      </c>
      <c r="O193" s="831">
        <f>N193*(1+'LTFP Assumptions'!$J$13)</f>
        <v>92908.399589280001</v>
      </c>
      <c r="P193" s="831">
        <f>O193*(1+'LTFP Assumptions'!$J$13)</f>
        <v>94766.567581065596</v>
      </c>
      <c r="Q193" s="831">
        <f>P193*(1+'LTFP Assumptions'!$J$13)</f>
        <v>96661.898932686905</v>
      </c>
    </row>
    <row r="194" spans="1:17" ht="15" x14ac:dyDescent="0.25">
      <c r="B194" s="1026" t="s">
        <v>1131</v>
      </c>
      <c r="C194" s="963"/>
      <c r="E194" s="831"/>
      <c r="F194" s="831">
        <v>103000</v>
      </c>
      <c r="G194" s="833">
        <v>110000</v>
      </c>
      <c r="H194" s="831">
        <v>115000</v>
      </c>
      <c r="I194" s="831">
        <v>120000</v>
      </c>
      <c r="J194" s="831">
        <f>I194*(1+'LTFP Assumptions'!$J$13)</f>
        <v>122400</v>
      </c>
      <c r="K194" s="831">
        <f>J194*(1+'LTFP Assumptions'!$J$13)</f>
        <v>124848</v>
      </c>
      <c r="L194" s="831">
        <f>K194*(1+'LTFP Assumptions'!$J$13)</f>
        <v>127344.96000000001</v>
      </c>
      <c r="M194" s="831">
        <f>L194*(1+'LTFP Assumptions'!$J$13)</f>
        <v>129891.85920000001</v>
      </c>
      <c r="N194" s="831">
        <f>M194*(1+'LTFP Assumptions'!$J$13)</f>
        <v>132489.69638400001</v>
      </c>
      <c r="O194" s="831">
        <f>N194*(1+'LTFP Assumptions'!$J$13)</f>
        <v>135139.49031168001</v>
      </c>
      <c r="P194" s="831">
        <f>O194*(1+'LTFP Assumptions'!$J$13)</f>
        <v>137842.28011791361</v>
      </c>
      <c r="Q194" s="831">
        <f>P194*(1+'LTFP Assumptions'!$J$13)</f>
        <v>140599.1257202719</v>
      </c>
    </row>
    <row r="195" spans="1:17" ht="15" x14ac:dyDescent="0.25">
      <c r="B195" s="1026" t="s">
        <v>1132</v>
      </c>
      <c r="C195" s="963"/>
      <c r="E195" s="831"/>
      <c r="F195" s="831">
        <v>65000</v>
      </c>
      <c r="G195" s="833">
        <v>65000</v>
      </c>
      <c r="H195" s="831">
        <v>65000</v>
      </c>
      <c r="I195" s="831">
        <v>65000</v>
      </c>
      <c r="J195" s="831">
        <f>I195*(1+'LTFP Assumptions'!$J$13)</f>
        <v>66300</v>
      </c>
      <c r="K195" s="831">
        <f>J195*(1+'LTFP Assumptions'!$J$13)</f>
        <v>67626</v>
      </c>
      <c r="L195" s="831">
        <f>K195*(1+'LTFP Assumptions'!$J$13)</f>
        <v>68978.52</v>
      </c>
      <c r="M195" s="831">
        <f>L195*(1+'LTFP Assumptions'!$J$13)</f>
        <v>70358.090400000001</v>
      </c>
      <c r="N195" s="831">
        <f>M195*(1+'LTFP Assumptions'!$J$13)</f>
        <v>71765.252208000005</v>
      </c>
      <c r="O195" s="831">
        <f>N195*(1+'LTFP Assumptions'!$J$13)</f>
        <v>73200.557252160012</v>
      </c>
      <c r="P195" s="831">
        <f>O195*(1+'LTFP Assumptions'!$J$13)</f>
        <v>74664.568397203213</v>
      </c>
      <c r="Q195" s="831">
        <f>P195*(1+'LTFP Assumptions'!$J$13)</f>
        <v>76157.859765147281</v>
      </c>
    </row>
    <row r="196" spans="1:17" ht="15" x14ac:dyDescent="0.25">
      <c r="B196" s="1026" t="s">
        <v>1133</v>
      </c>
      <c r="C196" s="963"/>
      <c r="E196" s="831"/>
      <c r="F196" s="831">
        <v>93606</v>
      </c>
      <c r="G196" s="833">
        <v>94858</v>
      </c>
      <c r="H196" s="831">
        <v>110231</v>
      </c>
      <c r="I196" s="831">
        <v>107241</v>
      </c>
      <c r="J196" s="831">
        <f>I196*(1+'LTFP Assumptions'!$J$13)</f>
        <v>109385.82</v>
      </c>
      <c r="K196" s="831">
        <f>J196*(1+'LTFP Assumptions'!$J$13)</f>
        <v>111573.53640000001</v>
      </c>
      <c r="L196" s="831">
        <f>K196*(1+'LTFP Assumptions'!$J$13)</f>
        <v>113805.00712800001</v>
      </c>
      <c r="M196" s="831">
        <f>L196*(1+'LTFP Assumptions'!$J$13)</f>
        <v>116081.10727056001</v>
      </c>
      <c r="N196" s="831">
        <f>M196*(1+'LTFP Assumptions'!$J$13)</f>
        <v>118402.72941597122</v>
      </c>
      <c r="O196" s="831">
        <f>N196*(1+'LTFP Assumptions'!$J$13)</f>
        <v>120770.78400429065</v>
      </c>
      <c r="P196" s="831">
        <f>O196*(1+'LTFP Assumptions'!$J$13)</f>
        <v>123186.19968437646</v>
      </c>
      <c r="Q196" s="831">
        <f>P196*(1+'LTFP Assumptions'!$J$13)</f>
        <v>125649.92367806399</v>
      </c>
    </row>
    <row r="197" spans="1:17" ht="15" x14ac:dyDescent="0.25">
      <c r="B197" s="1437" t="s">
        <v>1134</v>
      </c>
      <c r="C197" s="1430"/>
      <c r="D197" s="1431"/>
      <c r="E197" s="1433"/>
      <c r="F197" s="1433">
        <v>743672</v>
      </c>
      <c r="G197" s="1433">
        <v>762263.79999999993</v>
      </c>
      <c r="H197" s="1433">
        <v>781320.3949999999</v>
      </c>
      <c r="I197" s="1433">
        <v>800853.40487499977</v>
      </c>
      <c r="J197" s="1433">
        <f>I197*(1+'LTFP Assumptions'!$J$13)</f>
        <v>816870.47297249979</v>
      </c>
      <c r="K197" s="1433">
        <f>J197*(1+'LTFP Assumptions'!$J$13)</f>
        <v>833207.88243194984</v>
      </c>
      <c r="L197" s="1433">
        <f>K197*(1+'LTFP Assumptions'!$J$13)</f>
        <v>849872.04008058889</v>
      </c>
      <c r="M197" s="1433">
        <f>L197*(1+'LTFP Assumptions'!$J$13)</f>
        <v>866869.48088220065</v>
      </c>
      <c r="N197" s="1433">
        <f>M197*(1+'LTFP Assumptions'!$J$13)</f>
        <v>884206.87049984466</v>
      </c>
      <c r="O197" s="1433">
        <f>N197*(1+'LTFP Assumptions'!$J$13)</f>
        <v>901891.0079098416</v>
      </c>
      <c r="P197" s="1433">
        <f>O197*(1+'LTFP Assumptions'!$J$13)</f>
        <v>919928.82806803845</v>
      </c>
      <c r="Q197" s="1433">
        <f>P197*(1+'LTFP Assumptions'!$J$13)</f>
        <v>938327.40462939919</v>
      </c>
    </row>
    <row r="198" spans="1:17" ht="15" x14ac:dyDescent="0.25">
      <c r="B198" s="1441" t="s">
        <v>1135</v>
      </c>
      <c r="C198" s="1442"/>
      <c r="D198" s="1144"/>
      <c r="E198" s="833"/>
      <c r="F198" s="833">
        <v>250000</v>
      </c>
      <c r="G198" s="833">
        <v>250000</v>
      </c>
      <c r="H198" s="833">
        <v>255000</v>
      </c>
      <c r="I198" s="833">
        <v>260000</v>
      </c>
      <c r="J198" s="833">
        <f>I198*(1+'LTFP Assumptions'!$J$13)</f>
        <v>265200</v>
      </c>
      <c r="K198" s="833">
        <f>J198*(1+'LTFP Assumptions'!$J$13)</f>
        <v>270504</v>
      </c>
      <c r="L198" s="833">
        <f>K198*(1+'LTFP Assumptions'!$J$13)</f>
        <v>275914.08</v>
      </c>
      <c r="M198" s="833">
        <f>L198*(1+'LTFP Assumptions'!$J$13)</f>
        <v>281432.3616</v>
      </c>
      <c r="N198" s="833">
        <f>M198*(1+'LTFP Assumptions'!$J$13)</f>
        <v>287061.00883200002</v>
      </c>
      <c r="O198" s="833">
        <f>N198*(1+'LTFP Assumptions'!$J$13)</f>
        <v>292802.22900864005</v>
      </c>
      <c r="P198" s="833">
        <f>O198*(1+'LTFP Assumptions'!$J$13)</f>
        <v>298658.27358881285</v>
      </c>
      <c r="Q198" s="833">
        <f>P198*(1+'LTFP Assumptions'!$J$13)</f>
        <v>304631.43906058912</v>
      </c>
    </row>
    <row r="199" spans="1:17" ht="15" x14ac:dyDescent="0.25">
      <c r="B199" s="1438" t="s">
        <v>1136</v>
      </c>
      <c r="C199" s="1426"/>
      <c r="D199" s="1427"/>
      <c r="E199" s="1428"/>
      <c r="F199" s="1428">
        <v>25000</v>
      </c>
      <c r="G199" s="1428">
        <v>25000</v>
      </c>
      <c r="H199" s="1428">
        <v>25000</v>
      </c>
      <c r="I199" s="1428">
        <v>25000</v>
      </c>
      <c r="J199" s="1428">
        <f>I199*(1+'LTFP Assumptions'!$J$13)</f>
        <v>25500</v>
      </c>
      <c r="K199" s="1428">
        <f>J199*(1+'LTFP Assumptions'!$J$13)</f>
        <v>26010</v>
      </c>
      <c r="L199" s="1428">
        <f>K199*(1+'LTFP Assumptions'!$J$13)</f>
        <v>26530.2</v>
      </c>
      <c r="M199" s="1428">
        <f>L199*(1+'LTFP Assumptions'!$J$13)</f>
        <v>27060.804</v>
      </c>
      <c r="N199" s="1428">
        <f>M199*(1+'LTFP Assumptions'!$J$13)</f>
        <v>27602.020080000002</v>
      </c>
      <c r="O199" s="1428">
        <f>N199*(1+'LTFP Assumptions'!$J$13)</f>
        <v>28154.060481600001</v>
      </c>
      <c r="P199" s="1428">
        <f>O199*(1+'LTFP Assumptions'!$J$13)</f>
        <v>28717.141691232002</v>
      </c>
      <c r="Q199" s="1428">
        <f>P199*(1+'LTFP Assumptions'!$J$13)</f>
        <v>29291.484525056643</v>
      </c>
    </row>
    <row r="200" spans="1:17" ht="15" x14ac:dyDescent="0.25">
      <c r="B200" s="1026" t="s">
        <v>1137</v>
      </c>
      <c r="C200" s="963"/>
      <c r="E200" s="831"/>
      <c r="F200" s="831">
        <v>60000</v>
      </c>
      <c r="G200" s="833">
        <v>3500000</v>
      </c>
      <c r="H200" s="831">
        <v>0</v>
      </c>
      <c r="I200" s="831">
        <v>100000</v>
      </c>
      <c r="J200" s="831">
        <f>I200*(1+'LTFP Assumptions'!$J$13)</f>
        <v>102000</v>
      </c>
      <c r="K200" s="831">
        <f>J200*(1+'LTFP Assumptions'!$J$13)</f>
        <v>104040</v>
      </c>
      <c r="L200" s="831">
        <f>K200*(1+'LTFP Assumptions'!$J$13)</f>
        <v>106120.8</v>
      </c>
      <c r="M200" s="831">
        <f>L200*(1+'LTFP Assumptions'!$J$13)</f>
        <v>108243.216</v>
      </c>
      <c r="N200" s="831">
        <f>M200*(1+'LTFP Assumptions'!$J$13)</f>
        <v>110408.08032000001</v>
      </c>
      <c r="O200" s="831">
        <f>N200*(1+'LTFP Assumptions'!$J$13)</f>
        <v>112616.24192640001</v>
      </c>
      <c r="P200" s="831">
        <f>O200*(1+'LTFP Assumptions'!$J$13)</f>
        <v>114868.56676492801</v>
      </c>
      <c r="Q200" s="831">
        <f>P200*(1+'LTFP Assumptions'!$J$13)</f>
        <v>117165.93810022657</v>
      </c>
    </row>
    <row r="201" spans="1:17" ht="15" x14ac:dyDescent="0.25">
      <c r="A201" s="742" t="s">
        <v>1521</v>
      </c>
      <c r="B201" s="1438" t="s">
        <v>1138</v>
      </c>
      <c r="C201" s="1426"/>
      <c r="D201" s="1427"/>
      <c r="E201" s="1428"/>
      <c r="F201" s="1428">
        <v>100000</v>
      </c>
      <c r="G201" s="1428">
        <v>90000</v>
      </c>
      <c r="H201" s="1428">
        <v>90000</v>
      </c>
      <c r="I201" s="1428">
        <v>90000</v>
      </c>
      <c r="J201" s="1428">
        <f>I201*(1+'LTFP Assumptions'!$J$13)</f>
        <v>91800</v>
      </c>
      <c r="K201" s="1428">
        <f>J201*(1+'LTFP Assumptions'!$J$13)</f>
        <v>93636</v>
      </c>
      <c r="L201" s="1428">
        <f>K201*(1+'LTFP Assumptions'!$J$13)</f>
        <v>95508.72</v>
      </c>
      <c r="M201" s="1428">
        <f>L201*(1+'LTFP Assumptions'!$J$13)</f>
        <v>97418.894400000005</v>
      </c>
      <c r="N201" s="1428">
        <f>M201*(1+'LTFP Assumptions'!$J$13)</f>
        <v>99367.272288000007</v>
      </c>
      <c r="O201" s="1428">
        <f>N201*(1+'LTFP Assumptions'!$J$13)</f>
        <v>101354.61773376001</v>
      </c>
      <c r="P201" s="1428">
        <f>O201*(1+'LTFP Assumptions'!$J$13)</f>
        <v>103381.71008843521</v>
      </c>
      <c r="Q201" s="1428">
        <f>P201*(1+'LTFP Assumptions'!$J$13)</f>
        <v>105449.34429020392</v>
      </c>
    </row>
    <row r="202" spans="1:17" ht="15" x14ac:dyDescent="0.25">
      <c r="B202" s="1441" t="s">
        <v>1139</v>
      </c>
      <c r="C202" s="1442"/>
      <c r="D202" s="1144"/>
      <c r="E202" s="833"/>
      <c r="F202" s="833">
        <v>75000</v>
      </c>
      <c r="G202" s="833">
        <v>75000</v>
      </c>
      <c r="H202" s="833">
        <v>75000</v>
      </c>
      <c r="I202" s="833">
        <v>80000</v>
      </c>
      <c r="J202" s="833">
        <f>I202*(1+'LTFP Assumptions'!$J$13)</f>
        <v>81600</v>
      </c>
      <c r="K202" s="833">
        <f>J202*(1+'LTFP Assumptions'!$J$13)</f>
        <v>83232</v>
      </c>
      <c r="L202" s="833">
        <f>K202*(1+'LTFP Assumptions'!$J$13)</f>
        <v>84896.639999999999</v>
      </c>
      <c r="M202" s="833">
        <f>L202*(1+'LTFP Assumptions'!$J$13)</f>
        <v>86594.572799999994</v>
      </c>
      <c r="N202" s="833">
        <f>M202*(1+'LTFP Assumptions'!$J$13)</f>
        <v>88326.464255999992</v>
      </c>
      <c r="O202" s="833">
        <f>N202*(1+'LTFP Assumptions'!$J$13)</f>
        <v>90092.993541119999</v>
      </c>
      <c r="P202" s="833">
        <f>O202*(1+'LTFP Assumptions'!$J$13)</f>
        <v>91894.8534119424</v>
      </c>
      <c r="Q202" s="833">
        <f>P202*(1+'LTFP Assumptions'!$J$13)</f>
        <v>93732.750480181247</v>
      </c>
    </row>
    <row r="203" spans="1:17" ht="13.8" x14ac:dyDescent="0.25">
      <c r="B203" s="1026" t="s">
        <v>1140</v>
      </c>
      <c r="C203" s="963"/>
      <c r="E203" s="831"/>
      <c r="F203" s="831">
        <v>300000</v>
      </c>
      <c r="G203" s="833">
        <v>350000</v>
      </c>
      <c r="H203" s="831">
        <v>375000</v>
      </c>
      <c r="I203" s="831">
        <v>450000</v>
      </c>
      <c r="J203" s="831">
        <f>I203*(1+'LTFP Assumptions'!$J$13)</f>
        <v>459000</v>
      </c>
      <c r="K203" s="831">
        <f>J203*(1+'LTFP Assumptions'!$J$13)</f>
        <v>468180</v>
      </c>
      <c r="L203" s="831">
        <f>K203*(1+'LTFP Assumptions'!$J$13)</f>
        <v>477543.60000000003</v>
      </c>
      <c r="M203" s="831">
        <f>L203*(1+'LTFP Assumptions'!$J$13)</f>
        <v>487094.47200000007</v>
      </c>
      <c r="N203" s="831">
        <f>M203*(1+'LTFP Assumptions'!$J$13)</f>
        <v>496836.36144000007</v>
      </c>
      <c r="O203" s="831">
        <f>N203*(1+'LTFP Assumptions'!$J$13)</f>
        <v>506773.08866880008</v>
      </c>
      <c r="P203" s="831">
        <f>O203*(1+'LTFP Assumptions'!$J$13)</f>
        <v>516908.55044217611</v>
      </c>
      <c r="Q203" s="831">
        <f>P203*(1+'LTFP Assumptions'!$J$13)</f>
        <v>527246.72145101964</v>
      </c>
    </row>
    <row r="204" spans="1:17" ht="13.8" x14ac:dyDescent="0.25">
      <c r="B204" s="1438" t="s">
        <v>1141</v>
      </c>
      <c r="C204" s="1426"/>
      <c r="D204" s="1427"/>
      <c r="E204" s="1428"/>
      <c r="F204" s="1428">
        <v>300000</v>
      </c>
      <c r="G204" s="1428">
        <v>300000</v>
      </c>
      <c r="H204" s="1428">
        <v>300000</v>
      </c>
      <c r="I204" s="1428">
        <v>300000</v>
      </c>
      <c r="J204" s="1428">
        <f>I204*(1+'LTFP Assumptions'!$J$13)</f>
        <v>306000</v>
      </c>
      <c r="K204" s="1428">
        <f>J204*(1+'LTFP Assumptions'!$J$13)</f>
        <v>312120</v>
      </c>
      <c r="L204" s="1428">
        <f>K204*(1+'LTFP Assumptions'!$J$13)</f>
        <v>318362.40000000002</v>
      </c>
      <c r="M204" s="1428">
        <f>L204*(1+'LTFP Assumptions'!$J$13)</f>
        <v>324729.64800000004</v>
      </c>
      <c r="N204" s="1428">
        <f>M204*(1+'LTFP Assumptions'!$J$13)</f>
        <v>331224.24096000002</v>
      </c>
      <c r="O204" s="1428">
        <f>N204*(1+'LTFP Assumptions'!$J$13)</f>
        <v>337848.72577920003</v>
      </c>
      <c r="P204" s="1428">
        <f>O204*(1+'LTFP Assumptions'!$J$13)</f>
        <v>344605.70029478404</v>
      </c>
      <c r="Q204" s="1428">
        <f>P204*(1+'LTFP Assumptions'!$J$13)</f>
        <v>351497.81430067972</v>
      </c>
    </row>
    <row r="205" spans="1:17" s="1144" customFormat="1" ht="13.8" x14ac:dyDescent="0.25">
      <c r="B205" s="832" t="s">
        <v>1158</v>
      </c>
      <c r="C205" s="1442"/>
      <c r="E205" s="833"/>
      <c r="F205" s="833"/>
      <c r="G205" s="833"/>
      <c r="H205" s="833"/>
      <c r="I205" s="833"/>
      <c r="J205" s="833"/>
      <c r="K205" s="833"/>
      <c r="L205" s="833"/>
      <c r="M205" s="833"/>
      <c r="N205" s="833"/>
      <c r="O205" s="833"/>
      <c r="P205" s="833"/>
      <c r="Q205" s="833"/>
    </row>
    <row r="206" spans="1:17" ht="13.8" x14ac:dyDescent="0.25">
      <c r="B206" s="1434" t="s">
        <v>1142</v>
      </c>
      <c r="C206" s="1435"/>
      <c r="D206" s="1431"/>
      <c r="E206" s="1436"/>
      <c r="F206" s="1436">
        <v>200000</v>
      </c>
      <c r="G206" s="1433">
        <v>250000</v>
      </c>
      <c r="H206" s="1433">
        <v>250000</v>
      </c>
      <c r="I206" s="1433">
        <v>250000</v>
      </c>
      <c r="J206" s="1433">
        <f>I206*(1+'LTFP Assumptions'!$J$13)</f>
        <v>255000</v>
      </c>
      <c r="K206" s="1433">
        <f>J206*(1+'LTFP Assumptions'!$J$13)</f>
        <v>260100</v>
      </c>
      <c r="L206" s="1433">
        <f>K206*(1+'LTFP Assumptions'!$J$13)</f>
        <v>265302</v>
      </c>
      <c r="M206" s="1433">
        <f>L206*(1+'LTFP Assumptions'!$J$13)</f>
        <v>270608.03999999998</v>
      </c>
      <c r="N206" s="1433">
        <f>M206*(1+'LTFP Assumptions'!$J$13)</f>
        <v>276020.20079999999</v>
      </c>
      <c r="O206" s="1433">
        <f>N206*(1+'LTFP Assumptions'!$J$13)</f>
        <v>281540.60481599998</v>
      </c>
      <c r="P206" s="1433">
        <f>O206*(1+'LTFP Assumptions'!$J$13)</f>
        <v>287171.41691231995</v>
      </c>
      <c r="Q206" s="1433">
        <f>P206*(1+'LTFP Assumptions'!$J$13)</f>
        <v>292914.84525056637</v>
      </c>
    </row>
    <row r="207" spans="1:17" ht="13.8" x14ac:dyDescent="0.25">
      <c r="B207" s="1438" t="s">
        <v>1143</v>
      </c>
      <c r="C207" s="1426"/>
      <c r="D207" s="1427"/>
      <c r="E207" s="1428"/>
      <c r="F207" s="1428">
        <v>141000</v>
      </c>
      <c r="G207" s="1428">
        <v>144250</v>
      </c>
      <c r="H207" s="1428">
        <v>147581</v>
      </c>
      <c r="I207" s="1428">
        <v>150996</v>
      </c>
      <c r="J207" s="1428">
        <f>I207*(1+'LTFP Assumptions'!$J$13)</f>
        <v>154015.92000000001</v>
      </c>
      <c r="K207" s="1428">
        <f>J207*(1+'LTFP Assumptions'!$J$13)</f>
        <v>157096.2384</v>
      </c>
      <c r="L207" s="1428">
        <f>K207*(1+'LTFP Assumptions'!$J$13)</f>
        <v>160238.163168</v>
      </c>
      <c r="M207" s="1428">
        <f>L207*(1+'LTFP Assumptions'!$J$13)</f>
        <v>163442.92643136001</v>
      </c>
      <c r="N207" s="1428">
        <f>M207*(1+'LTFP Assumptions'!$J$13)</f>
        <v>166711.78495998721</v>
      </c>
      <c r="O207" s="1428">
        <f>N207*(1+'LTFP Assumptions'!$J$13)</f>
        <v>170046.02065918696</v>
      </c>
      <c r="P207" s="1428">
        <f>O207*(1+'LTFP Assumptions'!$J$13)</f>
        <v>173446.94107237071</v>
      </c>
      <c r="Q207" s="1428">
        <f>P207*(1+'LTFP Assumptions'!$J$13)</f>
        <v>176915.87989381814</v>
      </c>
    </row>
    <row r="208" spans="1:17" ht="13.8" x14ac:dyDescent="0.25">
      <c r="B208" s="1434" t="s">
        <v>1144</v>
      </c>
      <c r="C208" s="1435"/>
      <c r="D208" s="1431"/>
      <c r="E208" s="1436"/>
      <c r="F208" s="1436">
        <v>200000</v>
      </c>
      <c r="G208" s="1433"/>
      <c r="H208" s="1433"/>
      <c r="I208" s="1433"/>
      <c r="J208" s="1433"/>
      <c r="K208" s="1433"/>
      <c r="L208" s="1433"/>
      <c r="M208" s="1433"/>
      <c r="N208" s="1433"/>
      <c r="O208" s="1433"/>
      <c r="P208" s="1433"/>
      <c r="Q208" s="1433"/>
    </row>
    <row r="209" spans="2:17" ht="13.8" x14ac:dyDescent="0.25">
      <c r="B209" s="1443" t="s">
        <v>1145</v>
      </c>
      <c r="C209" s="1439"/>
      <c r="D209" s="1427"/>
      <c r="E209" s="1440"/>
      <c r="F209" s="1440">
        <v>200000</v>
      </c>
      <c r="G209" s="1428">
        <v>250000</v>
      </c>
      <c r="H209" s="1428">
        <v>250000</v>
      </c>
      <c r="I209" s="1428">
        <v>250000</v>
      </c>
      <c r="J209" s="1428">
        <f>I209*(1+'LTFP Assumptions'!$J$13)</f>
        <v>255000</v>
      </c>
      <c r="K209" s="1428">
        <f>J209*(1+'LTFP Assumptions'!$J$13)</f>
        <v>260100</v>
      </c>
      <c r="L209" s="1428">
        <f>K209*(1+'LTFP Assumptions'!$J$13)</f>
        <v>265302</v>
      </c>
      <c r="M209" s="1428">
        <f>L209*(1+'LTFP Assumptions'!$J$13)</f>
        <v>270608.03999999998</v>
      </c>
      <c r="N209" s="1428">
        <f>M209*(1+'LTFP Assumptions'!$J$13)</f>
        <v>276020.20079999999</v>
      </c>
      <c r="O209" s="1428">
        <f>N209*(1+'LTFP Assumptions'!$J$13)</f>
        <v>281540.60481599998</v>
      </c>
      <c r="P209" s="1428">
        <f>O209*(1+'LTFP Assumptions'!$J$13)</f>
        <v>287171.41691231995</v>
      </c>
      <c r="Q209" s="1428">
        <f>P209*(1+'LTFP Assumptions'!$J$13)</f>
        <v>292914.84525056637</v>
      </c>
    </row>
    <row r="210" spans="2:17" ht="13.8" x14ac:dyDescent="0.25">
      <c r="B210" s="1443" t="s">
        <v>1146</v>
      </c>
      <c r="C210" s="1439"/>
      <c r="D210" s="1427"/>
      <c r="E210" s="1440"/>
      <c r="F210" s="1440">
        <v>0</v>
      </c>
      <c r="G210" s="1428">
        <v>124000</v>
      </c>
      <c r="H210" s="1428">
        <v>174000</v>
      </c>
      <c r="I210" s="1428">
        <v>194000</v>
      </c>
      <c r="J210" s="1428">
        <f>I210*(1+'LTFP Assumptions'!$J$13)</f>
        <v>197880</v>
      </c>
      <c r="K210" s="1428">
        <f>J210*(1+'LTFP Assumptions'!$J$13)</f>
        <v>201837.6</v>
      </c>
      <c r="L210" s="1428">
        <f>K210*(1+'LTFP Assumptions'!$J$13)</f>
        <v>205874.35200000001</v>
      </c>
      <c r="M210" s="1428">
        <f>L210*(1+'LTFP Assumptions'!$J$13)</f>
        <v>209991.83904000002</v>
      </c>
      <c r="N210" s="1428">
        <f>M210*(1+'LTFP Assumptions'!$J$13)</f>
        <v>214191.67582080004</v>
      </c>
      <c r="O210" s="1428">
        <f>N210*(1+'LTFP Assumptions'!$J$13)</f>
        <v>218475.50933721603</v>
      </c>
      <c r="P210" s="1428">
        <f>O210*(1+'LTFP Assumptions'!$J$13)</f>
        <v>222845.01952396036</v>
      </c>
      <c r="Q210" s="1428">
        <f>P210*(1+'LTFP Assumptions'!$J$13)</f>
        <v>227301.91991443958</v>
      </c>
    </row>
    <row r="211" spans="2:17" ht="13.8" x14ac:dyDescent="0.25">
      <c r="B211" s="1438" t="s">
        <v>1147</v>
      </c>
      <c r="C211" s="1426"/>
      <c r="D211" s="1427"/>
      <c r="E211" s="1428"/>
      <c r="F211" s="1428">
        <v>75000</v>
      </c>
      <c r="G211" s="1428">
        <v>75000</v>
      </c>
      <c r="H211" s="1428">
        <v>90000</v>
      </c>
      <c r="I211" s="1428">
        <v>82500</v>
      </c>
      <c r="J211" s="1428">
        <f>I211*(1+'LTFP Assumptions'!$J$13)</f>
        <v>84150</v>
      </c>
      <c r="K211" s="1428">
        <f>J211*(1+'LTFP Assumptions'!$J$13)</f>
        <v>85833</v>
      </c>
      <c r="L211" s="1428">
        <f>K211*(1+'LTFP Assumptions'!$J$13)</f>
        <v>87549.66</v>
      </c>
      <c r="M211" s="1428">
        <f>L211*(1+'LTFP Assumptions'!$J$13)</f>
        <v>89300.653200000001</v>
      </c>
      <c r="N211" s="1428">
        <f>M211*(1+'LTFP Assumptions'!$J$13)</f>
        <v>91086.666264</v>
      </c>
      <c r="O211" s="1428">
        <f>N211*(1+'LTFP Assumptions'!$J$13)</f>
        <v>92908.399589280001</v>
      </c>
      <c r="P211" s="1428">
        <f>O211*(1+'LTFP Assumptions'!$J$13)</f>
        <v>94766.567581065596</v>
      </c>
      <c r="Q211" s="1428">
        <f>P211*(1+'LTFP Assumptions'!$J$13)</f>
        <v>96661.898932686905</v>
      </c>
    </row>
    <row r="212" spans="2:17" ht="13.8" x14ac:dyDescent="0.25">
      <c r="B212" s="1429" t="s">
        <v>1148</v>
      </c>
      <c r="C212" s="1430"/>
      <c r="D212" s="1431"/>
      <c r="E212" s="1432"/>
      <c r="F212" s="1432">
        <v>250000</v>
      </c>
      <c r="G212" s="1432">
        <v>250000</v>
      </c>
      <c r="H212" s="1432">
        <v>250000</v>
      </c>
      <c r="I212" s="1432">
        <v>250000</v>
      </c>
      <c r="J212" s="1433">
        <f>I212*(1+'LTFP Assumptions'!$J$13)</f>
        <v>255000</v>
      </c>
      <c r="K212" s="1433">
        <f>J212*(1+'LTFP Assumptions'!$J$13)</f>
        <v>260100</v>
      </c>
      <c r="L212" s="1433">
        <f>K212*(1+'LTFP Assumptions'!$J$13)</f>
        <v>265302</v>
      </c>
      <c r="M212" s="1433">
        <f>L212*(1+'LTFP Assumptions'!$J$13)</f>
        <v>270608.03999999998</v>
      </c>
      <c r="N212" s="1433">
        <f>M212*(1+'LTFP Assumptions'!$J$13)</f>
        <v>276020.20079999999</v>
      </c>
      <c r="O212" s="1433">
        <f>N212*(1+'LTFP Assumptions'!$J$13)</f>
        <v>281540.60481599998</v>
      </c>
      <c r="P212" s="1433">
        <f>O212*(1+'LTFP Assumptions'!$J$13)</f>
        <v>287171.41691231995</v>
      </c>
      <c r="Q212" s="1433">
        <f>P212*(1+'LTFP Assumptions'!$J$13)</f>
        <v>292914.84525056637</v>
      </c>
    </row>
    <row r="213" spans="2:17" ht="13.8" x14ac:dyDescent="0.25">
      <c r="B213" s="1028"/>
      <c r="C213" s="963"/>
      <c r="D213" s="1035"/>
      <c r="E213" s="840"/>
      <c r="F213" s="840">
        <f>SUM(F180:F212)</f>
        <v>6171263</v>
      </c>
      <c r="G213" s="840">
        <f t="shared" ref="G213:I213" si="29">SUM(G180:G212)</f>
        <v>10223396.800000001</v>
      </c>
      <c r="H213" s="840">
        <f t="shared" si="29"/>
        <v>8343777.3949999996</v>
      </c>
      <c r="I213" s="840">
        <f t="shared" si="29"/>
        <v>8935438.4048749991</v>
      </c>
      <c r="J213" s="840">
        <f t="shared" ref="J213:Q213" si="30">SUM(J180:J212)</f>
        <v>9114147.1729725003</v>
      </c>
      <c r="K213" s="840">
        <f t="shared" si="30"/>
        <v>9296430.1164319478</v>
      </c>
      <c r="L213" s="840">
        <f t="shared" si="30"/>
        <v>9482358.7187605891</v>
      </c>
      <c r="M213" s="840">
        <f t="shared" si="30"/>
        <v>9672005.8931357991</v>
      </c>
      <c r="N213" s="840">
        <f t="shared" si="30"/>
        <v>9865446.0109985154</v>
      </c>
      <c r="O213" s="840">
        <f t="shared" si="30"/>
        <v>10062754.931218486</v>
      </c>
      <c r="P213" s="840">
        <f t="shared" si="30"/>
        <v>10264010.029842854</v>
      </c>
      <c r="Q213" s="840">
        <f t="shared" si="30"/>
        <v>10469290.230439711</v>
      </c>
    </row>
    <row r="214" spans="2:17" ht="13.8" x14ac:dyDescent="0.25">
      <c r="B214" s="825"/>
      <c r="C214" s="1032"/>
      <c r="E214" s="826"/>
      <c r="F214" s="826"/>
      <c r="G214" s="825"/>
      <c r="H214" s="825"/>
      <c r="I214" s="825"/>
      <c r="J214" s="825"/>
      <c r="K214" s="825"/>
      <c r="L214" s="825"/>
      <c r="M214" s="825"/>
      <c r="N214" s="825"/>
      <c r="O214" s="825"/>
      <c r="P214" s="825"/>
      <c r="Q214" s="825"/>
    </row>
    <row r="215" spans="2:17" ht="13.8" x14ac:dyDescent="0.25">
      <c r="B215" s="1029" t="s">
        <v>1149</v>
      </c>
      <c r="C215" s="1023"/>
      <c r="D215" s="1036"/>
      <c r="E215" s="826"/>
      <c r="F215" s="1085" t="s">
        <v>516</v>
      </c>
      <c r="G215" s="1085" t="s">
        <v>516</v>
      </c>
      <c r="H215" s="1085" t="s">
        <v>516</v>
      </c>
      <c r="I215" s="1085" t="s">
        <v>516</v>
      </c>
      <c r="J215" s="1085" t="s">
        <v>516</v>
      </c>
      <c r="K215" s="1085" t="s">
        <v>516</v>
      </c>
      <c r="L215" s="1085" t="s">
        <v>516</v>
      </c>
      <c r="M215" s="1085" t="s">
        <v>516</v>
      </c>
      <c r="N215" s="1085" t="s">
        <v>516</v>
      </c>
      <c r="O215" s="1085" t="s">
        <v>516</v>
      </c>
      <c r="P215" s="1085" t="s">
        <v>516</v>
      </c>
      <c r="Q215" s="1085" t="s">
        <v>516</v>
      </c>
    </row>
    <row r="216" spans="2:17" ht="13.8" x14ac:dyDescent="0.25">
      <c r="B216" s="1030" t="s">
        <v>1123</v>
      </c>
      <c r="C216" s="1033"/>
      <c r="E216" s="841"/>
      <c r="F216" s="841">
        <v>256000</v>
      </c>
      <c r="G216" s="841">
        <v>250000</v>
      </c>
      <c r="H216" s="841">
        <v>265000</v>
      </c>
      <c r="I216" s="841">
        <v>265000</v>
      </c>
      <c r="J216" s="831">
        <f>I216*(1+'LTFP Assumptions'!$J$13)</f>
        <v>270300</v>
      </c>
      <c r="K216" s="831">
        <f>J216*(1+'LTFP Assumptions'!$J$13)</f>
        <v>275706</v>
      </c>
      <c r="L216" s="831">
        <f>K216*(1+'LTFP Assumptions'!$J$13)</f>
        <v>281220.12</v>
      </c>
      <c r="M216" s="831">
        <f>L216*(1+'LTFP Assumptions'!$J$13)</f>
        <v>286844.52240000002</v>
      </c>
      <c r="N216" s="831">
        <f>M216*(1+'LTFP Assumptions'!$J$13)</f>
        <v>292581.41284800001</v>
      </c>
      <c r="O216" s="831">
        <f>N216*(1+'LTFP Assumptions'!$J$13)</f>
        <v>298433.04110496002</v>
      </c>
      <c r="P216" s="831">
        <f>O216*(1+'LTFP Assumptions'!$J$13)</f>
        <v>304401.70192705921</v>
      </c>
      <c r="Q216" s="831">
        <f>P216*(1+'LTFP Assumptions'!$J$13)</f>
        <v>310489.73596560041</v>
      </c>
    </row>
    <row r="217" spans="2:17" ht="13.8" x14ac:dyDescent="0.25">
      <c r="B217" s="1025" t="s">
        <v>1124</v>
      </c>
      <c r="C217" s="1033"/>
      <c r="E217" s="831"/>
      <c r="F217" s="831">
        <v>200000</v>
      </c>
      <c r="G217" s="831">
        <v>200000</v>
      </c>
      <c r="H217" s="831">
        <v>210000</v>
      </c>
      <c r="I217" s="831">
        <v>210000</v>
      </c>
      <c r="J217" s="831">
        <f>I217*(1+'LTFP Assumptions'!$J$13)</f>
        <v>214200</v>
      </c>
      <c r="K217" s="831">
        <f>J217*(1+'LTFP Assumptions'!$J$13)</f>
        <v>218484</v>
      </c>
      <c r="L217" s="831">
        <f>K217*(1+'LTFP Assumptions'!$J$13)</f>
        <v>222853.68</v>
      </c>
      <c r="M217" s="831">
        <f>L217*(1+'LTFP Assumptions'!$J$13)</f>
        <v>227310.7536</v>
      </c>
      <c r="N217" s="831">
        <f>M217*(1+'LTFP Assumptions'!$J$13)</f>
        <v>231856.96867199999</v>
      </c>
      <c r="O217" s="831">
        <f>N217*(1+'LTFP Assumptions'!$J$13)</f>
        <v>236494.10804543999</v>
      </c>
      <c r="P217" s="831">
        <f>O217*(1+'LTFP Assumptions'!$J$13)</f>
        <v>241223.9902063488</v>
      </c>
      <c r="Q217" s="831">
        <f>P217*(1+'LTFP Assumptions'!$J$13)</f>
        <v>246048.47001047578</v>
      </c>
    </row>
    <row r="218" spans="2:17" ht="13.8" x14ac:dyDescent="0.25">
      <c r="B218" s="1025" t="s">
        <v>1150</v>
      </c>
      <c r="C218" s="1033"/>
      <c r="E218" s="830"/>
      <c r="F218" s="830"/>
      <c r="G218" s="831">
        <v>2500000</v>
      </c>
      <c r="H218" s="831">
        <v>0</v>
      </c>
      <c r="I218" s="831"/>
      <c r="J218" s="831">
        <f>I218*(1+'LTFP Assumptions'!$J$13)</f>
        <v>0</v>
      </c>
      <c r="K218" s="831">
        <f>J218*(1+'LTFP Assumptions'!$J$13)</f>
        <v>0</v>
      </c>
      <c r="L218" s="831">
        <f>K218*(1+'LTFP Assumptions'!$J$13)</f>
        <v>0</v>
      </c>
      <c r="M218" s="831">
        <f>L218*(1+'LTFP Assumptions'!$J$13)</f>
        <v>0</v>
      </c>
      <c r="N218" s="831">
        <f>M218*(1+'LTFP Assumptions'!$J$13)</f>
        <v>0</v>
      </c>
      <c r="O218" s="831">
        <f>N218*(1+'LTFP Assumptions'!$J$13)</f>
        <v>0</v>
      </c>
      <c r="P218" s="831">
        <f>O218*(1+'LTFP Assumptions'!$J$13)</f>
        <v>0</v>
      </c>
      <c r="Q218" s="831">
        <f>P218*(1+'LTFP Assumptions'!$J$13)</f>
        <v>0</v>
      </c>
    </row>
    <row r="219" spans="2:17" ht="13.8" x14ac:dyDescent="0.25">
      <c r="B219" s="1025" t="s">
        <v>1127</v>
      </c>
      <c r="C219" s="1033"/>
      <c r="E219" s="830"/>
      <c r="F219" s="830">
        <v>201985</v>
      </c>
      <c r="G219" s="831">
        <v>206025</v>
      </c>
      <c r="H219" s="831">
        <v>210145</v>
      </c>
      <c r="I219" s="831">
        <v>214348</v>
      </c>
      <c r="J219" s="831">
        <f>I219*(1+'LTFP Assumptions'!$J$13)</f>
        <v>218634.96</v>
      </c>
      <c r="K219" s="831">
        <f>J219*(1+'LTFP Assumptions'!$J$13)</f>
        <v>223007.65919999999</v>
      </c>
      <c r="L219" s="831">
        <f>K219*(1+'LTFP Assumptions'!$J$13)</f>
        <v>227467.81238399999</v>
      </c>
      <c r="M219" s="831">
        <f>L219*(1+'LTFP Assumptions'!$J$13)</f>
        <v>232017.16863167999</v>
      </c>
      <c r="N219" s="831">
        <f>M219*(1+'LTFP Assumptions'!$J$13)</f>
        <v>236657.51200431358</v>
      </c>
      <c r="O219" s="831">
        <f>N219*(1+'LTFP Assumptions'!$J$13)</f>
        <v>241390.66224439986</v>
      </c>
      <c r="P219" s="831">
        <f>O219*(1+'LTFP Assumptions'!$J$13)</f>
        <v>246218.47548928787</v>
      </c>
      <c r="Q219" s="831">
        <f>P219*(1+'LTFP Assumptions'!$J$13)</f>
        <v>251142.84499907363</v>
      </c>
    </row>
    <row r="220" spans="2:17" ht="13.8" x14ac:dyDescent="0.25">
      <c r="B220" s="1026" t="s">
        <v>1151</v>
      </c>
      <c r="C220" s="1032"/>
      <c r="E220" s="831"/>
      <c r="F220" s="831">
        <v>1000000</v>
      </c>
      <c r="G220" s="831">
        <v>1000000</v>
      </c>
      <c r="H220" s="831">
        <v>1000000</v>
      </c>
      <c r="I220" s="831">
        <v>1000000</v>
      </c>
      <c r="J220" s="1347">
        <v>0</v>
      </c>
      <c r="K220" s="1347">
        <f>J220</f>
        <v>0</v>
      </c>
      <c r="L220" s="1347">
        <f t="shared" ref="L220:Q220" si="31">K220</f>
        <v>0</v>
      </c>
      <c r="M220" s="1347">
        <f t="shared" si="31"/>
        <v>0</v>
      </c>
      <c r="N220" s="1347">
        <f t="shared" si="31"/>
        <v>0</v>
      </c>
      <c r="O220" s="1347">
        <f t="shared" si="31"/>
        <v>0</v>
      </c>
      <c r="P220" s="1347">
        <f t="shared" si="31"/>
        <v>0</v>
      </c>
      <c r="Q220" s="1347">
        <f t="shared" si="31"/>
        <v>0</v>
      </c>
    </row>
    <row r="221" spans="2:17" ht="13.8" x14ac:dyDescent="0.25">
      <c r="B221" s="1026" t="s">
        <v>1130</v>
      </c>
      <c r="C221" s="1032"/>
      <c r="E221" s="831"/>
      <c r="F221" s="831">
        <v>78000</v>
      </c>
      <c r="G221" s="833">
        <v>80000</v>
      </c>
      <c r="H221" s="831">
        <v>82500</v>
      </c>
      <c r="I221" s="831">
        <v>82500</v>
      </c>
      <c r="J221" s="831">
        <f>I221*(1+'LTFP Assumptions'!$J$13)</f>
        <v>84150</v>
      </c>
      <c r="K221" s="831">
        <f>J221*(1+'LTFP Assumptions'!$J$13)</f>
        <v>85833</v>
      </c>
      <c r="L221" s="831">
        <f>K221*(1+'LTFP Assumptions'!$J$13)</f>
        <v>87549.66</v>
      </c>
      <c r="M221" s="831">
        <f>L221*(1+'LTFP Assumptions'!$J$13)</f>
        <v>89300.653200000001</v>
      </c>
      <c r="N221" s="831">
        <f>M221*(1+'LTFP Assumptions'!$J$13)</f>
        <v>91086.666264</v>
      </c>
      <c r="O221" s="831">
        <f>N221*(1+'LTFP Assumptions'!$J$13)</f>
        <v>92908.399589280001</v>
      </c>
      <c r="P221" s="831">
        <f>O221*(1+'LTFP Assumptions'!$J$13)</f>
        <v>94766.567581065596</v>
      </c>
      <c r="Q221" s="831">
        <f>P221*(1+'LTFP Assumptions'!$J$13)</f>
        <v>96661.898932686905</v>
      </c>
    </row>
    <row r="222" spans="2:17" s="1416" customFormat="1" ht="13.8" x14ac:dyDescent="0.25">
      <c r="B222" s="1417" t="s">
        <v>1516</v>
      </c>
      <c r="C222" s="1418"/>
      <c r="E222" s="1419"/>
      <c r="F222" s="1419">
        <f>750000</f>
        <v>750000</v>
      </c>
      <c r="G222" s="1419">
        <f>F222*(1+'LTFP Assumptions'!$H13)</f>
        <v>765000</v>
      </c>
      <c r="H222" s="1419">
        <f>G222*(1+'LTFP Assumptions'!$H13)</f>
        <v>780300</v>
      </c>
      <c r="I222" s="1419">
        <f>H222*(1+'LTFP Assumptions'!$H13)</f>
        <v>795906</v>
      </c>
      <c r="J222" s="1419">
        <f>I222*(1+'LTFP Assumptions'!$H13)</f>
        <v>811824.12</v>
      </c>
      <c r="K222" s="1419">
        <f>J222*(1+'LTFP Assumptions'!$H13)</f>
        <v>828060.60239999997</v>
      </c>
      <c r="L222" s="1419">
        <f>K222*(1+'LTFP Assumptions'!$H13)</f>
        <v>844621.81444799993</v>
      </c>
      <c r="M222" s="1419">
        <f>L222*(1+'LTFP Assumptions'!$H13)</f>
        <v>861514.25073695998</v>
      </c>
      <c r="N222" s="1419">
        <f>M222*(1+'LTFP Assumptions'!$H13)</f>
        <v>878744.53575169924</v>
      </c>
      <c r="O222" s="1419">
        <f>N222*(1+'LTFP Assumptions'!$H13)</f>
        <v>896319.42646673322</v>
      </c>
      <c r="P222" s="1419">
        <f>O222*(1+'LTFP Assumptions'!$H13)</f>
        <v>914245.8149960679</v>
      </c>
      <c r="Q222" s="1419">
        <f>P222*(1+'LTFP Assumptions'!$H13)</f>
        <v>932530.73129598924</v>
      </c>
    </row>
    <row r="223" spans="2:17" ht="13.8" x14ac:dyDescent="0.25">
      <c r="B223" s="1026" t="s">
        <v>908</v>
      </c>
      <c r="C223" s="1032"/>
      <c r="E223" s="831"/>
      <c r="F223" s="831">
        <v>158000</v>
      </c>
      <c r="G223" s="833">
        <v>158000</v>
      </c>
      <c r="H223" s="831">
        <v>159000</v>
      </c>
      <c r="I223" s="831">
        <v>160000</v>
      </c>
      <c r="J223" s="831">
        <f>I223*(1+'LTFP Assumptions'!$J$13)</f>
        <v>163200</v>
      </c>
      <c r="K223" s="831">
        <f>J223*(1+'LTFP Assumptions'!$J$13)</f>
        <v>166464</v>
      </c>
      <c r="L223" s="831">
        <f>K223*(1+'LTFP Assumptions'!$J$13)</f>
        <v>169793.28</v>
      </c>
      <c r="M223" s="831">
        <f>L223*(1+'LTFP Assumptions'!$J$13)</f>
        <v>173189.14559999999</v>
      </c>
      <c r="N223" s="831">
        <f>M223*(1+'LTFP Assumptions'!$J$13)</f>
        <v>176652.92851199998</v>
      </c>
      <c r="O223" s="831">
        <f>N223*(1+'LTFP Assumptions'!$J$13)</f>
        <v>180185.98708224</v>
      </c>
      <c r="P223" s="831">
        <f>O223*(1+'LTFP Assumptions'!$J$13)</f>
        <v>183789.7068238848</v>
      </c>
      <c r="Q223" s="831">
        <f>P223*(1+'LTFP Assumptions'!$J$13)</f>
        <v>187465.50096036249</v>
      </c>
    </row>
    <row r="224" spans="2:17" ht="13.8" x14ac:dyDescent="0.25">
      <c r="B224" s="1026" t="s">
        <v>1152</v>
      </c>
      <c r="C224" s="1032"/>
      <c r="E224" s="831"/>
      <c r="F224" s="831"/>
      <c r="G224" s="833">
        <v>100000</v>
      </c>
      <c r="H224" s="831">
        <v>100000</v>
      </c>
      <c r="I224" s="831">
        <v>100000</v>
      </c>
      <c r="J224" s="831">
        <f>I224*(1+'LTFP Assumptions'!$J$13)</f>
        <v>102000</v>
      </c>
      <c r="K224" s="831">
        <f>J224*(1+'LTFP Assumptions'!$J$13)</f>
        <v>104040</v>
      </c>
      <c r="L224" s="831">
        <f>K224*(1+'LTFP Assumptions'!$J$13)</f>
        <v>106120.8</v>
      </c>
      <c r="M224" s="831">
        <f>L224*(1+'LTFP Assumptions'!$J$13)</f>
        <v>108243.216</v>
      </c>
      <c r="N224" s="831">
        <f>M224*(1+'LTFP Assumptions'!$J$13)</f>
        <v>110408.08032000001</v>
      </c>
      <c r="O224" s="831">
        <f>N224*(1+'LTFP Assumptions'!$J$13)</f>
        <v>112616.24192640001</v>
      </c>
      <c r="P224" s="831">
        <f>O224*(1+'LTFP Assumptions'!$J$13)</f>
        <v>114868.56676492801</v>
      </c>
      <c r="Q224" s="831">
        <f>P224*(1+'LTFP Assumptions'!$J$13)</f>
        <v>117165.93810022657</v>
      </c>
    </row>
    <row r="225" spans="2:17" ht="13.8" x14ac:dyDescent="0.25">
      <c r="B225" s="1025" t="s">
        <v>1153</v>
      </c>
      <c r="C225" s="1033"/>
      <c r="E225" s="830"/>
      <c r="F225" s="830">
        <v>25000</v>
      </c>
      <c r="G225" s="833">
        <v>25000</v>
      </c>
      <c r="H225" s="831">
        <v>25000</v>
      </c>
      <c r="I225" s="831">
        <v>25000</v>
      </c>
      <c r="J225" s="831">
        <f>I225*(1+'LTFP Assumptions'!$J$13)</f>
        <v>25500</v>
      </c>
      <c r="K225" s="831">
        <f>J225*(1+'LTFP Assumptions'!$J$13)</f>
        <v>26010</v>
      </c>
      <c r="L225" s="831">
        <f>K225*(1+'LTFP Assumptions'!$J$13)</f>
        <v>26530.2</v>
      </c>
      <c r="M225" s="831">
        <f>L225*(1+'LTFP Assumptions'!$J$13)</f>
        <v>27060.804</v>
      </c>
      <c r="N225" s="831">
        <f>M225*(1+'LTFP Assumptions'!$J$13)</f>
        <v>27602.020080000002</v>
      </c>
      <c r="O225" s="831">
        <f>N225*(1+'LTFP Assumptions'!$J$13)</f>
        <v>28154.060481600001</v>
      </c>
      <c r="P225" s="831">
        <f>O225*(1+'LTFP Assumptions'!$J$13)</f>
        <v>28717.141691232002</v>
      </c>
      <c r="Q225" s="831">
        <f>P225*(1+'LTFP Assumptions'!$J$13)</f>
        <v>29291.484525056643</v>
      </c>
    </row>
    <row r="226" spans="2:17" ht="13.8" x14ac:dyDescent="0.25">
      <c r="B226" s="1026" t="s">
        <v>1154</v>
      </c>
      <c r="C226" s="1032"/>
      <c r="E226" s="831"/>
      <c r="F226" s="831">
        <v>40000</v>
      </c>
      <c r="G226" s="833">
        <v>40000</v>
      </c>
      <c r="H226" s="831">
        <v>40000</v>
      </c>
      <c r="I226" s="831">
        <v>40000</v>
      </c>
      <c r="J226" s="831">
        <f>I226*(1+'LTFP Assumptions'!$J$13)</f>
        <v>40800</v>
      </c>
      <c r="K226" s="831">
        <f>J226*(1+'LTFP Assumptions'!$J$13)</f>
        <v>41616</v>
      </c>
      <c r="L226" s="831">
        <f>K226*(1+'LTFP Assumptions'!$J$13)</f>
        <v>42448.32</v>
      </c>
      <c r="M226" s="831">
        <f>L226*(1+'LTFP Assumptions'!$J$13)</f>
        <v>43297.286399999997</v>
      </c>
      <c r="N226" s="831">
        <f>M226*(1+'LTFP Assumptions'!$J$13)</f>
        <v>44163.232127999996</v>
      </c>
      <c r="O226" s="831">
        <f>N226*(1+'LTFP Assumptions'!$J$13)</f>
        <v>45046.496770559999</v>
      </c>
      <c r="P226" s="831">
        <f>O226*(1+'LTFP Assumptions'!$J$13)</f>
        <v>45947.4267059712</v>
      </c>
      <c r="Q226" s="831">
        <f>P226*(1+'LTFP Assumptions'!$J$13)</f>
        <v>46866.375240090623</v>
      </c>
    </row>
    <row r="227" spans="2:17" ht="13.8" x14ac:dyDescent="0.25">
      <c r="B227" s="1025" t="s">
        <v>1155</v>
      </c>
      <c r="C227" s="1033"/>
      <c r="E227" s="830"/>
      <c r="F227" s="830"/>
      <c r="G227" s="833">
        <v>0</v>
      </c>
      <c r="H227" s="833">
        <v>500000</v>
      </c>
      <c r="I227" s="833">
        <v>600000</v>
      </c>
      <c r="J227" s="1347">
        <v>0</v>
      </c>
      <c r="K227" s="1347">
        <f>J227</f>
        <v>0</v>
      </c>
      <c r="L227" s="1347">
        <f t="shared" ref="L227:Q227" si="32">K227</f>
        <v>0</v>
      </c>
      <c r="M227" s="1347">
        <f t="shared" si="32"/>
        <v>0</v>
      </c>
      <c r="N227" s="1347">
        <f t="shared" si="32"/>
        <v>0</v>
      </c>
      <c r="O227" s="1347">
        <f t="shared" si="32"/>
        <v>0</v>
      </c>
      <c r="P227" s="1347">
        <f t="shared" si="32"/>
        <v>0</v>
      </c>
      <c r="Q227" s="1347">
        <f t="shared" si="32"/>
        <v>0</v>
      </c>
    </row>
    <row r="228" spans="2:17" ht="13.8" x14ac:dyDescent="0.25">
      <c r="B228" s="1444" t="s">
        <v>1145</v>
      </c>
      <c r="C228" s="1034"/>
      <c r="E228" s="835"/>
      <c r="F228" s="835">
        <v>200000</v>
      </c>
      <c r="G228" s="833">
        <v>250000</v>
      </c>
      <c r="H228" s="833">
        <v>250000</v>
      </c>
      <c r="I228" s="833">
        <v>250000</v>
      </c>
      <c r="J228" s="1347">
        <f>(I228-200000)*(1+'LTFP Assumptions'!$J$13)</f>
        <v>51000</v>
      </c>
      <c r="K228" s="831">
        <f>J228*(1+'LTFP Assumptions'!$J$13)</f>
        <v>52020</v>
      </c>
      <c r="L228" s="831">
        <f>K228*(1+'LTFP Assumptions'!$J$13)</f>
        <v>53060.4</v>
      </c>
      <c r="M228" s="831">
        <f>L228*(1+'LTFP Assumptions'!$J$13)</f>
        <v>54121.608</v>
      </c>
      <c r="N228" s="831">
        <f>M228*(1+'LTFP Assumptions'!$J$13)</f>
        <v>55204.040160000004</v>
      </c>
      <c r="O228" s="831">
        <f>N228*(1+'LTFP Assumptions'!$J$13)</f>
        <v>56308.120963200003</v>
      </c>
      <c r="P228" s="831">
        <f>O228*(1+'LTFP Assumptions'!$J$13)</f>
        <v>57434.283382464004</v>
      </c>
      <c r="Q228" s="831">
        <f>P228*(1+'LTFP Assumptions'!$J$13)</f>
        <v>58582.969050113286</v>
      </c>
    </row>
    <row r="229" spans="2:17" ht="13.8" x14ac:dyDescent="0.25">
      <c r="B229" s="1027" t="s">
        <v>1147</v>
      </c>
      <c r="C229" s="1032"/>
      <c r="E229" s="831"/>
      <c r="F229" s="831">
        <v>75000</v>
      </c>
      <c r="G229" s="833">
        <v>75000</v>
      </c>
      <c r="H229" s="831">
        <v>90000</v>
      </c>
      <c r="I229" s="831">
        <v>82500</v>
      </c>
      <c r="J229" s="831">
        <f>I229*(1+'LTFP Assumptions'!$J$13)</f>
        <v>84150</v>
      </c>
      <c r="K229" s="831">
        <f>J229*(1+'LTFP Assumptions'!$J$13)</f>
        <v>85833</v>
      </c>
      <c r="L229" s="831">
        <f>K229*(1+'LTFP Assumptions'!$J$13)</f>
        <v>87549.66</v>
      </c>
      <c r="M229" s="831">
        <f>L229*(1+'LTFP Assumptions'!$J$13)</f>
        <v>89300.653200000001</v>
      </c>
      <c r="N229" s="831">
        <f>M229*(1+'LTFP Assumptions'!$J$13)</f>
        <v>91086.666264</v>
      </c>
      <c r="O229" s="831">
        <f>N229*(1+'LTFP Assumptions'!$J$13)</f>
        <v>92908.399589280001</v>
      </c>
      <c r="P229" s="831">
        <f>O229*(1+'LTFP Assumptions'!$J$13)</f>
        <v>94766.567581065596</v>
      </c>
      <c r="Q229" s="831">
        <f>P229*(1+'LTFP Assumptions'!$J$13)</f>
        <v>96661.898932686905</v>
      </c>
    </row>
    <row r="230" spans="2:17" ht="13.8" x14ac:dyDescent="0.25">
      <c r="B230" s="1028"/>
      <c r="C230" s="1028"/>
      <c r="D230" s="1028"/>
      <c r="E230" s="840"/>
      <c r="F230" s="840">
        <f>SUM(F216:F229)</f>
        <v>2983985</v>
      </c>
      <c r="G230" s="840">
        <f t="shared" ref="G230:I230" si="33">SUM(G216:G229)</f>
        <v>5649025</v>
      </c>
      <c r="H230" s="840">
        <f t="shared" si="33"/>
        <v>3711945</v>
      </c>
      <c r="I230" s="840">
        <f t="shared" si="33"/>
        <v>3825254</v>
      </c>
      <c r="J230" s="840">
        <f t="shared" ref="J230:Q230" si="34">SUM(J216:J229)</f>
        <v>2065759.08</v>
      </c>
      <c r="K230" s="840">
        <f t="shared" si="34"/>
        <v>2107074.2615999999</v>
      </c>
      <c r="L230" s="840">
        <f t="shared" si="34"/>
        <v>2149215.7468320001</v>
      </c>
      <c r="M230" s="840">
        <f t="shared" si="34"/>
        <v>2192200.0617686398</v>
      </c>
      <c r="N230" s="840">
        <f t="shared" si="34"/>
        <v>2236044.0630040122</v>
      </c>
      <c r="O230" s="840">
        <f t="shared" si="34"/>
        <v>2280764.9442640929</v>
      </c>
      <c r="P230" s="840">
        <f t="shared" si="34"/>
        <v>2326380.2431493755</v>
      </c>
      <c r="Q230" s="840">
        <f t="shared" si="34"/>
        <v>2372907.8480123626</v>
      </c>
    </row>
    <row r="231" spans="2:17" ht="13.8" x14ac:dyDescent="0.25">
      <c r="B231" s="825"/>
      <c r="C231" s="825"/>
      <c r="E231" s="826"/>
      <c r="F231" s="826"/>
      <c r="G231" s="825"/>
      <c r="H231" s="825"/>
      <c r="I231" s="825"/>
      <c r="J231" s="825"/>
      <c r="K231" s="825"/>
      <c r="L231" s="825"/>
      <c r="M231" s="825"/>
      <c r="N231" s="825"/>
      <c r="O231" s="825"/>
      <c r="P231" s="825"/>
      <c r="Q231" s="825"/>
    </row>
    <row r="232" spans="2:17" ht="13.8" x14ac:dyDescent="0.25">
      <c r="B232" s="825"/>
      <c r="C232" s="825"/>
      <c r="E232" s="826"/>
      <c r="F232" s="826">
        <f>F213+F230</f>
        <v>9155248</v>
      </c>
      <c r="G232" s="826">
        <f t="shared" ref="G232:I232" si="35">G213+G230</f>
        <v>15872421.800000001</v>
      </c>
      <c r="H232" s="826">
        <f t="shared" si="35"/>
        <v>12055722.395</v>
      </c>
      <c r="I232" s="826">
        <f t="shared" si="35"/>
        <v>12760692.404874999</v>
      </c>
      <c r="J232" s="826">
        <f t="shared" ref="J232:Q232" si="36">J213+J230</f>
        <v>11179906.2529725</v>
      </c>
      <c r="K232" s="826">
        <f t="shared" si="36"/>
        <v>11403504.378031947</v>
      </c>
      <c r="L232" s="826">
        <f t="shared" si="36"/>
        <v>11631574.465592589</v>
      </c>
      <c r="M232" s="826">
        <f t="shared" si="36"/>
        <v>11864205.954904439</v>
      </c>
      <c r="N232" s="826">
        <f t="shared" si="36"/>
        <v>12101490.074002527</v>
      </c>
      <c r="O232" s="826">
        <f t="shared" si="36"/>
        <v>12343519.87548258</v>
      </c>
      <c r="P232" s="826">
        <f t="shared" si="36"/>
        <v>12590390.272992229</v>
      </c>
      <c r="Q232" s="826">
        <f t="shared" si="36"/>
        <v>12842198.078452073</v>
      </c>
    </row>
    <row r="233" spans="2:17" ht="13.8" x14ac:dyDescent="0.25">
      <c r="B233" s="825"/>
      <c r="C233" s="825"/>
      <c r="E233" s="826"/>
      <c r="F233" s="826"/>
      <c r="G233" s="825"/>
      <c r="H233" s="825"/>
      <c r="I233" s="825"/>
      <c r="J233" s="825"/>
      <c r="K233" s="825"/>
      <c r="L233" s="825"/>
      <c r="M233" s="825"/>
      <c r="N233" s="825"/>
      <c r="O233" s="825"/>
      <c r="P233" s="825"/>
      <c r="Q233" s="825"/>
    </row>
    <row r="234" spans="2:17" ht="13.8" x14ac:dyDescent="0.25">
      <c r="B234" s="890" t="s">
        <v>1263</v>
      </c>
      <c r="C234" s="890"/>
      <c r="E234" s="826"/>
      <c r="F234" s="826"/>
      <c r="G234" s="825"/>
      <c r="H234" s="825"/>
      <c r="I234" s="825"/>
      <c r="J234" s="825"/>
      <c r="K234" s="825"/>
      <c r="L234" s="825"/>
      <c r="M234" s="825"/>
      <c r="N234" s="825"/>
      <c r="O234" s="825"/>
      <c r="P234" s="825"/>
      <c r="Q234" s="825"/>
    </row>
    <row r="235" spans="2:17" ht="13.8" x14ac:dyDescent="0.25">
      <c r="B235" s="825"/>
      <c r="C235" s="825"/>
      <c r="E235" s="826"/>
      <c r="F235" s="826"/>
      <c r="G235" s="825"/>
      <c r="H235" s="825"/>
      <c r="I235" s="825"/>
      <c r="J235" s="825"/>
      <c r="K235" s="825"/>
      <c r="L235" s="825"/>
      <c r="M235" s="825"/>
      <c r="N235" s="825"/>
      <c r="O235" s="825"/>
      <c r="P235" s="825"/>
      <c r="Q235" s="825"/>
    </row>
    <row r="236" spans="2:17" ht="13.8" x14ac:dyDescent="0.25">
      <c r="B236" s="825" t="s">
        <v>1264</v>
      </c>
      <c r="C236" s="825"/>
      <c r="E236" s="826"/>
      <c r="F236" s="826">
        <f>SUM(F181:F196)+F203+F198+F200+F202</f>
        <v>3936591</v>
      </c>
      <c r="G236" s="826">
        <f t="shared" ref="G236:I236" si="37">SUM(G181:G196)+G203+G198+G200+G202</f>
        <v>7952883</v>
      </c>
      <c r="H236" s="826">
        <f t="shared" si="37"/>
        <v>5985876</v>
      </c>
      <c r="I236" s="826">
        <f t="shared" si="37"/>
        <v>6542089</v>
      </c>
      <c r="J236" s="826">
        <f t="shared" ref="J236:Q236" si="38">SUM(J181:J196)+J203+J198+J200+J202</f>
        <v>6672930.7800000003</v>
      </c>
      <c r="K236" s="826">
        <f t="shared" si="38"/>
        <v>6806389.3955999995</v>
      </c>
      <c r="L236" s="826">
        <f t="shared" si="38"/>
        <v>6942517.1835119994</v>
      </c>
      <c r="M236" s="826">
        <f t="shared" si="38"/>
        <v>7081367.527182241</v>
      </c>
      <c r="N236" s="826">
        <f t="shared" si="38"/>
        <v>7222994.8777258852</v>
      </c>
      <c r="O236" s="826">
        <f t="shared" si="38"/>
        <v>7367454.775280402</v>
      </c>
      <c r="P236" s="826">
        <f t="shared" si="38"/>
        <v>7514803.8707860112</v>
      </c>
      <c r="Q236" s="826">
        <f t="shared" si="38"/>
        <v>7665099.9482017299</v>
      </c>
    </row>
    <row r="237" spans="2:17" ht="13.8" x14ac:dyDescent="0.25">
      <c r="B237" s="825" t="s">
        <v>1265</v>
      </c>
      <c r="C237" s="825"/>
      <c r="E237" s="826"/>
      <c r="F237" s="826">
        <f>F197+F206+F212+F208</f>
        <v>1393672</v>
      </c>
      <c r="G237" s="826">
        <f t="shared" ref="G237:I237" si="39">G197+G206+G212+G208</f>
        <v>1262263.7999999998</v>
      </c>
      <c r="H237" s="826">
        <f t="shared" si="39"/>
        <v>1281320.395</v>
      </c>
      <c r="I237" s="826">
        <f t="shared" si="39"/>
        <v>1300853.4048749998</v>
      </c>
      <c r="J237" s="826">
        <f t="shared" ref="J237:Q237" si="40">J197+J206+J212+J208</f>
        <v>1326870.4729724997</v>
      </c>
      <c r="K237" s="826">
        <f t="shared" si="40"/>
        <v>1353407.88243195</v>
      </c>
      <c r="L237" s="826">
        <f t="shared" si="40"/>
        <v>1380476.0400805888</v>
      </c>
      <c r="M237" s="826">
        <f t="shared" si="40"/>
        <v>1408085.5608822007</v>
      </c>
      <c r="N237" s="826">
        <f t="shared" si="40"/>
        <v>1436247.2720998446</v>
      </c>
      <c r="O237" s="826">
        <f t="shared" si="40"/>
        <v>1464972.2175418416</v>
      </c>
      <c r="P237" s="826">
        <f t="shared" si="40"/>
        <v>1494271.6618926786</v>
      </c>
      <c r="Q237" s="826">
        <f t="shared" si="40"/>
        <v>1524157.095130532</v>
      </c>
    </row>
    <row r="238" spans="2:17" ht="13.8" x14ac:dyDescent="0.25">
      <c r="B238" s="825" t="s">
        <v>41</v>
      </c>
      <c r="C238" s="825"/>
      <c r="E238" s="826"/>
      <c r="F238" s="826">
        <f>F213-F236-F237</f>
        <v>841000</v>
      </c>
      <c r="G238" s="826">
        <f t="shared" ref="G238:I238" si="41">G213-G236-G237</f>
        <v>1008250.0000000009</v>
      </c>
      <c r="H238" s="826">
        <f t="shared" si="41"/>
        <v>1076580.9999999995</v>
      </c>
      <c r="I238" s="826">
        <f t="shared" si="41"/>
        <v>1092495.9999999993</v>
      </c>
      <c r="J238" s="826">
        <f t="shared" ref="J238:Q238" si="42">J213-J236-J237</f>
        <v>1114345.9200000004</v>
      </c>
      <c r="K238" s="826">
        <f t="shared" si="42"/>
        <v>1136632.8383999984</v>
      </c>
      <c r="L238" s="826">
        <f t="shared" si="42"/>
        <v>1159365.4951680009</v>
      </c>
      <c r="M238" s="826">
        <f t="shared" si="42"/>
        <v>1182552.8050713574</v>
      </c>
      <c r="N238" s="826">
        <f t="shared" si="42"/>
        <v>1206203.8611727855</v>
      </c>
      <c r="O238" s="826">
        <f t="shared" si="42"/>
        <v>1230327.9383962427</v>
      </c>
      <c r="P238" s="826">
        <f t="shared" si="42"/>
        <v>1254934.4971641637</v>
      </c>
      <c r="Q238" s="826">
        <f t="shared" si="42"/>
        <v>1280033.1871074494</v>
      </c>
    </row>
    <row r="239" spans="2:17" ht="14.4" thickBot="1" x14ac:dyDescent="0.3">
      <c r="B239" s="825"/>
      <c r="C239" s="825"/>
      <c r="E239" s="892"/>
      <c r="F239" s="892">
        <f>SUM(F236:F238)</f>
        <v>6171263</v>
      </c>
      <c r="G239" s="892">
        <f t="shared" ref="G239:I239" si="43">SUM(G236:G238)</f>
        <v>10223396.800000001</v>
      </c>
      <c r="H239" s="892">
        <f t="shared" si="43"/>
        <v>8343777.3949999996</v>
      </c>
      <c r="I239" s="892">
        <f t="shared" si="43"/>
        <v>8935438.4048749991</v>
      </c>
      <c r="J239" s="892">
        <f t="shared" ref="J239:Q239" si="44">SUM(J236:J238)</f>
        <v>9114147.1729725003</v>
      </c>
      <c r="K239" s="892">
        <f t="shared" si="44"/>
        <v>9296430.1164319478</v>
      </c>
      <c r="L239" s="892">
        <f t="shared" si="44"/>
        <v>9482358.7187605891</v>
      </c>
      <c r="M239" s="892">
        <f t="shared" si="44"/>
        <v>9672005.8931357991</v>
      </c>
      <c r="N239" s="892">
        <f t="shared" si="44"/>
        <v>9865446.0109985154</v>
      </c>
      <c r="O239" s="892">
        <f t="shared" si="44"/>
        <v>10062754.931218486</v>
      </c>
      <c r="P239" s="892">
        <f t="shared" si="44"/>
        <v>10264010.029842854</v>
      </c>
      <c r="Q239" s="892">
        <f t="shared" si="44"/>
        <v>10469290.230439711</v>
      </c>
    </row>
    <row r="240" spans="2:17" ht="13.8" x14ac:dyDescent="0.25">
      <c r="B240" s="825"/>
      <c r="C240" s="826"/>
      <c r="D240" s="825"/>
      <c r="E240" s="825"/>
      <c r="F240" s="825"/>
      <c r="G240" s="825"/>
      <c r="I240" s="742"/>
      <c r="J240" s="780"/>
    </row>
    <row r="241" spans="2:22" s="1222" customFormat="1" ht="36.75" customHeight="1" x14ac:dyDescent="0.3">
      <c r="B241" s="1223" t="s">
        <v>1104</v>
      </c>
      <c r="C241" s="1235"/>
      <c r="D241" s="1245"/>
      <c r="E241" s="1245"/>
      <c r="F241" s="1246"/>
      <c r="G241" s="1246"/>
      <c r="H241" s="786"/>
      <c r="I241" s="786"/>
    </row>
    <row r="242" spans="2:22" s="1222" customFormat="1" x14ac:dyDescent="0.25">
      <c r="B242" s="787"/>
      <c r="C242" s="1237"/>
      <c r="D242" s="789"/>
      <c r="E242" s="789"/>
      <c r="F242" s="789"/>
      <c r="G242" s="1237"/>
      <c r="H242" s="1079"/>
      <c r="I242" s="1237"/>
    </row>
    <row r="243" spans="2:22" s="1175" customFormat="1" ht="39.6" x14ac:dyDescent="0.25">
      <c r="B243" s="794" t="s">
        <v>1091</v>
      </c>
      <c r="C243" s="801" t="s">
        <v>1092</v>
      </c>
      <c r="D243" s="805" t="s">
        <v>1093</v>
      </c>
      <c r="E243" s="805" t="s">
        <v>1094</v>
      </c>
      <c r="F243" s="805" t="s">
        <v>1095</v>
      </c>
      <c r="G243" s="805" t="s">
        <v>1096</v>
      </c>
      <c r="H243" s="805" t="s">
        <v>1097</v>
      </c>
      <c r="I243" s="806" t="s">
        <v>1098</v>
      </c>
      <c r="J243" s="1352" t="s">
        <v>8</v>
      </c>
      <c r="K243" s="1352" t="s">
        <v>9</v>
      </c>
      <c r="L243" s="1352" t="s">
        <v>514</v>
      </c>
      <c r="M243" s="1352" t="s">
        <v>515</v>
      </c>
      <c r="N243" s="1352" t="s">
        <v>904</v>
      </c>
      <c r="O243" s="1352" t="s">
        <v>1046</v>
      </c>
      <c r="P243" s="1352" t="s">
        <v>1424</v>
      </c>
      <c r="Q243" s="1352" t="s">
        <v>1425</v>
      </c>
      <c r="R243" s="1352" t="s">
        <v>1426</v>
      </c>
      <c r="S243" s="1352" t="s">
        <v>1427</v>
      </c>
      <c r="T243" s="1352" t="s">
        <v>1428</v>
      </c>
      <c r="U243" s="1352" t="s">
        <v>1429</v>
      </c>
      <c r="V243" s="1352" t="s">
        <v>1430</v>
      </c>
    </row>
    <row r="244" spans="2:22" s="1222" customFormat="1" x14ac:dyDescent="0.25">
      <c r="B244" s="787" t="s">
        <v>931</v>
      </c>
      <c r="C244" s="1237">
        <v>4334115</v>
      </c>
      <c r="D244" s="1079">
        <v>-30</v>
      </c>
      <c r="E244" s="1079">
        <v>0</v>
      </c>
      <c r="F244" s="1079">
        <v>241.59399999999999</v>
      </c>
      <c r="G244" s="1079">
        <v>142.86699999999999</v>
      </c>
      <c r="H244" s="1079">
        <v>-575.67899999999997</v>
      </c>
      <c r="I244" s="1079">
        <v>-867.21299999999997</v>
      </c>
      <c r="J244" s="1079"/>
      <c r="K244" s="1079"/>
      <c r="L244" s="1079"/>
      <c r="M244" s="1079"/>
      <c r="N244" s="1079"/>
      <c r="O244" s="1079"/>
      <c r="P244" s="1079"/>
      <c r="Q244" s="1079"/>
      <c r="R244" s="1079"/>
      <c r="S244" s="1079"/>
      <c r="T244" s="1079"/>
      <c r="U244" s="1079"/>
      <c r="V244" s="1079"/>
    </row>
    <row r="245" spans="2:22" s="1222" customFormat="1" ht="13.8" x14ac:dyDescent="0.25">
      <c r="B245" s="787" t="s">
        <v>244</v>
      </c>
      <c r="C245" s="1237" t="e">
        <v>#REF!</v>
      </c>
      <c r="D245" s="1079">
        <v>-1554.0070000000001</v>
      </c>
      <c r="E245" s="1079">
        <v>0</v>
      </c>
      <c r="F245" s="1079">
        <v>-1981.9670000000001</v>
      </c>
      <c r="G245" s="1079">
        <v>-2036.7460100000001</v>
      </c>
      <c r="H245" s="1079">
        <v>-2093.1683903000003</v>
      </c>
      <c r="I245" s="1079">
        <v>-2151.2834420090003</v>
      </c>
      <c r="J245" s="831">
        <f>I245*(1+'LTFP Assumptions'!$J$13)</f>
        <v>-2194.3091108491803</v>
      </c>
      <c r="K245" s="831">
        <f>J245*(1+'LTFP Assumptions'!$J$13)</f>
        <v>-2238.1952930661641</v>
      </c>
      <c r="L245" s="831">
        <f>K245*(1+'LTFP Assumptions'!$J$13)</f>
        <v>-2282.9591989274873</v>
      </c>
      <c r="M245" s="831">
        <f>L245*(1+'LTFP Assumptions'!$J$13)</f>
        <v>-2328.6183829060369</v>
      </c>
      <c r="N245" s="831">
        <f>M245*(1+'LTFP Assumptions'!$J$13)</f>
        <v>-2375.1907505641575</v>
      </c>
      <c r="O245" s="831">
        <f>N245*(1+'LTFP Assumptions'!$J$13)</f>
        <v>-2422.6945655754407</v>
      </c>
      <c r="P245" s="831">
        <f>O245*(1+'LTFP Assumptions'!$J$13)</f>
        <v>-2471.1484568869496</v>
      </c>
      <c r="Q245" s="831">
        <f>P245*(1+'LTFP Assumptions'!$J$13)</f>
        <v>-2520.5714260246887</v>
      </c>
      <c r="R245" s="831">
        <f>Q245*(1+'LTFP Assumptions'!$J$13)</f>
        <v>-2570.9828545451824</v>
      </c>
      <c r="S245" s="831">
        <f>R245*(1+'LTFP Assumptions'!$J$13)</f>
        <v>-2622.4025116360863</v>
      </c>
      <c r="T245" s="831">
        <f>S245*(1+'LTFP Assumptions'!$J$13)</f>
        <v>-2674.8505618688082</v>
      </c>
      <c r="U245" s="831">
        <f>T245*(1+'LTFP Assumptions'!$J$13)</f>
        <v>-2728.3475731061844</v>
      </c>
      <c r="V245" s="831">
        <f>U245*(1+'LTFP Assumptions'!$J$13)</f>
        <v>-2782.914524568308</v>
      </c>
    </row>
    <row r="246" spans="2:22" s="1222" customFormat="1" ht="13.8" x14ac:dyDescent="0.25">
      <c r="B246" s="787" t="s">
        <v>1085</v>
      </c>
      <c r="C246" s="1237" t="e">
        <v>#REF!</v>
      </c>
      <c r="D246" s="1079">
        <v>-1266</v>
      </c>
      <c r="E246" s="1079">
        <v>0</v>
      </c>
      <c r="F246" s="1079">
        <v>-741</v>
      </c>
      <c r="G246" s="1079">
        <v>-741</v>
      </c>
      <c r="H246" s="1079">
        <v>-741</v>
      </c>
      <c r="I246" s="1079">
        <v>-741</v>
      </c>
      <c r="J246" s="831">
        <f>I246*(1+'LTFP Assumptions'!$J$13)</f>
        <v>-755.82</v>
      </c>
      <c r="K246" s="831">
        <f>J246*(1+'LTFP Assumptions'!$J$13)</f>
        <v>-770.93640000000005</v>
      </c>
      <c r="L246" s="831">
        <f>K246*(1+'LTFP Assumptions'!$J$13)</f>
        <v>-786.35512800000004</v>
      </c>
      <c r="M246" s="831">
        <f>L246*(1+'LTFP Assumptions'!$J$13)</f>
        <v>-802.08223056000008</v>
      </c>
      <c r="N246" s="831">
        <f>M246*(1+'LTFP Assumptions'!$J$13)</f>
        <v>-818.1238751712001</v>
      </c>
      <c r="O246" s="831">
        <f>N246*(1+'LTFP Assumptions'!$J$13)</f>
        <v>-834.48635267462407</v>
      </c>
      <c r="P246" s="831">
        <f>O246*(1+'LTFP Assumptions'!$J$13)</f>
        <v>-851.17607972811652</v>
      </c>
      <c r="Q246" s="831">
        <f>P246*(1+'LTFP Assumptions'!$J$13)</f>
        <v>-868.19960132267886</v>
      </c>
      <c r="R246" s="831">
        <f>Q246*(1+'LTFP Assumptions'!$J$13)</f>
        <v>-885.56359334913247</v>
      </c>
      <c r="S246" s="831">
        <f>R246*(1+'LTFP Assumptions'!$J$13)</f>
        <v>-903.27486521611513</v>
      </c>
      <c r="T246" s="831">
        <f>S246*(1+'LTFP Assumptions'!$J$13)</f>
        <v>-921.34036252043745</v>
      </c>
      <c r="U246" s="831">
        <f>T246*(1+'LTFP Assumptions'!$J$13)</f>
        <v>-939.76716977084618</v>
      </c>
      <c r="V246" s="831">
        <f>U246*(1+'LTFP Assumptions'!$J$13)</f>
        <v>-958.5625131662631</v>
      </c>
    </row>
    <row r="247" spans="2:22" s="1222" customFormat="1" ht="13.8" x14ac:dyDescent="0.25">
      <c r="B247" s="787" t="s">
        <v>1086</v>
      </c>
      <c r="C247" s="1237" t="e">
        <v>#REF!</v>
      </c>
      <c r="D247" s="1079">
        <v>-78</v>
      </c>
      <c r="E247" s="1079">
        <v>0</v>
      </c>
      <c r="F247" s="1079">
        <v>-65</v>
      </c>
      <c r="G247" s="1079">
        <v>-66.625</v>
      </c>
      <c r="H247" s="1079">
        <v>-68.290625000000006</v>
      </c>
      <c r="I247" s="1079">
        <v>-69.997890624999997</v>
      </c>
      <c r="J247" s="831">
        <f>I247*(1+'LTFP Assumptions'!$J$13)</f>
        <v>-71.397848437500002</v>
      </c>
      <c r="K247" s="831">
        <f>J247*(1+'LTFP Assumptions'!$J$13)</f>
        <v>-72.825805406249998</v>
      </c>
      <c r="L247" s="831">
        <f>K247*(1+'LTFP Assumptions'!$J$13)</f>
        <v>-74.282321514374999</v>
      </c>
      <c r="M247" s="831">
        <f>L247*(1+'LTFP Assumptions'!$J$13)</f>
        <v>-75.767967944662502</v>
      </c>
      <c r="N247" s="831">
        <f>M247*(1+'LTFP Assumptions'!$J$13)</f>
        <v>-77.283327303555751</v>
      </c>
      <c r="O247" s="831">
        <f>N247*(1+'LTFP Assumptions'!$J$13)</f>
        <v>-78.828993849626869</v>
      </c>
      <c r="P247" s="831">
        <f>O247*(1+'LTFP Assumptions'!$J$13)</f>
        <v>-80.405573726619409</v>
      </c>
      <c r="Q247" s="831">
        <f>P247*(1+'LTFP Assumptions'!$J$13)</f>
        <v>-82.013685201151802</v>
      </c>
      <c r="R247" s="831">
        <f>Q247*(1+'LTFP Assumptions'!$J$13)</f>
        <v>-83.653958905174832</v>
      </c>
      <c r="S247" s="831">
        <f>R247*(1+'LTFP Assumptions'!$J$13)</f>
        <v>-85.327038083278325</v>
      </c>
      <c r="T247" s="831">
        <f>S247*(1+'LTFP Assumptions'!$J$13)</f>
        <v>-87.033578844943889</v>
      </c>
      <c r="U247" s="831">
        <f>T247*(1+'LTFP Assumptions'!$J$13)</f>
        <v>-88.774250421842765</v>
      </c>
      <c r="V247" s="831">
        <f>U247*(1+'LTFP Assumptions'!$J$13)</f>
        <v>-90.549735430279625</v>
      </c>
    </row>
    <row r="248" spans="2:22" s="1222" customFormat="1" x14ac:dyDescent="0.25">
      <c r="B248" s="787" t="s">
        <v>584</v>
      </c>
      <c r="C248" s="1237" t="e">
        <v>#REF!</v>
      </c>
      <c r="D248" s="1079">
        <v>-8510.6460000000006</v>
      </c>
      <c r="E248" s="1079">
        <v>0</v>
      </c>
      <c r="F248" s="1079">
        <v>-7625.4650000000001</v>
      </c>
      <c r="G248" s="1079">
        <v>-7813.7811700000002</v>
      </c>
      <c r="H248" s="1079">
        <v>-8004.9436536499989</v>
      </c>
      <c r="I248" s="1079">
        <v>-8204.5042279792488</v>
      </c>
      <c r="J248" s="1079"/>
      <c r="K248" s="1079"/>
      <c r="L248" s="1079"/>
      <c r="M248" s="1079"/>
      <c r="N248" s="1079"/>
      <c r="O248" s="1079"/>
      <c r="P248" s="1079"/>
      <c r="Q248" s="1079"/>
      <c r="R248" s="1079"/>
      <c r="S248" s="1079"/>
      <c r="T248" s="1079"/>
      <c r="U248" s="1079"/>
      <c r="V248" s="1079"/>
    </row>
    <row r="249" spans="2:22" s="1222" customFormat="1" ht="13.8" x14ac:dyDescent="0.25">
      <c r="B249" s="787" t="s">
        <v>22</v>
      </c>
      <c r="C249" s="1237" t="e">
        <v>#REF!</v>
      </c>
      <c r="D249" s="1079">
        <v>-2262.9380000000001</v>
      </c>
      <c r="E249" s="1079">
        <v>0</v>
      </c>
      <c r="F249" s="1079">
        <v>-1200</v>
      </c>
      <c r="G249" s="1079">
        <v>-7000</v>
      </c>
      <c r="H249" s="1079">
        <v>-1000</v>
      </c>
      <c r="I249" s="1079">
        <v>-1000</v>
      </c>
      <c r="J249" s="831">
        <f>I249-1000*(1+'LTFP Assumptions'!$J$13)</f>
        <v>-2020</v>
      </c>
      <c r="K249" s="831">
        <f>J249*(1+'LTFP Assumptions'!$J$13)</f>
        <v>-2060.4</v>
      </c>
      <c r="L249" s="831">
        <f>K249*(1+'LTFP Assumptions'!$J$13)</f>
        <v>-2101.6080000000002</v>
      </c>
      <c r="M249" s="831">
        <f>L249*(1+'LTFP Assumptions'!$J$13)</f>
        <v>-2143.6401600000004</v>
      </c>
      <c r="N249" s="831">
        <f>M249*(1+'LTFP Assumptions'!$J$13)</f>
        <v>-2186.5129632000003</v>
      </c>
      <c r="O249" s="831">
        <f>N249*(1+'LTFP Assumptions'!$J$13)</f>
        <v>-2230.2432224640002</v>
      </c>
      <c r="P249" s="831">
        <f>O249*(1+'LTFP Assumptions'!$J$13)</f>
        <v>-2274.84808691328</v>
      </c>
      <c r="Q249" s="831">
        <f>P249*(1+'LTFP Assumptions'!$J$13)</f>
        <v>-2320.3450486515458</v>
      </c>
      <c r="R249" s="831">
        <f>Q249*(1+'LTFP Assumptions'!$J$13)</f>
        <v>-2366.7519496245768</v>
      </c>
      <c r="S249" s="831">
        <f>R249*(1+'LTFP Assumptions'!$J$13)</f>
        <v>-2414.0869886170685</v>
      </c>
      <c r="T249" s="831">
        <f>S249*(1+'LTFP Assumptions'!$J$13)</f>
        <v>-2462.3687283894101</v>
      </c>
      <c r="U249" s="831">
        <f>T249*(1+'LTFP Assumptions'!$J$13)</f>
        <v>-2511.6161029571981</v>
      </c>
      <c r="V249" s="831">
        <f>U249*(1+'LTFP Assumptions'!$J$13)</f>
        <v>-2561.8484250163419</v>
      </c>
    </row>
    <row r="250" spans="2:22" s="1222" customFormat="1" x14ac:dyDescent="0.25">
      <c r="B250" s="1222" t="s">
        <v>1099</v>
      </c>
      <c r="C250" s="1209" t="e">
        <v>#REF!</v>
      </c>
      <c r="D250" s="1079">
        <v>-10000</v>
      </c>
      <c r="E250" s="1079">
        <v>0</v>
      </c>
      <c r="F250" s="1079">
        <v>0</v>
      </c>
      <c r="G250" s="1079">
        <v>0</v>
      </c>
      <c r="H250" s="1375">
        <v>0</v>
      </c>
      <c r="I250" s="1375">
        <v>0</v>
      </c>
      <c r="J250" s="1375">
        <v>0</v>
      </c>
      <c r="K250" s="1375">
        <f>J250</f>
        <v>0</v>
      </c>
      <c r="L250" s="1375">
        <f t="shared" ref="L250:V250" si="45">K250</f>
        <v>0</v>
      </c>
      <c r="M250" s="1375">
        <f t="shared" si="45"/>
        <v>0</v>
      </c>
      <c r="N250" s="1375">
        <f t="shared" si="45"/>
        <v>0</v>
      </c>
      <c r="O250" s="1375">
        <f t="shared" si="45"/>
        <v>0</v>
      </c>
      <c r="P250" s="1375">
        <f t="shared" si="45"/>
        <v>0</v>
      </c>
      <c r="Q250" s="1375">
        <f t="shared" si="45"/>
        <v>0</v>
      </c>
      <c r="R250" s="1375">
        <f t="shared" si="45"/>
        <v>0</v>
      </c>
      <c r="S250" s="1375">
        <f t="shared" si="45"/>
        <v>0</v>
      </c>
      <c r="T250" s="1375">
        <f t="shared" si="45"/>
        <v>0</v>
      </c>
      <c r="U250" s="1375">
        <f t="shared" si="45"/>
        <v>0</v>
      </c>
      <c r="V250" s="1375">
        <f t="shared" si="45"/>
        <v>0</v>
      </c>
    </row>
    <row r="251" spans="2:22" s="1222" customFormat="1" ht="13.8" x14ac:dyDescent="0.25">
      <c r="B251" s="794" t="s">
        <v>950</v>
      </c>
      <c r="C251" s="795" t="e">
        <v>#REF!</v>
      </c>
      <c r="D251" s="1079">
        <v>-70</v>
      </c>
      <c r="E251" s="1079">
        <v>0</v>
      </c>
      <c r="F251" s="1079">
        <v>-70</v>
      </c>
      <c r="G251" s="1079">
        <v>-70</v>
      </c>
      <c r="H251" s="1079">
        <v>-70</v>
      </c>
      <c r="I251" s="1079">
        <v>-70</v>
      </c>
      <c r="J251" s="831">
        <f>I251*(1+'LTFP Assumptions'!$J$13)</f>
        <v>-71.400000000000006</v>
      </c>
      <c r="K251" s="831">
        <f>J251*(1+'LTFP Assumptions'!$J$13)</f>
        <v>-72.828000000000003</v>
      </c>
      <c r="L251" s="831">
        <f>K251*(1+'LTFP Assumptions'!$J$13)</f>
        <v>-74.284559999999999</v>
      </c>
      <c r="M251" s="831">
        <f>L251*(1+'LTFP Assumptions'!$J$13)</f>
        <v>-75.770251200000004</v>
      </c>
      <c r="N251" s="831">
        <f>M251*(1+'LTFP Assumptions'!$J$13)</f>
        <v>-77.285656224000007</v>
      </c>
      <c r="O251" s="831">
        <f>N251*(1+'LTFP Assumptions'!$J$13)</f>
        <v>-78.83136934848001</v>
      </c>
      <c r="P251" s="831">
        <f>O251*(1+'LTFP Assumptions'!$J$13)</f>
        <v>-80.407996735449615</v>
      </c>
      <c r="Q251" s="831">
        <f>P251*(1+'LTFP Assumptions'!$J$13)</f>
        <v>-82.016156670158608</v>
      </c>
      <c r="R251" s="831">
        <f>Q251*(1+'LTFP Assumptions'!$J$13)</f>
        <v>-83.65647980356178</v>
      </c>
      <c r="S251" s="831">
        <f>R251*(1+'LTFP Assumptions'!$J$13)</f>
        <v>-85.329609399633014</v>
      </c>
      <c r="T251" s="831">
        <f>S251*(1+'LTFP Assumptions'!$J$13)</f>
        <v>-87.036201587625669</v>
      </c>
      <c r="U251" s="831">
        <f>T251*(1+'LTFP Assumptions'!$J$13)</f>
        <v>-88.77692561937819</v>
      </c>
      <c r="V251" s="831">
        <f>U251*(1+'LTFP Assumptions'!$J$13)</f>
        <v>-90.55246413176576</v>
      </c>
    </row>
    <row r="252" spans="2:22" s="1222" customFormat="1" x14ac:dyDescent="0.25">
      <c r="C252" s="1209"/>
      <c r="D252" s="1209"/>
      <c r="E252" s="1209"/>
      <c r="F252" s="1209"/>
      <c r="G252" s="1209"/>
      <c r="H252" s="1209"/>
      <c r="I252" s="1209"/>
    </row>
    <row r="253" spans="2:22" s="1222" customFormat="1" x14ac:dyDescent="0.25">
      <c r="B253" s="1222" t="s">
        <v>1100</v>
      </c>
      <c r="C253" s="1235" t="e">
        <v>#REF!</v>
      </c>
      <c r="D253" s="808">
        <f>SUM(D244:D252)</f>
        <v>-23771.591</v>
      </c>
      <c r="E253" s="808">
        <f t="shared" ref="E253:J253" si="46">SUM(E244:E252)</f>
        <v>0</v>
      </c>
      <c r="F253" s="808">
        <f t="shared" si="46"/>
        <v>-11441.838</v>
      </c>
      <c r="G253" s="808">
        <f t="shared" si="46"/>
        <v>-17585.285179999999</v>
      </c>
      <c r="H253" s="808">
        <f t="shared" si="46"/>
        <v>-12553.081668949999</v>
      </c>
      <c r="I253" s="808">
        <f t="shared" si="46"/>
        <v>-13103.998560613249</v>
      </c>
      <c r="J253" s="808">
        <f t="shared" si="46"/>
        <v>-5112.9269592866804</v>
      </c>
    </row>
    <row r="254" spans="2:22" s="1222" customFormat="1" ht="40.200000000000003" x14ac:dyDescent="0.3">
      <c r="B254" s="824" t="s">
        <v>1079</v>
      </c>
      <c r="C254" s="1237"/>
      <c r="D254" s="823" t="s">
        <v>1093</v>
      </c>
      <c r="E254" s="823" t="s">
        <v>1094</v>
      </c>
      <c r="F254" s="823" t="s">
        <v>1095</v>
      </c>
      <c r="G254" s="823" t="s">
        <v>1096</v>
      </c>
      <c r="H254" s="823" t="s">
        <v>1097</v>
      </c>
      <c r="I254" s="823" t="s">
        <v>1098</v>
      </c>
      <c r="J254" s="1352" t="s">
        <v>8</v>
      </c>
      <c r="K254" s="1352" t="s">
        <v>9</v>
      </c>
      <c r="L254" s="1352" t="s">
        <v>514</v>
      </c>
      <c r="M254" s="1352" t="s">
        <v>515</v>
      </c>
      <c r="N254" s="1352" t="s">
        <v>904</v>
      </c>
      <c r="O254" s="1352" t="s">
        <v>1046</v>
      </c>
      <c r="P254" s="1352" t="s">
        <v>1424</v>
      </c>
      <c r="Q254" s="1352" t="s">
        <v>1425</v>
      </c>
      <c r="R254" s="1352" t="s">
        <v>1426</v>
      </c>
      <c r="S254" s="1352" t="s">
        <v>1427</v>
      </c>
      <c r="T254" s="1352" t="s">
        <v>1428</v>
      </c>
      <c r="U254" s="1352" t="s">
        <v>1429</v>
      </c>
      <c r="V254" s="1352" t="s">
        <v>1430</v>
      </c>
    </row>
    <row r="255" spans="2:22" s="1222" customFormat="1" ht="13.8" x14ac:dyDescent="0.25">
      <c r="B255" s="809" t="s">
        <v>30</v>
      </c>
      <c r="C255" s="1237" t="s">
        <v>1092</v>
      </c>
      <c r="D255" s="1079"/>
      <c r="E255" s="1079"/>
      <c r="F255" s="1079"/>
      <c r="G255" s="1079"/>
      <c r="H255" s="1079"/>
      <c r="I255" s="1079"/>
      <c r="J255" s="1079"/>
      <c r="K255" s="1079"/>
      <c r="L255" s="1079"/>
      <c r="M255" s="1079"/>
      <c r="N255" s="1079"/>
      <c r="O255" s="1079"/>
      <c r="P255" s="1079"/>
      <c r="Q255" s="1079"/>
      <c r="R255" s="1079"/>
      <c r="S255" s="1079"/>
      <c r="T255" s="1079"/>
      <c r="U255" s="1079"/>
      <c r="V255" s="1079"/>
    </row>
    <row r="256" spans="2:22" s="1222" customFormat="1" x14ac:dyDescent="0.25">
      <c r="B256" s="799" t="s">
        <v>1101</v>
      </c>
      <c r="C256" s="1237" t="e">
        <v>#REF!</v>
      </c>
      <c r="D256" s="1079">
        <v>21320.421999999999</v>
      </c>
      <c r="E256" s="1079">
        <v>0</v>
      </c>
      <c r="F256" s="1079">
        <v>8405.2479999999996</v>
      </c>
      <c r="G256" s="1079">
        <v>14607.4208</v>
      </c>
      <c r="H256" s="1079">
        <v>9575.4223949999996</v>
      </c>
      <c r="I256" s="1079">
        <v>9964.7854048749996</v>
      </c>
      <c r="J256" s="1079">
        <v>9964.7854048749996</v>
      </c>
      <c r="K256" s="1079">
        <v>9964.7854048749996</v>
      </c>
      <c r="L256" s="1079">
        <v>9964.7854048749996</v>
      </c>
      <c r="M256" s="1079">
        <v>9964.7854048749996</v>
      </c>
      <c r="N256" s="1079">
        <v>9964.7854048749996</v>
      </c>
      <c r="O256" s="1079">
        <v>9964.7854048749996</v>
      </c>
      <c r="P256" s="1079">
        <v>9964.7854048749996</v>
      </c>
      <c r="Q256" s="1079">
        <v>9964.7854048749996</v>
      </c>
      <c r="R256" s="1079">
        <v>9964.7854048749996</v>
      </c>
      <c r="S256" s="1079">
        <v>9964.7854048749996</v>
      </c>
      <c r="T256" s="1079">
        <v>9964.7854048749996</v>
      </c>
      <c r="U256" s="1079">
        <v>9964.7854048749996</v>
      </c>
      <c r="V256" s="1079">
        <v>9964.7854048749996</v>
      </c>
    </row>
    <row r="257" spans="2:22" s="1222" customFormat="1" x14ac:dyDescent="0.25">
      <c r="B257" s="1222" t="s">
        <v>1083</v>
      </c>
      <c r="C257" s="1209">
        <v>353255</v>
      </c>
      <c r="D257" s="1079">
        <v>570.28700000000003</v>
      </c>
      <c r="E257" s="1079">
        <v>0</v>
      </c>
      <c r="F257" s="1079">
        <v>892.30499999999995</v>
      </c>
      <c r="G257" s="1079">
        <v>759.70100000000002</v>
      </c>
      <c r="H257" s="1079">
        <v>682.83799999999997</v>
      </c>
      <c r="I257" s="1079">
        <v>764.80799999999999</v>
      </c>
      <c r="J257" s="1079">
        <v>764.80799999999999</v>
      </c>
      <c r="K257" s="1079">
        <v>764.80799999999999</v>
      </c>
      <c r="L257" s="1079">
        <v>764.80799999999999</v>
      </c>
      <c r="M257" s="1079">
        <v>764.80799999999999</v>
      </c>
      <c r="N257" s="1079">
        <v>764.80799999999999</v>
      </c>
      <c r="O257" s="1079">
        <v>764.80799999999999</v>
      </c>
      <c r="P257" s="1079">
        <v>764.80799999999999</v>
      </c>
      <c r="Q257" s="1079">
        <v>764.80799999999999</v>
      </c>
      <c r="R257" s="1079">
        <v>764.80799999999999</v>
      </c>
      <c r="S257" s="1079">
        <v>764.80799999999999</v>
      </c>
      <c r="T257" s="1079">
        <v>764.80799999999999</v>
      </c>
      <c r="U257" s="1079">
        <v>764.80799999999999</v>
      </c>
      <c r="V257" s="1079">
        <v>764.80799999999999</v>
      </c>
    </row>
    <row r="258" spans="2:22" s="1222" customFormat="1" x14ac:dyDescent="0.25">
      <c r="B258" s="794" t="s">
        <v>1089</v>
      </c>
      <c r="C258" s="795">
        <v>2163006</v>
      </c>
      <c r="D258" s="1079">
        <v>1850.8820000000001</v>
      </c>
      <c r="E258" s="1079">
        <v>0</v>
      </c>
      <c r="F258" s="1079">
        <v>2144.2849999999999</v>
      </c>
      <c r="G258" s="1079">
        <v>2218.1630099999998</v>
      </c>
      <c r="H258" s="1079">
        <v>2294.8213903000001</v>
      </c>
      <c r="I258" s="1079">
        <v>2374.4054420090001</v>
      </c>
      <c r="J258" s="1079">
        <v>2374.4054420090001</v>
      </c>
      <c r="K258" s="1079">
        <v>2374.4054420090001</v>
      </c>
      <c r="L258" s="1079">
        <v>2374.4054420090001</v>
      </c>
      <c r="M258" s="1079">
        <v>2374.4054420090001</v>
      </c>
      <c r="N258" s="1079">
        <v>2374.4054420090001</v>
      </c>
      <c r="O258" s="1079">
        <v>2374.4054420090001</v>
      </c>
      <c r="P258" s="1079">
        <v>2374.4054420090001</v>
      </c>
      <c r="Q258" s="1079">
        <v>2374.4054420090001</v>
      </c>
      <c r="R258" s="1079">
        <v>2374.4054420090001</v>
      </c>
      <c r="S258" s="1079">
        <v>2374.4054420090001</v>
      </c>
      <c r="T258" s="1079">
        <v>2374.4054420090001</v>
      </c>
      <c r="U258" s="1079">
        <v>2374.4054420090001</v>
      </c>
      <c r="V258" s="1079">
        <v>2374.4054420090001</v>
      </c>
    </row>
    <row r="259" spans="2:22" s="1222" customFormat="1" ht="6.75" customHeight="1" x14ac:dyDescent="0.25">
      <c r="C259" s="1209"/>
      <c r="D259" s="1209"/>
      <c r="E259" s="1209"/>
      <c r="F259" s="1209"/>
      <c r="G259" s="1209"/>
      <c r="H259" s="1209"/>
      <c r="I259" s="1209"/>
      <c r="J259" s="1209"/>
      <c r="K259" s="1209"/>
      <c r="L259" s="1209"/>
      <c r="M259" s="1209"/>
      <c r="N259" s="1209"/>
      <c r="O259" s="1209"/>
      <c r="P259" s="1209"/>
      <c r="Q259" s="1209"/>
      <c r="R259" s="1209"/>
      <c r="S259" s="1209"/>
      <c r="T259" s="1209"/>
      <c r="U259" s="1209"/>
      <c r="V259" s="1209"/>
    </row>
    <row r="260" spans="2:22" s="1222" customFormat="1" x14ac:dyDescent="0.25">
      <c r="B260" s="800" t="s">
        <v>910</v>
      </c>
      <c r="C260" s="801" t="e">
        <v>#REF!</v>
      </c>
      <c r="D260" s="810">
        <f>SUM(D256:D259)</f>
        <v>23741.591</v>
      </c>
      <c r="E260" s="810">
        <f t="shared" ref="E260:V260" si="47">SUM(E256:E259)</f>
        <v>0</v>
      </c>
      <c r="F260" s="810">
        <f t="shared" si="47"/>
        <v>11441.838</v>
      </c>
      <c r="G260" s="810">
        <f t="shared" si="47"/>
        <v>17585.284810000001</v>
      </c>
      <c r="H260" s="810">
        <f t="shared" si="47"/>
        <v>12553.081785299999</v>
      </c>
      <c r="I260" s="810">
        <f t="shared" si="47"/>
        <v>13103.998846883998</v>
      </c>
      <c r="J260" s="810">
        <f t="shared" si="47"/>
        <v>13103.998846883998</v>
      </c>
      <c r="K260" s="810">
        <f t="shared" si="47"/>
        <v>13103.998846883998</v>
      </c>
      <c r="L260" s="810">
        <f t="shared" si="47"/>
        <v>13103.998846883998</v>
      </c>
      <c r="M260" s="810">
        <f t="shared" si="47"/>
        <v>13103.998846883998</v>
      </c>
      <c r="N260" s="810">
        <f t="shared" si="47"/>
        <v>13103.998846883998</v>
      </c>
      <c r="O260" s="810">
        <f t="shared" si="47"/>
        <v>13103.998846883998</v>
      </c>
      <c r="P260" s="810">
        <f t="shared" si="47"/>
        <v>13103.998846883998</v>
      </c>
      <c r="Q260" s="810">
        <f t="shared" si="47"/>
        <v>13103.998846883998</v>
      </c>
      <c r="R260" s="810">
        <f t="shared" si="47"/>
        <v>13103.998846883998</v>
      </c>
      <c r="S260" s="810">
        <f t="shared" si="47"/>
        <v>13103.998846883998</v>
      </c>
      <c r="T260" s="810">
        <f t="shared" si="47"/>
        <v>13103.998846883998</v>
      </c>
      <c r="U260" s="810">
        <f t="shared" si="47"/>
        <v>13103.998846883998</v>
      </c>
      <c r="V260" s="810">
        <f t="shared" si="47"/>
        <v>13103.998846883998</v>
      </c>
    </row>
    <row r="261" spans="2:22" s="1222" customFormat="1" ht="7.5" customHeight="1" x14ac:dyDescent="0.25"/>
    <row r="263" spans="2:22" x14ac:dyDescent="0.25">
      <c r="B263" s="1175" t="s">
        <v>1440</v>
      </c>
    </row>
    <row r="264" spans="2:22" x14ac:dyDescent="0.25">
      <c r="B264" s="742" t="s">
        <v>1443</v>
      </c>
      <c r="F264" s="1209">
        <f>F218</f>
        <v>0</v>
      </c>
      <c r="G264" s="1209">
        <f t="shared" ref="G264:I264" si="48">G218</f>
        <v>2500000</v>
      </c>
      <c r="H264" s="1209">
        <f t="shared" si="48"/>
        <v>0</v>
      </c>
      <c r="I264" s="1209">
        <f t="shared" si="48"/>
        <v>0</v>
      </c>
    </row>
    <row r="265" spans="2:22" x14ac:dyDescent="0.25">
      <c r="B265" s="742" t="s">
        <v>1441</v>
      </c>
      <c r="F265" s="1209">
        <v>0</v>
      </c>
      <c r="G265" s="1209">
        <f t="shared" ref="G265:H265" si="49">G200</f>
        <v>3500000</v>
      </c>
      <c r="H265" s="1209">
        <f t="shared" si="49"/>
        <v>0</v>
      </c>
      <c r="I265" s="1209">
        <v>0</v>
      </c>
    </row>
    <row r="266" spans="2:22" x14ac:dyDescent="0.25">
      <c r="B266" s="742" t="s">
        <v>1442</v>
      </c>
      <c r="F266" s="1209">
        <f>F220</f>
        <v>1000000</v>
      </c>
      <c r="G266" s="1209">
        <f t="shared" ref="G266:I266" si="50">G220</f>
        <v>1000000</v>
      </c>
      <c r="H266" s="1209">
        <f t="shared" si="50"/>
        <v>1000000</v>
      </c>
      <c r="I266" s="1209">
        <f t="shared" si="50"/>
        <v>1000000</v>
      </c>
    </row>
    <row r="267" spans="2:22" ht="13.8" thickBot="1" x14ac:dyDescent="0.3">
      <c r="F267" s="1374">
        <f>SUM(F264:F266)</f>
        <v>1000000</v>
      </c>
      <c r="G267" s="1374">
        <f t="shared" ref="G267:I267" si="51">SUM(G264:G266)</f>
        <v>7000000</v>
      </c>
      <c r="H267" s="1374">
        <f t="shared" si="51"/>
        <v>1000000</v>
      </c>
      <c r="I267" s="1374">
        <f t="shared" si="51"/>
        <v>1000000</v>
      </c>
    </row>
    <row r="268" spans="2:22" x14ac:dyDescent="0.25">
      <c r="B268" s="742" t="s">
        <v>500</v>
      </c>
      <c r="F268" s="1209">
        <f>-F249*1000-F267</f>
        <v>200000</v>
      </c>
      <c r="G268" s="1209">
        <f t="shared" ref="G268:I268" si="52">-G249*1000-G267</f>
        <v>0</v>
      </c>
      <c r="H268" s="1209">
        <f t="shared" si="52"/>
        <v>0</v>
      </c>
      <c r="I268" s="1209">
        <f t="shared" si="52"/>
        <v>0</v>
      </c>
    </row>
  </sheetData>
  <mergeCells count="2">
    <mergeCell ref="B1:I1"/>
    <mergeCell ref="B4:I4"/>
  </mergeCells>
  <pageMargins left="0.74803149606299213" right="0.74803149606299213" top="0.98425196850393704" bottom="0.98425196850393704" header="0.51181102362204722" footer="0.51181102362204722"/>
  <pageSetup paperSize="9" scale="92" firstPageNumber="2" orientation="landscape" useFirstPageNumber="1" r:id="rId1"/>
  <headerFooter alignWithMargins="0">
    <oddFooter>Page 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  <pageSetUpPr fitToPage="1"/>
  </sheetPr>
  <dimension ref="A1:M32"/>
  <sheetViews>
    <sheetView topLeftCell="A7" workbookViewId="0">
      <selection activeCell="A32" sqref="A32"/>
    </sheetView>
  </sheetViews>
  <sheetFormatPr defaultColWidth="9.109375" defaultRowHeight="14.4" x14ac:dyDescent="0.3"/>
  <cols>
    <col min="1" max="1" width="21.33203125" style="639" customWidth="1"/>
    <col min="2" max="2" width="9.6640625" style="639" customWidth="1"/>
    <col min="3" max="4" width="9.33203125" style="639" customWidth="1"/>
    <col min="5" max="5" width="9.44140625" style="639" customWidth="1"/>
    <col min="6" max="6" width="9.88671875" style="639" customWidth="1"/>
    <col min="7" max="7" width="9.6640625" style="639" customWidth="1"/>
    <col min="8" max="8" width="9" style="639" customWidth="1"/>
    <col min="9" max="11" width="9.88671875" style="639" customWidth="1"/>
    <col min="12" max="12" width="11.5546875" style="221" customWidth="1"/>
    <col min="13" max="13" width="13.33203125" style="221" bestFit="1" customWidth="1"/>
    <col min="14" max="15" width="10.5546875" style="221" bestFit="1" customWidth="1"/>
    <col min="16" max="16384" width="9.109375" style="221"/>
  </cols>
  <sheetData>
    <row r="1" spans="1:11" s="25" customFormat="1" ht="15" x14ac:dyDescent="0.25">
      <c r="A1" s="659"/>
      <c r="B1" s="588" t="s">
        <v>912</v>
      </c>
      <c r="C1" s="587"/>
      <c r="D1" s="589"/>
      <c r="E1" s="589"/>
      <c r="F1" s="659"/>
      <c r="G1" s="659"/>
      <c r="H1" s="659"/>
      <c r="I1" s="659"/>
      <c r="J1" s="659"/>
      <c r="K1" s="659"/>
    </row>
    <row r="2" spans="1:11" s="25" customFormat="1" ht="30" customHeight="1" x14ac:dyDescent="0.25">
      <c r="A2" s="677" t="s">
        <v>872</v>
      </c>
      <c r="B2" s="692" t="s">
        <v>617</v>
      </c>
      <c r="C2" s="692" t="s">
        <v>618</v>
      </c>
      <c r="D2" s="692" t="s">
        <v>1030</v>
      </c>
      <c r="E2" s="692" t="s">
        <v>619</v>
      </c>
      <c r="F2" s="692" t="s">
        <v>620</v>
      </c>
      <c r="G2" s="692" t="s">
        <v>621</v>
      </c>
      <c r="H2" s="692" t="s">
        <v>622</v>
      </c>
      <c r="I2" s="692" t="s">
        <v>623</v>
      </c>
      <c r="J2" s="692" t="s">
        <v>624</v>
      </c>
      <c r="K2" s="692" t="s">
        <v>911</v>
      </c>
    </row>
    <row r="3" spans="1:11" s="25" customFormat="1" ht="15" x14ac:dyDescent="0.25">
      <c r="A3" s="677" t="s">
        <v>625</v>
      </c>
      <c r="B3" s="659"/>
      <c r="C3" s="659"/>
      <c r="D3" s="659"/>
      <c r="E3" s="659"/>
      <c r="F3" s="659"/>
      <c r="G3" s="659"/>
      <c r="H3" s="659"/>
      <c r="I3" s="659"/>
      <c r="J3" s="659"/>
      <c r="K3" s="659"/>
    </row>
    <row r="4" spans="1:11" s="25" customFormat="1" ht="15" x14ac:dyDescent="0.25">
      <c r="A4" s="678" t="s">
        <v>869</v>
      </c>
      <c r="B4" s="679" t="e">
        <f>#REF!+#REF!+#REF!+#REF!+#REF!</f>
        <v>#REF!</v>
      </c>
      <c r="C4" s="679" t="e">
        <f>#REF!+#REF!+#REF!+#REF!+#REF!</f>
        <v>#REF!</v>
      </c>
      <c r="D4" s="679" t="e">
        <f>#REF!+#REF!+#REF!+#REF!+#REF!</f>
        <v>#REF!</v>
      </c>
      <c r="E4" s="679" t="e">
        <f>#REF!+#REF!+#REF!+#REF!+#REF!</f>
        <v>#REF!</v>
      </c>
      <c r="F4" s="679" t="e">
        <f>#REF!+#REF!+#REF!+#REF!+#REF!</f>
        <v>#REF!</v>
      </c>
      <c r="G4" s="679" t="e">
        <f>#REF!+#REF!+#REF!+#REF!+#REF!</f>
        <v>#REF!</v>
      </c>
      <c r="H4" s="679" t="e">
        <f>#REF!+#REF!+#REF!+#REF!+#REF!</f>
        <v>#REF!</v>
      </c>
      <c r="I4" s="679" t="e">
        <f>#REF!+#REF!+#REF!+#REF!+#REF!</f>
        <v>#REF!</v>
      </c>
      <c r="J4" s="679" t="e">
        <f>#REF!+#REF!+#REF!+#REF!+#REF!</f>
        <v>#REF!</v>
      </c>
      <c r="K4" s="679" t="e">
        <f>#REF!+#REF!+#REF!+#REF!+#REF!</f>
        <v>#REF!</v>
      </c>
    </row>
    <row r="5" spans="1:11" s="421" customFormat="1" ht="15" x14ac:dyDescent="0.25">
      <c r="A5" s="680" t="s">
        <v>870</v>
      </c>
      <c r="B5" s="681" t="e">
        <f>#REF!</f>
        <v>#REF!</v>
      </c>
      <c r="C5" s="681" t="e">
        <f>#REF!</f>
        <v>#REF!</v>
      </c>
      <c r="D5" s="681" t="e">
        <f>#REF!</f>
        <v>#REF!</v>
      </c>
      <c r="E5" s="681" t="e">
        <f>#REF!</f>
        <v>#REF!</v>
      </c>
      <c r="F5" s="681" t="e">
        <f>#REF!</f>
        <v>#REF!</v>
      </c>
      <c r="G5" s="681" t="e">
        <f>#REF!</f>
        <v>#REF!</v>
      </c>
      <c r="H5" s="681" t="e">
        <f>#REF!</f>
        <v>#REF!</v>
      </c>
      <c r="I5" s="681" t="e">
        <f>#REF!</f>
        <v>#REF!</v>
      </c>
      <c r="J5" s="681" t="e">
        <f>#REF!</f>
        <v>#REF!</v>
      </c>
      <c r="K5" s="681" t="e">
        <f>#REF!</f>
        <v>#REF!</v>
      </c>
    </row>
    <row r="6" spans="1:11" s="25" customFormat="1" ht="7.5" customHeight="1" x14ac:dyDescent="0.25">
      <c r="A6" s="678"/>
      <c r="B6" s="659"/>
      <c r="C6" s="659"/>
      <c r="D6" s="659"/>
      <c r="E6" s="659"/>
      <c r="F6" s="659"/>
      <c r="G6" s="659"/>
      <c r="H6" s="659"/>
      <c r="I6" s="659"/>
      <c r="J6" s="659"/>
      <c r="K6" s="659"/>
    </row>
    <row r="7" spans="1:11" s="25" customFormat="1" ht="15" x14ac:dyDescent="0.25">
      <c r="A7" s="682" t="s">
        <v>871</v>
      </c>
      <c r="B7" s="659"/>
      <c r="C7" s="659"/>
      <c r="D7" s="659"/>
      <c r="E7" s="659"/>
      <c r="F7" s="659"/>
      <c r="G7" s="659"/>
      <c r="H7" s="659"/>
      <c r="I7" s="659"/>
      <c r="J7" s="659"/>
      <c r="K7" s="659"/>
    </row>
    <row r="8" spans="1:11" s="25" customFormat="1" ht="15" x14ac:dyDescent="0.25">
      <c r="A8" s="678" t="s">
        <v>400</v>
      </c>
      <c r="B8" s="679" t="e">
        <f>#REF!-B4</f>
        <v>#REF!</v>
      </c>
      <c r="C8" s="679" t="e">
        <f>#REF!-C4</f>
        <v>#REF!</v>
      </c>
      <c r="D8" s="679" t="e">
        <f>#REF!-D4</f>
        <v>#REF!</v>
      </c>
      <c r="E8" s="679" t="e">
        <f>#REF!-E4</f>
        <v>#REF!</v>
      </c>
      <c r="F8" s="679" t="e">
        <f>#REF!-F4</f>
        <v>#REF!</v>
      </c>
      <c r="G8" s="679" t="e">
        <f>#REF!-G4</f>
        <v>#REF!</v>
      </c>
      <c r="H8" s="679" t="e">
        <f>#REF!-H4</f>
        <v>#REF!</v>
      </c>
      <c r="I8" s="679" t="e">
        <f>#REF!-I4</f>
        <v>#REF!</v>
      </c>
      <c r="J8" s="679" t="e">
        <f>#REF!-J4</f>
        <v>#REF!</v>
      </c>
      <c r="K8" s="679" t="e">
        <f>#REF!-K4</f>
        <v>#REF!</v>
      </c>
    </row>
    <row r="9" spans="1:11" s="25" customFormat="1" ht="15" x14ac:dyDescent="0.25">
      <c r="A9" s="678" t="s">
        <v>870</v>
      </c>
      <c r="B9" s="679" t="e">
        <f>#REF!</f>
        <v>#REF!</v>
      </c>
      <c r="C9" s="679" t="e">
        <f>#REF!</f>
        <v>#REF!</v>
      </c>
      <c r="D9" s="679" t="e">
        <f>#REF!</f>
        <v>#REF!</v>
      </c>
      <c r="E9" s="679" t="e">
        <f>#REF!</f>
        <v>#REF!</v>
      </c>
      <c r="F9" s="679" t="e">
        <f>#REF!</f>
        <v>#REF!</v>
      </c>
      <c r="G9" s="679" t="e">
        <f>#REF!</f>
        <v>#REF!</v>
      </c>
      <c r="H9" s="679" t="e">
        <f>#REF!</f>
        <v>#REF!</v>
      </c>
      <c r="I9" s="679" t="e">
        <f>#REF!</f>
        <v>#REF!</v>
      </c>
      <c r="J9" s="679" t="e">
        <f>#REF!</f>
        <v>#REF!</v>
      </c>
      <c r="K9" s="679" t="e">
        <f>#REF!</f>
        <v>#REF!</v>
      </c>
    </row>
    <row r="10" spans="1:11" s="25" customFormat="1" ht="5.25" customHeight="1" x14ac:dyDescent="0.25">
      <c r="A10" s="659"/>
      <c r="B10" s="659"/>
      <c r="C10" s="659"/>
      <c r="D10" s="659"/>
      <c r="E10" s="659"/>
      <c r="F10" s="659"/>
      <c r="G10" s="659"/>
      <c r="H10" s="659"/>
      <c r="I10" s="659"/>
      <c r="J10" s="659"/>
      <c r="K10" s="659"/>
    </row>
    <row r="11" spans="1:11" s="25" customFormat="1" ht="15.75" thickBot="1" x14ac:dyDescent="0.3">
      <c r="A11" s="677" t="s">
        <v>23</v>
      </c>
      <c r="B11" s="683" t="e">
        <f>SUM(B4:B9)</f>
        <v>#REF!</v>
      </c>
      <c r="C11" s="683" t="e">
        <f t="shared" ref="C11:K11" si="0">SUM(C4:C9)</f>
        <v>#REF!</v>
      </c>
      <c r="D11" s="683" t="e">
        <f t="shared" si="0"/>
        <v>#REF!</v>
      </c>
      <c r="E11" s="683" t="e">
        <f t="shared" si="0"/>
        <v>#REF!</v>
      </c>
      <c r="F11" s="683" t="e">
        <f t="shared" si="0"/>
        <v>#REF!</v>
      </c>
      <c r="G11" s="683" t="e">
        <f t="shared" si="0"/>
        <v>#REF!</v>
      </c>
      <c r="H11" s="683" t="e">
        <f t="shared" si="0"/>
        <v>#REF!</v>
      </c>
      <c r="I11" s="683" t="e">
        <f t="shared" si="0"/>
        <v>#REF!</v>
      </c>
      <c r="J11" s="683" t="e">
        <f t="shared" si="0"/>
        <v>#REF!</v>
      </c>
      <c r="K11" s="683" t="e">
        <f t="shared" si="0"/>
        <v>#REF!</v>
      </c>
    </row>
    <row r="15" spans="1:11" ht="15" x14ac:dyDescent="0.25">
      <c r="A15" s="585" t="s">
        <v>80</v>
      </c>
      <c r="B15" s="586" t="s">
        <v>71</v>
      </c>
      <c r="C15" s="586" t="s">
        <v>71</v>
      </c>
      <c r="D15" s="586" t="s">
        <v>71</v>
      </c>
      <c r="E15" s="586" t="s">
        <v>71</v>
      </c>
      <c r="F15" s="586" t="s">
        <v>71</v>
      </c>
      <c r="G15" s="586" t="s">
        <v>71</v>
      </c>
      <c r="H15" s="586" t="s">
        <v>71</v>
      </c>
      <c r="I15" s="586" t="s">
        <v>71</v>
      </c>
      <c r="J15" s="586" t="s">
        <v>71</v>
      </c>
      <c r="K15" s="586" t="s">
        <v>71</v>
      </c>
    </row>
    <row r="16" spans="1:11" ht="15" x14ac:dyDescent="0.25">
      <c r="A16" s="585" t="s">
        <v>73</v>
      </c>
      <c r="B16" s="684" t="s">
        <v>3</v>
      </c>
      <c r="C16" s="684" t="s">
        <v>4</v>
      </c>
      <c r="D16" s="684" t="s">
        <v>5</v>
      </c>
      <c r="E16" s="684" t="s">
        <v>6</v>
      </c>
      <c r="F16" s="684" t="s">
        <v>7</v>
      </c>
      <c r="G16" s="684" t="s">
        <v>8</v>
      </c>
      <c r="H16" s="684" t="s">
        <v>9</v>
      </c>
      <c r="I16" s="684" t="s">
        <v>514</v>
      </c>
      <c r="J16" s="684" t="s">
        <v>515</v>
      </c>
      <c r="K16" s="684" t="s">
        <v>904</v>
      </c>
    </row>
    <row r="18" spans="1:13" ht="15" x14ac:dyDescent="0.25">
      <c r="A18" s="685" t="s">
        <v>584</v>
      </c>
    </row>
    <row r="19" spans="1:13" ht="15" x14ac:dyDescent="0.25">
      <c r="A19" s="639" t="s">
        <v>612</v>
      </c>
      <c r="B19" s="686">
        <f>'Renewals &amp; Maintenance'!G6</f>
        <v>9622.0178893016346</v>
      </c>
      <c r="C19" s="686">
        <f>'Renewals &amp; Maintenance'!H6</f>
        <v>8862.1095854383348</v>
      </c>
      <c r="D19" s="686">
        <f>'Renewals &amp; Maintenance'!I6</f>
        <v>9237.9385390044572</v>
      </c>
      <c r="E19" s="686">
        <f>'Renewals &amp; Maintenance'!J6</f>
        <v>9451.4341788168622</v>
      </c>
      <c r="F19" s="686">
        <f>'Renewals &amp; Maintenance'!K6</f>
        <v>9671.4261610175963</v>
      </c>
      <c r="G19" s="686">
        <f>'Renewals &amp; Maintenance'!L6</f>
        <v>9913.2118150430342</v>
      </c>
      <c r="H19" s="686">
        <f>'Renewals &amp; Maintenance'!M6</f>
        <v>10161.04211041911</v>
      </c>
      <c r="I19" s="686">
        <f>'Renewals &amp; Maintenance'!N6</f>
        <v>10415.068163179585</v>
      </c>
      <c r="J19" s="686">
        <f>'Renewals &amp; Maintenance'!O6</f>
        <v>10675.444867259073</v>
      </c>
      <c r="K19" s="686">
        <f>'Renewals &amp; Maintenance'!P6</f>
        <v>10942.33098894055</v>
      </c>
    </row>
    <row r="20" spans="1:13" ht="15" x14ac:dyDescent="0.25">
      <c r="A20" s="639" t="s">
        <v>613</v>
      </c>
      <c r="B20" s="686">
        <f>'Renewals &amp; Maintenance'!G7</f>
        <v>1664.9671106983653</v>
      </c>
      <c r="C20" s="686">
        <f>'Renewals &amp; Maintenance'!H7</f>
        <v>1549.4554145616646</v>
      </c>
      <c r="D20" s="686">
        <f>'Renewals &amp; Maintenance'!I7</f>
        <v>1590.2996309955429</v>
      </c>
      <c r="E20" s="686">
        <f>'Renewals &amp; Maintenance'!J7</f>
        <v>1628.3954748331357</v>
      </c>
      <c r="F20" s="686">
        <f>'Renewals &amp; Maintenance'!K7</f>
        <v>1667.3650669616522</v>
      </c>
      <c r="G20" s="686">
        <f>'Renewals &amp; Maintenance'!L7</f>
        <v>1709.0491936356934</v>
      </c>
      <c r="H20" s="686">
        <f>'Renewals &amp; Maintenance'!M7</f>
        <v>1751.7754234765855</v>
      </c>
      <c r="I20" s="686">
        <f>'Renewals &amp; Maintenance'!N7</f>
        <v>1795.5698090635001</v>
      </c>
      <c r="J20" s="686">
        <f>'Renewals &amp; Maintenance'!O7</f>
        <v>1840.4590542900874</v>
      </c>
      <c r="K20" s="686">
        <f>'Renewals &amp; Maintenance'!P7</f>
        <v>1886.4705306473395</v>
      </c>
    </row>
    <row r="21" spans="1:13" ht="15.75" thickBot="1" x14ac:dyDescent="0.3">
      <c r="A21" s="687" t="s">
        <v>614</v>
      </c>
      <c r="B21" s="688">
        <v>4878415.75</v>
      </c>
      <c r="C21" s="688">
        <v>4878415.75</v>
      </c>
      <c r="D21" s="688">
        <v>4878415.75</v>
      </c>
      <c r="E21" s="688">
        <v>4878415.75</v>
      </c>
      <c r="F21" s="688">
        <v>4878415.75</v>
      </c>
      <c r="G21" s="688">
        <v>4878415.75</v>
      </c>
      <c r="H21" s="688">
        <v>4878415.75</v>
      </c>
      <c r="I21" s="688">
        <v>4878415.75</v>
      </c>
      <c r="J21" s="688">
        <v>4878415.75</v>
      </c>
      <c r="K21" s="688">
        <v>4878415.75</v>
      </c>
    </row>
    <row r="22" spans="1:13" ht="15" x14ac:dyDescent="0.25">
      <c r="B22" s="686">
        <v>0</v>
      </c>
      <c r="C22" s="686">
        <v>0</v>
      </c>
      <c r="D22" s="686">
        <v>0</v>
      </c>
      <c r="E22" s="686">
        <v>0</v>
      </c>
      <c r="F22" s="686">
        <v>0</v>
      </c>
      <c r="G22" s="686">
        <v>0</v>
      </c>
      <c r="H22" s="686">
        <v>0</v>
      </c>
      <c r="I22" s="686">
        <v>0</v>
      </c>
      <c r="J22" s="686">
        <v>0</v>
      </c>
      <c r="K22" s="686">
        <v>0</v>
      </c>
    </row>
    <row r="23" spans="1:13" ht="15" x14ac:dyDescent="0.25">
      <c r="B23" s="686"/>
      <c r="C23" s="686"/>
      <c r="D23" s="686"/>
      <c r="E23" s="686"/>
      <c r="F23" s="686"/>
      <c r="G23" s="686"/>
      <c r="H23" s="686"/>
      <c r="I23" s="686"/>
      <c r="J23" s="686"/>
      <c r="K23" s="686"/>
    </row>
    <row r="24" spans="1:13" ht="15" x14ac:dyDescent="0.25">
      <c r="A24" s="639" t="s">
        <v>615</v>
      </c>
      <c r="B24" s="686" t="e">
        <f>B5</f>
        <v>#REF!</v>
      </c>
      <c r="C24" s="686" t="e">
        <f t="shared" ref="C24:K24" si="1">C5</f>
        <v>#REF!</v>
      </c>
      <c r="D24" s="686" t="e">
        <f t="shared" si="1"/>
        <v>#REF!</v>
      </c>
      <c r="E24" s="686" t="e">
        <f t="shared" si="1"/>
        <v>#REF!</v>
      </c>
      <c r="F24" s="686" t="e">
        <f t="shared" si="1"/>
        <v>#REF!</v>
      </c>
      <c r="G24" s="686" t="e">
        <f t="shared" si="1"/>
        <v>#REF!</v>
      </c>
      <c r="H24" s="686" t="e">
        <f t="shared" si="1"/>
        <v>#REF!</v>
      </c>
      <c r="I24" s="686" t="e">
        <f t="shared" si="1"/>
        <v>#REF!</v>
      </c>
      <c r="J24" s="686" t="e">
        <f t="shared" si="1"/>
        <v>#REF!</v>
      </c>
      <c r="K24" s="686" t="e">
        <f t="shared" si="1"/>
        <v>#REF!</v>
      </c>
    </row>
    <row r="25" spans="1:13" ht="15" x14ac:dyDescent="0.25">
      <c r="A25" s="639" t="s">
        <v>335</v>
      </c>
      <c r="B25" s="686" t="e">
        <f>B9</f>
        <v>#REF!</v>
      </c>
      <c r="C25" s="686" t="e">
        <f t="shared" ref="C25:K25" si="2">C9</f>
        <v>#REF!</v>
      </c>
      <c r="D25" s="686" t="e">
        <f t="shared" si="2"/>
        <v>#REF!</v>
      </c>
      <c r="E25" s="686" t="e">
        <f t="shared" si="2"/>
        <v>#REF!</v>
      </c>
      <c r="F25" s="686" t="e">
        <f t="shared" si="2"/>
        <v>#REF!</v>
      </c>
      <c r="G25" s="686" t="e">
        <f t="shared" si="2"/>
        <v>#REF!</v>
      </c>
      <c r="H25" s="686" t="e">
        <f t="shared" si="2"/>
        <v>#REF!</v>
      </c>
      <c r="I25" s="686" t="e">
        <f t="shared" si="2"/>
        <v>#REF!</v>
      </c>
      <c r="J25" s="686" t="e">
        <f t="shared" si="2"/>
        <v>#REF!</v>
      </c>
      <c r="K25" s="686" t="e">
        <f t="shared" si="2"/>
        <v>#REF!</v>
      </c>
    </row>
    <row r="26" spans="1:13" ht="15.75" thickBot="1" x14ac:dyDescent="0.3">
      <c r="B26" s="689" t="e">
        <f>SUM(B24:B25)</f>
        <v>#REF!</v>
      </c>
      <c r="C26" s="689" t="e">
        <f t="shared" ref="C26:K26" si="3">SUM(C24:C25)</f>
        <v>#REF!</v>
      </c>
      <c r="D26" s="689" t="e">
        <f t="shared" si="3"/>
        <v>#REF!</v>
      </c>
      <c r="E26" s="689" t="e">
        <f t="shared" si="3"/>
        <v>#REF!</v>
      </c>
      <c r="F26" s="689" t="e">
        <f t="shared" si="3"/>
        <v>#REF!</v>
      </c>
      <c r="G26" s="689" t="e">
        <f t="shared" si="3"/>
        <v>#REF!</v>
      </c>
      <c r="H26" s="689" t="e">
        <f t="shared" si="3"/>
        <v>#REF!</v>
      </c>
      <c r="I26" s="689" t="e">
        <f t="shared" si="3"/>
        <v>#REF!</v>
      </c>
      <c r="J26" s="689" t="e">
        <f t="shared" si="3"/>
        <v>#REF!</v>
      </c>
      <c r="K26" s="689" t="e">
        <f t="shared" si="3"/>
        <v>#REF!</v>
      </c>
    </row>
    <row r="28" spans="1:13" ht="15" x14ac:dyDescent="0.25">
      <c r="A28" s="690" t="s">
        <v>616</v>
      </c>
      <c r="B28" s="691" t="e">
        <f>B24/B19</f>
        <v>#REF!</v>
      </c>
      <c r="C28" s="691" t="e">
        <f t="shared" ref="C28:K28" si="4">C24/C19</f>
        <v>#REF!</v>
      </c>
      <c r="D28" s="691" t="e">
        <f t="shared" si="4"/>
        <v>#REF!</v>
      </c>
      <c r="E28" s="691" t="e">
        <f t="shared" si="4"/>
        <v>#REF!</v>
      </c>
      <c r="F28" s="691" t="e">
        <f t="shared" si="4"/>
        <v>#REF!</v>
      </c>
      <c r="G28" s="691" t="e">
        <f t="shared" si="4"/>
        <v>#REF!</v>
      </c>
      <c r="H28" s="691" t="e">
        <f t="shared" si="4"/>
        <v>#REF!</v>
      </c>
      <c r="I28" s="691" t="e">
        <f t="shared" si="4"/>
        <v>#REF!</v>
      </c>
      <c r="J28" s="691" t="e">
        <f t="shared" si="4"/>
        <v>#REF!</v>
      </c>
      <c r="K28" s="691" t="e">
        <f t="shared" si="4"/>
        <v>#REF!</v>
      </c>
    </row>
    <row r="31" spans="1:13" ht="15" x14ac:dyDescent="0.25">
      <c r="M31" s="221" t="s">
        <v>1040</v>
      </c>
    </row>
    <row r="32" spans="1:13" ht="15" x14ac:dyDescent="0.25">
      <c r="A32" s="639" t="s">
        <v>400</v>
      </c>
      <c r="B32" s="755" t="e">
        <f>B4+B8</f>
        <v>#REF!</v>
      </c>
      <c r="C32" s="755" t="e">
        <f t="shared" ref="C32:K32" si="5">C4+C8</f>
        <v>#REF!</v>
      </c>
      <c r="D32" s="755" t="e">
        <f t="shared" si="5"/>
        <v>#REF!</v>
      </c>
      <c r="E32" s="755" t="e">
        <f t="shared" si="5"/>
        <v>#REF!</v>
      </c>
      <c r="F32" s="755" t="e">
        <f t="shared" si="5"/>
        <v>#REF!</v>
      </c>
      <c r="G32" s="755" t="e">
        <f t="shared" si="5"/>
        <v>#REF!</v>
      </c>
      <c r="H32" s="755" t="e">
        <f t="shared" si="5"/>
        <v>#REF!</v>
      </c>
      <c r="I32" s="755" t="e">
        <f t="shared" si="5"/>
        <v>#REF!</v>
      </c>
      <c r="J32" s="755" t="e">
        <f t="shared" si="5"/>
        <v>#REF!</v>
      </c>
      <c r="K32" s="755" t="e">
        <f t="shared" si="5"/>
        <v>#REF!</v>
      </c>
      <c r="L32" s="338" t="e">
        <f>SUM(B32:K32)</f>
        <v>#REF!</v>
      </c>
      <c r="M32" s="756" t="e">
        <f>L32/10</f>
        <v>#REF!</v>
      </c>
    </row>
  </sheetData>
  <pageMargins left="0.7" right="0.7" top="0.75" bottom="0.75" header="0.3" footer="0.3"/>
  <pageSetup paperSize="9" scale="59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0"/>
  <sheetViews>
    <sheetView workbookViewId="0">
      <selection activeCell="L20" sqref="L20"/>
    </sheetView>
  </sheetViews>
  <sheetFormatPr defaultColWidth="9.109375" defaultRowHeight="14.4" x14ac:dyDescent="0.3"/>
  <cols>
    <col min="1" max="1" width="6.33203125" style="221" customWidth="1"/>
    <col min="2" max="2" width="9.109375" style="221"/>
    <col min="3" max="3" width="26.44140625" style="221" customWidth="1"/>
    <col min="4" max="15" width="13.33203125" style="221" bestFit="1" customWidth="1"/>
    <col min="16" max="16384" width="9.109375" style="221"/>
  </cols>
  <sheetData>
    <row r="2" spans="1:15" s="202" customFormat="1" ht="15" x14ac:dyDescent="0.25">
      <c r="A2" s="202" t="s">
        <v>126</v>
      </c>
      <c r="B2" s="202" t="s">
        <v>127</v>
      </c>
      <c r="C2" s="202" t="s">
        <v>128</v>
      </c>
      <c r="D2" s="202" t="s">
        <v>629</v>
      </c>
      <c r="E2" s="202" t="s">
        <v>630</v>
      </c>
      <c r="F2" s="202" t="s">
        <v>631</v>
      </c>
      <c r="G2" s="202" t="s">
        <v>632</v>
      </c>
      <c r="H2" s="202" t="s">
        <v>633</v>
      </c>
      <c r="I2" s="202" t="s">
        <v>374</v>
      </c>
      <c r="J2" s="202" t="s">
        <v>634</v>
      </c>
      <c r="K2" s="202" t="s">
        <v>635</v>
      </c>
      <c r="L2" s="202" t="s">
        <v>636</v>
      </c>
      <c r="M2" s="202" t="s">
        <v>637</v>
      </c>
      <c r="N2" s="202" t="s">
        <v>638</v>
      </c>
      <c r="O2" s="202" t="s">
        <v>639</v>
      </c>
    </row>
    <row r="3" spans="1:15" ht="15" x14ac:dyDescent="0.25"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</row>
    <row r="4" spans="1:15" ht="15" x14ac:dyDescent="0.25"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</row>
    <row r="5" spans="1:15" ht="15" x14ac:dyDescent="0.25"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</row>
    <row r="6" spans="1:15" ht="15" x14ac:dyDescent="0.25"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/>
    </row>
    <row r="7" spans="1:15" ht="15" x14ac:dyDescent="0.25"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337"/>
    </row>
    <row r="8" spans="1:15" ht="15" x14ac:dyDescent="0.25"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337"/>
    </row>
    <row r="10" spans="1:15" ht="15.75" thickBot="1" x14ac:dyDescent="0.3">
      <c r="D10" s="369">
        <f>SUM(D3:D9)</f>
        <v>0</v>
      </c>
      <c r="E10" s="369">
        <f t="shared" ref="E10:O10" si="0">SUM(E3:E9)</f>
        <v>0</v>
      </c>
      <c r="F10" s="369">
        <f t="shared" si="0"/>
        <v>0</v>
      </c>
      <c r="G10" s="369">
        <f t="shared" si="0"/>
        <v>0</v>
      </c>
      <c r="H10" s="369">
        <f t="shared" si="0"/>
        <v>0</v>
      </c>
      <c r="I10" s="369">
        <f t="shared" si="0"/>
        <v>0</v>
      </c>
      <c r="J10" s="369">
        <f t="shared" si="0"/>
        <v>0</v>
      </c>
      <c r="K10" s="369">
        <f t="shared" si="0"/>
        <v>0</v>
      </c>
      <c r="L10" s="369">
        <f t="shared" si="0"/>
        <v>0</v>
      </c>
      <c r="M10" s="369">
        <f t="shared" si="0"/>
        <v>0</v>
      </c>
      <c r="N10" s="369">
        <f t="shared" si="0"/>
        <v>0</v>
      </c>
      <c r="O10" s="369">
        <f t="shared" si="0"/>
        <v>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118"/>
  <sheetViews>
    <sheetView topLeftCell="E82" workbookViewId="0">
      <selection activeCell="H97" sqref="H97"/>
    </sheetView>
  </sheetViews>
  <sheetFormatPr defaultColWidth="9.109375" defaultRowHeight="14.4" x14ac:dyDescent="0.3"/>
  <cols>
    <col min="1" max="1" width="15.44140625" style="221" bestFit="1" customWidth="1"/>
    <col min="2" max="2" width="8.6640625" style="221" bestFit="1" customWidth="1"/>
    <col min="3" max="3" width="9.6640625" style="221" bestFit="1" customWidth="1"/>
    <col min="4" max="4" width="11.33203125" style="221" customWidth="1"/>
    <col min="5" max="5" width="33.44140625" style="221" customWidth="1"/>
    <col min="6" max="6" width="13" style="221" customWidth="1"/>
    <col min="7" max="7" width="11.6640625" style="221" hidden="1" customWidth="1"/>
    <col min="8" max="8" width="11.6640625" style="221" bestFit="1" customWidth="1"/>
    <col min="9" max="16" width="12" style="221" bestFit="1" customWidth="1"/>
    <col min="17" max="17" width="12" style="221" customWidth="1"/>
    <col min="18" max="18" width="11" style="221" customWidth="1"/>
    <col min="19" max="19" width="11.33203125" style="221" customWidth="1"/>
    <col min="20" max="16384" width="9.109375" style="221"/>
  </cols>
  <sheetData>
    <row r="3" spans="1:18" s="52" customFormat="1" ht="30" x14ac:dyDescent="0.25">
      <c r="A3" s="374" t="s">
        <v>116</v>
      </c>
      <c r="B3" s="374" t="s">
        <v>126</v>
      </c>
      <c r="C3" s="374" t="s">
        <v>127</v>
      </c>
      <c r="D3" s="392"/>
      <c r="E3" s="393" t="s">
        <v>799</v>
      </c>
      <c r="F3" s="392"/>
      <c r="G3" s="221"/>
      <c r="H3" s="394"/>
      <c r="I3" s="395"/>
      <c r="J3" s="395"/>
      <c r="K3" s="395"/>
      <c r="L3" s="395"/>
      <c r="M3" s="395"/>
      <c r="N3" s="395"/>
      <c r="O3" s="395"/>
      <c r="P3" s="395"/>
      <c r="Q3" s="395"/>
    </row>
    <row r="4" spans="1:18" ht="15" x14ac:dyDescent="0.25">
      <c r="A4" s="221" t="s">
        <v>193</v>
      </c>
      <c r="B4" s="221" t="s">
        <v>640</v>
      </c>
      <c r="C4" s="221" t="s">
        <v>641</v>
      </c>
      <c r="D4" s="396" t="s">
        <v>127</v>
      </c>
      <c r="E4" s="396" t="s">
        <v>128</v>
      </c>
      <c r="F4" s="396"/>
      <c r="H4" s="397" t="s">
        <v>631</v>
      </c>
      <c r="I4" s="398" t="s">
        <v>632</v>
      </c>
      <c r="J4" s="398" t="s">
        <v>633</v>
      </c>
      <c r="K4" s="398" t="s">
        <v>374</v>
      </c>
      <c r="L4" s="398" t="s">
        <v>634</v>
      </c>
      <c r="M4" s="398" t="s">
        <v>635</v>
      </c>
      <c r="N4" s="398" t="s">
        <v>636</v>
      </c>
      <c r="O4" s="398" t="s">
        <v>637</v>
      </c>
      <c r="P4" s="398" t="s">
        <v>638</v>
      </c>
      <c r="Q4" s="398" t="s">
        <v>639</v>
      </c>
      <c r="R4" s="398" t="s">
        <v>1035</v>
      </c>
    </row>
    <row r="5" spans="1:18" ht="15" x14ac:dyDescent="0.25">
      <c r="A5" s="221" t="s">
        <v>194</v>
      </c>
      <c r="B5" s="221" t="s">
        <v>640</v>
      </c>
      <c r="C5" s="221" t="s">
        <v>642</v>
      </c>
      <c r="D5" s="399" t="s">
        <v>642</v>
      </c>
      <c r="E5" s="399" t="s">
        <v>643</v>
      </c>
      <c r="F5" s="399" t="s">
        <v>800</v>
      </c>
      <c r="H5" s="400">
        <v>10280</v>
      </c>
      <c r="I5" s="400">
        <v>10485.6</v>
      </c>
      <c r="J5" s="400">
        <v>10695.312</v>
      </c>
      <c r="K5" s="400">
        <v>10909.21824</v>
      </c>
      <c r="L5" s="400">
        <v>11127.4026048</v>
      </c>
      <c r="M5" s="400">
        <f>L5*(1+'LTFP Assumptions'!$H$13)</f>
        <v>11349.950656896001</v>
      </c>
      <c r="N5" s="400">
        <f>M5*(1+'LTFP Assumptions'!$H$13)</f>
        <v>11576.94967003392</v>
      </c>
      <c r="O5" s="400">
        <f>N5*(1+'LTFP Assumptions'!$H$13)</f>
        <v>11808.488663434598</v>
      </c>
      <c r="P5" s="400">
        <f>O5*(1+'LTFP Assumptions'!$H$13)</f>
        <v>12044.65843670329</v>
      </c>
      <c r="Q5" s="400">
        <f>P5*(1+'LTFP Assumptions'!$H$13)</f>
        <v>12285.551605437357</v>
      </c>
      <c r="R5" s="400">
        <f>Q5*(1+'LTFP Assumptions'!$H$13)</f>
        <v>12531.262637546104</v>
      </c>
    </row>
    <row r="6" spans="1:18" ht="15" x14ac:dyDescent="0.25">
      <c r="A6" s="221" t="s">
        <v>194</v>
      </c>
      <c r="B6" s="221" t="s">
        <v>640</v>
      </c>
      <c r="C6" s="221" t="s">
        <v>644</v>
      </c>
      <c r="D6" s="399" t="s">
        <v>644</v>
      </c>
      <c r="E6" s="399" t="s">
        <v>645</v>
      </c>
      <c r="F6" s="399" t="s">
        <v>800</v>
      </c>
      <c r="H6" s="400">
        <v>4626</v>
      </c>
      <c r="I6" s="400">
        <v>4718.5200000000004</v>
      </c>
      <c r="J6" s="400">
        <v>4812.8904000000002</v>
      </c>
      <c r="K6" s="400">
        <v>4909.1482080000005</v>
      </c>
      <c r="L6" s="400">
        <v>5007.3311721600003</v>
      </c>
      <c r="M6" s="400">
        <f>L6*(1+'LTFP Assumptions'!$H$13)</f>
        <v>5107.4777956032003</v>
      </c>
      <c r="N6" s="400">
        <f>M6*(1+'LTFP Assumptions'!$H$13)</f>
        <v>5209.6273515152643</v>
      </c>
      <c r="O6" s="400">
        <f>N6*(1+'LTFP Assumptions'!$H$13)</f>
        <v>5313.8198985455701</v>
      </c>
      <c r="P6" s="400">
        <f>O6*(1+'LTFP Assumptions'!$H$13)</f>
        <v>5420.0962965164817</v>
      </c>
      <c r="Q6" s="400">
        <f>P6*(1+'LTFP Assumptions'!$H$13)</f>
        <v>5528.4982224468113</v>
      </c>
      <c r="R6" s="400">
        <f>Q6*(1+'LTFP Assumptions'!$H$13)</f>
        <v>5639.0681868957472</v>
      </c>
    </row>
    <row r="7" spans="1:18" ht="15" x14ac:dyDescent="0.25">
      <c r="A7" s="221" t="s">
        <v>194</v>
      </c>
      <c r="B7" s="221" t="s">
        <v>640</v>
      </c>
      <c r="C7" s="221" t="s">
        <v>646</v>
      </c>
      <c r="D7" s="399" t="s">
        <v>646</v>
      </c>
      <c r="E7" s="399" t="s">
        <v>647</v>
      </c>
      <c r="F7" s="399" t="s">
        <v>800</v>
      </c>
      <c r="H7" s="400">
        <v>2000</v>
      </c>
      <c r="I7" s="400">
        <v>2040</v>
      </c>
      <c r="J7" s="400">
        <v>2080.8000000000002</v>
      </c>
      <c r="K7" s="400">
        <v>2122.4160000000002</v>
      </c>
      <c r="L7" s="400">
        <v>2164.8643200000001</v>
      </c>
      <c r="M7" s="400">
        <f>L7*(1+'LTFP Assumptions'!$H$13)</f>
        <v>2208.1616064</v>
      </c>
      <c r="N7" s="400">
        <f>M7*(1+'LTFP Assumptions'!$H$13)</f>
        <v>2252.3248385279999</v>
      </c>
      <c r="O7" s="400">
        <f>N7*(1+'LTFP Assumptions'!$H$13)</f>
        <v>2297.3713352985601</v>
      </c>
      <c r="P7" s="400">
        <f>O7*(1+'LTFP Assumptions'!$H$13)</f>
        <v>2343.3187620045314</v>
      </c>
      <c r="Q7" s="400">
        <f>P7*(1+'LTFP Assumptions'!$H$13)</f>
        <v>2390.1851372446222</v>
      </c>
      <c r="R7" s="400">
        <f>Q7*(1+'LTFP Assumptions'!$H$13)</f>
        <v>2437.9888399895149</v>
      </c>
    </row>
    <row r="8" spans="1:18" ht="15" x14ac:dyDescent="0.25">
      <c r="A8" s="221" t="s">
        <v>194</v>
      </c>
      <c r="B8" s="221" t="s">
        <v>640</v>
      </c>
      <c r="C8" s="221" t="s">
        <v>648</v>
      </c>
      <c r="D8" s="399" t="s">
        <v>648</v>
      </c>
      <c r="E8" s="399" t="s">
        <v>649</v>
      </c>
      <c r="F8" s="399" t="s">
        <v>800</v>
      </c>
      <c r="H8" s="400">
        <v>7402</v>
      </c>
      <c r="I8" s="400">
        <v>7550.04</v>
      </c>
      <c r="J8" s="400">
        <v>7701.0407999999998</v>
      </c>
      <c r="K8" s="400">
        <v>7855.061616</v>
      </c>
      <c r="L8" s="400">
        <v>8012.1628483200002</v>
      </c>
      <c r="M8" s="400">
        <f>L8*(1+'LTFP Assumptions'!$H$13)</f>
        <v>8172.4061052863999</v>
      </c>
      <c r="N8" s="400">
        <f>M8*(1+'LTFP Assumptions'!$H$13)</f>
        <v>8335.8542273921285</v>
      </c>
      <c r="O8" s="400">
        <f>N8*(1+'LTFP Assumptions'!$H$13)</f>
        <v>8502.5713119399716</v>
      </c>
      <c r="P8" s="400">
        <f>O8*(1+'LTFP Assumptions'!$H$13)</f>
        <v>8672.6227381787703</v>
      </c>
      <c r="Q8" s="400">
        <f>P8*(1+'LTFP Assumptions'!$H$13)</f>
        <v>8846.0751929423459</v>
      </c>
      <c r="R8" s="400">
        <f>Q8*(1+'LTFP Assumptions'!$H$13)</f>
        <v>9022.9966968011922</v>
      </c>
    </row>
    <row r="9" spans="1:18" ht="15" x14ac:dyDescent="0.25">
      <c r="A9" s="221" t="s">
        <v>194</v>
      </c>
      <c r="B9" s="221" t="s">
        <v>640</v>
      </c>
      <c r="C9" s="221" t="s">
        <v>650</v>
      </c>
      <c r="D9" s="399" t="s">
        <v>650</v>
      </c>
      <c r="E9" s="399" t="s">
        <v>651</v>
      </c>
      <c r="F9" s="399" t="s">
        <v>800</v>
      </c>
      <c r="H9" s="400">
        <v>7196</v>
      </c>
      <c r="I9" s="400">
        <v>7339.92</v>
      </c>
      <c r="J9" s="400">
        <v>7486.7184000000007</v>
      </c>
      <c r="K9" s="400">
        <v>7636.452768000001</v>
      </c>
      <c r="L9" s="400">
        <v>7789.1818233600015</v>
      </c>
      <c r="M9" s="400">
        <f>L9*(1+'LTFP Assumptions'!$H$13)</f>
        <v>7944.9654598272018</v>
      </c>
      <c r="N9" s="400">
        <f>M9*(1+'LTFP Assumptions'!$H$13)</f>
        <v>8103.8647690237458</v>
      </c>
      <c r="O9" s="400">
        <f>N9*(1+'LTFP Assumptions'!$H$13)</f>
        <v>8265.9420644042202</v>
      </c>
      <c r="P9" s="400">
        <f>O9*(1+'LTFP Assumptions'!$H$13)</f>
        <v>8431.2609056923047</v>
      </c>
      <c r="Q9" s="400">
        <f>P9*(1+'LTFP Assumptions'!$H$13)</f>
        <v>8599.8861238061509</v>
      </c>
      <c r="R9" s="400">
        <f>Q9*(1+'LTFP Assumptions'!$H$13)</f>
        <v>8771.8838462822732</v>
      </c>
    </row>
    <row r="10" spans="1:18" ht="15" x14ac:dyDescent="0.25">
      <c r="A10" s="221" t="s">
        <v>194</v>
      </c>
      <c r="B10" s="221" t="s">
        <v>640</v>
      </c>
      <c r="C10" s="221" t="s">
        <v>652</v>
      </c>
      <c r="D10" s="399" t="s">
        <v>652</v>
      </c>
      <c r="E10" s="399" t="s">
        <v>653</v>
      </c>
      <c r="F10" s="399" t="s">
        <v>800</v>
      </c>
      <c r="H10" s="400">
        <v>26500</v>
      </c>
      <c r="I10" s="400">
        <v>27030</v>
      </c>
      <c r="J10" s="400">
        <v>27570.600000000002</v>
      </c>
      <c r="K10" s="400">
        <v>28122.012000000002</v>
      </c>
      <c r="L10" s="400">
        <v>20000</v>
      </c>
      <c r="M10" s="400">
        <f>L10*(1+'LTFP Assumptions'!$H$13)</f>
        <v>20400</v>
      </c>
      <c r="N10" s="400">
        <f>M10*(1+'LTFP Assumptions'!$H$13)</f>
        <v>20808</v>
      </c>
      <c r="O10" s="400">
        <f>N10*(1+'LTFP Assumptions'!$H$13)</f>
        <v>21224.16</v>
      </c>
      <c r="P10" s="400">
        <f>O10*(1+'LTFP Assumptions'!$H$13)</f>
        <v>21648.643199999999</v>
      </c>
      <c r="Q10" s="400">
        <f>P10*(1+'LTFP Assumptions'!$H$13)</f>
        <v>22081.616063999998</v>
      </c>
      <c r="R10" s="400">
        <f>Q10*(1+'LTFP Assumptions'!$H$13)</f>
        <v>22523.24838528</v>
      </c>
    </row>
    <row r="11" spans="1:18" ht="15" x14ac:dyDescent="0.25">
      <c r="A11" s="221" t="s">
        <v>194</v>
      </c>
      <c r="B11" s="221" t="s">
        <v>640</v>
      </c>
      <c r="C11" s="221" t="s">
        <v>654</v>
      </c>
      <c r="D11" s="399" t="s">
        <v>654</v>
      </c>
      <c r="E11" s="399" t="s">
        <v>655</v>
      </c>
      <c r="F11" s="399" t="s">
        <v>800</v>
      </c>
      <c r="H11" s="400">
        <v>2570</v>
      </c>
      <c r="I11" s="400">
        <v>2621.4</v>
      </c>
      <c r="J11" s="400">
        <v>2673.828</v>
      </c>
      <c r="K11" s="400">
        <v>2727.30456</v>
      </c>
      <c r="L11" s="400">
        <v>2781.8506511999999</v>
      </c>
      <c r="M11" s="400">
        <f>L11*(1+'LTFP Assumptions'!$H$13)</f>
        <v>2837.4876642240001</v>
      </c>
      <c r="N11" s="400">
        <f>M11*(1+'LTFP Assumptions'!$H$13)</f>
        <v>2894.2374175084801</v>
      </c>
      <c r="O11" s="400">
        <f>N11*(1+'LTFP Assumptions'!$H$13)</f>
        <v>2952.1221658586496</v>
      </c>
      <c r="P11" s="400">
        <f>O11*(1+'LTFP Assumptions'!$H$13)</f>
        <v>3011.1646091758225</v>
      </c>
      <c r="Q11" s="400">
        <f>P11*(1+'LTFP Assumptions'!$H$13)</f>
        <v>3071.3879013593391</v>
      </c>
      <c r="R11" s="400">
        <f>Q11*(1+'LTFP Assumptions'!$H$13)</f>
        <v>3132.815659386526</v>
      </c>
    </row>
    <row r="12" spans="1:18" ht="15" x14ac:dyDescent="0.25">
      <c r="A12" s="221" t="s">
        <v>194</v>
      </c>
      <c r="B12" s="221" t="s">
        <v>640</v>
      </c>
      <c r="C12" s="221" t="s">
        <v>656</v>
      </c>
      <c r="D12" s="399" t="s">
        <v>656</v>
      </c>
      <c r="E12" s="399" t="s">
        <v>657</v>
      </c>
      <c r="F12" s="399" t="s">
        <v>800</v>
      </c>
      <c r="H12" s="400">
        <v>9046</v>
      </c>
      <c r="I12" s="400">
        <v>9226.92</v>
      </c>
      <c r="J12" s="400">
        <v>9411.4583999999995</v>
      </c>
      <c r="K12" s="400">
        <v>9599.6875679999994</v>
      </c>
      <c r="L12" s="400">
        <v>9791.6813193599992</v>
      </c>
      <c r="M12" s="400">
        <f>L12*(1+'LTFP Assumptions'!$H$13)</f>
        <v>9987.5149457471998</v>
      </c>
      <c r="N12" s="400">
        <f>M12*(1+'LTFP Assumptions'!$H$13)</f>
        <v>10187.265244662143</v>
      </c>
      <c r="O12" s="400">
        <f>N12*(1+'LTFP Assumptions'!$H$13)</f>
        <v>10391.010549555387</v>
      </c>
      <c r="P12" s="400">
        <f>O12*(1+'LTFP Assumptions'!$H$13)</f>
        <v>10598.830760546494</v>
      </c>
      <c r="Q12" s="400">
        <f>P12*(1+'LTFP Assumptions'!$H$13)</f>
        <v>10810.807375757424</v>
      </c>
      <c r="R12" s="400">
        <f>Q12*(1+'LTFP Assumptions'!$H$13)</f>
        <v>11027.023523272572</v>
      </c>
    </row>
    <row r="13" spans="1:18" ht="15" x14ac:dyDescent="0.25">
      <c r="A13" s="221" t="s">
        <v>658</v>
      </c>
      <c r="B13" s="221" t="s">
        <v>640</v>
      </c>
      <c r="C13" s="221" t="s">
        <v>659</v>
      </c>
      <c r="D13" s="399" t="s">
        <v>659</v>
      </c>
      <c r="E13" s="399" t="s">
        <v>660</v>
      </c>
      <c r="F13" s="399" t="s">
        <v>800</v>
      </c>
      <c r="H13" s="400">
        <v>9806.5</v>
      </c>
      <c r="I13" s="400">
        <v>10002.630000000001</v>
      </c>
      <c r="J13" s="400">
        <v>10202.682600000002</v>
      </c>
      <c r="K13" s="400">
        <v>10406.736252000002</v>
      </c>
      <c r="L13" s="400">
        <v>10614.870977040002</v>
      </c>
      <c r="M13" s="400">
        <f>L13*(1+'LTFP Assumptions'!$H$13)</f>
        <v>10827.168396580802</v>
      </c>
      <c r="N13" s="400">
        <f>M13*(1+'LTFP Assumptions'!$H$13)</f>
        <v>11043.711764512418</v>
      </c>
      <c r="O13" s="400">
        <f>N13*(1+'LTFP Assumptions'!$H$13)</f>
        <v>11264.585999802666</v>
      </c>
      <c r="P13" s="400">
        <f>O13*(1+'LTFP Assumptions'!$H$13)</f>
        <v>11489.87771979872</v>
      </c>
      <c r="Q13" s="400">
        <f>P13*(1+'LTFP Assumptions'!$H$13)</f>
        <v>11719.675274194695</v>
      </c>
      <c r="R13" s="400">
        <f>Q13*(1+'LTFP Assumptions'!$H$13)</f>
        <v>11954.06877967859</v>
      </c>
    </row>
    <row r="14" spans="1:18" ht="15" x14ac:dyDescent="0.25">
      <c r="A14" s="221" t="s">
        <v>194</v>
      </c>
      <c r="B14" s="221" t="s">
        <v>640</v>
      </c>
      <c r="C14" s="221" t="s">
        <v>661</v>
      </c>
      <c r="D14" s="399" t="s">
        <v>661</v>
      </c>
      <c r="E14" s="399" t="s">
        <v>662</v>
      </c>
      <c r="F14" s="399" t="s">
        <v>800</v>
      </c>
      <c r="H14" s="400">
        <v>27756</v>
      </c>
      <c r="I14" s="400">
        <v>28311.119999999999</v>
      </c>
      <c r="J14" s="400">
        <v>28877.342399999998</v>
      </c>
      <c r="K14" s="400">
        <v>29454.889247999999</v>
      </c>
      <c r="L14" s="400">
        <v>30043.987032960002</v>
      </c>
      <c r="M14" s="400">
        <f>L14*(1+'LTFP Assumptions'!$H$13)</f>
        <v>30644.866773619204</v>
      </c>
      <c r="N14" s="400">
        <f>M14*(1+'LTFP Assumptions'!$H$13)</f>
        <v>31257.764109091589</v>
      </c>
      <c r="O14" s="400">
        <f>N14*(1+'LTFP Assumptions'!$H$13)</f>
        <v>31882.919391273423</v>
      </c>
      <c r="P14" s="400">
        <f>O14*(1+'LTFP Assumptions'!$H$13)</f>
        <v>32520.57777909889</v>
      </c>
      <c r="Q14" s="400">
        <f>P14*(1+'LTFP Assumptions'!$H$13)</f>
        <v>33170.989334680868</v>
      </c>
      <c r="R14" s="400">
        <f>Q14*(1+'LTFP Assumptions'!$H$13)</f>
        <v>33834.409121374483</v>
      </c>
    </row>
    <row r="15" spans="1:18" ht="15" x14ac:dyDescent="0.25">
      <c r="A15" s="221" t="s">
        <v>194</v>
      </c>
      <c r="B15" s="221" t="s">
        <v>640</v>
      </c>
      <c r="C15" s="221" t="s">
        <v>663</v>
      </c>
      <c r="D15" s="399" t="s">
        <v>664</v>
      </c>
      <c r="E15" s="399" t="s">
        <v>665</v>
      </c>
      <c r="F15" s="399" t="s">
        <v>800</v>
      </c>
      <c r="H15" s="400">
        <v>1748</v>
      </c>
      <c r="I15" s="400">
        <v>1782.96</v>
      </c>
      <c r="J15" s="400">
        <v>1818.6192000000001</v>
      </c>
      <c r="K15" s="400">
        <v>1854.9915840000001</v>
      </c>
      <c r="L15" s="400">
        <v>1892.0914156800002</v>
      </c>
      <c r="M15" s="400">
        <f>L15*(1+'LTFP Assumptions'!$H$13)</f>
        <v>1929.9332439936002</v>
      </c>
      <c r="N15" s="400">
        <f>M15*(1+'LTFP Assumptions'!$H$13)</f>
        <v>1968.5319088734723</v>
      </c>
      <c r="O15" s="400">
        <f>N15*(1+'LTFP Assumptions'!$H$13)</f>
        <v>2007.9025470509418</v>
      </c>
      <c r="P15" s="400">
        <f>O15*(1+'LTFP Assumptions'!$H$13)</f>
        <v>2048.0605979919605</v>
      </c>
      <c r="Q15" s="400">
        <f>P15*(1+'LTFP Assumptions'!$H$13)</f>
        <v>2089.0218099517997</v>
      </c>
      <c r="R15" s="400">
        <f>Q15*(1+'LTFP Assumptions'!$H$13)</f>
        <v>2130.8022461508358</v>
      </c>
    </row>
    <row r="16" spans="1:18" ht="15" x14ac:dyDescent="0.25">
      <c r="A16" s="221" t="s">
        <v>194</v>
      </c>
      <c r="B16" s="221" t="s">
        <v>640</v>
      </c>
      <c r="C16" s="221" t="s">
        <v>664</v>
      </c>
      <c r="D16" s="399" t="s">
        <v>666</v>
      </c>
      <c r="E16" s="399" t="s">
        <v>667</v>
      </c>
      <c r="F16" s="399" t="s">
        <v>800</v>
      </c>
      <c r="H16" s="400">
        <v>514</v>
      </c>
      <c r="I16" s="400">
        <v>524.28</v>
      </c>
      <c r="J16" s="400">
        <v>534.76559999999995</v>
      </c>
      <c r="K16" s="400">
        <v>545.46091200000001</v>
      </c>
      <c r="L16" s="400">
        <v>556.37013023999998</v>
      </c>
      <c r="M16" s="400">
        <f>L16*(1+'LTFP Assumptions'!$H$13)</f>
        <v>567.49753284479993</v>
      </c>
      <c r="N16" s="400">
        <f>M16*(1+'LTFP Assumptions'!$H$13)</f>
        <v>578.84748350169593</v>
      </c>
      <c r="O16" s="400">
        <f>N16*(1+'LTFP Assumptions'!$H$13)</f>
        <v>590.4244331717299</v>
      </c>
      <c r="P16" s="400">
        <f>O16*(1+'LTFP Assumptions'!$H$13)</f>
        <v>602.23292183516446</v>
      </c>
      <c r="Q16" s="400">
        <f>P16*(1+'LTFP Assumptions'!$H$13)</f>
        <v>614.27758027186781</v>
      </c>
      <c r="R16" s="400">
        <f>Q16*(1+'LTFP Assumptions'!$H$13)</f>
        <v>626.56313187730518</v>
      </c>
    </row>
    <row r="17" spans="1:18" ht="15" x14ac:dyDescent="0.25">
      <c r="A17" s="221" t="s">
        <v>194</v>
      </c>
      <c r="B17" s="221" t="s">
        <v>640</v>
      </c>
      <c r="C17" s="221" t="s">
        <v>666</v>
      </c>
      <c r="D17" s="399" t="s">
        <v>668</v>
      </c>
      <c r="E17" s="399" t="s">
        <v>669</v>
      </c>
      <c r="F17" s="399" t="s">
        <v>800</v>
      </c>
      <c r="H17" s="400">
        <v>3598</v>
      </c>
      <c r="I17" s="400">
        <v>3669.96</v>
      </c>
      <c r="J17" s="400">
        <v>3743.3592000000003</v>
      </c>
      <c r="K17" s="400">
        <v>3818.2263840000005</v>
      </c>
      <c r="L17" s="400">
        <v>3894.5909116800008</v>
      </c>
      <c r="M17" s="400">
        <f>L17*(1+'LTFP Assumptions'!$H$13)</f>
        <v>3972.4827299136009</v>
      </c>
      <c r="N17" s="400">
        <f>M17*(1+'LTFP Assumptions'!$H$13)</f>
        <v>4051.9323845118729</v>
      </c>
      <c r="O17" s="400">
        <f>N17*(1+'LTFP Assumptions'!$H$13)</f>
        <v>4132.9710322021101</v>
      </c>
      <c r="P17" s="400">
        <f>O17*(1+'LTFP Assumptions'!$H$13)</f>
        <v>4215.6304528461524</v>
      </c>
      <c r="Q17" s="400">
        <f>P17*(1+'LTFP Assumptions'!$H$13)</f>
        <v>4299.9430619030754</v>
      </c>
      <c r="R17" s="400">
        <f>Q17*(1+'LTFP Assumptions'!$H$13)</f>
        <v>4385.9419231411366</v>
      </c>
    </row>
    <row r="18" spans="1:18" ht="15" x14ac:dyDescent="0.25">
      <c r="A18" s="221" t="s">
        <v>194</v>
      </c>
      <c r="B18" s="221" t="s">
        <v>640</v>
      </c>
      <c r="C18" s="221" t="s">
        <v>668</v>
      </c>
      <c r="D18" s="399" t="s">
        <v>670</v>
      </c>
      <c r="E18" s="399" t="s">
        <v>671</v>
      </c>
      <c r="F18" s="399" t="s">
        <v>800</v>
      </c>
      <c r="H18" s="400">
        <v>1028</v>
      </c>
      <c r="I18" s="400">
        <v>1048.56</v>
      </c>
      <c r="J18" s="400">
        <v>1069.5311999999999</v>
      </c>
      <c r="K18" s="400">
        <v>1090.921824</v>
      </c>
      <c r="L18" s="400">
        <v>1112.74026048</v>
      </c>
      <c r="M18" s="400">
        <f>L18*(1+'LTFP Assumptions'!$H$13)</f>
        <v>1134.9950656895999</v>
      </c>
      <c r="N18" s="400">
        <f>M18*(1+'LTFP Assumptions'!$H$13)</f>
        <v>1157.6949670033919</v>
      </c>
      <c r="O18" s="400">
        <f>N18*(1+'LTFP Assumptions'!$H$13)</f>
        <v>1180.8488663434598</v>
      </c>
      <c r="P18" s="400">
        <f>O18*(1+'LTFP Assumptions'!$H$13)</f>
        <v>1204.4658436703289</v>
      </c>
      <c r="Q18" s="400">
        <f>P18*(1+'LTFP Assumptions'!$H$13)</f>
        <v>1228.5551605437356</v>
      </c>
      <c r="R18" s="400">
        <f>Q18*(1+'LTFP Assumptions'!$H$13)</f>
        <v>1253.1262637546104</v>
      </c>
    </row>
    <row r="19" spans="1:18" ht="15" x14ac:dyDescent="0.25">
      <c r="A19" s="221" t="s">
        <v>194</v>
      </c>
      <c r="B19" s="221" t="s">
        <v>640</v>
      </c>
      <c r="C19" s="221" t="s">
        <v>670</v>
      </c>
      <c r="D19" s="399" t="s">
        <v>672</v>
      </c>
      <c r="E19" s="399" t="s">
        <v>673</v>
      </c>
      <c r="F19" s="399" t="s">
        <v>800</v>
      </c>
      <c r="H19" s="400">
        <v>3495</v>
      </c>
      <c r="I19" s="400">
        <v>3564.9</v>
      </c>
      <c r="J19" s="400">
        <v>3636.1980000000003</v>
      </c>
      <c r="K19" s="400">
        <v>3708.9219600000006</v>
      </c>
      <c r="L19" s="400">
        <v>3783.1003992000005</v>
      </c>
      <c r="M19" s="400">
        <f>L19*(1+'LTFP Assumptions'!$H$13)</f>
        <v>3858.7624071840005</v>
      </c>
      <c r="N19" s="400">
        <f>M19*(1+'LTFP Assumptions'!$H$13)</f>
        <v>3935.9376553276807</v>
      </c>
      <c r="O19" s="400">
        <f>N19*(1+'LTFP Assumptions'!$H$13)</f>
        <v>4014.6564084342344</v>
      </c>
      <c r="P19" s="400">
        <f>O19*(1+'LTFP Assumptions'!$H$13)</f>
        <v>4094.9495366029191</v>
      </c>
      <c r="Q19" s="400">
        <f>P19*(1+'LTFP Assumptions'!$H$13)</f>
        <v>4176.8485273349779</v>
      </c>
      <c r="R19" s="400">
        <f>Q19*(1+'LTFP Assumptions'!$H$13)</f>
        <v>4260.3854978816771</v>
      </c>
    </row>
    <row r="20" spans="1:18" ht="15" x14ac:dyDescent="0.25">
      <c r="A20" s="221" t="s">
        <v>194</v>
      </c>
      <c r="B20" s="221" t="s">
        <v>640</v>
      </c>
      <c r="C20" s="221" t="s">
        <v>672</v>
      </c>
      <c r="D20" s="399" t="s">
        <v>678</v>
      </c>
      <c r="E20" s="399" t="s">
        <v>679</v>
      </c>
      <c r="F20" s="399" t="s">
        <v>800</v>
      </c>
      <c r="H20" s="400">
        <v>6100</v>
      </c>
      <c r="I20" s="400">
        <v>6222</v>
      </c>
      <c r="J20" s="400">
        <v>6346.4400000000005</v>
      </c>
      <c r="K20" s="400">
        <v>6473.3688000000002</v>
      </c>
      <c r="L20" s="400">
        <v>6602.8361760000007</v>
      </c>
      <c r="M20" s="400">
        <f>L20*(1+'LTFP Assumptions'!$H$13)</f>
        <v>6734.8928995200013</v>
      </c>
      <c r="N20" s="400">
        <f>M20*(1+'LTFP Assumptions'!$H$13)</f>
        <v>6869.5907575104011</v>
      </c>
      <c r="O20" s="400">
        <f>N20*(1+'LTFP Assumptions'!$H$13)</f>
        <v>7006.9825726606095</v>
      </c>
      <c r="P20" s="400">
        <f>O20*(1+'LTFP Assumptions'!$H$13)</f>
        <v>7147.1222241138221</v>
      </c>
      <c r="Q20" s="400">
        <f>P20*(1+'LTFP Assumptions'!$H$13)</f>
        <v>7290.0646685960983</v>
      </c>
      <c r="R20" s="400">
        <f>Q20*(1+'LTFP Assumptions'!$H$13)</f>
        <v>7435.8659619680202</v>
      </c>
    </row>
    <row r="21" spans="1:18" ht="15" x14ac:dyDescent="0.25">
      <c r="A21" s="221" t="s">
        <v>194</v>
      </c>
      <c r="B21" s="221" t="s">
        <v>640</v>
      </c>
      <c r="C21" s="221" t="s">
        <v>674</v>
      </c>
      <c r="D21" s="399" t="s">
        <v>680</v>
      </c>
      <c r="E21" s="399" t="s">
        <v>681</v>
      </c>
      <c r="F21" s="399" t="s">
        <v>800</v>
      </c>
      <c r="H21" s="400">
        <v>3084</v>
      </c>
      <c r="I21" s="400">
        <v>3145.68</v>
      </c>
      <c r="J21" s="400">
        <v>3208.5935999999997</v>
      </c>
      <c r="K21" s="400">
        <v>3272.7654719999996</v>
      </c>
      <c r="L21" s="400">
        <v>3338.2207814399994</v>
      </c>
      <c r="M21" s="400">
        <f>L21*(1+'LTFP Assumptions'!$H$13)</f>
        <v>3404.9851970687996</v>
      </c>
      <c r="N21" s="400">
        <f>M21*(1+'LTFP Assumptions'!$H$13)</f>
        <v>3473.0849010101756</v>
      </c>
      <c r="O21" s="400">
        <f>N21*(1+'LTFP Assumptions'!$H$13)</f>
        <v>3542.5465990303792</v>
      </c>
      <c r="P21" s="400">
        <f>O21*(1+'LTFP Assumptions'!$H$13)</f>
        <v>3613.3975310109868</v>
      </c>
      <c r="Q21" s="400">
        <f>P21*(1+'LTFP Assumptions'!$H$13)</f>
        <v>3685.6654816312066</v>
      </c>
      <c r="R21" s="400">
        <f>Q21*(1+'LTFP Assumptions'!$H$13)</f>
        <v>3759.3787912638309</v>
      </c>
    </row>
    <row r="22" spans="1:18" ht="15" x14ac:dyDescent="0.25">
      <c r="A22" s="221" t="s">
        <v>194</v>
      </c>
      <c r="B22" s="221" t="s">
        <v>640</v>
      </c>
      <c r="C22" s="221" t="s">
        <v>675</v>
      </c>
      <c r="D22" s="399" t="s">
        <v>682</v>
      </c>
      <c r="E22" s="399" t="s">
        <v>683</v>
      </c>
      <c r="F22" s="399" t="s">
        <v>800</v>
      </c>
      <c r="H22" s="400">
        <v>39000</v>
      </c>
      <c r="I22" s="400">
        <v>39780</v>
      </c>
      <c r="J22" s="400">
        <v>40575.599999999999</v>
      </c>
      <c r="K22" s="400">
        <v>41387.112000000001</v>
      </c>
      <c r="L22" s="400">
        <v>42214.854240000001</v>
      </c>
      <c r="M22" s="400">
        <f>L22*(1+'LTFP Assumptions'!$H$13)</f>
        <v>43059.151324800005</v>
      </c>
      <c r="N22" s="400">
        <f>M22*(1+'LTFP Assumptions'!$H$13)</f>
        <v>43920.334351296005</v>
      </c>
      <c r="O22" s="400">
        <f>N22*(1+'LTFP Assumptions'!$H$13)</f>
        <v>44798.741038321925</v>
      </c>
      <c r="P22" s="400">
        <f>O22*(1+'LTFP Assumptions'!$H$13)</f>
        <v>45694.715859088363</v>
      </c>
      <c r="Q22" s="400">
        <f>P22*(1+'LTFP Assumptions'!$H$13)</f>
        <v>46608.610176270129</v>
      </c>
      <c r="R22" s="400">
        <f>Q22*(1+'LTFP Assumptions'!$H$13)</f>
        <v>47540.782379795535</v>
      </c>
    </row>
    <row r="23" spans="1:18" ht="15" x14ac:dyDescent="0.25">
      <c r="A23" s="221" t="s">
        <v>194</v>
      </c>
      <c r="B23" s="221" t="s">
        <v>640</v>
      </c>
      <c r="C23" s="221" t="s">
        <v>676</v>
      </c>
      <c r="D23" s="399" t="s">
        <v>684</v>
      </c>
      <c r="E23" s="399" t="s">
        <v>685</v>
      </c>
      <c r="F23" s="399" t="s">
        <v>800</v>
      </c>
      <c r="H23" s="400">
        <v>31354</v>
      </c>
      <c r="I23" s="400">
        <v>31981.08</v>
      </c>
      <c r="J23" s="400">
        <v>32620.701600000004</v>
      </c>
      <c r="K23" s="400">
        <v>33273.115632000008</v>
      </c>
      <c r="L23" s="400">
        <v>33938.577944640012</v>
      </c>
      <c r="M23" s="400">
        <f>L23*(1+'LTFP Assumptions'!$H$13)</f>
        <v>34617.349503532816</v>
      </c>
      <c r="N23" s="400">
        <f>M23*(1+'LTFP Assumptions'!$H$13)</f>
        <v>35309.696493603471</v>
      </c>
      <c r="O23" s="400">
        <f>N23*(1+'LTFP Assumptions'!$H$13)</f>
        <v>36015.890423475539</v>
      </c>
      <c r="P23" s="400">
        <f>O23*(1+'LTFP Assumptions'!$H$13)</f>
        <v>36736.208231945049</v>
      </c>
      <c r="Q23" s="400">
        <f>P23*(1+'LTFP Assumptions'!$H$13)</f>
        <v>37470.93239658395</v>
      </c>
      <c r="R23" s="400">
        <f>Q23*(1+'LTFP Assumptions'!$H$13)</f>
        <v>38220.351044515628</v>
      </c>
    </row>
    <row r="24" spans="1:18" ht="15" x14ac:dyDescent="0.25">
      <c r="A24" s="221" t="s">
        <v>194</v>
      </c>
      <c r="B24" s="221" t="s">
        <v>640</v>
      </c>
      <c r="C24" s="221" t="s">
        <v>677</v>
      </c>
      <c r="D24" s="399" t="s">
        <v>688</v>
      </c>
      <c r="E24" s="399" t="s">
        <v>689</v>
      </c>
      <c r="F24" s="401" t="s">
        <v>800</v>
      </c>
      <c r="H24" s="400">
        <v>0</v>
      </c>
      <c r="I24" s="400">
        <v>25000</v>
      </c>
      <c r="J24" s="400">
        <v>25500</v>
      </c>
      <c r="K24" s="400">
        <v>26010</v>
      </c>
      <c r="L24" s="400">
        <v>26530.2</v>
      </c>
      <c r="M24" s="400">
        <f>L24*(1+'LTFP Assumptions'!$H$13)</f>
        <v>27060.804</v>
      </c>
      <c r="N24" s="400">
        <f>M24*(1+'LTFP Assumptions'!$H$13)</f>
        <v>27602.020080000002</v>
      </c>
      <c r="O24" s="400">
        <f>N24*(1+'LTFP Assumptions'!$H$13)</f>
        <v>28154.060481600001</v>
      </c>
      <c r="P24" s="400">
        <f>O24*(1+'LTFP Assumptions'!$H$13)</f>
        <v>28717.141691232002</v>
      </c>
      <c r="Q24" s="400">
        <f>P24*(1+'LTFP Assumptions'!$H$13)</f>
        <v>29291.484525056643</v>
      </c>
      <c r="R24" s="400">
        <f>Q24*(1+'LTFP Assumptions'!$H$13)</f>
        <v>29877.314215557777</v>
      </c>
    </row>
    <row r="25" spans="1:18" ht="15" x14ac:dyDescent="0.25">
      <c r="A25" s="221" t="s">
        <v>194</v>
      </c>
      <c r="B25" s="221" t="s">
        <v>640</v>
      </c>
      <c r="C25" s="221" t="s">
        <v>678</v>
      </c>
      <c r="D25" s="399" t="s">
        <v>691</v>
      </c>
      <c r="E25" s="399" t="s">
        <v>692</v>
      </c>
      <c r="F25" s="399" t="s">
        <v>800</v>
      </c>
      <c r="H25" s="400">
        <v>30840</v>
      </c>
      <c r="I25" s="400">
        <v>31456.799999999999</v>
      </c>
      <c r="J25" s="400">
        <v>32085.936000000002</v>
      </c>
      <c r="K25" s="400">
        <v>32727.654720000002</v>
      </c>
      <c r="L25" s="400">
        <v>33382.207814400004</v>
      </c>
      <c r="M25" s="400">
        <f>L25*(1+'LTFP Assumptions'!$H$13)</f>
        <v>34049.851970688003</v>
      </c>
      <c r="N25" s="400">
        <f>M25*(1+'LTFP Assumptions'!$H$13)</f>
        <v>34730.849010101767</v>
      </c>
      <c r="O25" s="400">
        <f>N25*(1+'LTFP Assumptions'!$H$13)</f>
        <v>35425.465990303805</v>
      </c>
      <c r="P25" s="400">
        <f>O25*(1+'LTFP Assumptions'!$H$13)</f>
        <v>36133.975310109883</v>
      </c>
      <c r="Q25" s="400">
        <f>P25*(1+'LTFP Assumptions'!$H$13)</f>
        <v>36856.654816312082</v>
      </c>
      <c r="R25" s="400">
        <f>Q25*(1+'LTFP Assumptions'!$H$13)</f>
        <v>37593.787912638327</v>
      </c>
    </row>
    <row r="26" spans="1:18" ht="15" x14ac:dyDescent="0.25">
      <c r="A26" s="221" t="s">
        <v>194</v>
      </c>
      <c r="B26" s="221" t="s">
        <v>640</v>
      </c>
      <c r="C26" s="221" t="s">
        <v>680</v>
      </c>
      <c r="D26" s="399" t="s">
        <v>698</v>
      </c>
      <c r="E26" s="399" t="s">
        <v>699</v>
      </c>
      <c r="F26" s="399" t="s">
        <v>800</v>
      </c>
      <c r="H26" s="400">
        <v>85838</v>
      </c>
      <c r="I26" s="400">
        <v>87554.76</v>
      </c>
      <c r="J26" s="400">
        <v>89305.855199999991</v>
      </c>
      <c r="K26" s="400">
        <v>91091.972303999995</v>
      </c>
      <c r="L26" s="400">
        <v>92913.81175008</v>
      </c>
      <c r="M26" s="400">
        <f>L26*(1+'LTFP Assumptions'!$H$13)</f>
        <v>94772.087985081598</v>
      </c>
      <c r="N26" s="400">
        <f>M26*(1+'LTFP Assumptions'!$H$13)</f>
        <v>96667.529744783227</v>
      </c>
      <c r="O26" s="400">
        <f>N26*(1+'LTFP Assumptions'!$H$13)</f>
        <v>98600.880339678886</v>
      </c>
      <c r="P26" s="400">
        <f>O26*(1+'LTFP Assumptions'!$H$13)</f>
        <v>100572.89794647247</v>
      </c>
      <c r="Q26" s="400">
        <f>P26*(1+'LTFP Assumptions'!$H$13)</f>
        <v>102584.35590540191</v>
      </c>
      <c r="R26" s="400">
        <f>Q26*(1+'LTFP Assumptions'!$H$13)</f>
        <v>104636.04302350995</v>
      </c>
    </row>
    <row r="27" spans="1:18" ht="15" x14ac:dyDescent="0.25">
      <c r="A27" s="221" t="s">
        <v>194</v>
      </c>
      <c r="B27" s="221" t="s">
        <v>640</v>
      </c>
      <c r="C27" s="221" t="s">
        <v>682</v>
      </c>
      <c r="D27" s="399" t="s">
        <v>705</v>
      </c>
      <c r="E27" s="399" t="s">
        <v>706</v>
      </c>
      <c r="F27" s="399" t="s">
        <v>800</v>
      </c>
      <c r="H27" s="400">
        <v>10280</v>
      </c>
      <c r="I27" s="400">
        <v>10485.6</v>
      </c>
      <c r="J27" s="400">
        <v>10695.312</v>
      </c>
      <c r="K27" s="400">
        <v>10909.21824</v>
      </c>
      <c r="L27" s="400">
        <v>11127.4026048</v>
      </c>
      <c r="M27" s="400">
        <f>L27*(1+'LTFP Assumptions'!$H$13)</f>
        <v>11349.950656896001</v>
      </c>
      <c r="N27" s="400">
        <f>M27*(1+'LTFP Assumptions'!$H$13)</f>
        <v>11576.94967003392</v>
      </c>
      <c r="O27" s="400">
        <f>N27*(1+'LTFP Assumptions'!$H$13)</f>
        <v>11808.488663434598</v>
      </c>
      <c r="P27" s="400">
        <f>O27*(1+'LTFP Assumptions'!$H$13)</f>
        <v>12044.65843670329</v>
      </c>
      <c r="Q27" s="400">
        <f>P27*(1+'LTFP Assumptions'!$H$13)</f>
        <v>12285.551605437357</v>
      </c>
      <c r="R27" s="400">
        <f>Q27*(1+'LTFP Assumptions'!$H$13)</f>
        <v>12531.262637546104</v>
      </c>
    </row>
    <row r="28" spans="1:18" ht="15" x14ac:dyDescent="0.25">
      <c r="A28" s="221" t="s">
        <v>194</v>
      </c>
      <c r="B28" s="221" t="s">
        <v>640</v>
      </c>
      <c r="C28" s="221" t="s">
        <v>684</v>
      </c>
      <c r="D28" s="399" t="s">
        <v>708</v>
      </c>
      <c r="E28" s="399" t="s">
        <v>709</v>
      </c>
      <c r="F28" s="399" t="s">
        <v>800</v>
      </c>
      <c r="H28" s="400">
        <v>23400</v>
      </c>
      <c r="I28" s="400">
        <v>23868</v>
      </c>
      <c r="J28" s="400">
        <v>24345.360000000001</v>
      </c>
      <c r="K28" s="400">
        <v>24832.267200000002</v>
      </c>
      <c r="L28" s="400">
        <v>25328.912544000003</v>
      </c>
      <c r="M28" s="400">
        <f>L28*(1+'LTFP Assumptions'!$H$13)</f>
        <v>25835.490794880003</v>
      </c>
      <c r="N28" s="400">
        <f>M28*(1+'LTFP Assumptions'!$H$13)</f>
        <v>26352.200610777603</v>
      </c>
      <c r="O28" s="400">
        <f>N28*(1+'LTFP Assumptions'!$H$13)</f>
        <v>26879.244622993156</v>
      </c>
      <c r="P28" s="400">
        <f>O28*(1+'LTFP Assumptions'!$H$13)</f>
        <v>27416.829515453021</v>
      </c>
      <c r="Q28" s="400">
        <f>P28*(1+'LTFP Assumptions'!$H$13)</f>
        <v>27965.16610576208</v>
      </c>
      <c r="R28" s="400">
        <f>Q28*(1+'LTFP Assumptions'!$H$13)</f>
        <v>28524.469427877324</v>
      </c>
    </row>
    <row r="29" spans="1:18" ht="15" x14ac:dyDescent="0.25">
      <c r="A29" s="221" t="s">
        <v>686</v>
      </c>
      <c r="B29" s="221" t="s">
        <v>640</v>
      </c>
      <c r="C29" s="221" t="s">
        <v>687</v>
      </c>
      <c r="D29" s="399" t="s">
        <v>710</v>
      </c>
      <c r="E29" s="399" t="s">
        <v>711</v>
      </c>
      <c r="F29" s="399" t="s">
        <v>800</v>
      </c>
      <c r="H29" s="400">
        <v>7196</v>
      </c>
      <c r="I29" s="400">
        <v>7339.92</v>
      </c>
      <c r="J29" s="400">
        <v>7486.7184000000007</v>
      </c>
      <c r="K29" s="400">
        <v>7636.452768000001</v>
      </c>
      <c r="L29" s="400">
        <v>7789.1818233600015</v>
      </c>
      <c r="M29" s="400">
        <f>L29*(1+'LTFP Assumptions'!$H$13)</f>
        <v>7944.9654598272018</v>
      </c>
      <c r="N29" s="400">
        <f>M29*(1+'LTFP Assumptions'!$H$13)</f>
        <v>8103.8647690237458</v>
      </c>
      <c r="O29" s="400">
        <f>N29*(1+'LTFP Assumptions'!$H$13)</f>
        <v>8265.9420644042202</v>
      </c>
      <c r="P29" s="400">
        <f>O29*(1+'LTFP Assumptions'!$H$13)</f>
        <v>8431.2609056923047</v>
      </c>
      <c r="Q29" s="400">
        <f>P29*(1+'LTFP Assumptions'!$H$13)</f>
        <v>8599.8861238061509</v>
      </c>
      <c r="R29" s="400">
        <f>Q29*(1+'LTFP Assumptions'!$H$13)</f>
        <v>8771.8838462822732</v>
      </c>
    </row>
    <row r="30" spans="1:18" ht="15" x14ac:dyDescent="0.25">
      <c r="A30" s="221" t="s">
        <v>194</v>
      </c>
      <c r="B30" s="221" t="s">
        <v>640</v>
      </c>
      <c r="C30" s="221" t="s">
        <v>688</v>
      </c>
      <c r="D30" s="399" t="s">
        <v>712</v>
      </c>
      <c r="E30" s="399" t="s">
        <v>713</v>
      </c>
      <c r="F30" s="399" t="s">
        <v>800</v>
      </c>
      <c r="H30" s="400">
        <v>1028</v>
      </c>
      <c r="I30" s="400">
        <v>1048.56</v>
      </c>
      <c r="J30" s="400">
        <v>1069.5311999999999</v>
      </c>
      <c r="K30" s="400">
        <v>1090.921824</v>
      </c>
      <c r="L30" s="400">
        <v>1112.74026048</v>
      </c>
      <c r="M30" s="400">
        <f>L30*(1+'LTFP Assumptions'!$H$13)</f>
        <v>1134.9950656895999</v>
      </c>
      <c r="N30" s="400">
        <f>M30*(1+'LTFP Assumptions'!$H$13)</f>
        <v>1157.6949670033919</v>
      </c>
      <c r="O30" s="400">
        <f>N30*(1+'LTFP Assumptions'!$H$13)</f>
        <v>1180.8488663434598</v>
      </c>
      <c r="P30" s="400">
        <f>O30*(1+'LTFP Assumptions'!$H$13)</f>
        <v>1204.4658436703289</v>
      </c>
      <c r="Q30" s="400">
        <f>P30*(1+'LTFP Assumptions'!$H$13)</f>
        <v>1228.5551605437356</v>
      </c>
      <c r="R30" s="400">
        <f>Q30*(1+'LTFP Assumptions'!$H$13)</f>
        <v>1253.1262637546104</v>
      </c>
    </row>
    <row r="31" spans="1:18" ht="15" x14ac:dyDescent="0.25">
      <c r="A31" s="221" t="s">
        <v>690</v>
      </c>
      <c r="B31" s="221" t="s">
        <v>640</v>
      </c>
      <c r="C31" s="221" t="s">
        <v>691</v>
      </c>
      <c r="D31" s="399" t="s">
        <v>714</v>
      </c>
      <c r="E31" s="399" t="s">
        <v>715</v>
      </c>
      <c r="F31" s="399" t="s">
        <v>800</v>
      </c>
      <c r="H31" s="400">
        <v>4112</v>
      </c>
      <c r="I31" s="400">
        <v>4194.24</v>
      </c>
      <c r="J31" s="400">
        <v>4278.1247999999996</v>
      </c>
      <c r="K31" s="400">
        <v>4363.6872960000001</v>
      </c>
      <c r="L31" s="400">
        <v>4450.9610419199998</v>
      </c>
      <c r="M31" s="400">
        <f>L31*(1+'LTFP Assumptions'!$H$13)</f>
        <v>4539.9802627583995</v>
      </c>
      <c r="N31" s="400">
        <f>M31*(1+'LTFP Assumptions'!$H$13)</f>
        <v>4630.7798680135675</v>
      </c>
      <c r="O31" s="400">
        <f>N31*(1+'LTFP Assumptions'!$H$13)</f>
        <v>4723.3954653738392</v>
      </c>
      <c r="P31" s="400">
        <f>O31*(1+'LTFP Assumptions'!$H$13)</f>
        <v>4817.8633746813157</v>
      </c>
      <c r="Q31" s="400">
        <f>P31*(1+'LTFP Assumptions'!$H$13)</f>
        <v>4914.2206421749424</v>
      </c>
      <c r="R31" s="400">
        <f>Q31*(1+'LTFP Assumptions'!$H$13)</f>
        <v>5012.5050550184415</v>
      </c>
    </row>
    <row r="32" spans="1:18" ht="15" x14ac:dyDescent="0.25">
      <c r="A32" s="221" t="s">
        <v>693</v>
      </c>
      <c r="B32" s="221" t="s">
        <v>640</v>
      </c>
      <c r="C32" s="221" t="s">
        <v>694</v>
      </c>
      <c r="D32" s="399" t="s">
        <v>717</v>
      </c>
      <c r="E32" s="399" t="s">
        <v>718</v>
      </c>
      <c r="F32" s="399" t="s">
        <v>800</v>
      </c>
      <c r="H32" s="400">
        <v>3687.95</v>
      </c>
      <c r="I32" s="400">
        <v>3761.7089999999998</v>
      </c>
      <c r="J32" s="400">
        <v>3836.9431799999998</v>
      </c>
      <c r="K32" s="400">
        <v>3913.6820435999998</v>
      </c>
      <c r="L32" s="400">
        <v>3991.955684472</v>
      </c>
      <c r="M32" s="400">
        <f>L32*(1+'LTFP Assumptions'!$H$13)</f>
        <v>4071.7947981614402</v>
      </c>
      <c r="N32" s="400">
        <f>M32*(1+'LTFP Assumptions'!$H$13)</f>
        <v>4153.2306941246688</v>
      </c>
      <c r="O32" s="400">
        <f>N32*(1+'LTFP Assumptions'!$H$13)</f>
        <v>4236.295308007162</v>
      </c>
      <c r="P32" s="400">
        <f>O32*(1+'LTFP Assumptions'!$H$13)</f>
        <v>4321.0212141673055</v>
      </c>
      <c r="Q32" s="400">
        <f>P32*(1+'LTFP Assumptions'!$H$13)</f>
        <v>4407.4416384506521</v>
      </c>
      <c r="R32" s="400">
        <f>Q32*(1+'LTFP Assumptions'!$H$13)</f>
        <v>4495.5904712196652</v>
      </c>
    </row>
    <row r="33" spans="1:18" ht="15" x14ac:dyDescent="0.25">
      <c r="A33" s="221" t="s">
        <v>695</v>
      </c>
      <c r="B33" s="221" t="s">
        <v>640</v>
      </c>
      <c r="C33" s="221" t="s">
        <v>696</v>
      </c>
      <c r="D33" s="399" t="s">
        <v>719</v>
      </c>
      <c r="E33" s="399" t="s">
        <v>720</v>
      </c>
      <c r="F33" s="399" t="s">
        <v>800</v>
      </c>
      <c r="H33" s="400">
        <v>526.84999999999991</v>
      </c>
      <c r="I33" s="400">
        <v>537.38699999999994</v>
      </c>
      <c r="J33" s="400">
        <v>548.13473999999997</v>
      </c>
      <c r="K33" s="400">
        <v>559.09743479999997</v>
      </c>
      <c r="L33" s="400">
        <v>570.27938349600004</v>
      </c>
      <c r="M33" s="400">
        <f>L33*(1+'LTFP Assumptions'!$H$13)</f>
        <v>581.68497116592005</v>
      </c>
      <c r="N33" s="400">
        <f>M33*(1+'LTFP Assumptions'!$H$13)</f>
        <v>593.31867058923842</v>
      </c>
      <c r="O33" s="400">
        <f>N33*(1+'LTFP Assumptions'!$H$13)</f>
        <v>605.18504400102324</v>
      </c>
      <c r="P33" s="400">
        <f>O33*(1+'LTFP Assumptions'!$H$13)</f>
        <v>617.28874488104373</v>
      </c>
      <c r="Q33" s="400">
        <f>P33*(1+'LTFP Assumptions'!$H$13)</f>
        <v>629.63451977866464</v>
      </c>
      <c r="R33" s="400">
        <f>Q33*(1+'LTFP Assumptions'!$H$13)</f>
        <v>642.22721017423794</v>
      </c>
    </row>
    <row r="34" spans="1:18" ht="15" x14ac:dyDescent="0.25">
      <c r="A34" s="221" t="s">
        <v>202</v>
      </c>
      <c r="B34" s="221" t="s">
        <v>640</v>
      </c>
      <c r="C34" s="221" t="s">
        <v>697</v>
      </c>
      <c r="D34" s="399" t="s">
        <v>721</v>
      </c>
      <c r="E34" s="399" t="s">
        <v>722</v>
      </c>
      <c r="F34" s="399" t="s">
        <v>800</v>
      </c>
      <c r="H34" s="400">
        <v>421.27499999999998</v>
      </c>
      <c r="I34" s="400">
        <v>429.70049999999998</v>
      </c>
      <c r="J34" s="400">
        <v>438.29451</v>
      </c>
      <c r="K34" s="400">
        <v>447.0604002</v>
      </c>
      <c r="L34" s="400">
        <v>456.00160820400004</v>
      </c>
      <c r="M34" s="400">
        <f>L34*(1+'LTFP Assumptions'!$H$13)</f>
        <v>465.12164036808002</v>
      </c>
      <c r="N34" s="400">
        <f>M34*(1+'LTFP Assumptions'!$H$13)</f>
        <v>474.42407317544161</v>
      </c>
      <c r="O34" s="400">
        <f>N34*(1+'LTFP Assumptions'!$H$13)</f>
        <v>483.91255463895044</v>
      </c>
      <c r="P34" s="400">
        <f>O34*(1+'LTFP Assumptions'!$H$13)</f>
        <v>493.59080573172946</v>
      </c>
      <c r="Q34" s="400">
        <f>P34*(1+'LTFP Assumptions'!$H$13)</f>
        <v>503.46262184636407</v>
      </c>
      <c r="R34" s="400">
        <f>Q34*(1+'LTFP Assumptions'!$H$13)</f>
        <v>513.53187428329136</v>
      </c>
    </row>
    <row r="35" spans="1:18" ht="15" x14ac:dyDescent="0.25">
      <c r="A35" s="221" t="s">
        <v>205</v>
      </c>
      <c r="B35" s="221" t="s">
        <v>640</v>
      </c>
      <c r="C35" s="221" t="s">
        <v>698</v>
      </c>
      <c r="D35" s="399" t="s">
        <v>723</v>
      </c>
      <c r="E35" s="399" t="s">
        <v>724</v>
      </c>
      <c r="F35" s="399" t="s">
        <v>800</v>
      </c>
      <c r="H35" s="400">
        <v>526.84999999999991</v>
      </c>
      <c r="I35" s="400">
        <v>537.38699999999994</v>
      </c>
      <c r="J35" s="400">
        <v>548.13473999999997</v>
      </c>
      <c r="K35" s="400">
        <v>559.09743479999997</v>
      </c>
      <c r="L35" s="400">
        <v>570.27938349600004</v>
      </c>
      <c r="M35" s="400">
        <f>L35*(1+'LTFP Assumptions'!$H$13)</f>
        <v>581.68497116592005</v>
      </c>
      <c r="N35" s="400">
        <f>M35*(1+'LTFP Assumptions'!$H$13)</f>
        <v>593.31867058923842</v>
      </c>
      <c r="O35" s="400">
        <f>N35*(1+'LTFP Assumptions'!$H$13)</f>
        <v>605.18504400102324</v>
      </c>
      <c r="P35" s="400">
        <f>O35*(1+'LTFP Assumptions'!$H$13)</f>
        <v>617.28874488104373</v>
      </c>
      <c r="Q35" s="400">
        <f>P35*(1+'LTFP Assumptions'!$H$13)</f>
        <v>629.63451977866464</v>
      </c>
      <c r="R35" s="400">
        <f>Q35*(1+'LTFP Assumptions'!$H$13)</f>
        <v>642.22721017423794</v>
      </c>
    </row>
    <row r="36" spans="1:18" ht="15" x14ac:dyDescent="0.25">
      <c r="A36" s="221" t="s">
        <v>700</v>
      </c>
      <c r="B36" s="221" t="s">
        <v>640</v>
      </c>
      <c r="C36" s="221" t="s">
        <v>701</v>
      </c>
      <c r="D36" s="399" t="s">
        <v>726</v>
      </c>
      <c r="E36" s="399" t="s">
        <v>727</v>
      </c>
      <c r="F36" s="399" t="s">
        <v>800</v>
      </c>
      <c r="H36" s="400">
        <v>632.42499999999995</v>
      </c>
      <c r="I36" s="400">
        <v>645.07349999999997</v>
      </c>
      <c r="J36" s="400">
        <v>657.97496999999998</v>
      </c>
      <c r="K36" s="400">
        <v>671.13446939999994</v>
      </c>
      <c r="L36" s="400">
        <v>684.55715878799992</v>
      </c>
      <c r="M36" s="400">
        <f>L36*(1+'LTFP Assumptions'!$H$13)</f>
        <v>698.2483019637599</v>
      </c>
      <c r="N36" s="400">
        <f>M36*(1+'LTFP Assumptions'!$H$13)</f>
        <v>712.21326800303507</v>
      </c>
      <c r="O36" s="400">
        <f>N36*(1+'LTFP Assumptions'!$H$13)</f>
        <v>726.45753336309576</v>
      </c>
      <c r="P36" s="400">
        <f>O36*(1+'LTFP Assumptions'!$H$13)</f>
        <v>740.98668403035765</v>
      </c>
      <c r="Q36" s="400">
        <f>P36*(1+'LTFP Assumptions'!$H$13)</f>
        <v>755.80641771096487</v>
      </c>
      <c r="R36" s="400">
        <f>Q36*(1+'LTFP Assumptions'!$H$13)</f>
        <v>770.92254606518418</v>
      </c>
    </row>
    <row r="37" spans="1:18" ht="15" x14ac:dyDescent="0.25">
      <c r="A37" s="221" t="s">
        <v>702</v>
      </c>
      <c r="B37" s="221" t="s">
        <v>640</v>
      </c>
      <c r="C37" s="221" t="s">
        <v>703</v>
      </c>
      <c r="D37" s="399" t="s">
        <v>729</v>
      </c>
      <c r="E37" s="399" t="s">
        <v>730</v>
      </c>
      <c r="F37" s="399" t="s">
        <v>800</v>
      </c>
      <c r="H37" s="400">
        <v>90000</v>
      </c>
      <c r="I37" s="400">
        <v>91800</v>
      </c>
      <c r="J37" s="400">
        <v>93636</v>
      </c>
      <c r="K37" s="400">
        <v>95508.72</v>
      </c>
      <c r="L37" s="400">
        <v>97418.894400000005</v>
      </c>
      <c r="M37" s="400">
        <f>L37*(1+'LTFP Assumptions'!$H$13)</f>
        <v>99367.272288000007</v>
      </c>
      <c r="N37" s="400">
        <f>M37*(1+'LTFP Assumptions'!$H$13)</f>
        <v>101354.61773376001</v>
      </c>
      <c r="O37" s="400">
        <f>N37*(1+'LTFP Assumptions'!$H$13)</f>
        <v>103381.71008843521</v>
      </c>
      <c r="P37" s="400">
        <f>O37*(1+'LTFP Assumptions'!$H$13)</f>
        <v>105449.34429020392</v>
      </c>
      <c r="Q37" s="400">
        <f>P37*(1+'LTFP Assumptions'!$H$13)</f>
        <v>107558.33117600801</v>
      </c>
      <c r="R37" s="400">
        <f>Q37*(1+'LTFP Assumptions'!$H$13)</f>
        <v>109709.49779952817</v>
      </c>
    </row>
    <row r="38" spans="1:18" ht="15" x14ac:dyDescent="0.25">
      <c r="A38" s="221" t="s">
        <v>704</v>
      </c>
      <c r="B38" s="221" t="s">
        <v>640</v>
      </c>
      <c r="C38" s="221" t="s">
        <v>705</v>
      </c>
      <c r="D38" s="399" t="s">
        <v>731</v>
      </c>
      <c r="E38" s="399" t="s">
        <v>732</v>
      </c>
      <c r="F38" s="399" t="s">
        <v>800</v>
      </c>
      <c r="H38" s="400">
        <v>526.84999999999991</v>
      </c>
      <c r="I38" s="400">
        <v>537.38699999999994</v>
      </c>
      <c r="J38" s="400">
        <v>548.13473999999997</v>
      </c>
      <c r="K38" s="400">
        <v>559.09743479999997</v>
      </c>
      <c r="L38" s="400">
        <v>570.27938349600004</v>
      </c>
      <c r="M38" s="400">
        <f>L38*(1+'LTFP Assumptions'!$H$13)</f>
        <v>581.68497116592005</v>
      </c>
      <c r="N38" s="400">
        <f>M38*(1+'LTFP Assumptions'!$H$13)</f>
        <v>593.31867058923842</v>
      </c>
      <c r="O38" s="400">
        <f>N38*(1+'LTFP Assumptions'!$H$13)</f>
        <v>605.18504400102324</v>
      </c>
      <c r="P38" s="400">
        <f>O38*(1+'LTFP Assumptions'!$H$13)</f>
        <v>617.28874488104373</v>
      </c>
      <c r="Q38" s="400">
        <f>P38*(1+'LTFP Assumptions'!$H$13)</f>
        <v>629.63451977866464</v>
      </c>
      <c r="R38" s="400">
        <f>Q38*(1+'LTFP Assumptions'!$H$13)</f>
        <v>642.22721017423794</v>
      </c>
    </row>
    <row r="39" spans="1:18" ht="15" x14ac:dyDescent="0.25">
      <c r="A39" s="221" t="s">
        <v>707</v>
      </c>
      <c r="B39" s="221" t="s">
        <v>640</v>
      </c>
      <c r="C39" s="221" t="s">
        <v>708</v>
      </c>
      <c r="D39" s="399" t="s">
        <v>734</v>
      </c>
      <c r="E39" s="399" t="s">
        <v>735</v>
      </c>
      <c r="F39" s="399" t="s">
        <v>800</v>
      </c>
      <c r="H39" s="400">
        <v>6682</v>
      </c>
      <c r="I39" s="400">
        <v>6815.64</v>
      </c>
      <c r="J39" s="400">
        <v>6951.9528</v>
      </c>
      <c r="K39" s="400">
        <v>7090.9918560000006</v>
      </c>
      <c r="L39" s="400">
        <v>7232.8116931200011</v>
      </c>
      <c r="M39" s="400">
        <f>L39*(1+'LTFP Assumptions'!$H$13)</f>
        <v>7377.467926982401</v>
      </c>
      <c r="N39" s="400">
        <f>M39*(1+'LTFP Assumptions'!$H$13)</f>
        <v>7525.017285522049</v>
      </c>
      <c r="O39" s="400">
        <f>N39*(1+'LTFP Assumptions'!$H$13)</f>
        <v>7675.5176312324902</v>
      </c>
      <c r="P39" s="400">
        <f>O39*(1+'LTFP Assumptions'!$H$13)</f>
        <v>7829.0279838571405</v>
      </c>
      <c r="Q39" s="400">
        <f>P39*(1+'LTFP Assumptions'!$H$13)</f>
        <v>7985.6085435342839</v>
      </c>
      <c r="R39" s="400">
        <f>Q39*(1+'LTFP Assumptions'!$H$13)</f>
        <v>8145.3207144049693</v>
      </c>
    </row>
    <row r="40" spans="1:18" ht="15" x14ac:dyDescent="0.25">
      <c r="A40" s="221" t="s">
        <v>205</v>
      </c>
      <c r="B40" s="221" t="s">
        <v>640</v>
      </c>
      <c r="C40" s="221" t="s">
        <v>710</v>
      </c>
      <c r="D40" s="399" t="s">
        <v>737</v>
      </c>
      <c r="E40" s="399" t="s">
        <v>738</v>
      </c>
      <c r="F40" s="399" t="s">
        <v>800</v>
      </c>
      <c r="H40" s="400">
        <v>25700</v>
      </c>
      <c r="I40" s="400">
        <v>26214</v>
      </c>
      <c r="J40" s="400">
        <v>26738.28</v>
      </c>
      <c r="K40" s="400">
        <v>27273.045599999998</v>
      </c>
      <c r="L40" s="400">
        <v>27818.506511999996</v>
      </c>
      <c r="M40" s="400">
        <f>L40*(1+'LTFP Assumptions'!$H$13)</f>
        <v>28374.876642239997</v>
      </c>
      <c r="N40" s="400">
        <f>M40*(1+'LTFP Assumptions'!$H$13)</f>
        <v>28942.374175084798</v>
      </c>
      <c r="O40" s="400">
        <f>N40*(1+'LTFP Assumptions'!$H$13)</f>
        <v>29521.221658586495</v>
      </c>
      <c r="P40" s="400">
        <f>O40*(1+'LTFP Assumptions'!$H$13)</f>
        <v>30111.646091758226</v>
      </c>
      <c r="Q40" s="400">
        <f>P40*(1+'LTFP Assumptions'!$H$13)</f>
        <v>30713.879013593392</v>
      </c>
      <c r="R40" s="400">
        <f>Q40*(1+'LTFP Assumptions'!$H$13)</f>
        <v>31328.15659386526</v>
      </c>
    </row>
    <row r="41" spans="1:18" ht="15" x14ac:dyDescent="0.25">
      <c r="A41" s="221" t="s">
        <v>205</v>
      </c>
      <c r="B41" s="221" t="s">
        <v>640</v>
      </c>
      <c r="C41" s="221" t="s">
        <v>712</v>
      </c>
      <c r="D41" s="399" t="s">
        <v>739</v>
      </c>
      <c r="E41" s="399" t="s">
        <v>740</v>
      </c>
      <c r="F41" s="399" t="s">
        <v>800</v>
      </c>
      <c r="H41" s="400">
        <v>20560</v>
      </c>
      <c r="I41" s="400">
        <v>20971.2</v>
      </c>
      <c r="J41" s="400">
        <v>21390.624</v>
      </c>
      <c r="K41" s="400">
        <v>21818.43648</v>
      </c>
      <c r="L41" s="400">
        <v>22254.805209599999</v>
      </c>
      <c r="M41" s="400">
        <f>L41*(1+'LTFP Assumptions'!$H$13)</f>
        <v>22699.901313792001</v>
      </c>
      <c r="N41" s="400">
        <f>M41*(1+'LTFP Assumptions'!$H$13)</f>
        <v>23153.899340067841</v>
      </c>
      <c r="O41" s="400">
        <f>N41*(1+'LTFP Assumptions'!$H$13)</f>
        <v>23616.977326869197</v>
      </c>
      <c r="P41" s="400">
        <f>O41*(1+'LTFP Assumptions'!$H$13)</f>
        <v>24089.31687340658</v>
      </c>
      <c r="Q41" s="400">
        <f>P41*(1+'LTFP Assumptions'!$H$13)</f>
        <v>24571.103210874713</v>
      </c>
      <c r="R41" s="400">
        <f>Q41*(1+'LTFP Assumptions'!$H$13)</f>
        <v>25062.525275092208</v>
      </c>
    </row>
    <row r="42" spans="1:18" ht="15" x14ac:dyDescent="0.25">
      <c r="A42" s="221" t="s">
        <v>205</v>
      </c>
      <c r="B42" s="221" t="s">
        <v>640</v>
      </c>
      <c r="C42" s="221" t="s">
        <v>714</v>
      </c>
      <c r="D42" s="399" t="s">
        <v>742</v>
      </c>
      <c r="E42" s="399" t="s">
        <v>743</v>
      </c>
      <c r="F42" s="399" t="s">
        <v>800</v>
      </c>
      <c r="H42" s="400">
        <v>110000</v>
      </c>
      <c r="I42" s="400">
        <v>112200</v>
      </c>
      <c r="J42" s="400">
        <v>114444</v>
      </c>
      <c r="K42" s="400">
        <v>116732.88</v>
      </c>
      <c r="L42" s="400">
        <v>119067.53760000001</v>
      </c>
      <c r="M42" s="400">
        <f>L42*(1+'LTFP Assumptions'!$H$13)</f>
        <v>121448.88835200001</v>
      </c>
      <c r="N42" s="400">
        <f>M42*(1+'LTFP Assumptions'!$H$13)</f>
        <v>123877.86611904002</v>
      </c>
      <c r="O42" s="400">
        <f>N42*(1+'LTFP Assumptions'!$H$13)</f>
        <v>126355.42344142082</v>
      </c>
      <c r="P42" s="400">
        <f>O42*(1+'LTFP Assumptions'!$H$13)</f>
        <v>128882.53191024924</v>
      </c>
      <c r="Q42" s="400">
        <f>P42*(1+'LTFP Assumptions'!$H$13)</f>
        <v>131460.18254845424</v>
      </c>
      <c r="R42" s="400">
        <f>Q42*(1+'LTFP Assumptions'!$H$13)</f>
        <v>134089.38619942332</v>
      </c>
    </row>
    <row r="43" spans="1:18" ht="15" x14ac:dyDescent="0.25">
      <c r="A43" s="221" t="s">
        <v>205</v>
      </c>
      <c r="B43" s="221" t="s">
        <v>640</v>
      </c>
      <c r="C43" s="221" t="s">
        <v>716</v>
      </c>
      <c r="D43" s="399" t="s">
        <v>746</v>
      </c>
      <c r="E43" s="399" t="s">
        <v>747</v>
      </c>
      <c r="F43" s="399" t="s">
        <v>800</v>
      </c>
      <c r="H43" s="400">
        <v>100000</v>
      </c>
      <c r="I43" s="400">
        <v>245000</v>
      </c>
      <c r="J43" s="400">
        <v>249900</v>
      </c>
      <c r="K43" s="400">
        <v>254898</v>
      </c>
      <c r="L43" s="400">
        <v>200000</v>
      </c>
      <c r="M43" s="400">
        <f>L43*(1+'LTFP Assumptions'!$H$13)</f>
        <v>204000</v>
      </c>
      <c r="N43" s="400">
        <f>M43*(1+'LTFP Assumptions'!$H$13)</f>
        <v>208080</v>
      </c>
      <c r="O43" s="400">
        <f>N43*(1+'LTFP Assumptions'!$H$13)</f>
        <v>212241.6</v>
      </c>
      <c r="P43" s="400">
        <f>O43*(1+'LTFP Assumptions'!$H$13)</f>
        <v>216486.432</v>
      </c>
      <c r="Q43" s="400">
        <f>P43*(1+'LTFP Assumptions'!$H$13)</f>
        <v>220816.16064000002</v>
      </c>
      <c r="R43" s="400">
        <f>Q43*(1+'LTFP Assumptions'!$H$13)</f>
        <v>225232.48385280001</v>
      </c>
    </row>
    <row r="44" spans="1:18" ht="15" x14ac:dyDescent="0.25">
      <c r="A44" s="221" t="s">
        <v>205</v>
      </c>
      <c r="B44" s="221" t="s">
        <v>640</v>
      </c>
      <c r="C44" s="221" t="s">
        <v>717</v>
      </c>
      <c r="D44" s="399" t="s">
        <v>801</v>
      </c>
      <c r="E44" s="399" t="s">
        <v>802</v>
      </c>
      <c r="F44" s="399" t="s">
        <v>800</v>
      </c>
      <c r="H44" s="400">
        <v>68835.341604756977</v>
      </c>
      <c r="I44" s="400">
        <v>70625.060486480666</v>
      </c>
      <c r="J44" s="400">
        <v>72461.312059129166</v>
      </c>
      <c r="K44" s="400">
        <v>74345.306172666533</v>
      </c>
      <c r="L44" s="400">
        <v>50000</v>
      </c>
      <c r="M44" s="400">
        <f>L44*(1+'LTFP Assumptions'!$H$13)</f>
        <v>51000</v>
      </c>
      <c r="N44" s="400">
        <f>M44*(1+'LTFP Assumptions'!$H$13)</f>
        <v>52020</v>
      </c>
      <c r="O44" s="400">
        <f>N44*(1+'LTFP Assumptions'!$H$13)</f>
        <v>53060.4</v>
      </c>
      <c r="P44" s="400">
        <f>O44*(1+'LTFP Assumptions'!$H$13)</f>
        <v>54121.608</v>
      </c>
      <c r="Q44" s="400">
        <f>P44*(1+'LTFP Assumptions'!$H$13)</f>
        <v>55204.040160000004</v>
      </c>
      <c r="R44" s="400">
        <f>Q44*(1+'LTFP Assumptions'!$H$13)</f>
        <v>56308.120963200003</v>
      </c>
    </row>
    <row r="45" spans="1:18" ht="15" x14ac:dyDescent="0.25">
      <c r="A45" s="221" t="s">
        <v>205</v>
      </c>
      <c r="B45" s="221" t="s">
        <v>640</v>
      </c>
      <c r="C45" s="221" t="s">
        <v>719</v>
      </c>
      <c r="D45" s="399" t="s">
        <v>803</v>
      </c>
      <c r="E45" s="399" t="s">
        <v>804</v>
      </c>
      <c r="F45" s="399" t="s">
        <v>800</v>
      </c>
      <c r="H45" s="400">
        <v>63736</v>
      </c>
      <c r="I45" s="400">
        <v>65010.720000000001</v>
      </c>
      <c r="J45" s="400">
        <v>66310.934399999998</v>
      </c>
      <c r="K45" s="400">
        <v>67637.153088000006</v>
      </c>
      <c r="L45" s="400">
        <v>60000</v>
      </c>
      <c r="M45" s="400">
        <f>L45*(1+'LTFP Assumptions'!$H$13)</f>
        <v>61200</v>
      </c>
      <c r="N45" s="400">
        <f>M45*(1+'LTFP Assumptions'!$H$13)</f>
        <v>62424</v>
      </c>
      <c r="O45" s="400">
        <f>N45*(1+'LTFP Assumptions'!$H$13)</f>
        <v>63672.480000000003</v>
      </c>
      <c r="P45" s="400">
        <f>O45*(1+'LTFP Assumptions'!$H$13)</f>
        <v>64945.929600000003</v>
      </c>
      <c r="Q45" s="400">
        <f>P45*(1+'LTFP Assumptions'!$H$13)</f>
        <v>66244.848192000005</v>
      </c>
      <c r="R45" s="400">
        <f>Q45*(1+'LTFP Assumptions'!$H$13)</f>
        <v>67569.745155840006</v>
      </c>
    </row>
    <row r="46" spans="1:18" ht="15" x14ac:dyDescent="0.25">
      <c r="A46" s="221" t="s">
        <v>205</v>
      </c>
      <c r="B46" s="221" t="s">
        <v>640</v>
      </c>
      <c r="C46" s="221" t="s">
        <v>721</v>
      </c>
      <c r="D46" s="399" t="s">
        <v>805</v>
      </c>
      <c r="E46" s="399" t="s">
        <v>806</v>
      </c>
      <c r="F46" s="399" t="s">
        <v>800</v>
      </c>
      <c r="H46" s="400">
        <v>64955</v>
      </c>
      <c r="I46" s="400">
        <v>66254.100000000006</v>
      </c>
      <c r="J46" s="400">
        <v>67579.182000000001</v>
      </c>
      <c r="K46" s="400">
        <v>68930.765639999998</v>
      </c>
      <c r="L46" s="400">
        <v>70309.380952799998</v>
      </c>
      <c r="M46" s="400">
        <f>L46*(1+'LTFP Assumptions'!$H$13)</f>
        <v>71715.568571855998</v>
      </c>
      <c r="N46" s="400">
        <f>M46*(1+'LTFP Assumptions'!$H$13)</f>
        <v>73149.879943293126</v>
      </c>
      <c r="O46" s="400">
        <f>N46*(1+'LTFP Assumptions'!$H$13)</f>
        <v>74612.877542158996</v>
      </c>
      <c r="P46" s="400">
        <f>O46*(1+'LTFP Assumptions'!$H$13)</f>
        <v>76105.135093002173</v>
      </c>
      <c r="Q46" s="400">
        <f>P46*(1+'LTFP Assumptions'!$H$13)</f>
        <v>77627.237794862216</v>
      </c>
      <c r="R46" s="400">
        <f>Q46*(1+'LTFP Assumptions'!$H$13)</f>
        <v>79179.782550759468</v>
      </c>
    </row>
    <row r="47" spans="1:18" ht="15" x14ac:dyDescent="0.25">
      <c r="A47" s="221" t="s">
        <v>205</v>
      </c>
      <c r="B47" s="221" t="s">
        <v>640</v>
      </c>
      <c r="C47" s="221" t="s">
        <v>723</v>
      </c>
      <c r="D47" s="399" t="s">
        <v>807</v>
      </c>
      <c r="E47" s="399" t="s">
        <v>808</v>
      </c>
      <c r="F47" s="399" t="s">
        <v>800</v>
      </c>
      <c r="H47" s="400">
        <v>28966.725453167139</v>
      </c>
      <c r="I47" s="400">
        <v>29719.860314949485</v>
      </c>
      <c r="J47" s="400">
        <v>30492.576683138173</v>
      </c>
      <c r="K47" s="400">
        <v>31285.383676899768</v>
      </c>
      <c r="L47" s="400">
        <v>32098.803652499162</v>
      </c>
      <c r="M47" s="400">
        <f>L47*(1+'LTFP Assumptions'!$H$13)</f>
        <v>32740.779725549146</v>
      </c>
      <c r="N47" s="400">
        <f>M47*(1+'LTFP Assumptions'!$H$13)</f>
        <v>33395.595320060129</v>
      </c>
      <c r="O47" s="400">
        <f>N47*(1+'LTFP Assumptions'!$H$13)</f>
        <v>34063.507226461334</v>
      </c>
      <c r="P47" s="400">
        <f>O47*(1+'LTFP Assumptions'!$H$13)</f>
        <v>34744.77737099056</v>
      </c>
      <c r="Q47" s="400">
        <f>P47*(1+'LTFP Assumptions'!$H$13)</f>
        <v>35439.672918410368</v>
      </c>
      <c r="R47" s="400">
        <f>Q47*(1+'LTFP Assumptions'!$H$13)</f>
        <v>36148.466376778575</v>
      </c>
    </row>
    <row r="48" spans="1:18" ht="15" x14ac:dyDescent="0.25">
      <c r="A48" s="221" t="s">
        <v>205</v>
      </c>
      <c r="B48" s="221" t="s">
        <v>640</v>
      </c>
      <c r="C48" s="221" t="s">
        <v>725</v>
      </c>
      <c r="D48" s="399" t="s">
        <v>749</v>
      </c>
      <c r="E48" s="399" t="s">
        <v>750</v>
      </c>
      <c r="F48" s="399" t="s">
        <v>800</v>
      </c>
      <c r="H48" s="400">
        <v>3084</v>
      </c>
      <c r="I48" s="400">
        <v>3145.68</v>
      </c>
      <c r="J48" s="400">
        <v>3208.5935999999997</v>
      </c>
      <c r="K48" s="400">
        <v>3272.7654719999996</v>
      </c>
      <c r="L48" s="400">
        <v>3338.2207814399994</v>
      </c>
      <c r="M48" s="400">
        <f>L48*(1+'LTFP Assumptions'!$H$13)</f>
        <v>3404.9851970687996</v>
      </c>
      <c r="N48" s="400">
        <f>M48*(1+'LTFP Assumptions'!$H$13)</f>
        <v>3473.0849010101756</v>
      </c>
      <c r="O48" s="400">
        <f>N48*(1+'LTFP Assumptions'!$H$13)</f>
        <v>3542.5465990303792</v>
      </c>
      <c r="P48" s="400">
        <f>O48*(1+'LTFP Assumptions'!$H$13)</f>
        <v>3613.3975310109868</v>
      </c>
      <c r="Q48" s="400">
        <f>P48*(1+'LTFP Assumptions'!$H$13)</f>
        <v>3685.6654816312066</v>
      </c>
      <c r="R48" s="400">
        <f>Q48*(1+'LTFP Assumptions'!$H$13)</f>
        <v>3759.3787912638309</v>
      </c>
    </row>
    <row r="49" spans="1:18" ht="15" x14ac:dyDescent="0.25">
      <c r="A49" s="221" t="s">
        <v>205</v>
      </c>
      <c r="B49" s="221" t="s">
        <v>640</v>
      </c>
      <c r="C49" s="221" t="s">
        <v>726</v>
      </c>
      <c r="D49" s="399" t="s">
        <v>809</v>
      </c>
      <c r="E49" s="399" t="s">
        <v>810</v>
      </c>
      <c r="F49" s="399" t="s">
        <v>800</v>
      </c>
      <c r="H49" s="400">
        <v>61311.817054453706</v>
      </c>
      <c r="I49" s="400">
        <v>62905.924297869504</v>
      </c>
      <c r="J49" s="400">
        <v>64541.47832961411</v>
      </c>
      <c r="K49" s="400">
        <v>66219.556766184076</v>
      </c>
      <c r="L49" s="400">
        <v>67941.26524210487</v>
      </c>
      <c r="M49" s="400">
        <f>L49*(1+'LTFP Assumptions'!$H$13)</f>
        <v>69300.090546946973</v>
      </c>
      <c r="N49" s="400">
        <f>M49*(1+'LTFP Assumptions'!$H$13)</f>
        <v>70686.092357885907</v>
      </c>
      <c r="O49" s="400">
        <f>N49*(1+'LTFP Assumptions'!$H$13)</f>
        <v>72099.814205043629</v>
      </c>
      <c r="P49" s="400">
        <f>O49*(1+'LTFP Assumptions'!$H$13)</f>
        <v>73541.810489144496</v>
      </c>
      <c r="Q49" s="400">
        <f>P49*(1+'LTFP Assumptions'!$H$13)</f>
        <v>75012.64669892739</v>
      </c>
      <c r="R49" s="400">
        <f>Q49*(1+'LTFP Assumptions'!$H$13)</f>
        <v>76512.899632905945</v>
      </c>
    </row>
    <row r="50" spans="1:18" ht="15" x14ac:dyDescent="0.25">
      <c r="A50" s="221" t="s">
        <v>205</v>
      </c>
      <c r="B50" s="221" t="s">
        <v>640</v>
      </c>
      <c r="C50" s="221" t="s">
        <v>728</v>
      </c>
      <c r="D50" s="399" t="s">
        <v>811</v>
      </c>
      <c r="E50" s="399" t="s">
        <v>812</v>
      </c>
      <c r="F50" s="399" t="s">
        <v>800</v>
      </c>
      <c r="H50" s="400">
        <v>30000</v>
      </c>
      <c r="I50" s="400">
        <v>30600</v>
      </c>
      <c r="J50" s="400">
        <v>31212</v>
      </c>
      <c r="K50" s="400">
        <v>31836.240000000002</v>
      </c>
      <c r="L50" s="400">
        <v>32472.964800000002</v>
      </c>
      <c r="M50" s="400">
        <f>L50*(1+'LTFP Assumptions'!$H$13)</f>
        <v>33122.424096000002</v>
      </c>
      <c r="N50" s="400">
        <f>M50*(1+'LTFP Assumptions'!$H$13)</f>
        <v>33784.872577920003</v>
      </c>
      <c r="O50" s="400">
        <f>N50*(1+'LTFP Assumptions'!$H$13)</f>
        <v>34460.570029478404</v>
      </c>
      <c r="P50" s="400">
        <f>O50*(1+'LTFP Assumptions'!$H$13)</f>
        <v>35149.781430067975</v>
      </c>
      <c r="Q50" s="400">
        <f>P50*(1+'LTFP Assumptions'!$H$13)</f>
        <v>35852.777058669337</v>
      </c>
      <c r="R50" s="400">
        <f>Q50*(1+'LTFP Assumptions'!$H$13)</f>
        <v>36569.832599842724</v>
      </c>
    </row>
    <row r="51" spans="1:18" ht="15" x14ac:dyDescent="0.25">
      <c r="A51" s="221" t="s">
        <v>232</v>
      </c>
      <c r="B51" s="221" t="s">
        <v>640</v>
      </c>
      <c r="C51" s="221" t="s">
        <v>729</v>
      </c>
      <c r="D51" s="399" t="s">
        <v>813</v>
      </c>
      <c r="E51" s="399" t="s">
        <v>814</v>
      </c>
      <c r="F51" s="399" t="s">
        <v>800</v>
      </c>
      <c r="H51" s="400">
        <v>25800.737386453788</v>
      </c>
      <c r="I51" s="400">
        <v>26471.556558501587</v>
      </c>
      <c r="J51" s="400">
        <v>27159.81702902263</v>
      </c>
      <c r="K51" s="400">
        <v>27865.97227177722</v>
      </c>
      <c r="L51" s="400">
        <v>28590.487550843427</v>
      </c>
      <c r="M51" s="400">
        <f>L51*(1+'LTFP Assumptions'!$H$13)</f>
        <v>29162.297301860297</v>
      </c>
      <c r="N51" s="400">
        <f>M51*(1+'LTFP Assumptions'!$H$13)</f>
        <v>29745.543247897502</v>
      </c>
      <c r="O51" s="400">
        <f>N51*(1+'LTFP Assumptions'!$H$13)</f>
        <v>30340.454112855452</v>
      </c>
      <c r="P51" s="400">
        <f>O51*(1+'LTFP Assumptions'!$H$13)</f>
        <v>30947.263195112562</v>
      </c>
      <c r="Q51" s="400">
        <f>P51*(1+'LTFP Assumptions'!$H$13)</f>
        <v>31566.208459014815</v>
      </c>
      <c r="R51" s="400">
        <f>Q51*(1+'LTFP Assumptions'!$H$13)</f>
        <v>32197.532628195113</v>
      </c>
    </row>
    <row r="52" spans="1:18" ht="15" x14ac:dyDescent="0.25">
      <c r="A52" s="221" t="s">
        <v>205</v>
      </c>
      <c r="B52" s="221" t="s">
        <v>640</v>
      </c>
      <c r="C52" s="221" t="s">
        <v>731</v>
      </c>
      <c r="D52" s="399" t="s">
        <v>815</v>
      </c>
      <c r="E52" s="399" t="s">
        <v>816</v>
      </c>
      <c r="F52" s="399" t="s">
        <v>800</v>
      </c>
      <c r="H52" s="400">
        <v>7902.7499999999991</v>
      </c>
      <c r="I52" s="400">
        <v>8060.8049999999994</v>
      </c>
      <c r="J52" s="400">
        <v>8222.0210999999999</v>
      </c>
      <c r="K52" s="400">
        <v>8386.4615219999996</v>
      </c>
      <c r="L52" s="400">
        <v>8554.1907524399994</v>
      </c>
      <c r="M52" s="400">
        <f>L52*(1+'LTFP Assumptions'!$H$13)</f>
        <v>8725.2745674887992</v>
      </c>
      <c r="N52" s="400">
        <f>M52*(1+'LTFP Assumptions'!$H$13)</f>
        <v>8899.7800588385762</v>
      </c>
      <c r="O52" s="400">
        <f>N52*(1+'LTFP Assumptions'!$H$13)</f>
        <v>9077.775660015348</v>
      </c>
      <c r="P52" s="400">
        <f>O52*(1+'LTFP Assumptions'!$H$13)</f>
        <v>9259.3311732156544</v>
      </c>
      <c r="Q52" s="400">
        <f>P52*(1+'LTFP Assumptions'!$H$13)</f>
        <v>9444.5177966799674</v>
      </c>
      <c r="R52" s="400">
        <f>Q52*(1+'LTFP Assumptions'!$H$13)</f>
        <v>9633.4081526135669</v>
      </c>
    </row>
    <row r="53" spans="1:18" ht="15" x14ac:dyDescent="0.25">
      <c r="A53" s="221" t="s">
        <v>205</v>
      </c>
      <c r="B53" s="221" t="s">
        <v>640</v>
      </c>
      <c r="C53" s="221" t="s">
        <v>733</v>
      </c>
      <c r="D53" s="399" t="s">
        <v>817</v>
      </c>
      <c r="E53" s="399" t="s">
        <v>818</v>
      </c>
      <c r="F53" s="399" t="s">
        <v>800</v>
      </c>
      <c r="H53" s="400">
        <v>4788.6482007372651</v>
      </c>
      <c r="I53" s="400">
        <v>4913.1530539564337</v>
      </c>
      <c r="J53" s="400">
        <v>5040.8950333593011</v>
      </c>
      <c r="K53" s="400">
        <v>5171.9583042266431</v>
      </c>
      <c r="L53" s="400">
        <v>5306.4292201365361</v>
      </c>
      <c r="M53" s="400">
        <f>L53*(1+'LTFP Assumptions'!$H$13)</f>
        <v>5412.5578045392667</v>
      </c>
      <c r="N53" s="400">
        <f>M53*(1+'LTFP Assumptions'!$H$13)</f>
        <v>5520.8089606300518</v>
      </c>
      <c r="O53" s="400">
        <f>N53*(1+'LTFP Assumptions'!$H$13)</f>
        <v>5631.2251398426533</v>
      </c>
      <c r="P53" s="400">
        <f>O53*(1+'LTFP Assumptions'!$H$13)</f>
        <v>5743.8496426395068</v>
      </c>
      <c r="Q53" s="400">
        <f>P53*(1+'LTFP Assumptions'!$H$13)</f>
        <v>5858.7266354922967</v>
      </c>
      <c r="R53" s="400">
        <f>Q53*(1+'LTFP Assumptions'!$H$13)</f>
        <v>5975.9011682021428</v>
      </c>
    </row>
    <row r="54" spans="1:18" ht="15" x14ac:dyDescent="0.25">
      <c r="A54" s="221" t="s">
        <v>205</v>
      </c>
      <c r="B54" s="221" t="s">
        <v>640</v>
      </c>
      <c r="C54" s="221" t="s">
        <v>734</v>
      </c>
      <c r="D54" s="399" t="s">
        <v>819</v>
      </c>
      <c r="E54" s="399" t="s">
        <v>820</v>
      </c>
      <c r="F54" s="399" t="s">
        <v>800</v>
      </c>
      <c r="H54" s="400">
        <v>80900.174999999988</v>
      </c>
      <c r="I54" s="400">
        <v>82518.178499999995</v>
      </c>
      <c r="J54" s="400">
        <v>84168.542069999996</v>
      </c>
      <c r="K54" s="400">
        <v>85851.912911399995</v>
      </c>
      <c r="L54" s="400">
        <v>87568.951169627995</v>
      </c>
      <c r="M54" s="400">
        <f>L54*(1+'LTFP Assumptions'!$H$13)</f>
        <v>89320.330193020563</v>
      </c>
      <c r="N54" s="400">
        <f>M54*(1+'LTFP Assumptions'!$H$13)</f>
        <v>91106.73679688097</v>
      </c>
      <c r="O54" s="400">
        <f>N54*(1+'LTFP Assumptions'!$H$13)</f>
        <v>92928.871532818594</v>
      </c>
      <c r="P54" s="400">
        <f>O54*(1+'LTFP Assumptions'!$H$13)</f>
        <v>94787.448963474963</v>
      </c>
      <c r="Q54" s="400">
        <f>P54*(1+'LTFP Assumptions'!$H$13)</f>
        <v>96683.19794274446</v>
      </c>
      <c r="R54" s="400">
        <f>Q54*(1+'LTFP Assumptions'!$H$13)</f>
        <v>98616.861901599346</v>
      </c>
    </row>
    <row r="55" spans="1:18" ht="15" x14ac:dyDescent="0.25">
      <c r="A55" s="221" t="s">
        <v>205</v>
      </c>
      <c r="B55" s="221" t="s">
        <v>640</v>
      </c>
      <c r="C55" s="221" t="s">
        <v>736</v>
      </c>
      <c r="D55" s="399" t="s">
        <v>821</v>
      </c>
      <c r="E55" s="399" t="s">
        <v>822</v>
      </c>
      <c r="F55" s="399" t="s">
        <v>800</v>
      </c>
      <c r="H55" s="400">
        <v>2015.1197697110474</v>
      </c>
      <c r="I55" s="400">
        <v>2067.5128837235347</v>
      </c>
      <c r="J55" s="400">
        <v>2121.2682187003466</v>
      </c>
      <c r="K55" s="400">
        <v>2176.4211923865555</v>
      </c>
      <c r="L55" s="400">
        <v>2233.0081433886062</v>
      </c>
      <c r="M55" s="400">
        <f>L55*(1+'LTFP Assumptions'!$H$13)</f>
        <v>2277.6683062563784</v>
      </c>
      <c r="N55" s="400">
        <f>M55*(1+'LTFP Assumptions'!$H$13)</f>
        <v>2323.2216723815059</v>
      </c>
      <c r="O55" s="400">
        <f>N55*(1+'LTFP Assumptions'!$H$13)</f>
        <v>2369.6861058291361</v>
      </c>
      <c r="P55" s="400">
        <f>O55*(1+'LTFP Assumptions'!$H$13)</f>
        <v>2417.079827945719</v>
      </c>
      <c r="Q55" s="400">
        <f>P55*(1+'LTFP Assumptions'!$H$13)</f>
        <v>2465.4214245046333</v>
      </c>
      <c r="R55" s="400">
        <f>Q55*(1+'LTFP Assumptions'!$H$13)</f>
        <v>2514.7298529947261</v>
      </c>
    </row>
    <row r="56" spans="1:18" ht="15" x14ac:dyDescent="0.25">
      <c r="A56" s="221" t="s">
        <v>205</v>
      </c>
      <c r="B56" s="221" t="s">
        <v>640</v>
      </c>
      <c r="C56" s="221" t="s">
        <v>737</v>
      </c>
      <c r="D56" s="399" t="s">
        <v>823</v>
      </c>
      <c r="E56" s="399" t="s">
        <v>824</v>
      </c>
      <c r="F56" s="399" t="s">
        <v>800</v>
      </c>
      <c r="H56" s="400">
        <v>27933.125046149056</v>
      </c>
      <c r="I56" s="400">
        <v>28659.386297348934</v>
      </c>
      <c r="J56" s="400">
        <v>29404.530341080008</v>
      </c>
      <c r="K56" s="400">
        <v>30169.048129948089</v>
      </c>
      <c r="L56" s="400">
        <v>30953.443381326739</v>
      </c>
      <c r="M56" s="400">
        <f>L56*(1+'LTFP Assumptions'!$H$13)</f>
        <v>31572.512248953273</v>
      </c>
      <c r="N56" s="400">
        <f>M56*(1+'LTFP Assumptions'!$H$13)</f>
        <v>32203.96249393234</v>
      </c>
      <c r="O56" s="400">
        <f>N56*(1+'LTFP Assumptions'!$H$13)</f>
        <v>32848.041743810987</v>
      </c>
      <c r="P56" s="400">
        <f>O56*(1+'LTFP Assumptions'!$H$13)</f>
        <v>33505.002578687207</v>
      </c>
      <c r="Q56" s="400">
        <f>P56*(1+'LTFP Assumptions'!$H$13)</f>
        <v>34175.102630260953</v>
      </c>
      <c r="R56" s="400">
        <f>Q56*(1+'LTFP Assumptions'!$H$13)</f>
        <v>34858.604682866171</v>
      </c>
    </row>
    <row r="57" spans="1:18" ht="15" x14ac:dyDescent="0.25">
      <c r="A57" s="221" t="s">
        <v>205</v>
      </c>
      <c r="B57" s="221" t="s">
        <v>640</v>
      </c>
      <c r="C57" s="221" t="s">
        <v>739</v>
      </c>
      <c r="D57" s="399" t="s">
        <v>825</v>
      </c>
      <c r="E57" s="399" t="s">
        <v>826</v>
      </c>
      <c r="F57" s="399" t="s">
        <v>800</v>
      </c>
      <c r="H57" s="400">
        <v>27223</v>
      </c>
      <c r="I57" s="400">
        <v>27767.46</v>
      </c>
      <c r="J57" s="400">
        <v>28322.8092</v>
      </c>
      <c r="K57" s="400">
        <v>28889.265383999998</v>
      </c>
      <c r="L57" s="400">
        <v>29467.05069168</v>
      </c>
      <c r="M57" s="400">
        <f>L57*(1+'LTFP Assumptions'!$H$13)</f>
        <v>30056.391705513601</v>
      </c>
      <c r="N57" s="400">
        <f>M57*(1+'LTFP Assumptions'!$H$13)</f>
        <v>30657.519539623874</v>
      </c>
      <c r="O57" s="400">
        <f>N57*(1+'LTFP Assumptions'!$H$13)</f>
        <v>31270.669930416352</v>
      </c>
      <c r="P57" s="400">
        <f>O57*(1+'LTFP Assumptions'!$H$13)</f>
        <v>31896.083329024681</v>
      </c>
      <c r="Q57" s="400">
        <f>P57*(1+'LTFP Assumptions'!$H$13)</f>
        <v>32534.004995605173</v>
      </c>
      <c r="R57" s="400">
        <f>Q57*(1+'LTFP Assumptions'!$H$13)</f>
        <v>33184.685095517278</v>
      </c>
    </row>
    <row r="58" spans="1:18" ht="15" x14ac:dyDescent="0.25">
      <c r="A58" s="221" t="s">
        <v>741</v>
      </c>
      <c r="B58" s="221" t="s">
        <v>640</v>
      </c>
      <c r="C58" s="221" t="s">
        <v>742</v>
      </c>
      <c r="D58" s="399" t="s">
        <v>827</v>
      </c>
      <c r="E58" s="399" t="s">
        <v>828</v>
      </c>
      <c r="F58" s="399" t="s">
        <v>800</v>
      </c>
      <c r="H58" s="400">
        <v>11754.589218234811</v>
      </c>
      <c r="I58" s="400">
        <v>12060.208537908917</v>
      </c>
      <c r="J58" s="400">
        <v>12373.773959894548</v>
      </c>
      <c r="K58" s="400">
        <v>12695.492082851806</v>
      </c>
      <c r="L58" s="400">
        <v>13025.574877005953</v>
      </c>
      <c r="M58" s="400">
        <f>L58*(1+'LTFP Assumptions'!$H$13)</f>
        <v>13286.086374546072</v>
      </c>
      <c r="N58" s="400">
        <f>M58*(1+'LTFP Assumptions'!$H$13)</f>
        <v>13551.808102036994</v>
      </c>
      <c r="O58" s="400">
        <f>N58*(1+'LTFP Assumptions'!$H$13)</f>
        <v>13822.844264077734</v>
      </c>
      <c r="P58" s="400">
        <f>O58*(1+'LTFP Assumptions'!$H$13)</f>
        <v>14099.301149359289</v>
      </c>
      <c r="Q58" s="400">
        <f>P58*(1+'LTFP Assumptions'!$H$13)</f>
        <v>14381.287172346476</v>
      </c>
      <c r="R58" s="400">
        <f>Q58*(1+'LTFP Assumptions'!$H$13)</f>
        <v>14668.912915793406</v>
      </c>
    </row>
    <row r="59" spans="1:18" ht="15" x14ac:dyDescent="0.25">
      <c r="A59" s="221" t="s">
        <v>205</v>
      </c>
      <c r="B59" s="221" t="s">
        <v>640</v>
      </c>
      <c r="C59" s="221" t="s">
        <v>744</v>
      </c>
      <c r="D59" s="399" t="s">
        <v>829</v>
      </c>
      <c r="E59" s="399" t="s">
        <v>830</v>
      </c>
      <c r="F59" s="399" t="s">
        <v>800</v>
      </c>
      <c r="H59" s="400">
        <v>25186</v>
      </c>
      <c r="I59" s="400">
        <v>25689.72</v>
      </c>
      <c r="J59" s="400">
        <v>26203.5144</v>
      </c>
      <c r="K59" s="400">
        <v>26727.584687999999</v>
      </c>
      <c r="L59" s="400">
        <v>27262.136381759999</v>
      </c>
      <c r="M59" s="400">
        <f>L59*(1+'LTFP Assumptions'!$H$13)</f>
        <v>27807.379109395199</v>
      </c>
      <c r="N59" s="400">
        <f>M59*(1+'LTFP Assumptions'!$H$13)</f>
        <v>28363.526691583102</v>
      </c>
      <c r="O59" s="400">
        <f>N59*(1+'LTFP Assumptions'!$H$13)</f>
        <v>28930.797225414764</v>
      </c>
      <c r="P59" s="400">
        <f>O59*(1+'LTFP Assumptions'!$H$13)</f>
        <v>29509.41316992306</v>
      </c>
      <c r="Q59" s="400">
        <f>P59*(1+'LTFP Assumptions'!$H$13)</f>
        <v>30099.601433321521</v>
      </c>
      <c r="R59" s="400">
        <f>Q59*(1+'LTFP Assumptions'!$H$13)</f>
        <v>30701.593461987952</v>
      </c>
    </row>
    <row r="60" spans="1:18" ht="15" x14ac:dyDescent="0.25">
      <c r="A60" s="221" t="s">
        <v>745</v>
      </c>
      <c r="B60" s="221" t="s">
        <v>640</v>
      </c>
      <c r="C60" s="221" t="s">
        <v>746</v>
      </c>
      <c r="D60" s="399" t="s">
        <v>831</v>
      </c>
      <c r="E60" s="399" t="s">
        <v>832</v>
      </c>
      <c r="F60" s="399" t="s">
        <v>800</v>
      </c>
      <c r="H60" s="400">
        <v>281.875</v>
      </c>
      <c r="I60" s="400">
        <v>287.51249999999999</v>
      </c>
      <c r="J60" s="400">
        <v>293.26274999999998</v>
      </c>
      <c r="K60" s="400">
        <v>299.12800499999997</v>
      </c>
      <c r="L60" s="400">
        <v>305.11056509999997</v>
      </c>
      <c r="M60" s="400">
        <f>L60*(1+'LTFP Assumptions'!$H$13)</f>
        <v>311.21277640199997</v>
      </c>
      <c r="N60" s="400">
        <f>M60*(1+'LTFP Assumptions'!$H$13)</f>
        <v>317.43703193004001</v>
      </c>
      <c r="O60" s="400">
        <f>N60*(1+'LTFP Assumptions'!$H$13)</f>
        <v>323.78577256864082</v>
      </c>
      <c r="P60" s="400">
        <f>O60*(1+'LTFP Assumptions'!$H$13)</f>
        <v>330.26148802001364</v>
      </c>
      <c r="Q60" s="400">
        <f>P60*(1+'LTFP Assumptions'!$H$13)</f>
        <v>336.86671778041392</v>
      </c>
      <c r="R60" s="400">
        <f>Q60*(1+'LTFP Assumptions'!$H$13)</f>
        <v>343.60405213602223</v>
      </c>
    </row>
    <row r="61" spans="1:18" ht="15" x14ac:dyDescent="0.25">
      <c r="A61" s="221" t="s">
        <v>748</v>
      </c>
      <c r="B61" s="221" t="s">
        <v>640</v>
      </c>
      <c r="C61" s="221" t="s">
        <v>749</v>
      </c>
      <c r="D61" s="399" t="s">
        <v>833</v>
      </c>
      <c r="E61" s="399" t="s">
        <v>834</v>
      </c>
      <c r="F61" s="399" t="s">
        <v>800</v>
      </c>
      <c r="H61" s="400">
        <v>671.19006611539817</v>
      </c>
      <c r="I61" s="400">
        <v>688.64100783439858</v>
      </c>
      <c r="J61" s="400">
        <v>706.54567403809301</v>
      </c>
      <c r="K61" s="400">
        <v>724.91586156308347</v>
      </c>
      <c r="L61" s="400">
        <v>743.7636739637237</v>
      </c>
      <c r="M61" s="400">
        <f>L61*(1+'LTFP Assumptions'!$H$13)</f>
        <v>758.63894744299819</v>
      </c>
      <c r="N61" s="400">
        <f>M61*(1+'LTFP Assumptions'!$H$13)</f>
        <v>773.8117263918582</v>
      </c>
      <c r="O61" s="400">
        <f>N61*(1+'LTFP Assumptions'!$H$13)</f>
        <v>789.28796091969537</v>
      </c>
      <c r="P61" s="400">
        <f>O61*(1+'LTFP Assumptions'!$H$13)</f>
        <v>805.07372013808924</v>
      </c>
      <c r="Q61" s="400">
        <f>P61*(1+'LTFP Assumptions'!$H$13)</f>
        <v>821.17519454085107</v>
      </c>
      <c r="R61" s="400">
        <f>Q61*(1+'LTFP Assumptions'!$H$13)</f>
        <v>837.59869843166814</v>
      </c>
    </row>
    <row r="62" spans="1:18" ht="15" x14ac:dyDescent="0.25">
      <c r="A62" s="221" t="s">
        <v>751</v>
      </c>
      <c r="B62" s="221" t="s">
        <v>640</v>
      </c>
      <c r="C62" s="221" t="s">
        <v>752</v>
      </c>
      <c r="D62" s="399" t="s">
        <v>835</v>
      </c>
      <c r="E62" s="399" t="s">
        <v>836</v>
      </c>
      <c r="F62" s="399" t="s">
        <v>800</v>
      </c>
      <c r="H62" s="400">
        <v>557.59999999999991</v>
      </c>
      <c r="I62" s="400">
        <v>568.75199999999995</v>
      </c>
      <c r="J62" s="400">
        <v>580.12703999999997</v>
      </c>
      <c r="K62" s="400">
        <v>591.72958080000001</v>
      </c>
      <c r="L62" s="400">
        <v>603.56417241600002</v>
      </c>
      <c r="M62" s="400">
        <f>L62*(1+'LTFP Assumptions'!$H$13)</f>
        <v>615.63545586432008</v>
      </c>
      <c r="N62" s="400">
        <f>M62*(1+'LTFP Assumptions'!$H$13)</f>
        <v>627.94816498160651</v>
      </c>
      <c r="O62" s="400">
        <f>N62*(1+'LTFP Assumptions'!$H$13)</f>
        <v>640.50712828123869</v>
      </c>
      <c r="P62" s="400">
        <f>O62*(1+'LTFP Assumptions'!$H$13)</f>
        <v>653.31727084686349</v>
      </c>
      <c r="Q62" s="400">
        <f>P62*(1+'LTFP Assumptions'!$H$13)</f>
        <v>666.38361626380083</v>
      </c>
      <c r="R62" s="400">
        <f>Q62*(1+'LTFP Assumptions'!$H$13)</f>
        <v>679.71128858907684</v>
      </c>
    </row>
    <row r="63" spans="1:18" ht="15" x14ac:dyDescent="0.25">
      <c r="A63" s="221" t="s">
        <v>753</v>
      </c>
      <c r="B63" s="221" t="s">
        <v>640</v>
      </c>
      <c r="C63" s="221" t="s">
        <v>754</v>
      </c>
      <c r="D63" s="399" t="s">
        <v>837</v>
      </c>
      <c r="E63" s="399" t="s">
        <v>838</v>
      </c>
      <c r="F63" s="399" t="s">
        <v>800</v>
      </c>
      <c r="H63" s="400">
        <v>282.44471399142816</v>
      </c>
      <c r="I63" s="400">
        <v>289.7882765552053</v>
      </c>
      <c r="J63" s="400">
        <v>297.32277174564064</v>
      </c>
      <c r="K63" s="400">
        <v>305.05316381102728</v>
      </c>
      <c r="L63" s="400">
        <v>312.98454607011399</v>
      </c>
      <c r="M63" s="400">
        <f>L63*(1+'LTFP Assumptions'!$H$13)</f>
        <v>319.24423699151629</v>
      </c>
      <c r="N63" s="400">
        <f>M63*(1+'LTFP Assumptions'!$H$13)</f>
        <v>325.62912173134663</v>
      </c>
      <c r="O63" s="400">
        <f>N63*(1+'LTFP Assumptions'!$H$13)</f>
        <v>332.14170416597358</v>
      </c>
      <c r="P63" s="400">
        <f>O63*(1+'LTFP Assumptions'!$H$13)</f>
        <v>338.78453824929306</v>
      </c>
      <c r="Q63" s="400">
        <f>P63*(1+'LTFP Assumptions'!$H$13)</f>
        <v>345.56022901427895</v>
      </c>
      <c r="R63" s="400">
        <f>Q63*(1+'LTFP Assumptions'!$H$13)</f>
        <v>352.47143359456453</v>
      </c>
    </row>
    <row r="64" spans="1:18" ht="15" x14ac:dyDescent="0.25">
      <c r="A64" s="221" t="s">
        <v>751</v>
      </c>
      <c r="B64" s="221" t="s">
        <v>640</v>
      </c>
      <c r="C64" s="221" t="s">
        <v>755</v>
      </c>
      <c r="D64" s="399" t="s">
        <v>761</v>
      </c>
      <c r="E64" s="399" t="s">
        <v>762</v>
      </c>
      <c r="F64" s="399" t="s">
        <v>800</v>
      </c>
      <c r="H64" s="400">
        <v>47149.999999999993</v>
      </c>
      <c r="I64" s="400">
        <v>48092.999999999993</v>
      </c>
      <c r="J64" s="400">
        <v>49054.859999999993</v>
      </c>
      <c r="K64" s="400">
        <v>50035.957199999997</v>
      </c>
      <c r="L64" s="400">
        <v>51036.676344</v>
      </c>
      <c r="M64" s="400">
        <f>L64*(1+'LTFP Assumptions'!$H$13)</f>
        <v>52057.409870880001</v>
      </c>
      <c r="N64" s="400">
        <f>M64*(1+'LTFP Assumptions'!$H$13)</f>
        <v>53098.5580682976</v>
      </c>
      <c r="O64" s="400">
        <f>N64*(1+'LTFP Assumptions'!$H$13)</f>
        <v>54160.529229663553</v>
      </c>
      <c r="P64" s="400">
        <f>O64*(1+'LTFP Assumptions'!$H$13)</f>
        <v>55243.739814256827</v>
      </c>
      <c r="Q64" s="400">
        <f>P64*(1+'LTFP Assumptions'!$H$13)</f>
        <v>56348.614610541961</v>
      </c>
      <c r="R64" s="400">
        <f>Q64*(1+'LTFP Assumptions'!$H$13)</f>
        <v>57475.586902752802</v>
      </c>
    </row>
    <row r="65" spans="1:18" ht="15" x14ac:dyDescent="0.25">
      <c r="A65" s="221" t="s">
        <v>751</v>
      </c>
      <c r="B65" s="221" t="s">
        <v>640</v>
      </c>
      <c r="C65" s="221" t="s">
        <v>756</v>
      </c>
      <c r="D65" s="399" t="s">
        <v>763</v>
      </c>
      <c r="E65" s="399" t="s">
        <v>764</v>
      </c>
      <c r="F65" s="399" t="s">
        <v>800</v>
      </c>
      <c r="H65" s="400">
        <v>2318.5499999999997</v>
      </c>
      <c r="I65" s="400">
        <v>2364.9209999999998</v>
      </c>
      <c r="J65" s="400">
        <v>2412.2194199999999</v>
      </c>
      <c r="K65" s="400">
        <v>2460.4638083999998</v>
      </c>
      <c r="L65" s="400">
        <v>2509.6730845679999</v>
      </c>
      <c r="M65" s="400">
        <f>L65*(1+'LTFP Assumptions'!$H$13)</f>
        <v>2559.8665462593599</v>
      </c>
      <c r="N65" s="400">
        <f>M65*(1+'LTFP Assumptions'!$H$13)</f>
        <v>2611.063877184547</v>
      </c>
      <c r="O65" s="400">
        <f>N65*(1+'LTFP Assumptions'!$H$13)</f>
        <v>2663.285154728238</v>
      </c>
      <c r="P65" s="400">
        <f>O65*(1+'LTFP Assumptions'!$H$13)</f>
        <v>2716.5508578228028</v>
      </c>
      <c r="Q65" s="400">
        <f>P65*(1+'LTFP Assumptions'!$H$13)</f>
        <v>2770.881874979259</v>
      </c>
      <c r="R65" s="400">
        <f>Q65*(1+'LTFP Assumptions'!$H$13)</f>
        <v>2826.2995124788445</v>
      </c>
    </row>
    <row r="66" spans="1:18" ht="15" x14ac:dyDescent="0.25">
      <c r="A66" s="373" t="s">
        <v>757</v>
      </c>
      <c r="B66" s="373" t="s">
        <v>640</v>
      </c>
      <c r="C66" s="373" t="s">
        <v>758</v>
      </c>
      <c r="D66" s="399" t="s">
        <v>767</v>
      </c>
      <c r="E66" s="399" t="s">
        <v>768</v>
      </c>
      <c r="F66" s="399" t="s">
        <v>800</v>
      </c>
      <c r="H66" s="400">
        <v>31610.999999999996</v>
      </c>
      <c r="I66" s="400">
        <v>32243.219999999998</v>
      </c>
      <c r="J66" s="400">
        <v>32888.0844</v>
      </c>
      <c r="K66" s="400">
        <v>33545.846087999998</v>
      </c>
      <c r="L66" s="400">
        <v>34216.763009759998</v>
      </c>
      <c r="M66" s="400">
        <f>L66*(1+'LTFP Assumptions'!$H$13)</f>
        <v>34901.098269955197</v>
      </c>
      <c r="N66" s="400">
        <f>M66*(1+'LTFP Assumptions'!$H$13)</f>
        <v>35599.120235354305</v>
      </c>
      <c r="O66" s="400">
        <f>N66*(1+'LTFP Assumptions'!$H$13)</f>
        <v>36311.102640061392</v>
      </c>
      <c r="P66" s="400">
        <f>O66*(1+'LTFP Assumptions'!$H$13)</f>
        <v>37037.324692862618</v>
      </c>
      <c r="Q66" s="400">
        <f>P66*(1+'LTFP Assumptions'!$H$13)</f>
        <v>37778.07118671987</v>
      </c>
      <c r="R66" s="400">
        <f>Q66*(1+'LTFP Assumptions'!$H$13)</f>
        <v>38533.632610454268</v>
      </c>
    </row>
    <row r="67" spans="1:18" ht="15" x14ac:dyDescent="0.25">
      <c r="A67" s="221" t="s">
        <v>205</v>
      </c>
      <c r="B67" s="221" t="s">
        <v>640</v>
      </c>
      <c r="C67" s="221" t="s">
        <v>760</v>
      </c>
      <c r="D67" s="399" t="s">
        <v>773</v>
      </c>
      <c r="E67" s="399" t="s">
        <v>774</v>
      </c>
      <c r="F67" s="399" t="s">
        <v>800</v>
      </c>
      <c r="H67" s="400">
        <v>3161.1</v>
      </c>
      <c r="I67" s="400">
        <v>3224.3220000000001</v>
      </c>
      <c r="J67" s="400">
        <v>3288.8084400000002</v>
      </c>
      <c r="K67" s="400">
        <v>3354.5846088000003</v>
      </c>
      <c r="L67" s="400">
        <v>3421.6763009760002</v>
      </c>
      <c r="M67" s="400">
        <f>L67*(1+'LTFP Assumptions'!$H$13)</f>
        <v>3490.1098269955205</v>
      </c>
      <c r="N67" s="400">
        <f>M67*(1+'LTFP Assumptions'!$H$13)</f>
        <v>3559.9120235354308</v>
      </c>
      <c r="O67" s="400">
        <f>N67*(1+'LTFP Assumptions'!$H$13)</f>
        <v>3631.1102640061395</v>
      </c>
      <c r="P67" s="400">
        <f>O67*(1+'LTFP Assumptions'!$H$13)</f>
        <v>3703.7324692862621</v>
      </c>
      <c r="Q67" s="400">
        <f>P67*(1+'LTFP Assumptions'!$H$13)</f>
        <v>3777.8071186719876</v>
      </c>
      <c r="R67" s="400">
        <f>Q67*(1+'LTFP Assumptions'!$H$13)</f>
        <v>3853.3632610454274</v>
      </c>
    </row>
    <row r="68" spans="1:18" ht="15" x14ac:dyDescent="0.25">
      <c r="A68" s="221" t="s">
        <v>194</v>
      </c>
      <c r="B68" s="221" t="s">
        <v>640</v>
      </c>
      <c r="C68" s="221" t="s">
        <v>761</v>
      </c>
      <c r="D68" s="399" t="s">
        <v>777</v>
      </c>
      <c r="E68" s="399" t="s">
        <v>778</v>
      </c>
      <c r="F68" s="399" t="s">
        <v>800</v>
      </c>
      <c r="H68" s="400">
        <v>18124.05</v>
      </c>
      <c r="I68" s="400">
        <v>18486.530999999999</v>
      </c>
      <c r="J68" s="400">
        <v>18856.261620000001</v>
      </c>
      <c r="K68" s="400">
        <v>19233.386852400003</v>
      </c>
      <c r="L68" s="400">
        <v>19618.054589448002</v>
      </c>
      <c r="M68" s="400">
        <f>L68*(1+'LTFP Assumptions'!$H$13)</f>
        <v>20010.415681236962</v>
      </c>
      <c r="N68" s="400">
        <f>M68*(1+'LTFP Assumptions'!$H$13)</f>
        <v>20410.6239948617</v>
      </c>
      <c r="O68" s="400">
        <f>N68*(1+'LTFP Assumptions'!$H$13)</f>
        <v>20818.836474758933</v>
      </c>
      <c r="P68" s="400">
        <f>O68*(1+'LTFP Assumptions'!$H$13)</f>
        <v>21235.213204254112</v>
      </c>
      <c r="Q68" s="400">
        <f>P68*(1+'LTFP Assumptions'!$H$13)</f>
        <v>21659.917468339194</v>
      </c>
      <c r="R68" s="400">
        <f>Q68*(1+'LTFP Assumptions'!$H$13)</f>
        <v>22093.115817705977</v>
      </c>
    </row>
    <row r="69" spans="1:18" ht="15" x14ac:dyDescent="0.25">
      <c r="A69" s="221" t="s">
        <v>205</v>
      </c>
      <c r="B69" s="221" t="s">
        <v>640</v>
      </c>
      <c r="C69" s="221" t="s">
        <v>763</v>
      </c>
      <c r="D69" s="399" t="s">
        <v>779</v>
      </c>
      <c r="E69" s="399" t="s">
        <v>780</v>
      </c>
      <c r="F69" s="399" t="s">
        <v>800</v>
      </c>
      <c r="H69" s="400">
        <v>10536.999999999998</v>
      </c>
      <c r="I69" s="400">
        <v>10747.739999999998</v>
      </c>
      <c r="J69" s="400">
        <v>10962.694799999997</v>
      </c>
      <c r="K69" s="400">
        <v>11181.948695999998</v>
      </c>
      <c r="L69" s="400">
        <v>11405.587669919998</v>
      </c>
      <c r="M69" s="400">
        <f>L69*(1+'LTFP Assumptions'!$H$13)</f>
        <v>11633.699423318398</v>
      </c>
      <c r="N69" s="400">
        <f>M69*(1+'LTFP Assumptions'!$H$13)</f>
        <v>11866.373411784765</v>
      </c>
      <c r="O69" s="400">
        <f>N69*(1+'LTFP Assumptions'!$H$13)</f>
        <v>12103.70088002046</v>
      </c>
      <c r="P69" s="400">
        <f>O69*(1+'LTFP Assumptions'!$H$13)</f>
        <v>12345.77489762087</v>
      </c>
      <c r="Q69" s="400">
        <f>P69*(1+'LTFP Assumptions'!$H$13)</f>
        <v>12592.690395573287</v>
      </c>
      <c r="R69" s="400">
        <f>Q69*(1+'LTFP Assumptions'!$H$13)</f>
        <v>12844.544203484753</v>
      </c>
    </row>
    <row r="70" spans="1:18" ht="15" x14ac:dyDescent="0.25">
      <c r="A70" s="221" t="s">
        <v>765</v>
      </c>
      <c r="B70" s="221" t="s">
        <v>640</v>
      </c>
      <c r="C70" s="221" t="s">
        <v>766</v>
      </c>
      <c r="D70" s="399" t="s">
        <v>784</v>
      </c>
      <c r="E70" s="399" t="s">
        <v>785</v>
      </c>
      <c r="F70" s="399" t="s">
        <v>800</v>
      </c>
      <c r="H70" s="400">
        <v>16859.199999999997</v>
      </c>
      <c r="I70" s="400">
        <v>17196.383999999998</v>
      </c>
      <c r="J70" s="400">
        <v>17540.311679999999</v>
      </c>
      <c r="K70" s="400">
        <v>17891.117913599999</v>
      </c>
      <c r="L70" s="400">
        <v>18248.940271872001</v>
      </c>
      <c r="M70" s="400">
        <f>L70*(1+'LTFP Assumptions'!$H$13)</f>
        <v>18613.919077309441</v>
      </c>
      <c r="N70" s="400">
        <f>M70*(1+'LTFP Assumptions'!$H$13)</f>
        <v>18986.19745885563</v>
      </c>
      <c r="O70" s="400">
        <f>N70*(1+'LTFP Assumptions'!$H$13)</f>
        <v>19365.921408032744</v>
      </c>
      <c r="P70" s="400">
        <f>O70*(1+'LTFP Assumptions'!$H$13)</f>
        <v>19753.239836193399</v>
      </c>
      <c r="Q70" s="400">
        <f>P70*(1+'LTFP Assumptions'!$H$13)</f>
        <v>20148.304632917268</v>
      </c>
      <c r="R70" s="400">
        <f>Q70*(1+'LTFP Assumptions'!$H$13)</f>
        <v>20551.270725575614</v>
      </c>
    </row>
    <row r="71" spans="1:18" ht="15" x14ac:dyDescent="0.25">
      <c r="A71" s="221" t="s">
        <v>702</v>
      </c>
      <c r="B71" s="221" t="s">
        <v>640</v>
      </c>
      <c r="C71" s="221" t="s">
        <v>767</v>
      </c>
      <c r="D71" s="399" t="s">
        <v>788</v>
      </c>
      <c r="E71" s="399" t="s">
        <v>839</v>
      </c>
      <c r="F71" s="399" t="s">
        <v>800</v>
      </c>
      <c r="H71" s="400">
        <v>20500</v>
      </c>
      <c r="I71" s="400">
        <v>20910</v>
      </c>
      <c r="J71" s="400">
        <v>21328.2</v>
      </c>
      <c r="K71" s="400">
        <v>21754.764000000003</v>
      </c>
      <c r="L71" s="400">
        <v>22189.859280000004</v>
      </c>
      <c r="M71" s="400">
        <f>L71*(1+'LTFP Assumptions'!$H$13)</f>
        <v>22633.656465600005</v>
      </c>
      <c r="N71" s="400">
        <f>M71*(1+'LTFP Assumptions'!$H$13)</f>
        <v>23086.329594912004</v>
      </c>
      <c r="O71" s="400">
        <f>N71*(1+'LTFP Assumptions'!$H$13)</f>
        <v>23548.056186810245</v>
      </c>
      <c r="P71" s="400">
        <f>O71*(1+'LTFP Assumptions'!$H$13)</f>
        <v>24019.017310546449</v>
      </c>
      <c r="Q71" s="400">
        <f>P71*(1+'LTFP Assumptions'!$H$13)</f>
        <v>24499.397656757377</v>
      </c>
      <c r="R71" s="400">
        <f>Q71*(1+'LTFP Assumptions'!$H$13)</f>
        <v>24989.385609892524</v>
      </c>
    </row>
    <row r="72" spans="1:18" ht="15" x14ac:dyDescent="0.25">
      <c r="A72" s="221" t="s">
        <v>769</v>
      </c>
      <c r="B72" s="221" t="s">
        <v>640</v>
      </c>
      <c r="C72" s="221" t="s">
        <v>770</v>
      </c>
      <c r="D72" s="399" t="s">
        <v>840</v>
      </c>
      <c r="E72" s="399" t="s">
        <v>841</v>
      </c>
      <c r="F72" s="399" t="s">
        <v>800</v>
      </c>
      <c r="H72" s="400">
        <v>110489.77424554995</v>
      </c>
      <c r="I72" s="400">
        <v>113362.50837593425</v>
      </c>
      <c r="J72" s="400">
        <v>116309.93359370854</v>
      </c>
      <c r="K72" s="400">
        <v>119333.99186714497</v>
      </c>
      <c r="L72" s="400">
        <v>122436.67565569075</v>
      </c>
      <c r="M72" s="400">
        <f>L72*(1+'LTFP Assumptions'!$H$13)</f>
        <v>124885.40916880457</v>
      </c>
      <c r="N72" s="400">
        <f>M72*(1+'LTFP Assumptions'!$H$13)</f>
        <v>127383.11735218066</v>
      </c>
      <c r="O72" s="400">
        <f>N72*(1+'LTFP Assumptions'!$H$13)</f>
        <v>129930.77969922428</v>
      </c>
      <c r="P72" s="400">
        <f>O72*(1+'LTFP Assumptions'!$H$13)</f>
        <v>132529.39529320877</v>
      </c>
      <c r="Q72" s="400">
        <f>P72*(1+'LTFP Assumptions'!$H$13)</f>
        <v>135179.98319907294</v>
      </c>
      <c r="R72" s="400">
        <f>Q72*(1+'LTFP Assumptions'!$H$13)</f>
        <v>137883.58286305441</v>
      </c>
    </row>
    <row r="73" spans="1:18" ht="15" x14ac:dyDescent="0.25">
      <c r="A73" s="221" t="s">
        <v>771</v>
      </c>
      <c r="B73" s="221" t="s">
        <v>640</v>
      </c>
      <c r="C73" s="221" t="s">
        <v>772</v>
      </c>
      <c r="D73" s="399" t="s">
        <v>842</v>
      </c>
      <c r="E73" s="399" t="s">
        <v>843</v>
      </c>
      <c r="F73" s="399" t="s">
        <v>800</v>
      </c>
      <c r="H73" s="400">
        <v>46495.403107465449</v>
      </c>
      <c r="I73" s="400">
        <v>47704.283588259554</v>
      </c>
      <c r="J73" s="400">
        <v>48944.5949615543</v>
      </c>
      <c r="K73" s="400">
        <v>50217.154430554714</v>
      </c>
      <c r="L73" s="400">
        <v>51522.800445749141</v>
      </c>
      <c r="M73" s="400">
        <f>L73*(1+'LTFP Assumptions'!$H$13)</f>
        <v>52553.256454664122</v>
      </c>
      <c r="N73" s="400">
        <f>M73*(1+'LTFP Assumptions'!$H$13)</f>
        <v>53604.321583757403</v>
      </c>
      <c r="O73" s="400">
        <f>N73*(1+'LTFP Assumptions'!$H$13)</f>
        <v>54676.408015432549</v>
      </c>
      <c r="P73" s="400">
        <f>O73*(1+'LTFP Assumptions'!$H$13)</f>
        <v>55769.936175741204</v>
      </c>
      <c r="Q73" s="400">
        <f>P73*(1+'LTFP Assumptions'!$H$13)</f>
        <v>56885.334899256028</v>
      </c>
      <c r="R73" s="400">
        <f>Q73*(1+'LTFP Assumptions'!$H$13)</f>
        <v>58023.04159724115</v>
      </c>
    </row>
    <row r="74" spans="1:18" ht="15" x14ac:dyDescent="0.25">
      <c r="A74" s="221" t="s">
        <v>205</v>
      </c>
      <c r="B74" s="221" t="s">
        <v>640</v>
      </c>
      <c r="C74" s="221" t="s">
        <v>773</v>
      </c>
      <c r="D74" s="399" t="s">
        <v>844</v>
      </c>
      <c r="E74" s="399" t="s">
        <v>845</v>
      </c>
      <c r="F74" s="399" t="s">
        <v>800</v>
      </c>
      <c r="H74" s="400">
        <v>8429.5999999999985</v>
      </c>
      <c r="I74" s="400">
        <v>8598.1919999999991</v>
      </c>
      <c r="J74" s="400">
        <v>8770.1558399999994</v>
      </c>
      <c r="K74" s="400">
        <v>8945.5589567999996</v>
      </c>
      <c r="L74" s="400">
        <v>9124.4701359360006</v>
      </c>
      <c r="M74" s="400">
        <f>L74*(1+'LTFP Assumptions'!$H$13)</f>
        <v>9306.9595386547207</v>
      </c>
      <c r="N74" s="400">
        <f>M74*(1+'LTFP Assumptions'!$H$13)</f>
        <v>9493.0987294278148</v>
      </c>
      <c r="O74" s="400">
        <f>N74*(1+'LTFP Assumptions'!$H$13)</f>
        <v>9682.9607040163719</v>
      </c>
      <c r="P74" s="400">
        <f>O74*(1+'LTFP Assumptions'!$H$13)</f>
        <v>9876.6199180966996</v>
      </c>
      <c r="Q74" s="400">
        <f>P74*(1+'LTFP Assumptions'!$H$13)</f>
        <v>10074.152316458634</v>
      </c>
      <c r="R74" s="400">
        <f>Q74*(1+'LTFP Assumptions'!$H$13)</f>
        <v>10275.635362787807</v>
      </c>
    </row>
    <row r="75" spans="1:18" ht="15" x14ac:dyDescent="0.25">
      <c r="A75" s="221" t="s">
        <v>205</v>
      </c>
      <c r="B75" s="221" t="s">
        <v>640</v>
      </c>
      <c r="C75" s="221" t="s">
        <v>775</v>
      </c>
      <c r="D75" s="399" t="s">
        <v>846</v>
      </c>
      <c r="E75" s="399" t="s">
        <v>847</v>
      </c>
      <c r="F75" s="399" t="s">
        <v>800</v>
      </c>
      <c r="H75" s="400">
        <v>76858.599999999991</v>
      </c>
      <c r="I75" s="400">
        <v>78395.771999999997</v>
      </c>
      <c r="J75" s="400">
        <v>79963.687439999994</v>
      </c>
      <c r="K75" s="400">
        <v>81562.961188799993</v>
      </c>
      <c r="L75" s="400">
        <v>83194.220412575989</v>
      </c>
      <c r="M75" s="400">
        <f>L75*(1+'LTFP Assumptions'!$H$13)</f>
        <v>84858.104820827517</v>
      </c>
      <c r="N75" s="400">
        <f>M75*(1+'LTFP Assumptions'!$H$13)</f>
        <v>86555.266917244066</v>
      </c>
      <c r="O75" s="400">
        <f>N75*(1+'LTFP Assumptions'!$H$13)</f>
        <v>88286.372255588954</v>
      </c>
      <c r="P75" s="400">
        <f>O75*(1+'LTFP Assumptions'!$H$13)</f>
        <v>90052.099700700739</v>
      </c>
      <c r="Q75" s="400">
        <f>P75*(1+'LTFP Assumptions'!$H$13)</f>
        <v>91853.141694714752</v>
      </c>
      <c r="R75" s="400">
        <f>Q75*(1+'LTFP Assumptions'!$H$13)</f>
        <v>93690.204528609043</v>
      </c>
    </row>
    <row r="76" spans="1:18" ht="15" x14ac:dyDescent="0.25">
      <c r="A76" s="221" t="s">
        <v>776</v>
      </c>
      <c r="B76" s="221" t="s">
        <v>640</v>
      </c>
      <c r="C76" s="221" t="s">
        <v>777</v>
      </c>
      <c r="D76" s="399" t="s">
        <v>848</v>
      </c>
      <c r="E76" s="399" t="s">
        <v>849</v>
      </c>
      <c r="F76" s="399" t="s">
        <v>800</v>
      </c>
      <c r="H76" s="400">
        <v>1580.55</v>
      </c>
      <c r="I76" s="400">
        <v>1612.1610000000001</v>
      </c>
      <c r="J76" s="400">
        <v>1644.4042200000001</v>
      </c>
      <c r="K76" s="400">
        <v>1677.2923044000001</v>
      </c>
      <c r="L76" s="400">
        <v>1710.8381504880001</v>
      </c>
      <c r="M76" s="400">
        <f>L76*(1+'LTFP Assumptions'!$H$13)</f>
        <v>1745.0549134977603</v>
      </c>
      <c r="N76" s="400">
        <f>M76*(1+'LTFP Assumptions'!$H$13)</f>
        <v>1779.9560117677154</v>
      </c>
      <c r="O76" s="400">
        <f>N76*(1+'LTFP Assumptions'!$H$13)</f>
        <v>1815.5551320030697</v>
      </c>
      <c r="P76" s="400">
        <f>O76*(1+'LTFP Assumptions'!$H$13)</f>
        <v>1851.8662346431311</v>
      </c>
      <c r="Q76" s="400">
        <f>P76*(1+'LTFP Assumptions'!$H$13)</f>
        <v>1888.9035593359938</v>
      </c>
      <c r="R76" s="400">
        <f>Q76*(1+'LTFP Assumptions'!$H$13)</f>
        <v>1926.6816305227137</v>
      </c>
    </row>
    <row r="77" spans="1:18" ht="15" x14ac:dyDescent="0.25">
      <c r="A77" s="221" t="s">
        <v>707</v>
      </c>
      <c r="B77" s="221" t="s">
        <v>640</v>
      </c>
      <c r="C77" s="221" t="s">
        <v>779</v>
      </c>
      <c r="D77" s="399" t="s">
        <v>850</v>
      </c>
      <c r="E77" s="399" t="s">
        <v>851</v>
      </c>
      <c r="F77" s="399" t="s">
        <v>800</v>
      </c>
      <c r="H77" s="400">
        <v>5268.4999999999991</v>
      </c>
      <c r="I77" s="400">
        <v>5373.869999999999</v>
      </c>
      <c r="J77" s="400">
        <v>5481.3473999999987</v>
      </c>
      <c r="K77" s="400">
        <v>5590.9743479999988</v>
      </c>
      <c r="L77" s="400">
        <v>5702.793834959999</v>
      </c>
      <c r="M77" s="400">
        <f>L77*(1+'LTFP Assumptions'!$H$13)</f>
        <v>5816.8497116591989</v>
      </c>
      <c r="N77" s="400">
        <f>M77*(1+'LTFP Assumptions'!$H$13)</f>
        <v>5933.1867058923826</v>
      </c>
      <c r="O77" s="400">
        <f>N77*(1+'LTFP Assumptions'!$H$13)</f>
        <v>6051.8504400102302</v>
      </c>
      <c r="P77" s="400">
        <f>O77*(1+'LTFP Assumptions'!$H$13)</f>
        <v>6172.8874488104348</v>
      </c>
      <c r="Q77" s="400">
        <f>P77*(1+'LTFP Assumptions'!$H$13)</f>
        <v>6296.3451977866434</v>
      </c>
      <c r="R77" s="400">
        <f>Q77*(1+'LTFP Assumptions'!$H$13)</f>
        <v>6422.2721017423764</v>
      </c>
    </row>
    <row r="78" spans="1:18" ht="15" x14ac:dyDescent="0.25">
      <c r="A78" s="221" t="s">
        <v>194</v>
      </c>
      <c r="B78" s="221" t="s">
        <v>640</v>
      </c>
      <c r="C78" s="221" t="s">
        <v>781</v>
      </c>
      <c r="D78" s="399" t="s">
        <v>852</v>
      </c>
      <c r="E78" s="399" t="s">
        <v>853</v>
      </c>
      <c r="F78" s="399" t="s">
        <v>800</v>
      </c>
      <c r="H78" s="400">
        <v>1053.6999999999998</v>
      </c>
      <c r="I78" s="400">
        <v>1074.7739999999999</v>
      </c>
      <c r="J78" s="400">
        <v>1096.2694799999999</v>
      </c>
      <c r="K78" s="400">
        <v>1118.1948695999999</v>
      </c>
      <c r="L78" s="400">
        <v>1140.5587669920001</v>
      </c>
      <c r="M78" s="400">
        <f>L78*(1+'LTFP Assumptions'!$H$13)</f>
        <v>1163.3699423318401</v>
      </c>
      <c r="N78" s="400">
        <f>M78*(1+'LTFP Assumptions'!$H$13)</f>
        <v>1186.6373411784768</v>
      </c>
      <c r="O78" s="400">
        <f>N78*(1+'LTFP Assumptions'!$H$13)</f>
        <v>1210.3700880020465</v>
      </c>
      <c r="P78" s="400">
        <f>O78*(1+'LTFP Assumptions'!$H$13)</f>
        <v>1234.5774897620875</v>
      </c>
      <c r="Q78" s="400">
        <f>P78*(1+'LTFP Assumptions'!$H$13)</f>
        <v>1259.2690395573293</v>
      </c>
      <c r="R78" s="400">
        <f>Q78*(1+'LTFP Assumptions'!$H$13)</f>
        <v>1284.4544203484759</v>
      </c>
    </row>
    <row r="79" spans="1:18" ht="15" x14ac:dyDescent="0.25">
      <c r="A79" s="221" t="s">
        <v>782</v>
      </c>
      <c r="B79" s="221" t="s">
        <v>640</v>
      </c>
      <c r="C79" s="221" t="s">
        <v>783</v>
      </c>
      <c r="D79" s="399" t="s">
        <v>854</v>
      </c>
      <c r="E79" s="399" t="s">
        <v>855</v>
      </c>
      <c r="F79" s="399" t="s">
        <v>800</v>
      </c>
      <c r="H79" s="400">
        <v>46189.265870591262</v>
      </c>
      <c r="I79" s="400">
        <v>47390.186783226636</v>
      </c>
      <c r="J79" s="400">
        <v>48622.331639590528</v>
      </c>
      <c r="K79" s="400">
        <v>49886.512262219883</v>
      </c>
      <c r="L79" s="400">
        <v>51183.561581037604</v>
      </c>
      <c r="M79" s="400">
        <f>L79*(1+'LTFP Assumptions'!$H$13)</f>
        <v>52207.23281265836</v>
      </c>
      <c r="N79" s="400">
        <f>M79*(1+'LTFP Assumptions'!$H$13)</f>
        <v>53251.377468911531</v>
      </c>
      <c r="O79" s="400">
        <f>N79*(1+'LTFP Assumptions'!$H$13)</f>
        <v>54316.405018289763</v>
      </c>
      <c r="P79" s="400">
        <f>O79*(1+'LTFP Assumptions'!$H$13)</f>
        <v>55402.73311865556</v>
      </c>
      <c r="Q79" s="400">
        <f>P79*(1+'LTFP Assumptions'!$H$13)</f>
        <v>56510.787781028674</v>
      </c>
      <c r="R79" s="400">
        <f>Q79*(1+'LTFP Assumptions'!$H$13)</f>
        <v>57641.003536649245</v>
      </c>
    </row>
    <row r="80" spans="1:18" ht="15" x14ac:dyDescent="0.25">
      <c r="A80" s="221" t="s">
        <v>707</v>
      </c>
      <c r="B80" s="221" t="s">
        <v>640</v>
      </c>
      <c r="C80" s="221" t="s">
        <v>784</v>
      </c>
      <c r="D80" s="399" t="s">
        <v>856</v>
      </c>
      <c r="E80" s="399" t="s">
        <v>857</v>
      </c>
      <c r="F80" s="399" t="s">
        <v>800</v>
      </c>
      <c r="H80" s="400">
        <v>19436.989083879245</v>
      </c>
      <c r="I80" s="400">
        <v>19942.350800060107</v>
      </c>
      <c r="J80" s="400">
        <v>20460.851920861671</v>
      </c>
      <c r="K80" s="400">
        <v>20992.834070804074</v>
      </c>
      <c r="L80" s="400">
        <v>21538.647756644979</v>
      </c>
      <c r="M80" s="400">
        <f>L80*(1+'LTFP Assumptions'!$H$13)</f>
        <v>21969.420711777879</v>
      </c>
      <c r="N80" s="400">
        <f>M80*(1+'LTFP Assumptions'!$H$13)</f>
        <v>22408.809126013435</v>
      </c>
      <c r="O80" s="400">
        <f>N80*(1+'LTFP Assumptions'!$H$13)</f>
        <v>22856.985308533705</v>
      </c>
      <c r="P80" s="400">
        <f>O80*(1+'LTFP Assumptions'!$H$13)</f>
        <v>23314.125014704379</v>
      </c>
      <c r="Q80" s="400">
        <f>P80*(1+'LTFP Assumptions'!$H$13)</f>
        <v>23780.407514998467</v>
      </c>
      <c r="R80" s="400">
        <f>Q80*(1+'LTFP Assumptions'!$H$13)</f>
        <v>24256.015665298437</v>
      </c>
    </row>
    <row r="81" spans="1:19" ht="15" x14ac:dyDescent="0.25">
      <c r="A81" s="373" t="s">
        <v>771</v>
      </c>
      <c r="B81" s="373" t="s">
        <v>640</v>
      </c>
      <c r="C81" s="373" t="s">
        <v>786</v>
      </c>
      <c r="D81" s="399" t="s">
        <v>858</v>
      </c>
      <c r="E81" s="399" t="s">
        <v>859</v>
      </c>
      <c r="F81" s="399" t="s">
        <v>860</v>
      </c>
      <c r="H81" s="400">
        <v>13742.139431944332</v>
      </c>
      <c r="I81" s="400">
        <v>14099.435057174884</v>
      </c>
      <c r="J81" s="400">
        <v>14466.020368661431</v>
      </c>
      <c r="K81" s="400">
        <v>14842.136898246628</v>
      </c>
      <c r="L81" s="400">
        <v>15228.032457601041</v>
      </c>
      <c r="M81" s="400">
        <f>L81*(1+'LTFP Assumptions'!$H$13)</f>
        <v>15532.593106753062</v>
      </c>
      <c r="N81" s="400">
        <f>M81*(1+'LTFP Assumptions'!$H$13)</f>
        <v>15843.244968888124</v>
      </c>
      <c r="O81" s="400">
        <f>N81*(1+'LTFP Assumptions'!$H$13)</f>
        <v>16160.109868265887</v>
      </c>
      <c r="P81" s="400">
        <f>O81*(1+'LTFP Assumptions'!$H$13)</f>
        <v>16483.312065631206</v>
      </c>
      <c r="Q81" s="400">
        <f>P81*(1+'LTFP Assumptions'!$H$13)</f>
        <v>16812.978306943831</v>
      </c>
      <c r="R81" s="400">
        <f>Q81*(1+'LTFP Assumptions'!$H$13)</f>
        <v>17149.237873082708</v>
      </c>
    </row>
    <row r="82" spans="1:19" ht="15" x14ac:dyDescent="0.25">
      <c r="A82" s="221" t="s">
        <v>205</v>
      </c>
      <c r="B82" s="221" t="s">
        <v>640</v>
      </c>
      <c r="C82" s="221" t="s">
        <v>788</v>
      </c>
      <c r="D82" s="399" t="s">
        <v>861</v>
      </c>
      <c r="E82" s="399" t="s">
        <v>862</v>
      </c>
      <c r="F82" s="399" t="s">
        <v>860</v>
      </c>
      <c r="H82" s="400">
        <v>15235</v>
      </c>
      <c r="I82" s="400">
        <v>15539.7</v>
      </c>
      <c r="J82" s="400">
        <v>15850.494000000001</v>
      </c>
      <c r="K82" s="400">
        <v>16167.50388</v>
      </c>
      <c r="L82" s="400">
        <v>16490.8539576</v>
      </c>
      <c r="M82" s="400">
        <f>L82*(1+'LTFP Assumptions'!$H$13)</f>
        <v>16820.671036751999</v>
      </c>
      <c r="N82" s="400">
        <f>M82*(1+'LTFP Assumptions'!$H$13)</f>
        <v>17157.084457487039</v>
      </c>
      <c r="O82" s="400">
        <f>N82*(1+'LTFP Assumptions'!$H$13)</f>
        <v>17500.226146636782</v>
      </c>
      <c r="P82" s="400">
        <f>O82*(1+'LTFP Assumptions'!$H$13)</f>
        <v>17850.230669569519</v>
      </c>
      <c r="Q82" s="400">
        <f>P82*(1+'LTFP Assumptions'!$H$13)</f>
        <v>18207.235282960908</v>
      </c>
      <c r="R82" s="400">
        <f>Q82*(1+'LTFP Assumptions'!$H$13)</f>
        <v>18571.379988620127</v>
      </c>
    </row>
    <row r="83" spans="1:19" ht="15" x14ac:dyDescent="0.25">
      <c r="A83" s="221" t="s">
        <v>205</v>
      </c>
      <c r="B83" s="221" t="s">
        <v>640</v>
      </c>
      <c r="C83" s="221" t="s">
        <v>789</v>
      </c>
      <c r="D83" s="399" t="s">
        <v>863</v>
      </c>
      <c r="E83" s="399" t="s">
        <v>864</v>
      </c>
      <c r="F83" s="399" t="s">
        <v>860</v>
      </c>
      <c r="H83" s="400">
        <v>5782.8547194536586</v>
      </c>
      <c r="I83" s="400">
        <v>5933.2089421594537</v>
      </c>
      <c r="J83" s="400">
        <v>6087.4723746556001</v>
      </c>
      <c r="K83" s="400">
        <v>6245.7466563966454</v>
      </c>
      <c r="L83" s="400">
        <v>6408.1360694629584</v>
      </c>
      <c r="M83" s="400">
        <f>L83*(1+'LTFP Assumptions'!$H$13)</f>
        <v>6536.2987908522173</v>
      </c>
      <c r="N83" s="400">
        <f>M83*(1+'LTFP Assumptions'!$H$13)</f>
        <v>6667.0247666692621</v>
      </c>
      <c r="O83" s="400">
        <f>N83*(1+'LTFP Assumptions'!$H$13)</f>
        <v>6800.3652620026478</v>
      </c>
      <c r="P83" s="400">
        <f>O83*(1+'LTFP Assumptions'!$H$13)</f>
        <v>6936.3725672427008</v>
      </c>
      <c r="Q83" s="400">
        <f>P83*(1+'LTFP Assumptions'!$H$13)</f>
        <v>7075.1000185875546</v>
      </c>
      <c r="R83" s="400">
        <f>Q83*(1+'LTFP Assumptions'!$H$13)</f>
        <v>7216.6020189593055</v>
      </c>
    </row>
    <row r="84" spans="1:19" ht="15" x14ac:dyDescent="0.25">
      <c r="A84" s="221" t="s">
        <v>232</v>
      </c>
      <c r="B84" s="221" t="s">
        <v>640</v>
      </c>
      <c r="C84" s="221" t="s">
        <v>790</v>
      </c>
      <c r="D84" s="402" t="s">
        <v>758</v>
      </c>
      <c r="E84" s="411" t="s">
        <v>759</v>
      </c>
      <c r="F84" s="412">
        <v>2011.9</v>
      </c>
      <c r="G84" s="412">
        <v>0</v>
      </c>
      <c r="H84" s="412">
        <v>0</v>
      </c>
      <c r="I84" s="412"/>
      <c r="J84" s="412"/>
      <c r="K84" s="412"/>
      <c r="L84" s="412"/>
      <c r="M84" s="412" t="e">
        <f>#REF!</f>
        <v>#REF!</v>
      </c>
      <c r="N84" s="412" t="e">
        <f>#REF!</f>
        <v>#REF!</v>
      </c>
      <c r="O84" s="412" t="e">
        <f>#REF!</f>
        <v>#REF!</v>
      </c>
      <c r="P84" s="412" t="e">
        <f>#REF!</f>
        <v>#REF!</v>
      </c>
      <c r="Q84" s="412" t="e">
        <f>#REF!</f>
        <v>#REF!</v>
      </c>
      <c r="R84" s="412" t="e">
        <f>#REF!</f>
        <v>#REF!</v>
      </c>
    </row>
    <row r="85" spans="1:19" ht="15" x14ac:dyDescent="0.25">
      <c r="D85" s="402" t="s">
        <v>786</v>
      </c>
      <c r="E85" s="411" t="s">
        <v>787</v>
      </c>
      <c r="F85" s="412"/>
      <c r="G85" s="412">
        <v>0</v>
      </c>
      <c r="H85" s="412">
        <v>0</v>
      </c>
      <c r="I85" s="412"/>
      <c r="J85" s="412"/>
      <c r="K85" s="412"/>
      <c r="L85" s="412"/>
      <c r="M85" s="412" t="e">
        <f>#REF!</f>
        <v>#REF!</v>
      </c>
      <c r="N85" s="412" t="e">
        <f>#REF!</f>
        <v>#REF!</v>
      </c>
      <c r="O85" s="412" t="e">
        <f>#REF!</f>
        <v>#REF!</v>
      </c>
      <c r="P85" s="412" t="e">
        <f>#REF!</f>
        <v>#REF!</v>
      </c>
      <c r="Q85" s="412" t="e">
        <f>#REF!</f>
        <v>#REF!</v>
      </c>
      <c r="R85" s="412" t="e">
        <f>#REF!</f>
        <v>#REF!</v>
      </c>
    </row>
    <row r="86" spans="1:19" ht="15" x14ac:dyDescent="0.25">
      <c r="D86" s="403"/>
      <c r="E86" s="403"/>
      <c r="F86" s="403"/>
      <c r="H86" s="397" t="s">
        <v>631</v>
      </c>
      <c r="I86" s="398" t="s">
        <v>632</v>
      </c>
      <c r="J86" s="398" t="s">
        <v>633</v>
      </c>
      <c r="K86" s="398" t="s">
        <v>374</v>
      </c>
      <c r="L86" s="398" t="s">
        <v>634</v>
      </c>
      <c r="M86" s="398" t="s">
        <v>635</v>
      </c>
      <c r="N86" s="398" t="s">
        <v>636</v>
      </c>
      <c r="O86" s="398" t="s">
        <v>637</v>
      </c>
      <c r="P86" s="398" t="s">
        <v>638</v>
      </c>
      <c r="Q86" s="398" t="s">
        <v>639</v>
      </c>
      <c r="R86" s="398" t="s">
        <v>1035</v>
      </c>
    </row>
    <row r="87" spans="1:19" ht="15" x14ac:dyDescent="0.25">
      <c r="D87" s="392"/>
      <c r="E87" s="202" t="s">
        <v>865</v>
      </c>
      <c r="F87" s="392"/>
      <c r="H87" s="751">
        <f t="shared" ref="H87:Q87" si="0">SUM(H5:H86)</f>
        <v>1756071.114972655</v>
      </c>
      <c r="I87" s="751">
        <f t="shared" si="0"/>
        <v>1962039.5142619435</v>
      </c>
      <c r="J87" s="751">
        <f t="shared" si="0"/>
        <v>2004201.3029387537</v>
      </c>
      <c r="K87" s="751">
        <f t="shared" si="0"/>
        <v>2047282.2733472819</v>
      </c>
      <c r="L87" s="751">
        <f t="shared" si="0"/>
        <v>1987354.1911941578</v>
      </c>
      <c r="M87" s="751" t="e">
        <f t="shared" si="0"/>
        <v>#REF!</v>
      </c>
      <c r="N87" s="751" t="e">
        <f t="shared" si="0"/>
        <v>#REF!</v>
      </c>
      <c r="O87" s="751" t="e">
        <f t="shared" si="0"/>
        <v>#REF!</v>
      </c>
      <c r="P87" s="751" t="e">
        <f t="shared" si="0"/>
        <v>#REF!</v>
      </c>
      <c r="Q87" s="751" t="e">
        <f t="shared" si="0"/>
        <v>#REF!</v>
      </c>
      <c r="R87" s="751" t="e">
        <f t="shared" ref="R87" si="1">SUM(R5:R86)</f>
        <v>#REF!</v>
      </c>
      <c r="S87" s="752"/>
    </row>
    <row r="88" spans="1:19" ht="29.25" customHeight="1" x14ac:dyDescent="0.25">
      <c r="D88" s="392"/>
      <c r="E88" s="1596" t="s">
        <v>1033</v>
      </c>
      <c r="F88" s="1596"/>
      <c r="H88" s="753" t="e">
        <f>H98*1000</f>
        <v>#DIV/0!</v>
      </c>
      <c r="I88" s="753" t="e">
        <f>I98*1000</f>
        <v>#DIV/0!</v>
      </c>
      <c r="J88" s="753" t="e">
        <f t="shared" ref="J88:S88" si="2">J98*1000</f>
        <v>#DIV/0!</v>
      </c>
      <c r="K88" s="753" t="e">
        <f t="shared" si="2"/>
        <v>#DIV/0!</v>
      </c>
      <c r="L88" s="753" t="e">
        <f t="shared" si="2"/>
        <v>#DIV/0!</v>
      </c>
      <c r="M88" s="753" t="e">
        <f t="shared" si="2"/>
        <v>#DIV/0!</v>
      </c>
      <c r="N88" s="753" t="e">
        <f t="shared" si="2"/>
        <v>#DIV/0!</v>
      </c>
      <c r="O88" s="753" t="e">
        <f t="shared" si="2"/>
        <v>#DIV/0!</v>
      </c>
      <c r="P88" s="753" t="e">
        <f t="shared" si="2"/>
        <v>#DIV/0!</v>
      </c>
      <c r="Q88" s="753" t="e">
        <f t="shared" si="2"/>
        <v>#DIV/0!</v>
      </c>
      <c r="R88" s="753" t="e">
        <f t="shared" si="2"/>
        <v>#DIV/0!</v>
      </c>
      <c r="S88" s="753" t="e">
        <f t="shared" si="2"/>
        <v>#DIV/0!</v>
      </c>
    </row>
    <row r="89" spans="1:19" ht="15" x14ac:dyDescent="0.25">
      <c r="D89" s="392"/>
      <c r="E89" s="392"/>
      <c r="F89" s="392"/>
      <c r="H89" s="394"/>
      <c r="I89" s="395"/>
      <c r="J89" s="395"/>
      <c r="K89" s="395"/>
      <c r="L89" s="395"/>
      <c r="M89" s="395"/>
      <c r="N89" s="395"/>
      <c r="O89" s="395"/>
      <c r="P89" s="395"/>
      <c r="Q89" s="395"/>
      <c r="R89" s="395"/>
      <c r="S89" s="395"/>
    </row>
    <row r="90" spans="1:19" ht="15" x14ac:dyDescent="0.25">
      <c r="D90" s="392"/>
      <c r="E90" s="404" t="s">
        <v>866</v>
      </c>
      <c r="F90" s="392"/>
      <c r="H90" s="405" t="e">
        <f>H87/H88</f>
        <v>#DIV/0!</v>
      </c>
      <c r="I90" s="405" t="e">
        <f t="shared" ref="I90:P90" si="3">I87/I88</f>
        <v>#DIV/0!</v>
      </c>
      <c r="J90" s="405" t="e">
        <f t="shared" si="3"/>
        <v>#DIV/0!</v>
      </c>
      <c r="K90" s="405" t="e">
        <f t="shared" si="3"/>
        <v>#DIV/0!</v>
      </c>
      <c r="L90" s="405" t="e">
        <f t="shared" si="3"/>
        <v>#DIV/0!</v>
      </c>
      <c r="M90" s="405" t="e">
        <f t="shared" si="3"/>
        <v>#REF!</v>
      </c>
      <c r="N90" s="405" t="e">
        <f t="shared" si="3"/>
        <v>#REF!</v>
      </c>
      <c r="O90" s="405" t="e">
        <f t="shared" si="3"/>
        <v>#REF!</v>
      </c>
      <c r="P90" s="405" t="e">
        <f t="shared" si="3"/>
        <v>#REF!</v>
      </c>
      <c r="Q90" s="405" t="e">
        <f>Q87/Q88</f>
        <v>#REF!</v>
      </c>
      <c r="R90" s="405" t="e">
        <f>R87/R88</f>
        <v>#REF!</v>
      </c>
      <c r="S90" s="405" t="e">
        <f>S87/S88</f>
        <v>#DIV/0!</v>
      </c>
    </row>
    <row r="91" spans="1:19" ht="15" x14ac:dyDescent="0.25">
      <c r="D91" s="392"/>
      <c r="E91" s="406" t="s">
        <v>390</v>
      </c>
      <c r="F91" s="392"/>
      <c r="H91" s="407">
        <v>1</v>
      </c>
      <c r="I91" s="407">
        <v>1</v>
      </c>
      <c r="J91" s="407">
        <v>1</v>
      </c>
      <c r="K91" s="407">
        <v>1</v>
      </c>
      <c r="L91" s="407">
        <v>1</v>
      </c>
      <c r="M91" s="407">
        <v>1</v>
      </c>
      <c r="N91" s="407">
        <v>1</v>
      </c>
      <c r="O91" s="407">
        <v>1</v>
      </c>
      <c r="P91" s="407">
        <v>1</v>
      </c>
      <c r="Q91" s="407">
        <v>1</v>
      </c>
      <c r="R91" s="407">
        <f>Q91</f>
        <v>1</v>
      </c>
      <c r="S91" s="407">
        <f>R91</f>
        <v>1</v>
      </c>
    </row>
    <row r="92" spans="1:19" ht="15" x14ac:dyDescent="0.25">
      <c r="D92" s="392"/>
      <c r="E92" s="392"/>
      <c r="F92" s="392"/>
      <c r="H92" s="394"/>
      <c r="I92" s="395"/>
      <c r="J92" s="395"/>
      <c r="K92" s="395"/>
      <c r="L92" s="395"/>
      <c r="M92" s="395"/>
      <c r="N92" s="395"/>
      <c r="O92" s="395"/>
      <c r="P92" s="395"/>
      <c r="Q92" s="395"/>
      <c r="R92" s="395"/>
      <c r="S92" s="395"/>
    </row>
    <row r="93" spans="1:19" ht="15" x14ac:dyDescent="0.25">
      <c r="D93" s="392"/>
      <c r="E93" s="408" t="s">
        <v>867</v>
      </c>
      <c r="F93" s="408"/>
      <c r="G93" s="409"/>
      <c r="H93" s="754" t="e">
        <f>H88-H87</f>
        <v>#DIV/0!</v>
      </c>
      <c r="I93" s="410" t="s">
        <v>868</v>
      </c>
      <c r="J93" s="410" t="s">
        <v>868</v>
      </c>
      <c r="K93" s="410" t="s">
        <v>868</v>
      </c>
      <c r="L93" s="410" t="s">
        <v>868</v>
      </c>
      <c r="M93" s="410" t="s">
        <v>868</v>
      </c>
      <c r="N93" s="410" t="s">
        <v>868</v>
      </c>
      <c r="O93" s="410" t="s">
        <v>868</v>
      </c>
      <c r="P93" s="410" t="s">
        <v>868</v>
      </c>
      <c r="Q93" s="410" t="s">
        <v>868</v>
      </c>
      <c r="R93" s="410" t="s">
        <v>868</v>
      </c>
      <c r="S93" s="410" t="s">
        <v>868</v>
      </c>
    </row>
    <row r="94" spans="1:19" ht="15.75" thickBot="1" x14ac:dyDescent="0.3">
      <c r="D94" s="392"/>
      <c r="E94" s="392"/>
      <c r="F94" s="392"/>
      <c r="H94" s="394"/>
      <c r="I94" s="395"/>
      <c r="J94" s="395"/>
      <c r="K94" s="395"/>
      <c r="L94" s="395"/>
      <c r="M94" s="395"/>
      <c r="N94" s="395"/>
      <c r="O94" s="395"/>
      <c r="P94" s="395"/>
      <c r="Q94" s="395"/>
    </row>
    <row r="95" spans="1:19" x14ac:dyDescent="0.3">
      <c r="D95" s="392"/>
      <c r="E95" s="392"/>
      <c r="F95" s="392"/>
      <c r="H95" s="394"/>
      <c r="I95" s="395"/>
      <c r="J95" s="1597" t="s">
        <v>1041</v>
      </c>
      <c r="K95" s="1598"/>
      <c r="L95" s="1598"/>
      <c r="M95" s="1598"/>
      <c r="N95" s="1598"/>
      <c r="O95" s="1598"/>
      <c r="P95" s="1598"/>
      <c r="Q95" s="1599"/>
    </row>
    <row r="96" spans="1:19" x14ac:dyDescent="0.3">
      <c r="D96" s="392"/>
      <c r="E96" s="392" t="s">
        <v>1034</v>
      </c>
      <c r="F96" s="392"/>
      <c r="H96" s="394"/>
      <c r="I96" s="395"/>
      <c r="J96" s="1600"/>
      <c r="K96" s="1601"/>
      <c r="L96" s="1601"/>
      <c r="M96" s="1601"/>
      <c r="N96" s="1601"/>
      <c r="O96" s="1601"/>
      <c r="P96" s="1601"/>
      <c r="Q96" s="1602"/>
    </row>
    <row r="97" spans="4:19" ht="15" thickBot="1" x14ac:dyDescent="0.35">
      <c r="D97" s="392"/>
      <c r="E97" s="392"/>
      <c r="F97" s="392"/>
      <c r="H97" s="394"/>
      <c r="I97" s="395"/>
      <c r="J97" s="1603"/>
      <c r="K97" s="1604"/>
      <c r="L97" s="1604"/>
      <c r="M97" s="1604"/>
      <c r="N97" s="1604"/>
      <c r="O97" s="1604"/>
      <c r="P97" s="1604"/>
      <c r="Q97" s="1605"/>
    </row>
    <row r="98" spans="4:19" ht="15" x14ac:dyDescent="0.25">
      <c r="D98" s="392"/>
      <c r="E98" s="392" t="s">
        <v>1037</v>
      </c>
      <c r="F98" s="747">
        <f>'Muswellbrook FFF Ratios'!D176</f>
        <v>3875</v>
      </c>
      <c r="G98" s="337"/>
      <c r="H98" s="337" t="e">
        <f>H100*$F$102</f>
        <v>#DIV/0!</v>
      </c>
      <c r="I98" s="337" t="e">
        <f t="shared" ref="I98:S98" si="4">I100*$F$102</f>
        <v>#DIV/0!</v>
      </c>
      <c r="J98" s="337" t="e">
        <f t="shared" si="4"/>
        <v>#DIV/0!</v>
      </c>
      <c r="K98" s="337" t="e">
        <f t="shared" si="4"/>
        <v>#DIV/0!</v>
      </c>
      <c r="L98" s="337" t="e">
        <f t="shared" si="4"/>
        <v>#DIV/0!</v>
      </c>
      <c r="M98" s="337" t="e">
        <f t="shared" si="4"/>
        <v>#DIV/0!</v>
      </c>
      <c r="N98" s="337" t="e">
        <f t="shared" si="4"/>
        <v>#DIV/0!</v>
      </c>
      <c r="O98" s="337" t="e">
        <f t="shared" si="4"/>
        <v>#DIV/0!</v>
      </c>
      <c r="P98" s="337" t="e">
        <f t="shared" si="4"/>
        <v>#DIV/0!</v>
      </c>
      <c r="Q98" s="337" t="e">
        <f t="shared" si="4"/>
        <v>#DIV/0!</v>
      </c>
      <c r="R98" s="337" t="e">
        <f t="shared" si="4"/>
        <v>#DIV/0!</v>
      </c>
      <c r="S98" s="221" t="e">
        <f t="shared" si="4"/>
        <v>#DIV/0!</v>
      </c>
    </row>
    <row r="99" spans="4:19" ht="15" x14ac:dyDescent="0.25">
      <c r="D99" s="392"/>
      <c r="E99" s="392"/>
      <c r="F99" s="748"/>
      <c r="G99" s="337"/>
      <c r="H99" s="747"/>
      <c r="I99" s="749"/>
      <c r="J99" s="749"/>
      <c r="K99" s="749"/>
      <c r="L99" s="749"/>
      <c r="M99" s="749"/>
      <c r="N99" s="749"/>
      <c r="O99" s="749"/>
      <c r="P99" s="749"/>
      <c r="Q99" s="749"/>
    </row>
    <row r="100" spans="4:19" ht="15" x14ac:dyDescent="0.25">
      <c r="D100" s="392"/>
      <c r="E100" s="392" t="s">
        <v>1038</v>
      </c>
      <c r="F100" s="748">
        <f>'Muswellbrook FFF Ratios'!D178</f>
        <v>0</v>
      </c>
      <c r="G100" s="748">
        <f>'Muswellbrook FFF Ratios'!E178</f>
        <v>0</v>
      </c>
      <c r="H100" s="748">
        <f>'Muswellbrook FFF Ratios'!E178</f>
        <v>0</v>
      </c>
      <c r="I100" s="748">
        <f>'Muswellbrook FFF Ratios'!F178</f>
        <v>0</v>
      </c>
      <c r="J100" s="748">
        <f>'Muswellbrook FFF Ratios'!G178</f>
        <v>0</v>
      </c>
      <c r="K100" s="748">
        <f>'Muswellbrook FFF Ratios'!H178</f>
        <v>0</v>
      </c>
      <c r="L100" s="748">
        <f>'Muswellbrook FFF Ratios'!I178</f>
        <v>0</v>
      </c>
      <c r="M100" s="748">
        <f>'Muswellbrook FFF Ratios'!J178</f>
        <v>0</v>
      </c>
      <c r="N100" s="748">
        <f>'Muswellbrook FFF Ratios'!K178</f>
        <v>0</v>
      </c>
      <c r="O100" s="748">
        <f>'Muswellbrook FFF Ratios'!L178</f>
        <v>0</v>
      </c>
      <c r="P100" s="748">
        <f>'Muswellbrook FFF Ratios'!M178</f>
        <v>0</v>
      </c>
      <c r="Q100" s="748">
        <f>'Muswellbrook FFF Ratios'!N178</f>
        <v>0</v>
      </c>
      <c r="R100" s="748">
        <f>'Muswellbrook FFF Ratios'!O178</f>
        <v>0</v>
      </c>
      <c r="S100" s="748">
        <f>'Muswellbrook FFF Ratios'!P178</f>
        <v>0</v>
      </c>
    </row>
    <row r="101" spans="4:19" ht="15" x14ac:dyDescent="0.25">
      <c r="D101" s="392"/>
      <c r="E101" s="392"/>
      <c r="F101" s="748"/>
      <c r="G101" s="337"/>
      <c r="H101" s="747"/>
      <c r="I101" s="749"/>
      <c r="J101" s="749"/>
      <c r="K101" s="749"/>
      <c r="L101" s="749"/>
      <c r="M101" s="749"/>
      <c r="N101" s="749"/>
      <c r="O101" s="749"/>
      <c r="P101" s="749"/>
      <c r="Q101" s="749"/>
      <c r="R101" s="395"/>
      <c r="S101" s="395"/>
    </row>
    <row r="102" spans="4:19" ht="15" x14ac:dyDescent="0.25">
      <c r="D102" s="392"/>
      <c r="E102" s="392" t="s">
        <v>1039</v>
      </c>
      <c r="F102" s="750" t="e">
        <f>F98/F100</f>
        <v>#DIV/0!</v>
      </c>
      <c r="G102" s="337"/>
      <c r="H102" s="747"/>
      <c r="I102" s="749"/>
      <c r="J102" s="749"/>
      <c r="K102" s="749"/>
      <c r="L102" s="749"/>
      <c r="M102" s="749"/>
      <c r="N102" s="749"/>
      <c r="O102" s="749"/>
      <c r="P102" s="749"/>
      <c r="Q102" s="749"/>
    </row>
    <row r="103" spans="4:19" ht="15" x14ac:dyDescent="0.25">
      <c r="D103" s="392"/>
      <c r="E103" s="392"/>
      <c r="F103" s="392"/>
      <c r="H103" s="394"/>
      <c r="I103" s="395"/>
      <c r="J103" s="395"/>
      <c r="K103" s="395"/>
      <c r="L103" s="395"/>
      <c r="M103" s="395"/>
      <c r="N103" s="395"/>
      <c r="O103" s="395"/>
      <c r="P103" s="395"/>
      <c r="Q103" s="395"/>
    </row>
    <row r="104" spans="4:19" ht="15" x14ac:dyDescent="0.25">
      <c r="D104" s="392"/>
      <c r="E104" s="392"/>
      <c r="F104" s="392"/>
      <c r="H104" s="394"/>
      <c r="I104" s="395"/>
      <c r="J104" s="395"/>
      <c r="K104" s="395"/>
      <c r="L104" s="395"/>
      <c r="M104" s="395"/>
      <c r="N104" s="395"/>
      <c r="O104" s="395"/>
      <c r="P104" s="395"/>
      <c r="Q104" s="395"/>
    </row>
    <row r="105" spans="4:19" ht="15" x14ac:dyDescent="0.25">
      <c r="D105" s="392"/>
      <c r="E105" s="392"/>
      <c r="F105" s="392"/>
      <c r="H105" s="394"/>
      <c r="I105" s="395"/>
      <c r="J105" s="395"/>
      <c r="K105" s="395"/>
      <c r="L105" s="395"/>
      <c r="M105" s="395"/>
      <c r="N105" s="395"/>
      <c r="O105" s="395"/>
      <c r="P105" s="395"/>
      <c r="Q105" s="395"/>
    </row>
    <row r="106" spans="4:19" ht="15" x14ac:dyDescent="0.25">
      <c r="D106" s="392"/>
      <c r="E106" s="392"/>
      <c r="F106" s="392"/>
      <c r="H106" s="394"/>
      <c r="I106" s="395"/>
      <c r="J106" s="395"/>
      <c r="K106" s="395"/>
      <c r="L106" s="395"/>
      <c r="M106" s="395"/>
      <c r="N106" s="395"/>
      <c r="O106" s="395"/>
      <c r="P106" s="395"/>
      <c r="Q106" s="395"/>
    </row>
    <row r="107" spans="4:19" ht="15" x14ac:dyDescent="0.25">
      <c r="D107" s="392"/>
      <c r="E107" s="392"/>
      <c r="F107" s="392"/>
      <c r="H107" s="394"/>
      <c r="I107" s="395"/>
      <c r="J107" s="395"/>
      <c r="K107" s="395"/>
      <c r="L107" s="395"/>
      <c r="M107" s="395"/>
      <c r="N107" s="395"/>
      <c r="O107" s="395"/>
      <c r="P107" s="395"/>
      <c r="Q107" s="395"/>
    </row>
    <row r="108" spans="4:19" ht="15" x14ac:dyDescent="0.25">
      <c r="D108" s="392"/>
      <c r="E108" s="392"/>
      <c r="F108" s="392"/>
      <c r="H108" s="394"/>
      <c r="I108" s="395"/>
      <c r="J108" s="395"/>
      <c r="K108" s="395"/>
      <c r="L108" s="395"/>
      <c r="M108" s="395"/>
      <c r="N108" s="395"/>
      <c r="O108" s="395"/>
      <c r="P108" s="395"/>
      <c r="Q108" s="395"/>
    </row>
    <row r="109" spans="4:19" ht="15" x14ac:dyDescent="0.25">
      <c r="D109" s="392"/>
      <c r="E109" s="392"/>
      <c r="F109" s="392"/>
      <c r="H109" s="394"/>
      <c r="I109" s="395"/>
      <c r="J109" s="395"/>
      <c r="K109" s="395"/>
      <c r="L109" s="395"/>
      <c r="M109" s="395"/>
      <c r="N109" s="395"/>
      <c r="O109" s="395"/>
      <c r="P109" s="395"/>
      <c r="Q109" s="395"/>
    </row>
    <row r="110" spans="4:19" ht="15" x14ac:dyDescent="0.25">
      <c r="D110" s="392"/>
      <c r="E110" s="392"/>
      <c r="F110" s="392"/>
      <c r="H110" s="394"/>
      <c r="I110" s="395"/>
      <c r="J110" s="395"/>
      <c r="K110" s="395"/>
      <c r="L110" s="395"/>
      <c r="M110" s="395"/>
      <c r="N110" s="395"/>
      <c r="O110" s="395"/>
      <c r="P110" s="395"/>
      <c r="Q110" s="395"/>
    </row>
    <row r="111" spans="4:19" ht="15" x14ac:dyDescent="0.25">
      <c r="D111" s="392"/>
      <c r="E111" s="392"/>
      <c r="F111" s="392"/>
      <c r="H111" s="394"/>
      <c r="I111" s="395"/>
      <c r="J111" s="395"/>
      <c r="K111" s="395"/>
      <c r="L111" s="395"/>
      <c r="M111" s="395"/>
      <c r="N111" s="395"/>
      <c r="O111" s="395"/>
      <c r="P111" s="395"/>
      <c r="Q111" s="395"/>
    </row>
    <row r="112" spans="4:19" x14ac:dyDescent="0.3">
      <c r="D112" s="392"/>
      <c r="E112" s="392"/>
      <c r="F112" s="392"/>
      <c r="H112" s="394"/>
      <c r="I112" s="395"/>
      <c r="J112" s="395"/>
      <c r="K112" s="395"/>
      <c r="L112" s="395"/>
      <c r="M112" s="395"/>
      <c r="N112" s="395"/>
      <c r="O112" s="395"/>
      <c r="P112" s="395"/>
      <c r="Q112" s="395"/>
    </row>
    <row r="113" spans="4:17" x14ac:dyDescent="0.3">
      <c r="D113" s="392"/>
      <c r="E113" s="392"/>
      <c r="F113" s="392"/>
      <c r="H113" s="394"/>
      <c r="I113" s="395"/>
      <c r="J113" s="395"/>
      <c r="K113" s="395"/>
      <c r="L113" s="395"/>
      <c r="M113" s="395"/>
      <c r="N113" s="395"/>
      <c r="O113" s="395"/>
      <c r="P113" s="395"/>
      <c r="Q113" s="395"/>
    </row>
    <row r="114" spans="4:17" x14ac:dyDescent="0.3">
      <c r="D114" s="392"/>
      <c r="E114" s="392"/>
      <c r="F114" s="392"/>
      <c r="H114" s="394"/>
      <c r="I114" s="395"/>
      <c r="J114" s="395"/>
      <c r="K114" s="395"/>
      <c r="L114" s="395"/>
      <c r="M114" s="395"/>
      <c r="N114" s="395"/>
      <c r="O114" s="395"/>
      <c r="P114" s="395"/>
      <c r="Q114" s="395"/>
    </row>
    <row r="115" spans="4:17" x14ac:dyDescent="0.3">
      <c r="D115" s="392"/>
      <c r="E115" s="392"/>
      <c r="F115" s="392"/>
      <c r="H115" s="394"/>
      <c r="I115" s="395"/>
      <c r="J115" s="395"/>
      <c r="K115" s="395"/>
      <c r="L115" s="395"/>
      <c r="M115" s="395"/>
      <c r="N115" s="395"/>
      <c r="O115" s="395"/>
      <c r="P115" s="395"/>
      <c r="Q115" s="395"/>
    </row>
    <row r="116" spans="4:17" x14ac:dyDescent="0.3">
      <c r="D116" s="392"/>
      <c r="E116" s="392"/>
      <c r="F116" s="392"/>
      <c r="H116" s="394"/>
      <c r="I116" s="395"/>
      <c r="J116" s="395"/>
      <c r="K116" s="395"/>
      <c r="L116" s="395"/>
      <c r="M116" s="395"/>
      <c r="N116" s="395"/>
      <c r="O116" s="395"/>
      <c r="P116" s="395"/>
      <c r="Q116" s="395"/>
    </row>
    <row r="117" spans="4:17" x14ac:dyDescent="0.3">
      <c r="D117" s="392"/>
      <c r="E117" s="392"/>
      <c r="F117" s="392"/>
      <c r="H117" s="394"/>
      <c r="I117" s="395"/>
      <c r="J117" s="395"/>
      <c r="K117" s="395"/>
      <c r="L117" s="395"/>
      <c r="M117" s="395"/>
      <c r="N117" s="395"/>
      <c r="O117" s="395"/>
      <c r="P117" s="395"/>
      <c r="Q117" s="395"/>
    </row>
    <row r="118" spans="4:17" x14ac:dyDescent="0.3">
      <c r="D118" s="392"/>
      <c r="E118" s="392"/>
      <c r="F118" s="392"/>
      <c r="H118" s="394"/>
      <c r="I118" s="395"/>
      <c r="J118" s="395"/>
      <c r="K118" s="395"/>
      <c r="L118" s="395"/>
      <c r="M118" s="395"/>
      <c r="N118" s="395"/>
      <c r="O118" s="395"/>
      <c r="P118" s="395"/>
      <c r="Q118" s="395"/>
    </row>
  </sheetData>
  <mergeCells count="2">
    <mergeCell ref="E88:F88"/>
    <mergeCell ref="J95:Q97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P108"/>
  <sheetViews>
    <sheetView workbookViewId="0">
      <selection activeCell="E10" sqref="E10"/>
    </sheetView>
  </sheetViews>
  <sheetFormatPr defaultColWidth="9.109375" defaultRowHeight="13.2" outlineLevelRow="2" outlineLevelCol="1" x14ac:dyDescent="0.25"/>
  <cols>
    <col min="1" max="1" width="24.6640625" style="53" customWidth="1"/>
    <col min="2" max="3" width="12.44140625" style="54" hidden="1" customWidth="1" outlineLevel="1"/>
    <col min="4" max="4" width="12" style="54" customWidth="1" collapsed="1"/>
    <col min="5" max="11" width="12.44140625" style="54" customWidth="1"/>
    <col min="12" max="13" width="12.44140625" style="53" customWidth="1"/>
    <col min="14" max="14" width="11.88671875" style="53" customWidth="1"/>
    <col min="15" max="15" width="12.88671875" style="53" bestFit="1" customWidth="1"/>
    <col min="16" max="16384" width="9.109375" style="53"/>
  </cols>
  <sheetData>
    <row r="1" spans="1:15" s="174" customFormat="1" ht="25.5" x14ac:dyDescent="0.35">
      <c r="A1" s="210" t="s">
        <v>491</v>
      </c>
      <c r="B1" s="175"/>
      <c r="C1" s="175"/>
      <c r="D1" s="175"/>
      <c r="E1" s="175"/>
      <c r="F1" s="372" t="s">
        <v>626</v>
      </c>
      <c r="G1" s="371"/>
      <c r="H1" s="371"/>
      <c r="I1" s="175"/>
      <c r="J1" s="175"/>
      <c r="K1" s="175"/>
    </row>
    <row r="2" spans="1:15" s="17" customFormat="1" ht="15" x14ac:dyDescent="0.25">
      <c r="A2" s="18" t="s">
        <v>331</v>
      </c>
      <c r="B2" s="19" t="s">
        <v>69</v>
      </c>
      <c r="C2" s="19" t="s">
        <v>70</v>
      </c>
      <c r="D2" s="19" t="s">
        <v>70</v>
      </c>
      <c r="E2" s="19" t="s">
        <v>71</v>
      </c>
      <c r="F2" s="19" t="s">
        <v>71</v>
      </c>
      <c r="G2" s="19" t="s">
        <v>71</v>
      </c>
      <c r="H2" s="19" t="s">
        <v>71</v>
      </c>
      <c r="I2" s="19" t="s">
        <v>71</v>
      </c>
      <c r="J2" s="19" t="s">
        <v>71</v>
      </c>
      <c r="K2" s="19" t="s">
        <v>71</v>
      </c>
      <c r="L2" s="19" t="s">
        <v>71</v>
      </c>
      <c r="M2" s="19" t="s">
        <v>71</v>
      </c>
      <c r="N2" s="213" t="s">
        <v>71</v>
      </c>
      <c r="O2" s="213" t="s">
        <v>71</v>
      </c>
    </row>
    <row r="3" spans="1:15" customFormat="1" ht="15" x14ac:dyDescent="0.25">
      <c r="A3" s="18" t="s">
        <v>73</v>
      </c>
      <c r="B3" s="20" t="s">
        <v>60</v>
      </c>
      <c r="C3" s="20" t="s">
        <v>68</v>
      </c>
      <c r="D3" s="19" t="s">
        <v>0</v>
      </c>
      <c r="E3" s="19" t="s">
        <v>1</v>
      </c>
      <c r="F3" s="19" t="s">
        <v>2</v>
      </c>
      <c r="G3" s="19" t="s">
        <v>3</v>
      </c>
      <c r="H3" s="19" t="s">
        <v>4</v>
      </c>
      <c r="I3" s="19" t="s">
        <v>5</v>
      </c>
      <c r="J3" s="19" t="s">
        <v>6</v>
      </c>
      <c r="K3" s="19" t="s">
        <v>7</v>
      </c>
      <c r="L3" s="19" t="s">
        <v>8</v>
      </c>
      <c r="M3" s="19" t="s">
        <v>9</v>
      </c>
      <c r="N3" s="213" t="s">
        <v>514</v>
      </c>
      <c r="O3" s="213" t="s">
        <v>515</v>
      </c>
    </row>
    <row r="4" spans="1:15" s="58" customFormat="1" ht="15" x14ac:dyDescent="0.25">
      <c r="A4" s="55" t="s">
        <v>336</v>
      </c>
      <c r="B4" s="56"/>
      <c r="C4" s="56"/>
      <c r="D4" s="57"/>
      <c r="E4" s="57"/>
      <c r="F4" s="57"/>
      <c r="G4" s="57"/>
      <c r="H4" s="57"/>
      <c r="I4" s="57"/>
      <c r="J4" s="57"/>
      <c r="K4" s="57"/>
      <c r="L4" s="57"/>
      <c r="M4" s="57"/>
    </row>
    <row r="5" spans="1:15" ht="15" x14ac:dyDescent="0.25">
      <c r="A5" s="62" t="s">
        <v>333</v>
      </c>
      <c r="B5" s="63">
        <v>1062000</v>
      </c>
      <c r="C5" s="63">
        <v>1395100</v>
      </c>
      <c r="F5" s="184">
        <f t="shared" ref="F5:O6" ca="1" si="0">SUMIF($P$45:$P$64,$A5,F$45:F$62)</f>
        <v>0</v>
      </c>
      <c r="G5" s="184">
        <f t="shared" ca="1" si="0"/>
        <v>0</v>
      </c>
      <c r="H5" s="64">
        <f t="shared" ca="1" si="0"/>
        <v>0</v>
      </c>
      <c r="I5" s="184">
        <f t="shared" ca="1" si="0"/>
        <v>0</v>
      </c>
      <c r="J5" s="184">
        <f t="shared" ca="1" si="0"/>
        <v>0</v>
      </c>
      <c r="K5" s="184">
        <f t="shared" ca="1" si="0"/>
        <v>0</v>
      </c>
      <c r="L5" s="184">
        <f t="shared" ca="1" si="0"/>
        <v>0</v>
      </c>
      <c r="M5" s="184">
        <f t="shared" ca="1" si="0"/>
        <v>0</v>
      </c>
      <c r="N5" s="184">
        <f t="shared" ca="1" si="0"/>
        <v>0</v>
      </c>
      <c r="O5" s="184">
        <f t="shared" ca="1" si="0"/>
        <v>0</v>
      </c>
    </row>
    <row r="6" spans="1:15" ht="15" x14ac:dyDescent="0.25">
      <c r="A6" s="67" t="s">
        <v>334</v>
      </c>
      <c r="B6" s="68">
        <v>1403000</v>
      </c>
      <c r="C6" s="68">
        <f>265000+300144+759000+35000+250000</f>
        <v>1609144</v>
      </c>
      <c r="F6" s="189">
        <f t="shared" ca="1" si="0"/>
        <v>4050119.2824590583</v>
      </c>
      <c r="G6" s="189">
        <f t="shared" ca="1" si="0"/>
        <v>2814335.416654591</v>
      </c>
      <c r="H6" s="69">
        <f t="shared" ca="1" si="0"/>
        <v>2753411.2650166294</v>
      </c>
      <c r="I6" s="189">
        <f t="shared" ca="1" si="0"/>
        <v>3698447.4982148721</v>
      </c>
      <c r="J6" s="189">
        <f t="shared" ca="1" si="0"/>
        <v>2990138.4597329386</v>
      </c>
      <c r="K6" s="189">
        <f t="shared" ca="1" si="0"/>
        <v>3462074.3454642068</v>
      </c>
      <c r="L6" s="189">
        <f t="shared" ca="1" si="0"/>
        <v>3986229.1982817072</v>
      </c>
      <c r="M6" s="189">
        <f t="shared" ca="1" si="0"/>
        <v>4531139.1907281922</v>
      </c>
      <c r="N6" s="189">
        <f t="shared" ca="1" si="0"/>
        <v>2911481.0463969782</v>
      </c>
      <c r="O6" s="189">
        <f t="shared" ca="1" si="0"/>
        <v>3117404.0975296237</v>
      </c>
    </row>
    <row r="7" spans="1:15" ht="15" x14ac:dyDescent="0.25">
      <c r="A7" s="55" t="s">
        <v>337</v>
      </c>
      <c r="B7" s="63">
        <f>SUM(B5:B6)</f>
        <v>2465000</v>
      </c>
      <c r="C7" s="63">
        <f t="shared" ref="C7:E7" si="1">SUM(C5:C6)</f>
        <v>3004244</v>
      </c>
      <c r="D7" s="263">
        <f t="shared" si="1"/>
        <v>0</v>
      </c>
      <c r="E7" s="263">
        <f t="shared" si="1"/>
        <v>0</v>
      </c>
      <c r="F7" s="263">
        <f ca="1">SUM(F5:F6)</f>
        <v>4050119.2824590583</v>
      </c>
      <c r="G7" s="263">
        <f t="shared" ref="G7:O7" ca="1" si="2">SUM(G5:G6)</f>
        <v>2814335.416654591</v>
      </c>
      <c r="H7" s="263">
        <f t="shared" ca="1" si="2"/>
        <v>2753411.2650166294</v>
      </c>
      <c r="I7" s="263">
        <f t="shared" ca="1" si="2"/>
        <v>3698447.4982148721</v>
      </c>
      <c r="J7" s="263">
        <f t="shared" ca="1" si="2"/>
        <v>2990138.4597329386</v>
      </c>
      <c r="K7" s="263">
        <f t="shared" ca="1" si="2"/>
        <v>3462074.3454642068</v>
      </c>
      <c r="L7" s="263">
        <f t="shared" ca="1" si="2"/>
        <v>3986229.1982817072</v>
      </c>
      <c r="M7" s="263">
        <f t="shared" ca="1" si="2"/>
        <v>4531139.1907281922</v>
      </c>
      <c r="N7" s="263">
        <f t="shared" ca="1" si="2"/>
        <v>2911481.0463969782</v>
      </c>
      <c r="O7" s="263">
        <f t="shared" ca="1" si="2"/>
        <v>3117404.0975296237</v>
      </c>
    </row>
    <row r="8" spans="1:15" ht="9.75" customHeight="1" x14ac:dyDescent="0.25">
      <c r="A8" s="62"/>
      <c r="B8" s="63"/>
      <c r="C8" s="63"/>
      <c r="D8" s="63"/>
      <c r="E8" s="263"/>
      <c r="F8" s="263"/>
      <c r="G8" s="263"/>
      <c r="H8" s="263"/>
      <c r="I8" s="263"/>
      <c r="J8" s="263"/>
      <c r="K8" s="263"/>
      <c r="L8" s="263"/>
      <c r="M8" s="263"/>
    </row>
    <row r="9" spans="1:15" ht="15" x14ac:dyDescent="0.25">
      <c r="A9" s="65" t="s">
        <v>338</v>
      </c>
      <c r="B9" s="63"/>
      <c r="C9" s="63"/>
      <c r="D9" s="63"/>
      <c r="E9" s="263"/>
      <c r="F9" s="263"/>
      <c r="G9" s="263"/>
      <c r="H9" s="263"/>
      <c r="I9" s="263"/>
      <c r="J9" s="263"/>
      <c r="K9" s="263"/>
      <c r="L9" s="263"/>
      <c r="M9" s="263"/>
    </row>
    <row r="10" spans="1:15" ht="15" x14ac:dyDescent="0.25">
      <c r="A10" s="62" t="s">
        <v>332</v>
      </c>
      <c r="B10" s="63">
        <v>0</v>
      </c>
      <c r="C10" s="63">
        <v>0</v>
      </c>
      <c r="F10" s="184">
        <f t="shared" ref="F10:O11" ca="1" si="3">SUMIF($P$45:$P$64,$A10,F$45:F$62)</f>
        <v>1438671</v>
      </c>
      <c r="G10" s="184">
        <f t="shared" ca="1" si="3"/>
        <v>11505792.289999999</v>
      </c>
      <c r="H10" s="64">
        <f t="shared" ca="1" si="3"/>
        <v>1448362.4145000002</v>
      </c>
      <c r="I10" s="184">
        <f t="shared" ca="1" si="3"/>
        <v>1109058</v>
      </c>
      <c r="J10" s="184">
        <f t="shared" ca="1" si="3"/>
        <v>744478.5</v>
      </c>
      <c r="K10" s="184">
        <f t="shared" ca="1" si="3"/>
        <v>930616.21</v>
      </c>
      <c r="L10" s="184">
        <f t="shared" ca="1" si="3"/>
        <v>5152624.0920000002</v>
      </c>
      <c r="M10" s="184">
        <f t="shared" ca="1" si="3"/>
        <v>13261</v>
      </c>
      <c r="N10" s="184">
        <f t="shared" ca="1" si="3"/>
        <v>4365946.2</v>
      </c>
      <c r="O10" s="184">
        <f t="shared" ca="1" si="3"/>
        <v>50542.82</v>
      </c>
    </row>
    <row r="11" spans="1:15" ht="15" x14ac:dyDescent="0.25">
      <c r="A11" s="67" t="s">
        <v>335</v>
      </c>
      <c r="B11" s="68">
        <f>956000+31000+81000+297000</f>
        <v>1365000</v>
      </c>
      <c r="C11" s="68">
        <f>212330+80000+12900+950000</f>
        <v>1255230</v>
      </c>
      <c r="F11" s="189">
        <f t="shared" ca="1" si="3"/>
        <v>1222240</v>
      </c>
      <c r="G11" s="189">
        <f t="shared" ca="1" si="3"/>
        <v>1185000</v>
      </c>
      <c r="H11" s="69">
        <f t="shared" ca="1" si="3"/>
        <v>1185000</v>
      </c>
      <c r="I11" s="189">
        <f t="shared" ca="1" si="3"/>
        <v>1185000</v>
      </c>
      <c r="J11" s="189">
        <f t="shared" ca="1" si="3"/>
        <v>1185000</v>
      </c>
      <c r="K11" s="189">
        <f t="shared" ca="1" si="3"/>
        <v>1185000</v>
      </c>
      <c r="L11" s="189">
        <f t="shared" ca="1" si="3"/>
        <v>1185000</v>
      </c>
      <c r="M11" s="189">
        <f t="shared" ca="1" si="3"/>
        <v>1185000</v>
      </c>
      <c r="N11" s="189">
        <f t="shared" ca="1" si="3"/>
        <v>1185000</v>
      </c>
      <c r="O11" s="189">
        <f t="shared" ca="1" si="3"/>
        <v>1185000</v>
      </c>
    </row>
    <row r="12" spans="1:15" ht="15" x14ac:dyDescent="0.25">
      <c r="A12" s="65" t="s">
        <v>339</v>
      </c>
      <c r="B12" s="63">
        <f>SUM(B10:B11)</f>
        <v>1365000</v>
      </c>
      <c r="C12" s="63">
        <f t="shared" ref="C12:E12" si="4">SUM(C10:C11)</f>
        <v>1255230</v>
      </c>
      <c r="D12" s="263">
        <f t="shared" si="4"/>
        <v>0</v>
      </c>
      <c r="E12" s="263">
        <f t="shared" si="4"/>
        <v>0</v>
      </c>
      <c r="F12" s="263">
        <f ca="1">SUM(F10:F11)</f>
        <v>2660911</v>
      </c>
      <c r="G12" s="263">
        <f t="shared" ref="G12:O12" ca="1" si="5">SUM(G10:G11)</f>
        <v>12690792.289999999</v>
      </c>
      <c r="H12" s="263">
        <f t="shared" ca="1" si="5"/>
        <v>2633362.4145</v>
      </c>
      <c r="I12" s="263">
        <f t="shared" ca="1" si="5"/>
        <v>2294058</v>
      </c>
      <c r="J12" s="263">
        <f t="shared" ca="1" si="5"/>
        <v>1929478.5</v>
      </c>
      <c r="K12" s="263">
        <f t="shared" ca="1" si="5"/>
        <v>2115616.21</v>
      </c>
      <c r="L12" s="263">
        <f t="shared" ca="1" si="5"/>
        <v>6337624.0920000002</v>
      </c>
      <c r="M12" s="263">
        <f t="shared" ca="1" si="5"/>
        <v>1198261</v>
      </c>
      <c r="N12" s="263">
        <f t="shared" ca="1" si="5"/>
        <v>5550946.2000000002</v>
      </c>
      <c r="O12" s="263">
        <f t="shared" ca="1" si="5"/>
        <v>1235542.82</v>
      </c>
    </row>
    <row r="13" spans="1:15" ht="9" customHeight="1" thickBot="1" x14ac:dyDescent="0.3">
      <c r="A13" s="62"/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1"/>
      <c r="M13" s="72"/>
      <c r="N13" s="192"/>
      <c r="O13" s="192"/>
    </row>
    <row r="14" spans="1:15" s="59" customFormat="1" ht="16.5" thickBot="1" x14ac:dyDescent="0.3">
      <c r="A14" s="66" t="s">
        <v>340</v>
      </c>
      <c r="B14" s="73">
        <f>+B7+B12</f>
        <v>3830000</v>
      </c>
      <c r="C14" s="73">
        <f t="shared" ref="C14:M14" si="6">+C7+C12</f>
        <v>4259474</v>
      </c>
      <c r="D14" s="73">
        <f t="shared" si="6"/>
        <v>0</v>
      </c>
      <c r="E14" s="73">
        <f t="shared" si="6"/>
        <v>0</v>
      </c>
      <c r="F14" s="73">
        <f t="shared" ca="1" si="6"/>
        <v>6711030.2824590579</v>
      </c>
      <c r="G14" s="73">
        <f t="shared" ca="1" si="6"/>
        <v>15505127.70665459</v>
      </c>
      <c r="H14" s="73">
        <f t="shared" ca="1" si="6"/>
        <v>5386773.6795166293</v>
      </c>
      <c r="I14" s="73">
        <f t="shared" ca="1" si="6"/>
        <v>5992505.4982148726</v>
      </c>
      <c r="J14" s="73">
        <f t="shared" ca="1" si="6"/>
        <v>4919616.9597329386</v>
      </c>
      <c r="K14" s="73">
        <f t="shared" ca="1" si="6"/>
        <v>5577690.5554642063</v>
      </c>
      <c r="L14" s="73">
        <f t="shared" ca="1" si="6"/>
        <v>10323853.290281707</v>
      </c>
      <c r="M14" s="73">
        <f t="shared" ca="1" si="6"/>
        <v>5729400.1907281922</v>
      </c>
      <c r="N14" s="193">
        <f t="shared" ref="N14:O14" ca="1" si="7">+N7+N12</f>
        <v>8462427.2463969775</v>
      </c>
      <c r="O14" s="193">
        <f t="shared" ca="1" si="7"/>
        <v>4352946.917529624</v>
      </c>
    </row>
    <row r="15" spans="1:15" s="180" customFormat="1" ht="16.5" thickTop="1" x14ac:dyDescent="0.25">
      <c r="A15" s="186"/>
      <c r="B15" s="288"/>
      <c r="C15" s="288"/>
      <c r="D15" s="288"/>
      <c r="E15" s="288"/>
      <c r="F15" s="288">
        <f ca="1">F14-F71</f>
        <v>0</v>
      </c>
      <c r="G15" s="288">
        <f t="shared" ref="G15:N15" ca="1" si="8">G14-G71</f>
        <v>0</v>
      </c>
      <c r="H15" s="288">
        <f t="shared" ca="1" si="8"/>
        <v>0</v>
      </c>
      <c r="I15" s="288">
        <f t="shared" ca="1" si="8"/>
        <v>0</v>
      </c>
      <c r="J15" s="288">
        <f t="shared" ca="1" si="8"/>
        <v>0</v>
      </c>
      <c r="K15" s="288">
        <f t="shared" ca="1" si="8"/>
        <v>0</v>
      </c>
      <c r="L15" s="288">
        <f t="shared" ca="1" si="8"/>
        <v>0</v>
      </c>
      <c r="M15" s="288">
        <f t="shared" ca="1" si="8"/>
        <v>0</v>
      </c>
      <c r="N15" s="288">
        <f t="shared" ca="1" si="8"/>
        <v>0</v>
      </c>
      <c r="O15" s="288"/>
    </row>
    <row r="16" spans="1:15" s="180" customFormat="1" ht="15.75" x14ac:dyDescent="0.25">
      <c r="A16" s="186" t="s">
        <v>496</v>
      </c>
      <c r="B16" s="288"/>
      <c r="C16" s="288"/>
      <c r="D16" s="289">
        <v>-7310479</v>
      </c>
      <c r="E16" s="289">
        <v>-5423928</v>
      </c>
      <c r="F16" s="289">
        <f>'GF &amp; FF  Inc Exp Statement'!F58</f>
        <v>30</v>
      </c>
      <c r="G16" s="289" t="e">
        <f>'GF &amp; FF  Inc Exp Statement'!#REF!</f>
        <v>#REF!</v>
      </c>
      <c r="H16" s="289">
        <f>'GF &amp; FF  Inc Exp Statement'!H51</f>
        <v>4748.0245000000004</v>
      </c>
      <c r="I16" s="289">
        <f>'GF &amp; FF  Inc Exp Statement'!I51</f>
        <v>3849.145</v>
      </c>
      <c r="J16" s="289">
        <f>'GF &amp; FF  Inc Exp Statement'!J51</f>
        <v>3839.348</v>
      </c>
      <c r="K16" s="289">
        <f>'GF &amp; FF  Inc Exp Statement'!K51</f>
        <v>3674.7064999999998</v>
      </c>
      <c r="L16" s="289">
        <f>'GF &amp; FF  Inc Exp Statement'!L51</f>
        <v>3724.1991625000001</v>
      </c>
      <c r="M16" s="289">
        <f>'GF &amp; FF  Inc Exp Statement'!M51</f>
        <v>3743.9291415625003</v>
      </c>
      <c r="N16" s="289">
        <f>'GF &amp; FF  Inc Exp Statement'!N51</f>
        <v>4053.9023701015626</v>
      </c>
      <c r="O16" s="289">
        <f>'GF &amp; FF  Inc Exp Statement'!O51</f>
        <v>4204.1249293541014</v>
      </c>
    </row>
    <row r="17" spans="1:15" s="180" customFormat="1" ht="15.75" x14ac:dyDescent="0.25">
      <c r="A17" s="186" t="s">
        <v>131</v>
      </c>
      <c r="B17" s="288"/>
      <c r="C17" s="288"/>
      <c r="D17" s="288">
        <f>D14+D16</f>
        <v>-7310479</v>
      </c>
      <c r="E17" s="288">
        <f t="shared" ref="E17:M17" si="9">E14+E16</f>
        <v>-5423928</v>
      </c>
      <c r="F17" s="288">
        <f t="shared" ca="1" si="9"/>
        <v>6711060.2824590579</v>
      </c>
      <c r="G17" s="288" t="e">
        <f t="shared" ca="1" si="9"/>
        <v>#REF!</v>
      </c>
      <c r="H17" s="288">
        <f t="shared" ca="1" si="9"/>
        <v>5391521.7040166296</v>
      </c>
      <c r="I17" s="288">
        <f t="shared" ca="1" si="9"/>
        <v>5996354.6432148721</v>
      </c>
      <c r="J17" s="288">
        <f t="shared" ca="1" si="9"/>
        <v>4923456.3077329388</v>
      </c>
      <c r="K17" s="288">
        <f t="shared" ca="1" si="9"/>
        <v>5581365.2619642066</v>
      </c>
      <c r="L17" s="288">
        <f t="shared" ca="1" si="9"/>
        <v>10327577.489444207</v>
      </c>
      <c r="M17" s="288">
        <f t="shared" ca="1" si="9"/>
        <v>5733144.1198697546</v>
      </c>
      <c r="N17" s="288">
        <f t="shared" ref="N17:O17" ca="1" si="10">N14+N16</f>
        <v>8466481.1487670783</v>
      </c>
      <c r="O17" s="288">
        <f t="shared" ca="1" si="10"/>
        <v>4357151.0424589785</v>
      </c>
    </row>
    <row r="18" spans="1:15" ht="15" x14ac:dyDescent="0.25">
      <c r="A18" s="62"/>
      <c r="B18" s="63"/>
      <c r="C18" s="63"/>
      <c r="D18" s="63"/>
      <c r="E18" s="63"/>
      <c r="F18" s="63"/>
      <c r="G18" s="63"/>
      <c r="H18" s="63"/>
      <c r="I18" s="63"/>
      <c r="J18" s="63"/>
      <c r="K18" s="63"/>
      <c r="L18" s="62"/>
    </row>
    <row r="19" spans="1:15" ht="18.75" hidden="1" outlineLevel="1" x14ac:dyDescent="0.3">
      <c r="A19" s="210" t="s">
        <v>448</v>
      </c>
      <c r="B19" s="63"/>
      <c r="C19" s="63"/>
      <c r="D19" s="63"/>
      <c r="E19" s="63"/>
      <c r="F19" s="63"/>
      <c r="G19" s="63"/>
      <c r="H19" s="63"/>
      <c r="I19" s="63"/>
      <c r="J19" s="63"/>
      <c r="K19" s="63"/>
      <c r="L19" s="62"/>
    </row>
    <row r="20" spans="1:15" s="156" customFormat="1" ht="15" hidden="1" outlineLevel="1" x14ac:dyDescent="0.25">
      <c r="A20" s="157" t="s">
        <v>331</v>
      </c>
      <c r="B20" s="158" t="s">
        <v>69</v>
      </c>
      <c r="C20" s="158" t="s">
        <v>70</v>
      </c>
      <c r="D20" s="158" t="s">
        <v>70</v>
      </c>
      <c r="E20" s="158" t="s">
        <v>71</v>
      </c>
      <c r="F20" s="158" t="s">
        <v>71</v>
      </c>
      <c r="G20" s="158" t="s">
        <v>71</v>
      </c>
      <c r="H20" s="158" t="s">
        <v>71</v>
      </c>
      <c r="I20" s="158" t="s">
        <v>71</v>
      </c>
      <c r="J20" s="158" t="s">
        <v>71</v>
      </c>
      <c r="K20" s="158" t="s">
        <v>71</v>
      </c>
      <c r="L20" s="158" t="s">
        <v>71</v>
      </c>
      <c r="M20" s="158" t="s">
        <v>71</v>
      </c>
      <c r="N20" s="213" t="s">
        <v>71</v>
      </c>
      <c r="O20" s="213" t="s">
        <v>71</v>
      </c>
    </row>
    <row r="21" spans="1:15" s="147" customFormat="1" ht="15" hidden="1" outlineLevel="1" x14ac:dyDescent="0.25">
      <c r="A21" s="157" t="s">
        <v>73</v>
      </c>
      <c r="B21" s="159" t="s">
        <v>60</v>
      </c>
      <c r="C21" s="159" t="s">
        <v>68</v>
      </c>
      <c r="D21" s="158" t="s">
        <v>0</v>
      </c>
      <c r="E21" s="158" t="s">
        <v>1</v>
      </c>
      <c r="F21" s="158" t="s">
        <v>2</v>
      </c>
      <c r="G21" s="158" t="s">
        <v>3</v>
      </c>
      <c r="H21" s="158" t="s">
        <v>4</v>
      </c>
      <c r="I21" s="158" t="s">
        <v>5</v>
      </c>
      <c r="J21" s="158" t="s">
        <v>6</v>
      </c>
      <c r="K21" s="158" t="s">
        <v>7</v>
      </c>
      <c r="L21" s="158" t="s">
        <v>8</v>
      </c>
      <c r="M21" s="158" t="s">
        <v>9</v>
      </c>
      <c r="N21" s="213" t="s">
        <v>514</v>
      </c>
      <c r="O21" s="213" t="s">
        <v>515</v>
      </c>
    </row>
    <row r="22" spans="1:15" s="179" customFormat="1" ht="15" hidden="1" outlineLevel="1" x14ac:dyDescent="0.25">
      <c r="A22" s="176" t="s">
        <v>336</v>
      </c>
      <c r="B22" s="177"/>
      <c r="C22" s="177"/>
      <c r="D22" s="178"/>
      <c r="E22" s="178"/>
      <c r="F22" s="178"/>
      <c r="G22" s="178"/>
      <c r="H22" s="178"/>
      <c r="I22" s="178"/>
      <c r="J22" s="178"/>
      <c r="K22" s="178"/>
      <c r="L22" s="178"/>
      <c r="M22" s="178"/>
    </row>
    <row r="23" spans="1:15" s="174" customFormat="1" ht="15" hidden="1" outlineLevel="1" x14ac:dyDescent="0.25">
      <c r="A23" s="182" t="s">
        <v>333</v>
      </c>
      <c r="B23" s="183">
        <v>1062000</v>
      </c>
      <c r="C23" s="183">
        <v>1395100</v>
      </c>
      <c r="D23" s="184">
        <f t="shared" ref="D23:K23" ca="1" si="11">H5</f>
        <v>0</v>
      </c>
      <c r="E23" s="184">
        <f t="shared" ca="1" si="11"/>
        <v>0</v>
      </c>
      <c r="F23" s="184">
        <f t="shared" ca="1" si="11"/>
        <v>0</v>
      </c>
      <c r="G23" s="184">
        <f t="shared" ca="1" si="11"/>
        <v>0</v>
      </c>
      <c r="H23" s="184">
        <f t="shared" ca="1" si="11"/>
        <v>0</v>
      </c>
      <c r="I23" s="184">
        <f t="shared" ca="1" si="11"/>
        <v>0</v>
      </c>
      <c r="J23" s="184">
        <f t="shared" ca="1" si="11"/>
        <v>0</v>
      </c>
      <c r="K23" s="184">
        <f t="shared" ca="1" si="11"/>
        <v>0</v>
      </c>
      <c r="L23" s="184" t="e">
        <f>#REF!</f>
        <v>#REF!</v>
      </c>
      <c r="M23" s="184" t="e">
        <f>#REF!</f>
        <v>#REF!</v>
      </c>
    </row>
    <row r="24" spans="1:15" s="174" customFormat="1" ht="15" hidden="1" outlineLevel="1" x14ac:dyDescent="0.25">
      <c r="A24" s="187" t="s">
        <v>334</v>
      </c>
      <c r="B24" s="188">
        <v>1403000</v>
      </c>
      <c r="C24" s="188">
        <f>265000+300144+759000+35000+250000</f>
        <v>1609144</v>
      </c>
      <c r="D24" s="189">
        <f t="shared" ref="D24:K24" ca="1" si="12">H6+D40</f>
        <v>2753411.2650166294</v>
      </c>
      <c r="E24" s="189">
        <f t="shared" ca="1" si="12"/>
        <v>4574979.4982148726</v>
      </c>
      <c r="F24" s="189">
        <f t="shared" ca="1" si="12"/>
        <v>4040814.4597329386</v>
      </c>
      <c r="G24" s="189">
        <f t="shared" ca="1" si="12"/>
        <v>4514804.3454642072</v>
      </c>
      <c r="H24" s="189">
        <f t="shared" ca="1" si="12"/>
        <v>5220643.1982817072</v>
      </c>
      <c r="I24" s="189">
        <f t="shared" ca="1" si="12"/>
        <v>5790499.1907281922</v>
      </c>
      <c r="J24" s="189">
        <f t="shared" ca="1" si="12"/>
        <v>4093500.0463969782</v>
      </c>
      <c r="K24" s="189">
        <f t="shared" ca="1" si="12"/>
        <v>4240237.0975296237</v>
      </c>
      <c r="L24" s="189" t="e">
        <f>#REF!+L40</f>
        <v>#REF!</v>
      </c>
      <c r="M24" s="189" t="e">
        <f>#REF!+M40</f>
        <v>#REF!</v>
      </c>
    </row>
    <row r="25" spans="1:15" s="174" customFormat="1" ht="15" hidden="1" outlineLevel="1" x14ac:dyDescent="0.25">
      <c r="A25" s="176" t="s">
        <v>337</v>
      </c>
      <c r="B25" s="183">
        <f>SUM(B23:B24)</f>
        <v>2465000</v>
      </c>
      <c r="C25" s="183">
        <f t="shared" ref="C25:D25" si="13">SUM(C23:C24)</f>
        <v>3004244</v>
      </c>
      <c r="D25" s="183">
        <f t="shared" ca="1" si="13"/>
        <v>2753411.2650166294</v>
      </c>
      <c r="E25" s="263">
        <f t="shared" ref="E25:O25" ca="1" si="14">SUM(E23:E24)</f>
        <v>4574979.4982148726</v>
      </c>
      <c r="F25" s="263">
        <f t="shared" ca="1" si="14"/>
        <v>4040814.4597329386</v>
      </c>
      <c r="G25" s="263">
        <f t="shared" ca="1" si="14"/>
        <v>4514804.3454642072</v>
      </c>
      <c r="H25" s="263">
        <f t="shared" ca="1" si="14"/>
        <v>5220643.1982817072</v>
      </c>
      <c r="I25" s="263">
        <f t="shared" ca="1" si="14"/>
        <v>5790499.1907281922</v>
      </c>
      <c r="J25" s="263">
        <f t="shared" ca="1" si="14"/>
        <v>4093500.0463969782</v>
      </c>
      <c r="K25" s="263">
        <f t="shared" ca="1" si="14"/>
        <v>4240237.0975296237</v>
      </c>
      <c r="L25" s="263" t="e">
        <f t="shared" si="14"/>
        <v>#REF!</v>
      </c>
      <c r="M25" s="310" t="e">
        <f t="shared" si="14"/>
        <v>#REF!</v>
      </c>
      <c r="N25" s="310">
        <f t="shared" si="14"/>
        <v>0</v>
      </c>
      <c r="O25" s="310">
        <f t="shared" si="14"/>
        <v>0</v>
      </c>
    </row>
    <row r="26" spans="1:15" s="174" customFormat="1" ht="9.75" hidden="1" customHeight="1" outlineLevel="1" x14ac:dyDescent="0.25">
      <c r="A26" s="182"/>
      <c r="B26" s="183"/>
      <c r="C26" s="183"/>
      <c r="D26" s="183"/>
      <c r="E26" s="263"/>
      <c r="F26" s="263"/>
      <c r="G26" s="263"/>
      <c r="H26" s="263"/>
      <c r="I26" s="263"/>
      <c r="J26" s="263"/>
      <c r="K26" s="263"/>
      <c r="L26" s="263"/>
      <c r="M26" s="263"/>
    </row>
    <row r="27" spans="1:15" s="174" customFormat="1" ht="15" hidden="1" outlineLevel="1" x14ac:dyDescent="0.25">
      <c r="A27" s="185" t="s">
        <v>338</v>
      </c>
      <c r="B27" s="183"/>
      <c r="C27" s="183"/>
      <c r="D27" s="183"/>
      <c r="E27" s="263"/>
      <c r="F27" s="263"/>
      <c r="G27" s="263"/>
      <c r="H27" s="263"/>
      <c r="I27" s="263"/>
      <c r="J27" s="263"/>
      <c r="K27" s="263"/>
      <c r="L27" s="263"/>
      <c r="M27" s="263"/>
    </row>
    <row r="28" spans="1:15" s="174" customFormat="1" ht="15" hidden="1" outlineLevel="1" x14ac:dyDescent="0.25">
      <c r="A28" s="182" t="s">
        <v>332</v>
      </c>
      <c r="B28" s="183">
        <v>0</v>
      </c>
      <c r="C28" s="183">
        <v>0</v>
      </c>
      <c r="D28" s="184">
        <f t="shared" ref="D28:K29" ca="1" si="15">H10</f>
        <v>1448362.4145000002</v>
      </c>
      <c r="E28" s="184">
        <f t="shared" ca="1" si="15"/>
        <v>1109058</v>
      </c>
      <c r="F28" s="184">
        <f t="shared" ca="1" si="15"/>
        <v>744478.5</v>
      </c>
      <c r="G28" s="184">
        <f t="shared" ca="1" si="15"/>
        <v>930616.21</v>
      </c>
      <c r="H28" s="184">
        <f t="shared" ca="1" si="15"/>
        <v>5152624.0920000002</v>
      </c>
      <c r="I28" s="184">
        <f t="shared" ca="1" si="15"/>
        <v>13261</v>
      </c>
      <c r="J28" s="184">
        <f t="shared" ca="1" si="15"/>
        <v>4365946.2</v>
      </c>
      <c r="K28" s="184">
        <f t="shared" ca="1" si="15"/>
        <v>50542.82</v>
      </c>
      <c r="L28" s="184" t="e">
        <f>#REF!</f>
        <v>#REF!</v>
      </c>
      <c r="M28" s="184" t="e">
        <f>#REF!</f>
        <v>#REF!</v>
      </c>
    </row>
    <row r="29" spans="1:15" s="174" customFormat="1" ht="15" hidden="1" outlineLevel="1" x14ac:dyDescent="0.25">
      <c r="A29" s="187" t="s">
        <v>335</v>
      </c>
      <c r="B29" s="188">
        <f>956000+31000+81000+297000</f>
        <v>1365000</v>
      </c>
      <c r="C29" s="188">
        <f>212330+80000+12900+950000</f>
        <v>1255230</v>
      </c>
      <c r="D29" s="189">
        <f t="shared" ca="1" si="15"/>
        <v>1185000</v>
      </c>
      <c r="E29" s="189">
        <f t="shared" ca="1" si="15"/>
        <v>1185000</v>
      </c>
      <c r="F29" s="189">
        <f t="shared" ca="1" si="15"/>
        <v>1185000</v>
      </c>
      <c r="G29" s="189">
        <f t="shared" ca="1" si="15"/>
        <v>1185000</v>
      </c>
      <c r="H29" s="189">
        <f t="shared" ca="1" si="15"/>
        <v>1185000</v>
      </c>
      <c r="I29" s="189">
        <f t="shared" ca="1" si="15"/>
        <v>1185000</v>
      </c>
      <c r="J29" s="189">
        <f t="shared" ca="1" si="15"/>
        <v>1185000</v>
      </c>
      <c r="K29" s="189">
        <f t="shared" ca="1" si="15"/>
        <v>1185000</v>
      </c>
      <c r="L29" s="189" t="e">
        <f>#REF!</f>
        <v>#REF!</v>
      </c>
      <c r="M29" s="189" t="e">
        <f>#REF!</f>
        <v>#REF!</v>
      </c>
    </row>
    <row r="30" spans="1:15" s="174" customFormat="1" ht="15" hidden="1" outlineLevel="1" x14ac:dyDescent="0.25">
      <c r="A30" s="185" t="s">
        <v>339</v>
      </c>
      <c r="B30" s="183">
        <f>SUM(B28:B29)</f>
        <v>1365000</v>
      </c>
      <c r="C30" s="183">
        <f t="shared" ref="C30:D30" si="16">SUM(C28:C29)</f>
        <v>1255230</v>
      </c>
      <c r="D30" s="183">
        <f t="shared" ca="1" si="16"/>
        <v>2633362.4145</v>
      </c>
      <c r="E30" s="263">
        <f t="shared" ref="E30:M30" ca="1" si="17">SUM(E28:E29)</f>
        <v>2294058</v>
      </c>
      <c r="F30" s="263">
        <f t="shared" ca="1" si="17"/>
        <v>1929478.5</v>
      </c>
      <c r="G30" s="263">
        <f t="shared" ca="1" si="17"/>
        <v>2115616.21</v>
      </c>
      <c r="H30" s="263">
        <f t="shared" ca="1" si="17"/>
        <v>6337624.0920000002</v>
      </c>
      <c r="I30" s="263">
        <f t="shared" ca="1" si="17"/>
        <v>1198261</v>
      </c>
      <c r="J30" s="263">
        <f t="shared" ca="1" si="17"/>
        <v>5550946.2000000002</v>
      </c>
      <c r="K30" s="263">
        <f t="shared" ca="1" si="17"/>
        <v>1235542.82</v>
      </c>
      <c r="L30" s="263" t="e">
        <f t="shared" si="17"/>
        <v>#REF!</v>
      </c>
      <c r="M30" s="310" t="e">
        <f t="shared" si="17"/>
        <v>#REF!</v>
      </c>
      <c r="N30" s="310">
        <f t="shared" ref="N30:O30" si="18">SUM(N28:N29)</f>
        <v>0</v>
      </c>
      <c r="O30" s="310">
        <f t="shared" si="18"/>
        <v>0</v>
      </c>
    </row>
    <row r="31" spans="1:15" s="174" customFormat="1" ht="9" hidden="1" customHeight="1" outlineLevel="1" thickBot="1" x14ac:dyDescent="0.3">
      <c r="A31" s="182"/>
      <c r="B31" s="190"/>
      <c r="C31" s="190"/>
      <c r="D31" s="190"/>
      <c r="E31" s="190"/>
      <c r="F31" s="190"/>
      <c r="G31" s="190"/>
      <c r="H31" s="190"/>
      <c r="I31" s="190"/>
      <c r="J31" s="190"/>
      <c r="K31" s="190"/>
      <c r="L31" s="191"/>
      <c r="M31" s="192"/>
      <c r="N31" s="192"/>
      <c r="O31" s="192"/>
    </row>
    <row r="32" spans="1:15" s="180" customFormat="1" ht="16.5" hidden="1" outlineLevel="2" thickBot="1" x14ac:dyDescent="0.3">
      <c r="A32" s="186" t="s">
        <v>340</v>
      </c>
      <c r="B32" s="193">
        <f>+B25+B30</f>
        <v>3830000</v>
      </c>
      <c r="C32" s="193">
        <f t="shared" ref="C32:M32" si="19">+C25+C30</f>
        <v>4259474</v>
      </c>
      <c r="D32" s="193">
        <f t="shared" ca="1" si="19"/>
        <v>5386773.6795166293</v>
      </c>
      <c r="E32" s="193">
        <f t="shared" ca="1" si="19"/>
        <v>6869037.4982148726</v>
      </c>
      <c r="F32" s="193">
        <f t="shared" ca="1" si="19"/>
        <v>5970292.9597329386</v>
      </c>
      <c r="G32" s="193">
        <f t="shared" ca="1" si="19"/>
        <v>6630420.5554642072</v>
      </c>
      <c r="H32" s="193">
        <f t="shared" ca="1" si="19"/>
        <v>11558267.290281707</v>
      </c>
      <c r="I32" s="193">
        <f t="shared" ca="1" si="19"/>
        <v>6988760.1907281922</v>
      </c>
      <c r="J32" s="193">
        <f t="shared" ca="1" si="19"/>
        <v>9644446.2463969775</v>
      </c>
      <c r="K32" s="193">
        <f t="shared" ca="1" si="19"/>
        <v>5475779.917529624</v>
      </c>
      <c r="L32" s="193" t="e">
        <f t="shared" si="19"/>
        <v>#REF!</v>
      </c>
      <c r="M32" s="193" t="e">
        <f t="shared" si="19"/>
        <v>#REF!</v>
      </c>
      <c r="N32" s="193">
        <f t="shared" ref="N32:O32" si="20">+N25+N30</f>
        <v>0</v>
      </c>
      <c r="O32" s="193">
        <f t="shared" si="20"/>
        <v>0</v>
      </c>
    </row>
    <row r="33" spans="1:16" ht="15.75" hidden="1" outlineLevel="2" thickTop="1" x14ac:dyDescent="0.25">
      <c r="A33" s="62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2"/>
    </row>
    <row r="34" spans="1:16" ht="15" hidden="1" outlineLevel="1" x14ac:dyDescent="0.25">
      <c r="A34" s="62"/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2"/>
    </row>
    <row r="35" spans="1:16" ht="12.75" hidden="1" outlineLevel="1" x14ac:dyDescent="0.2"/>
    <row r="36" spans="1:16" ht="15" hidden="1" outlineLevel="1" x14ac:dyDescent="0.25">
      <c r="A36" s="209" t="s">
        <v>449</v>
      </c>
    </row>
    <row r="37" spans="1:16" ht="15" hidden="1" outlineLevel="1" x14ac:dyDescent="0.25">
      <c r="A37" s="53" t="s">
        <v>450</v>
      </c>
      <c r="E37" s="219">
        <v>876851</v>
      </c>
      <c r="F37" s="219">
        <v>1050676</v>
      </c>
      <c r="G37" s="219">
        <v>1052729</v>
      </c>
      <c r="H37" s="219">
        <v>1234414</v>
      </c>
      <c r="I37" s="219">
        <v>1259360</v>
      </c>
      <c r="J37" s="219">
        <v>1182019</v>
      </c>
      <c r="K37" s="219">
        <v>1122833</v>
      </c>
      <c r="L37" s="219">
        <v>1068159</v>
      </c>
      <c r="M37" s="219">
        <v>1020702</v>
      </c>
    </row>
    <row r="38" spans="1:16" s="293" customFormat="1" ht="12.75" hidden="1" outlineLevel="1" x14ac:dyDescent="0.2">
      <c r="A38" s="285" t="s">
        <v>497</v>
      </c>
      <c r="B38" s="292"/>
      <c r="C38" s="292"/>
      <c r="D38" s="292"/>
      <c r="E38" s="292">
        <v>-319</v>
      </c>
      <c r="F38" s="292"/>
      <c r="G38" s="292">
        <v>1</v>
      </c>
      <c r="H38" s="292"/>
      <c r="I38" s="292"/>
      <c r="J38" s="292"/>
      <c r="K38" s="292"/>
    </row>
    <row r="39" spans="1:16" ht="12.75" hidden="1" outlineLevel="1" x14ac:dyDescent="0.2"/>
    <row r="40" spans="1:16" ht="13.5" hidden="1" outlineLevel="1" thickBot="1" x14ac:dyDescent="0.25">
      <c r="A40" s="290" t="s">
        <v>498</v>
      </c>
      <c r="E40" s="291">
        <f>SUM(E37:E39)</f>
        <v>876532</v>
      </c>
      <c r="F40" s="291">
        <f t="shared" ref="F40:O40" si="21">SUM(F37:F39)</f>
        <v>1050676</v>
      </c>
      <c r="G40" s="291">
        <f t="shared" si="21"/>
        <v>1052730</v>
      </c>
      <c r="H40" s="291">
        <f t="shared" si="21"/>
        <v>1234414</v>
      </c>
      <c r="I40" s="291">
        <f t="shared" si="21"/>
        <v>1259360</v>
      </c>
      <c r="J40" s="291">
        <f t="shared" si="21"/>
        <v>1182019</v>
      </c>
      <c r="K40" s="291">
        <f t="shared" si="21"/>
        <v>1122833</v>
      </c>
      <c r="L40" s="291">
        <f t="shared" si="21"/>
        <v>1068159</v>
      </c>
      <c r="M40" s="291">
        <f t="shared" si="21"/>
        <v>1020702</v>
      </c>
      <c r="N40" s="291">
        <f t="shared" si="21"/>
        <v>0</v>
      </c>
      <c r="O40" s="291">
        <f t="shared" si="21"/>
        <v>0</v>
      </c>
    </row>
    <row r="41" spans="1:16" ht="12.75" collapsed="1" x14ac:dyDescent="0.2"/>
    <row r="43" spans="1:16" ht="12.75" x14ac:dyDescent="0.2">
      <c r="A43" s="309" t="s">
        <v>604</v>
      </c>
    </row>
    <row r="44" spans="1:16" ht="38.25" x14ac:dyDescent="0.2">
      <c r="A44" s="306" t="s">
        <v>325</v>
      </c>
      <c r="F44" s="306" t="s">
        <v>586</v>
      </c>
      <c r="G44" s="306" t="s">
        <v>587</v>
      </c>
      <c r="H44" s="308" t="s">
        <v>588</v>
      </c>
      <c r="I44" s="308" t="s">
        <v>326</v>
      </c>
      <c r="J44" s="307" t="s">
        <v>589</v>
      </c>
      <c r="K44" s="307" t="s">
        <v>590</v>
      </c>
      <c r="L44" s="307" t="s">
        <v>591</v>
      </c>
      <c r="M44" s="307" t="s">
        <v>592</v>
      </c>
      <c r="N44" s="307" t="s">
        <v>593</v>
      </c>
      <c r="O44" s="307" t="s">
        <v>594</v>
      </c>
    </row>
    <row r="45" spans="1:16" ht="12.75" x14ac:dyDescent="0.2">
      <c r="A45" s="53" t="s">
        <v>595</v>
      </c>
      <c r="F45" s="352">
        <f>F81</f>
        <v>2115000</v>
      </c>
      <c r="G45" s="352">
        <f t="shared" ref="G45:O45" si="22">G81</f>
        <v>265000</v>
      </c>
      <c r="H45" s="352">
        <f t="shared" si="22"/>
        <v>272950</v>
      </c>
      <c r="I45" s="352">
        <f t="shared" si="22"/>
        <v>281138.5</v>
      </c>
      <c r="J45" s="352">
        <f t="shared" si="22"/>
        <v>289572.65500000003</v>
      </c>
      <c r="K45" s="352">
        <f t="shared" si="22"/>
        <v>298259.83465000003</v>
      </c>
      <c r="L45" s="352">
        <f t="shared" si="22"/>
        <v>307207.62968950003</v>
      </c>
      <c r="M45" s="352">
        <f t="shared" si="22"/>
        <v>316423.85858018504</v>
      </c>
      <c r="N45" s="352">
        <f t="shared" si="22"/>
        <v>325916.5743375906</v>
      </c>
      <c r="O45" s="352">
        <f t="shared" si="22"/>
        <v>335694.07156771835</v>
      </c>
      <c r="P45" s="174" t="s">
        <v>334</v>
      </c>
    </row>
    <row r="46" spans="1:16" ht="12.75" x14ac:dyDescent="0.2">
      <c r="A46" s="53" t="s">
        <v>327</v>
      </c>
      <c r="F46" s="352">
        <f>F82</f>
        <v>756937.29734961828</v>
      </c>
      <c r="G46" s="352">
        <f t="shared" ref="G46:O46" si="23">G82</f>
        <v>796161.93303420686</v>
      </c>
      <c r="H46" s="352">
        <f t="shared" si="23"/>
        <v>1078168.9330342067</v>
      </c>
      <c r="I46" s="352">
        <f t="shared" si="23"/>
        <v>822860.93303420686</v>
      </c>
      <c r="J46" s="352">
        <f t="shared" si="23"/>
        <v>844178.93303420686</v>
      </c>
      <c r="K46" s="352">
        <f t="shared" si="23"/>
        <v>845708.93303420686</v>
      </c>
      <c r="L46" s="352">
        <f t="shared" si="23"/>
        <v>877073.93303420686</v>
      </c>
      <c r="M46" s="352">
        <f t="shared" si="23"/>
        <v>881363.93303420686</v>
      </c>
      <c r="N46" s="352">
        <f t="shared" si="23"/>
        <v>475448.9330342068</v>
      </c>
      <c r="O46" s="352">
        <f t="shared" si="23"/>
        <v>475448.9330342068</v>
      </c>
      <c r="P46" s="174" t="s">
        <v>334</v>
      </c>
    </row>
    <row r="47" spans="1:16" ht="12.75" x14ac:dyDescent="0.2">
      <c r="A47" s="53" t="s">
        <v>596</v>
      </c>
      <c r="F47" s="360">
        <f>F84</f>
        <v>82240</v>
      </c>
      <c r="G47" s="360">
        <f t="shared" ref="G47:O47" si="24">G84</f>
        <v>85000</v>
      </c>
      <c r="H47" s="360">
        <f t="shared" si="24"/>
        <v>85000</v>
      </c>
      <c r="I47" s="360">
        <f t="shared" si="24"/>
        <v>85000</v>
      </c>
      <c r="J47" s="360">
        <f t="shared" si="24"/>
        <v>85000</v>
      </c>
      <c r="K47" s="360">
        <f t="shared" si="24"/>
        <v>85000</v>
      </c>
      <c r="L47" s="360">
        <f t="shared" si="24"/>
        <v>85000</v>
      </c>
      <c r="M47" s="360">
        <f t="shared" si="24"/>
        <v>85000</v>
      </c>
      <c r="N47" s="360">
        <f t="shared" si="24"/>
        <v>85000</v>
      </c>
      <c r="O47" s="360">
        <f t="shared" si="24"/>
        <v>85000</v>
      </c>
      <c r="P47" s="174" t="s">
        <v>335</v>
      </c>
    </row>
    <row r="48" spans="1:16" ht="12.75" x14ac:dyDescent="0.2">
      <c r="A48" s="53" t="s">
        <v>597</v>
      </c>
      <c r="F48" s="357">
        <f>F86</f>
        <v>13261</v>
      </c>
      <c r="G48" s="357">
        <f t="shared" ref="G48:O48" si="25">G86</f>
        <v>13261</v>
      </c>
      <c r="H48" s="357">
        <f t="shared" si="25"/>
        <v>13261</v>
      </c>
      <c r="I48" s="357">
        <f t="shared" si="25"/>
        <v>13261</v>
      </c>
      <c r="J48" s="357">
        <f t="shared" si="25"/>
        <v>13261</v>
      </c>
      <c r="K48" s="357">
        <f t="shared" si="25"/>
        <v>13261</v>
      </c>
      <c r="L48" s="357">
        <f t="shared" si="25"/>
        <v>13261</v>
      </c>
      <c r="M48" s="357">
        <f t="shared" si="25"/>
        <v>13261</v>
      </c>
      <c r="N48" s="357">
        <f t="shared" si="25"/>
        <v>13261</v>
      </c>
      <c r="O48" s="357">
        <f t="shared" si="25"/>
        <v>13261</v>
      </c>
      <c r="P48" s="174" t="s">
        <v>332</v>
      </c>
    </row>
    <row r="49" spans="1:16" ht="12.75" x14ac:dyDescent="0.2">
      <c r="A49" s="354" t="s">
        <v>598</v>
      </c>
      <c r="F49" s="352">
        <f>F87</f>
        <v>50000</v>
      </c>
      <c r="G49" s="352">
        <f t="shared" ref="G49:O49" si="26">G87</f>
        <v>0</v>
      </c>
      <c r="H49" s="352">
        <f t="shared" si="26"/>
        <v>0</v>
      </c>
      <c r="I49" s="352">
        <f t="shared" si="26"/>
        <v>0</v>
      </c>
      <c r="J49" s="352">
        <f t="shared" si="26"/>
        <v>0</v>
      </c>
      <c r="K49" s="352">
        <f t="shared" si="26"/>
        <v>0</v>
      </c>
      <c r="L49" s="352">
        <f t="shared" si="26"/>
        <v>0</v>
      </c>
      <c r="M49" s="352">
        <f t="shared" si="26"/>
        <v>0</v>
      </c>
      <c r="N49" s="352">
        <f t="shared" si="26"/>
        <v>0</v>
      </c>
      <c r="O49" s="352">
        <f t="shared" si="26"/>
        <v>0</v>
      </c>
      <c r="P49" s="174" t="s">
        <v>334</v>
      </c>
    </row>
    <row r="50" spans="1:16" ht="12.75" x14ac:dyDescent="0.2">
      <c r="A50" s="53" t="s">
        <v>248</v>
      </c>
      <c r="F50" s="360">
        <f>F89</f>
        <v>950000</v>
      </c>
      <c r="G50" s="360">
        <f t="shared" ref="G50:O50" si="27">G89</f>
        <v>950000</v>
      </c>
      <c r="H50" s="360">
        <f t="shared" si="27"/>
        <v>950000</v>
      </c>
      <c r="I50" s="360">
        <f t="shared" si="27"/>
        <v>950000</v>
      </c>
      <c r="J50" s="360">
        <f t="shared" si="27"/>
        <v>950000</v>
      </c>
      <c r="K50" s="360">
        <f t="shared" si="27"/>
        <v>950000</v>
      </c>
      <c r="L50" s="360">
        <f t="shared" si="27"/>
        <v>950000</v>
      </c>
      <c r="M50" s="360">
        <f t="shared" si="27"/>
        <v>950000</v>
      </c>
      <c r="N50" s="360">
        <f t="shared" si="27"/>
        <v>950000</v>
      </c>
      <c r="O50" s="360">
        <f t="shared" si="27"/>
        <v>950000</v>
      </c>
      <c r="P50" s="174" t="s">
        <v>335</v>
      </c>
    </row>
    <row r="51" spans="1:16" ht="12.75" x14ac:dyDescent="0.2">
      <c r="A51" s="53" t="s">
        <v>599</v>
      </c>
      <c r="F51" s="352">
        <f>F90</f>
        <v>565559.98510944017</v>
      </c>
      <c r="G51" s="352">
        <f t="shared" ref="G51:O51" si="28">G90</f>
        <v>861840.98362038436</v>
      </c>
      <c r="H51" s="352">
        <f t="shared" si="28"/>
        <v>921692.58198242262</v>
      </c>
      <c r="I51" s="352">
        <f t="shared" si="28"/>
        <v>973004.34018066514</v>
      </c>
      <c r="J51" s="352">
        <f t="shared" si="28"/>
        <v>1031489.7741987316</v>
      </c>
      <c r="K51" s="352">
        <f t="shared" si="28"/>
        <v>1455584.7705300001</v>
      </c>
      <c r="L51" s="352">
        <f t="shared" si="28"/>
        <v>2048040.747583</v>
      </c>
      <c r="M51" s="352">
        <f t="shared" si="28"/>
        <v>1683919.8223413001</v>
      </c>
      <c r="N51" s="352">
        <f t="shared" si="28"/>
        <v>1410606.8045754305</v>
      </c>
      <c r="O51" s="352">
        <f t="shared" si="28"/>
        <v>1551667.4850329736</v>
      </c>
      <c r="P51" s="174" t="s">
        <v>334</v>
      </c>
    </row>
    <row r="52" spans="1:16" x14ac:dyDescent="0.25">
      <c r="A52" s="53" t="s">
        <v>328</v>
      </c>
      <c r="F52" s="352">
        <f>F93</f>
        <v>256975</v>
      </c>
      <c r="G52" s="352">
        <f t="shared" ref="G52:O52" si="29">G93</f>
        <v>282672.5</v>
      </c>
      <c r="H52" s="352">
        <f t="shared" si="29"/>
        <v>310939.75</v>
      </c>
      <c r="I52" s="352">
        <f t="shared" si="29"/>
        <v>342033.72500000003</v>
      </c>
      <c r="J52" s="352">
        <f t="shared" si="29"/>
        <v>376237.09750000009</v>
      </c>
      <c r="K52" s="352">
        <f t="shared" si="29"/>
        <v>413860.80725000013</v>
      </c>
      <c r="L52" s="352">
        <f t="shared" si="29"/>
        <v>455246.88797500019</v>
      </c>
      <c r="M52" s="352">
        <f t="shared" si="29"/>
        <v>500771.57677250024</v>
      </c>
      <c r="N52" s="352">
        <f t="shared" si="29"/>
        <v>550848.73444975028</v>
      </c>
      <c r="O52" s="352">
        <f t="shared" si="29"/>
        <v>605933.6078947254</v>
      </c>
      <c r="P52" s="174" t="s">
        <v>334</v>
      </c>
    </row>
    <row r="53" spans="1:16" x14ac:dyDescent="0.25">
      <c r="A53" s="53" t="s">
        <v>600</v>
      </c>
      <c r="F53" s="358">
        <f t="shared" ref="F53:O54" si="30">F91</f>
        <v>200000</v>
      </c>
      <c r="G53" s="358">
        <f t="shared" si="30"/>
        <v>0</v>
      </c>
      <c r="H53" s="358">
        <f t="shared" si="30"/>
        <v>0</v>
      </c>
      <c r="I53" s="358">
        <f t="shared" si="30"/>
        <v>0</v>
      </c>
      <c r="J53" s="358">
        <f t="shared" si="30"/>
        <v>0</v>
      </c>
      <c r="K53" s="358">
        <f t="shared" si="30"/>
        <v>0</v>
      </c>
      <c r="L53" s="358">
        <f t="shared" si="30"/>
        <v>0</v>
      </c>
      <c r="M53" s="358">
        <f t="shared" si="30"/>
        <v>0</v>
      </c>
      <c r="N53" s="358">
        <f t="shared" si="30"/>
        <v>0</v>
      </c>
      <c r="O53" s="358">
        <f t="shared" si="30"/>
        <v>0</v>
      </c>
      <c r="P53" s="174" t="s">
        <v>332</v>
      </c>
    </row>
    <row r="54" spans="1:16" s="174" customFormat="1" ht="14.4" x14ac:dyDescent="0.3">
      <c r="A54" s="359" t="s">
        <v>607</v>
      </c>
      <c r="B54" s="175"/>
      <c r="C54" s="175"/>
      <c r="D54" s="175"/>
      <c r="E54" s="175"/>
      <c r="F54" s="352">
        <f t="shared" si="30"/>
        <v>148660</v>
      </c>
      <c r="G54" s="352">
        <f t="shared" si="30"/>
        <v>148660</v>
      </c>
      <c r="H54" s="352">
        <f t="shared" si="30"/>
        <v>148660</v>
      </c>
      <c r="I54" s="352">
        <f t="shared" si="30"/>
        <v>779410</v>
      </c>
      <c r="J54" s="352">
        <f t="shared" si="30"/>
        <v>148660</v>
      </c>
      <c r="K54" s="352">
        <f t="shared" si="30"/>
        <v>148660</v>
      </c>
      <c r="L54" s="352">
        <f t="shared" si="30"/>
        <v>148660</v>
      </c>
      <c r="M54" s="352">
        <f t="shared" si="30"/>
        <v>148660</v>
      </c>
      <c r="N54" s="352">
        <f t="shared" si="30"/>
        <v>148660</v>
      </c>
      <c r="O54" s="352">
        <f t="shared" si="30"/>
        <v>148660</v>
      </c>
      <c r="P54" s="174" t="s">
        <v>334</v>
      </c>
    </row>
    <row r="55" spans="1:16" x14ac:dyDescent="0.25">
      <c r="A55" s="53" t="s">
        <v>329</v>
      </c>
      <c r="F55" s="352">
        <f>F94</f>
        <v>36987</v>
      </c>
      <c r="G55" s="352">
        <f t="shared" ref="G55:O55" si="31">G94</f>
        <v>0</v>
      </c>
      <c r="H55" s="352">
        <f t="shared" si="31"/>
        <v>0</v>
      </c>
      <c r="I55" s="352">
        <f t="shared" si="31"/>
        <v>0</v>
      </c>
      <c r="J55" s="352">
        <f t="shared" si="31"/>
        <v>0</v>
      </c>
      <c r="K55" s="352">
        <f t="shared" si="31"/>
        <v>0</v>
      </c>
      <c r="L55" s="352">
        <f t="shared" si="31"/>
        <v>0</v>
      </c>
      <c r="M55" s="352">
        <f t="shared" si="31"/>
        <v>0</v>
      </c>
      <c r="N55" s="352">
        <f t="shared" si="31"/>
        <v>0</v>
      </c>
      <c r="O55" s="352">
        <f t="shared" si="31"/>
        <v>0</v>
      </c>
      <c r="P55" s="174" t="s">
        <v>334</v>
      </c>
    </row>
    <row r="56" spans="1:16" x14ac:dyDescent="0.25">
      <c r="A56" s="53" t="s">
        <v>601</v>
      </c>
      <c r="F56" s="360">
        <f>F96</f>
        <v>50000</v>
      </c>
      <c r="G56" s="360">
        <f t="shared" ref="G56:O56" si="32">G96</f>
        <v>0</v>
      </c>
      <c r="H56" s="360">
        <f t="shared" si="32"/>
        <v>0</v>
      </c>
      <c r="I56" s="360">
        <f t="shared" si="32"/>
        <v>0</v>
      </c>
      <c r="J56" s="360">
        <f t="shared" si="32"/>
        <v>0</v>
      </c>
      <c r="K56" s="360">
        <f t="shared" si="32"/>
        <v>0</v>
      </c>
      <c r="L56" s="360">
        <f t="shared" si="32"/>
        <v>0</v>
      </c>
      <c r="M56" s="360">
        <f t="shared" si="32"/>
        <v>0</v>
      </c>
      <c r="N56" s="360">
        <f t="shared" si="32"/>
        <v>0</v>
      </c>
      <c r="O56" s="360">
        <f t="shared" si="32"/>
        <v>0</v>
      </c>
      <c r="P56" s="174" t="s">
        <v>335</v>
      </c>
    </row>
    <row r="57" spans="1:16" s="174" customFormat="1" x14ac:dyDescent="0.25">
      <c r="A57" s="290" t="s">
        <v>606</v>
      </c>
      <c r="B57" s="175"/>
      <c r="C57" s="175"/>
      <c r="D57" s="175"/>
      <c r="E57" s="175"/>
      <c r="F57" s="358">
        <f>F85</f>
        <v>120000</v>
      </c>
      <c r="G57" s="358">
        <f t="shared" ref="G57:O57" si="33">G85</f>
        <v>0</v>
      </c>
      <c r="H57" s="358">
        <f t="shared" si="33"/>
        <v>0</v>
      </c>
      <c r="I57" s="358">
        <f t="shared" si="33"/>
        <v>0</v>
      </c>
      <c r="J57" s="358">
        <f t="shared" si="33"/>
        <v>0</v>
      </c>
      <c r="K57" s="358">
        <f t="shared" si="33"/>
        <v>0</v>
      </c>
      <c r="L57" s="358">
        <f t="shared" si="33"/>
        <v>0</v>
      </c>
      <c r="M57" s="358">
        <f t="shared" si="33"/>
        <v>0</v>
      </c>
      <c r="N57" s="358">
        <f t="shared" si="33"/>
        <v>0</v>
      </c>
      <c r="O57" s="358">
        <f t="shared" si="33"/>
        <v>0</v>
      </c>
      <c r="P57" s="174" t="s">
        <v>334</v>
      </c>
    </row>
    <row r="58" spans="1:16" s="174" customFormat="1" ht="14.4" x14ac:dyDescent="0.3">
      <c r="A58" s="359" t="s">
        <v>608</v>
      </c>
      <c r="B58" s="175"/>
      <c r="C58" s="175"/>
      <c r="D58" s="175"/>
      <c r="E58" s="175"/>
      <c r="F58" s="358">
        <f>F98</f>
        <v>597780</v>
      </c>
      <c r="G58" s="358">
        <f t="shared" ref="G58:O58" si="34">G98</f>
        <v>1049616.29</v>
      </c>
      <c r="H58" s="358">
        <f t="shared" si="34"/>
        <v>291650</v>
      </c>
      <c r="I58" s="358">
        <f t="shared" si="34"/>
        <v>1095797</v>
      </c>
      <c r="J58" s="358">
        <f t="shared" si="34"/>
        <v>381217.5</v>
      </c>
      <c r="K58" s="358">
        <f t="shared" si="34"/>
        <v>687616.28999999992</v>
      </c>
      <c r="L58" s="358">
        <f t="shared" si="34"/>
        <v>1892797.55</v>
      </c>
      <c r="M58" s="358">
        <f t="shared" si="34"/>
        <v>0</v>
      </c>
      <c r="N58" s="358">
        <f t="shared" si="34"/>
        <v>597780</v>
      </c>
      <c r="O58" s="358">
        <f t="shared" si="34"/>
        <v>0</v>
      </c>
      <c r="P58" s="174" t="s">
        <v>332</v>
      </c>
    </row>
    <row r="59" spans="1:16" s="174" customFormat="1" ht="14.4" x14ac:dyDescent="0.3">
      <c r="A59" s="359" t="s">
        <v>609</v>
      </c>
      <c r="B59" s="175"/>
      <c r="C59" s="175"/>
      <c r="D59" s="175"/>
      <c r="E59" s="175"/>
      <c r="F59" s="358">
        <f>F99</f>
        <v>0</v>
      </c>
      <c r="G59" s="358">
        <f t="shared" ref="G59:O59" si="35">G99</f>
        <v>1572777</v>
      </c>
      <c r="H59" s="358">
        <f t="shared" si="35"/>
        <v>0</v>
      </c>
      <c r="I59" s="358">
        <f t="shared" si="35"/>
        <v>0</v>
      </c>
      <c r="J59" s="358">
        <f t="shared" si="35"/>
        <v>0</v>
      </c>
      <c r="K59" s="358">
        <f t="shared" si="35"/>
        <v>0</v>
      </c>
      <c r="L59" s="358">
        <f t="shared" si="35"/>
        <v>0</v>
      </c>
      <c r="M59" s="358">
        <f t="shared" si="35"/>
        <v>0</v>
      </c>
      <c r="N59" s="358">
        <f t="shared" si="35"/>
        <v>0</v>
      </c>
      <c r="O59" s="358">
        <f t="shared" si="35"/>
        <v>0</v>
      </c>
      <c r="P59" s="174" t="s">
        <v>332</v>
      </c>
    </row>
    <row r="60" spans="1:16" s="174" customFormat="1" ht="14.4" x14ac:dyDescent="0.3">
      <c r="A60" s="359" t="s">
        <v>610</v>
      </c>
      <c r="B60" s="175"/>
      <c r="C60" s="175"/>
      <c r="D60" s="175"/>
      <c r="E60" s="175"/>
      <c r="F60" s="358">
        <f>F100</f>
        <v>0</v>
      </c>
      <c r="G60" s="358">
        <f t="shared" ref="G60:O60" si="36">G100</f>
        <v>2557500</v>
      </c>
      <c r="H60" s="358">
        <f t="shared" si="36"/>
        <v>0</v>
      </c>
      <c r="I60" s="358">
        <f t="shared" si="36"/>
        <v>0</v>
      </c>
      <c r="J60" s="358">
        <f t="shared" si="36"/>
        <v>0</v>
      </c>
      <c r="K60" s="358">
        <f t="shared" si="36"/>
        <v>0</v>
      </c>
      <c r="L60" s="358">
        <f t="shared" si="36"/>
        <v>0</v>
      </c>
      <c r="M60" s="358">
        <f t="shared" si="36"/>
        <v>0</v>
      </c>
      <c r="N60" s="358">
        <f t="shared" si="36"/>
        <v>0</v>
      </c>
      <c r="O60" s="358">
        <f t="shared" si="36"/>
        <v>0</v>
      </c>
      <c r="P60" s="174" t="s">
        <v>332</v>
      </c>
    </row>
    <row r="61" spans="1:16" x14ac:dyDescent="0.25">
      <c r="A61" s="53" t="s">
        <v>602</v>
      </c>
      <c r="F61" s="352">
        <f>F95</f>
        <v>0</v>
      </c>
      <c r="G61" s="352">
        <f t="shared" ref="G61:O61" si="37">G95</f>
        <v>460000</v>
      </c>
      <c r="H61" s="352">
        <f t="shared" si="37"/>
        <v>21000</v>
      </c>
      <c r="I61" s="352">
        <f t="shared" si="37"/>
        <v>500000</v>
      </c>
      <c r="J61" s="352">
        <f t="shared" si="37"/>
        <v>300000</v>
      </c>
      <c r="K61" s="352">
        <f t="shared" si="37"/>
        <v>300000</v>
      </c>
      <c r="L61" s="352">
        <f t="shared" si="37"/>
        <v>150000</v>
      </c>
      <c r="M61" s="352">
        <f t="shared" si="37"/>
        <v>1000000</v>
      </c>
      <c r="N61" s="352">
        <f t="shared" si="37"/>
        <v>0</v>
      </c>
      <c r="O61" s="352">
        <f t="shared" si="37"/>
        <v>0</v>
      </c>
      <c r="P61" s="174" t="s">
        <v>334</v>
      </c>
    </row>
    <row r="62" spans="1:16" x14ac:dyDescent="0.25">
      <c r="A62" s="53" t="s">
        <v>189</v>
      </c>
      <c r="F62" s="360">
        <f>F83</f>
        <v>140000</v>
      </c>
      <c r="G62" s="360">
        <f t="shared" ref="G62:O62" si="38">G83</f>
        <v>150000</v>
      </c>
      <c r="H62" s="360">
        <f t="shared" si="38"/>
        <v>150000</v>
      </c>
      <c r="I62" s="360">
        <f t="shared" si="38"/>
        <v>150000</v>
      </c>
      <c r="J62" s="360">
        <f t="shared" si="38"/>
        <v>150000</v>
      </c>
      <c r="K62" s="360">
        <f t="shared" si="38"/>
        <v>150000</v>
      </c>
      <c r="L62" s="360">
        <f t="shared" si="38"/>
        <v>150000</v>
      </c>
      <c r="M62" s="360">
        <f t="shared" si="38"/>
        <v>150000</v>
      </c>
      <c r="N62" s="360">
        <f t="shared" si="38"/>
        <v>150000</v>
      </c>
      <c r="O62" s="360">
        <f t="shared" si="38"/>
        <v>150000</v>
      </c>
      <c r="P62" s="174" t="s">
        <v>335</v>
      </c>
    </row>
    <row r="63" spans="1:16" x14ac:dyDescent="0.25">
      <c r="A63" s="354" t="s">
        <v>603</v>
      </c>
      <c r="F63" s="358">
        <f>F88</f>
        <v>627630</v>
      </c>
      <c r="G63" s="358">
        <f t="shared" ref="G63:O63" si="39">G88</f>
        <v>6312638</v>
      </c>
      <c r="H63" s="358">
        <f t="shared" si="39"/>
        <v>1143451.4145000002</v>
      </c>
      <c r="I63" s="358">
        <f t="shared" si="39"/>
        <v>0</v>
      </c>
      <c r="J63" s="358">
        <f t="shared" si="39"/>
        <v>350000</v>
      </c>
      <c r="K63" s="358">
        <f t="shared" si="39"/>
        <v>229738.91999999998</v>
      </c>
      <c r="L63" s="358">
        <f t="shared" si="39"/>
        <v>3246565.5420000004</v>
      </c>
      <c r="M63" s="358">
        <f t="shared" si="39"/>
        <v>0</v>
      </c>
      <c r="N63" s="358">
        <f t="shared" si="39"/>
        <v>3754905.2</v>
      </c>
      <c r="O63" s="358">
        <f t="shared" si="39"/>
        <v>37281.82</v>
      </c>
      <c r="P63" s="174" t="s">
        <v>332</v>
      </c>
    </row>
    <row r="64" spans="1:16" x14ac:dyDescent="0.25">
      <c r="A64" s="53" t="s">
        <v>330</v>
      </c>
      <c r="F64" s="352">
        <f t="shared" ref="F64:O64" si="40">SUM(F45:F63)</f>
        <v>6711030.2824590588</v>
      </c>
      <c r="G64" s="352">
        <f t="shared" si="40"/>
        <v>15505127.706654591</v>
      </c>
      <c r="H64" s="352">
        <f t="shared" si="40"/>
        <v>5386773.6795166293</v>
      </c>
      <c r="I64" s="352">
        <f t="shared" si="40"/>
        <v>5992505.4982148726</v>
      </c>
      <c r="J64" s="352">
        <f t="shared" si="40"/>
        <v>4919616.9597329386</v>
      </c>
      <c r="K64" s="352">
        <f t="shared" si="40"/>
        <v>5577690.5554642072</v>
      </c>
      <c r="L64" s="352">
        <f t="shared" si="40"/>
        <v>10323853.290281707</v>
      </c>
      <c r="M64" s="352">
        <f t="shared" si="40"/>
        <v>5729400.1907281922</v>
      </c>
      <c r="N64" s="352">
        <f t="shared" si="40"/>
        <v>8462427.2463969775</v>
      </c>
      <c r="O64" s="352">
        <f t="shared" si="40"/>
        <v>4352946.917529624</v>
      </c>
      <c r="P64" s="174"/>
    </row>
    <row r="65" spans="1:15" x14ac:dyDescent="0.25">
      <c r="B65" s="174"/>
      <c r="C65" s="174"/>
      <c r="L65" s="54"/>
      <c r="M65" s="54"/>
      <c r="N65" s="175"/>
      <c r="O65" s="175"/>
    </row>
    <row r="66" spans="1:15" s="174" customFormat="1" x14ac:dyDescent="0.25"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</row>
    <row r="67" spans="1:15" x14ac:dyDescent="0.25">
      <c r="B67" s="174"/>
      <c r="C67" s="174"/>
      <c r="L67" s="54"/>
      <c r="M67" s="54"/>
      <c r="N67" s="175"/>
      <c r="O67" s="175"/>
    </row>
    <row r="68" spans="1:15" x14ac:dyDescent="0.25">
      <c r="A68" s="361" t="s">
        <v>334</v>
      </c>
      <c r="B68" s="362"/>
      <c r="C68" s="362"/>
      <c r="D68" s="363"/>
      <c r="E68" s="363"/>
      <c r="F68" s="363">
        <f>F45+F46+F49+F51+F52+F54+F56+F55+F61</f>
        <v>3980119.2824590583</v>
      </c>
      <c r="G68" s="363">
        <f t="shared" ref="G68:O68" si="41">G45+G46+G49+G51+G52+G54+G56+G55+G61</f>
        <v>2814335.416654591</v>
      </c>
      <c r="H68" s="363">
        <f t="shared" si="41"/>
        <v>2753411.2650166294</v>
      </c>
      <c r="I68" s="363">
        <f t="shared" si="41"/>
        <v>3698447.4982148721</v>
      </c>
      <c r="J68" s="363">
        <f t="shared" si="41"/>
        <v>2990138.4597329386</v>
      </c>
      <c r="K68" s="363">
        <f t="shared" si="41"/>
        <v>3462074.3454642068</v>
      </c>
      <c r="L68" s="363">
        <f t="shared" si="41"/>
        <v>3986229.1982817072</v>
      </c>
      <c r="M68" s="363">
        <f t="shared" si="41"/>
        <v>4531139.1907281922</v>
      </c>
      <c r="N68" s="363">
        <f t="shared" si="41"/>
        <v>2911481.0463969782</v>
      </c>
      <c r="O68" s="363">
        <f t="shared" si="41"/>
        <v>3117404.0975296237</v>
      </c>
    </row>
    <row r="69" spans="1:15" x14ac:dyDescent="0.25">
      <c r="A69" s="364" t="s">
        <v>335</v>
      </c>
      <c r="B69" s="365"/>
      <c r="C69" s="365"/>
      <c r="D69" s="365"/>
      <c r="E69" s="365"/>
      <c r="F69" s="365">
        <f t="shared" ref="F69:O69" si="42">F47+F56+F62+F50</f>
        <v>1222240</v>
      </c>
      <c r="G69" s="365">
        <f t="shared" si="42"/>
        <v>1185000</v>
      </c>
      <c r="H69" s="365">
        <f t="shared" si="42"/>
        <v>1185000</v>
      </c>
      <c r="I69" s="365">
        <f t="shared" si="42"/>
        <v>1185000</v>
      </c>
      <c r="J69" s="365">
        <f t="shared" si="42"/>
        <v>1185000</v>
      </c>
      <c r="K69" s="365">
        <f t="shared" si="42"/>
        <v>1185000</v>
      </c>
      <c r="L69" s="365">
        <f t="shared" si="42"/>
        <v>1185000</v>
      </c>
      <c r="M69" s="365">
        <f t="shared" si="42"/>
        <v>1185000</v>
      </c>
      <c r="N69" s="365">
        <f t="shared" si="42"/>
        <v>1185000</v>
      </c>
      <c r="O69" s="365">
        <f t="shared" si="42"/>
        <v>1185000</v>
      </c>
    </row>
    <row r="70" spans="1:15" x14ac:dyDescent="0.25">
      <c r="A70" s="290" t="s">
        <v>400</v>
      </c>
      <c r="F70" s="54">
        <f>F64-F68-F69</f>
        <v>1508671.0000000005</v>
      </c>
      <c r="G70" s="175">
        <f t="shared" ref="G70:O70" si="43">G64-G68-G69</f>
        <v>11505792.290000001</v>
      </c>
      <c r="H70" s="175">
        <f t="shared" si="43"/>
        <v>1448362.4145</v>
      </c>
      <c r="I70" s="175">
        <f t="shared" si="43"/>
        <v>1109058.0000000005</v>
      </c>
      <c r="J70" s="175">
        <f t="shared" si="43"/>
        <v>744478.5</v>
      </c>
      <c r="K70" s="175">
        <f t="shared" si="43"/>
        <v>930616.21000000043</v>
      </c>
      <c r="L70" s="175">
        <f t="shared" si="43"/>
        <v>5152624.0920000002</v>
      </c>
      <c r="M70" s="175">
        <f t="shared" si="43"/>
        <v>13261</v>
      </c>
      <c r="N70" s="175">
        <f t="shared" si="43"/>
        <v>4365946.1999999993</v>
      </c>
      <c r="O70" s="175">
        <f t="shared" si="43"/>
        <v>50542.820000000298</v>
      </c>
    </row>
    <row r="71" spans="1:15" ht="13.8" thickBot="1" x14ac:dyDescent="0.3">
      <c r="F71" s="353">
        <f>SUM(F68:F70)</f>
        <v>6711030.2824590579</v>
      </c>
      <c r="G71" s="353">
        <f t="shared" ref="G71:O71" si="44">SUM(G68:G70)</f>
        <v>15505127.706654591</v>
      </c>
      <c r="H71" s="353">
        <f t="shared" si="44"/>
        <v>5386773.6795166293</v>
      </c>
      <c r="I71" s="353">
        <f t="shared" si="44"/>
        <v>5992505.4982148726</v>
      </c>
      <c r="J71" s="353">
        <f t="shared" si="44"/>
        <v>4919616.9597329386</v>
      </c>
      <c r="K71" s="353">
        <f t="shared" si="44"/>
        <v>5577690.5554642081</v>
      </c>
      <c r="L71" s="353">
        <f t="shared" si="44"/>
        <v>10323853.290281707</v>
      </c>
      <c r="M71" s="353">
        <f t="shared" si="44"/>
        <v>5729400.1907281922</v>
      </c>
      <c r="N71" s="353">
        <f t="shared" si="44"/>
        <v>8462427.2463969775</v>
      </c>
      <c r="O71" s="353">
        <f t="shared" si="44"/>
        <v>4352946.917529624</v>
      </c>
    </row>
    <row r="75" spans="1:15" x14ac:dyDescent="0.25">
      <c r="A75" s="290" t="s">
        <v>546</v>
      </c>
      <c r="F75" s="356">
        <f>'LTFP Assumptions'!B13</f>
        <v>0.02</v>
      </c>
      <c r="G75" s="356">
        <f>1+F75</f>
        <v>1.02</v>
      </c>
      <c r="H75" s="356">
        <f>G75*(1+$F75)</f>
        <v>1.0404</v>
      </c>
      <c r="I75" s="356">
        <f t="shared" ref="I75:O75" si="45">H75*(1+$F75)</f>
        <v>1.0612079999999999</v>
      </c>
      <c r="J75" s="356">
        <f t="shared" si="45"/>
        <v>1.08243216</v>
      </c>
      <c r="K75" s="356">
        <f t="shared" si="45"/>
        <v>1.1040808032</v>
      </c>
      <c r="L75" s="356">
        <f t="shared" si="45"/>
        <v>1.1261624192640001</v>
      </c>
      <c r="M75" s="356">
        <f t="shared" si="45"/>
        <v>1.14868566764928</v>
      </c>
      <c r="N75" s="356">
        <f t="shared" si="45"/>
        <v>1.1716593810022657</v>
      </c>
      <c r="O75" s="356">
        <f t="shared" si="45"/>
        <v>1.1950925686223111</v>
      </c>
    </row>
    <row r="79" spans="1:15" x14ac:dyDescent="0.25">
      <c r="A79" s="309" t="s">
        <v>604</v>
      </c>
      <c r="B79" s="175"/>
      <c r="C79" s="175"/>
      <c r="D79" s="175"/>
      <c r="E79" s="175"/>
      <c r="F79" s="355" t="s">
        <v>605</v>
      </c>
      <c r="G79" s="175"/>
      <c r="H79" s="175"/>
      <c r="I79" s="175"/>
      <c r="J79" s="175"/>
      <c r="K79" s="175"/>
      <c r="L79" s="174"/>
      <c r="M79" s="174"/>
      <c r="N79" s="174"/>
      <c r="O79" s="174"/>
    </row>
    <row r="80" spans="1:15" ht="26.4" x14ac:dyDescent="0.25">
      <c r="A80" s="306" t="s">
        <v>325</v>
      </c>
      <c r="B80" s="175"/>
      <c r="C80" s="175"/>
      <c r="D80" s="175"/>
      <c r="E80" s="175"/>
      <c r="F80" s="306" t="s">
        <v>586</v>
      </c>
      <c r="G80" s="306" t="s">
        <v>587</v>
      </c>
      <c r="H80" s="308" t="s">
        <v>588</v>
      </c>
      <c r="I80" s="308" t="s">
        <v>326</v>
      </c>
      <c r="J80" s="307" t="s">
        <v>589</v>
      </c>
      <c r="K80" s="307" t="s">
        <v>590</v>
      </c>
      <c r="L80" s="307" t="s">
        <v>591</v>
      </c>
      <c r="M80" s="307" t="s">
        <v>592</v>
      </c>
      <c r="N80" s="307" t="s">
        <v>593</v>
      </c>
      <c r="O80" s="307" t="s">
        <v>594</v>
      </c>
    </row>
    <row r="81" spans="1:15" x14ac:dyDescent="0.25">
      <c r="A81" s="174" t="s">
        <v>595</v>
      </c>
      <c r="B81" s="175"/>
      <c r="C81" s="175"/>
      <c r="D81" s="175"/>
      <c r="E81" s="175"/>
      <c r="F81" s="352">
        <v>2115000</v>
      </c>
      <c r="G81" s="352">
        <v>265000</v>
      </c>
      <c r="H81" s="352">
        <v>272950</v>
      </c>
      <c r="I81" s="352">
        <v>281138.5</v>
      </c>
      <c r="J81" s="352">
        <v>289572.65500000003</v>
      </c>
      <c r="K81" s="352">
        <v>298259.83465000003</v>
      </c>
      <c r="L81" s="352">
        <v>307207.62968950003</v>
      </c>
      <c r="M81" s="352">
        <v>316423.85858018504</v>
      </c>
      <c r="N81" s="352">
        <v>325916.5743375906</v>
      </c>
      <c r="O81" s="352">
        <v>335694.07156771835</v>
      </c>
    </row>
    <row r="82" spans="1:15" x14ac:dyDescent="0.25">
      <c r="A82" s="174" t="s">
        <v>327</v>
      </c>
      <c r="B82" s="175"/>
      <c r="C82" s="175"/>
      <c r="D82" s="175"/>
      <c r="E82" s="175"/>
      <c r="F82" s="352">
        <v>756937.29734961828</v>
      </c>
      <c r="G82" s="352">
        <v>796161.93303420686</v>
      </c>
      <c r="H82" s="352">
        <v>1078168.9330342067</v>
      </c>
      <c r="I82" s="352">
        <v>822860.93303420686</v>
      </c>
      <c r="J82" s="352">
        <v>844178.93303420686</v>
      </c>
      <c r="K82" s="352">
        <v>845708.93303420686</v>
      </c>
      <c r="L82" s="352">
        <v>877073.93303420686</v>
      </c>
      <c r="M82" s="352">
        <v>881363.93303420686</v>
      </c>
      <c r="N82" s="352">
        <v>475448.9330342068</v>
      </c>
      <c r="O82" s="352">
        <v>475448.9330342068</v>
      </c>
    </row>
    <row r="83" spans="1:15" x14ac:dyDescent="0.25">
      <c r="A83" s="174" t="s">
        <v>189</v>
      </c>
      <c r="B83" s="175"/>
      <c r="C83" s="175"/>
      <c r="D83" s="175"/>
      <c r="E83" s="175"/>
      <c r="F83" s="293">
        <v>140000</v>
      </c>
      <c r="G83" s="293">
        <v>150000</v>
      </c>
      <c r="H83" s="293">
        <v>150000</v>
      </c>
      <c r="I83" s="293">
        <v>150000</v>
      </c>
      <c r="J83" s="293">
        <v>150000</v>
      </c>
      <c r="K83" s="293">
        <v>150000</v>
      </c>
      <c r="L83" s="293">
        <v>150000</v>
      </c>
      <c r="M83" s="293">
        <v>150000</v>
      </c>
      <c r="N83" s="293">
        <v>150000</v>
      </c>
      <c r="O83" s="293">
        <v>150000</v>
      </c>
    </row>
    <row r="84" spans="1:15" x14ac:dyDescent="0.25">
      <c r="A84" s="174" t="s">
        <v>596</v>
      </c>
      <c r="B84" s="175"/>
      <c r="C84" s="175"/>
      <c r="D84" s="175"/>
      <c r="E84" s="175"/>
      <c r="F84" s="293">
        <v>82240</v>
      </c>
      <c r="G84" s="293">
        <v>85000</v>
      </c>
      <c r="H84" s="293">
        <v>85000</v>
      </c>
      <c r="I84" s="293">
        <v>85000</v>
      </c>
      <c r="J84" s="293">
        <v>85000</v>
      </c>
      <c r="K84" s="293">
        <v>85000</v>
      </c>
      <c r="L84" s="293">
        <v>85000</v>
      </c>
      <c r="M84" s="293">
        <v>85000</v>
      </c>
      <c r="N84" s="293">
        <v>85000</v>
      </c>
      <c r="O84" s="293">
        <v>85000</v>
      </c>
    </row>
    <row r="85" spans="1:15" s="174" customFormat="1" x14ac:dyDescent="0.25">
      <c r="A85" s="290" t="s">
        <v>606</v>
      </c>
      <c r="B85" s="175"/>
      <c r="C85" s="175"/>
      <c r="D85" s="175"/>
      <c r="E85" s="175"/>
      <c r="F85" s="293">
        <v>120000</v>
      </c>
      <c r="G85" s="293"/>
      <c r="H85" s="293"/>
      <c r="I85" s="293"/>
      <c r="J85" s="293"/>
      <c r="K85" s="293"/>
      <c r="L85" s="293"/>
      <c r="M85" s="293"/>
      <c r="N85" s="293"/>
      <c r="O85" s="293"/>
    </row>
    <row r="86" spans="1:15" x14ac:dyDescent="0.25">
      <c r="A86" s="174" t="s">
        <v>597</v>
      </c>
      <c r="B86" s="175"/>
      <c r="C86" s="175"/>
      <c r="D86" s="175"/>
      <c r="E86" s="175"/>
      <c r="F86" s="293">
        <v>13261</v>
      </c>
      <c r="G86" s="293">
        <v>13261</v>
      </c>
      <c r="H86" s="293">
        <v>13261</v>
      </c>
      <c r="I86" s="293">
        <v>13261</v>
      </c>
      <c r="J86" s="293">
        <v>13261</v>
      </c>
      <c r="K86" s="293">
        <v>13261</v>
      </c>
      <c r="L86" s="293">
        <v>13261</v>
      </c>
      <c r="M86" s="293">
        <v>13261</v>
      </c>
      <c r="N86" s="293">
        <v>13261</v>
      </c>
      <c r="O86" s="293">
        <v>13261</v>
      </c>
    </row>
    <row r="87" spans="1:15" x14ac:dyDescent="0.25">
      <c r="A87" s="354" t="s">
        <v>598</v>
      </c>
      <c r="B87" s="175"/>
      <c r="C87" s="175"/>
      <c r="D87" s="175"/>
      <c r="E87" s="175"/>
      <c r="F87" s="352">
        <v>50000</v>
      </c>
      <c r="G87" s="352"/>
      <c r="H87" s="352"/>
      <c r="I87" s="352"/>
      <c r="J87" s="352"/>
      <c r="K87" s="352"/>
      <c r="L87" s="352"/>
      <c r="M87" s="352"/>
      <c r="N87" s="352"/>
      <c r="O87" s="352"/>
    </row>
    <row r="88" spans="1:15" x14ac:dyDescent="0.25">
      <c r="A88" s="354" t="s">
        <v>603</v>
      </c>
      <c r="B88" s="175"/>
      <c r="C88" s="175"/>
      <c r="D88" s="175"/>
      <c r="E88" s="175"/>
      <c r="F88" s="352">
        <v>627630</v>
      </c>
      <c r="G88" s="352">
        <v>6312638</v>
      </c>
      <c r="H88" s="352">
        <v>1143451.4145000002</v>
      </c>
      <c r="I88" s="352"/>
      <c r="J88" s="352">
        <v>350000</v>
      </c>
      <c r="K88" s="352">
        <v>229738.91999999998</v>
      </c>
      <c r="L88" s="352">
        <v>3246565.5420000004</v>
      </c>
      <c r="M88" s="352"/>
      <c r="N88" s="352">
        <v>3754905.2</v>
      </c>
      <c r="O88" s="352">
        <v>37281.82</v>
      </c>
    </row>
    <row r="89" spans="1:15" x14ac:dyDescent="0.25">
      <c r="A89" s="174" t="s">
        <v>248</v>
      </c>
      <c r="B89" s="175"/>
      <c r="C89" s="175"/>
      <c r="D89" s="175"/>
      <c r="E89" s="175"/>
      <c r="F89" s="293">
        <v>950000</v>
      </c>
      <c r="G89" s="293">
        <v>950000</v>
      </c>
      <c r="H89" s="293">
        <v>950000</v>
      </c>
      <c r="I89" s="293">
        <v>950000</v>
      </c>
      <c r="J89" s="293">
        <v>950000</v>
      </c>
      <c r="K89" s="293">
        <v>950000</v>
      </c>
      <c r="L89" s="293">
        <v>950000</v>
      </c>
      <c r="M89" s="293">
        <v>950000</v>
      </c>
      <c r="N89" s="293">
        <v>950000</v>
      </c>
      <c r="O89" s="293">
        <v>950000</v>
      </c>
    </row>
    <row r="90" spans="1:15" x14ac:dyDescent="0.25">
      <c r="A90" s="174" t="s">
        <v>599</v>
      </c>
      <c r="B90" s="175"/>
      <c r="C90" s="175"/>
      <c r="D90" s="175"/>
      <c r="E90" s="175"/>
      <c r="F90" s="352">
        <v>565559.98510944017</v>
      </c>
      <c r="G90" s="352">
        <v>861840.98362038436</v>
      </c>
      <c r="H90" s="352">
        <v>921692.58198242262</v>
      </c>
      <c r="I90" s="352">
        <v>973004.34018066514</v>
      </c>
      <c r="J90" s="352">
        <v>1031489.7741987316</v>
      </c>
      <c r="K90" s="352">
        <v>1455584.7705300001</v>
      </c>
      <c r="L90" s="352">
        <v>2048040.747583</v>
      </c>
      <c r="M90" s="352">
        <v>1683919.8223413001</v>
      </c>
      <c r="N90" s="352">
        <v>1410606.8045754305</v>
      </c>
      <c r="O90" s="352">
        <v>1551667.4850329736</v>
      </c>
    </row>
    <row r="91" spans="1:15" x14ac:dyDescent="0.25">
      <c r="A91" s="174" t="s">
        <v>600</v>
      </c>
      <c r="B91" s="175"/>
      <c r="C91" s="175"/>
      <c r="D91" s="175"/>
      <c r="E91" s="175"/>
      <c r="F91" s="293">
        <v>200000</v>
      </c>
      <c r="G91" s="293"/>
      <c r="H91" s="293"/>
      <c r="I91" s="293"/>
      <c r="J91" s="293"/>
      <c r="K91" s="293"/>
      <c r="L91" s="293"/>
      <c r="M91" s="293"/>
      <c r="N91" s="293"/>
      <c r="O91" s="293"/>
    </row>
    <row r="92" spans="1:15" s="174" customFormat="1" ht="14.4" x14ac:dyDescent="0.3">
      <c r="A92" s="359" t="s">
        <v>607</v>
      </c>
      <c r="B92" s="175"/>
      <c r="C92" s="175"/>
      <c r="D92" s="175"/>
      <c r="E92" s="175"/>
      <c r="F92" s="352">
        <v>148660</v>
      </c>
      <c r="G92" s="352">
        <v>148660</v>
      </c>
      <c r="H92" s="352">
        <v>148660</v>
      </c>
      <c r="I92" s="352">
        <v>779410</v>
      </c>
      <c r="J92" s="352">
        <v>148660</v>
      </c>
      <c r="K92" s="352">
        <v>148660</v>
      </c>
      <c r="L92" s="352">
        <v>148660</v>
      </c>
      <c r="M92" s="352">
        <v>148660</v>
      </c>
      <c r="N92" s="352">
        <v>148660</v>
      </c>
      <c r="O92" s="352">
        <v>148660</v>
      </c>
    </row>
    <row r="93" spans="1:15" x14ac:dyDescent="0.25">
      <c r="A93" s="174" t="s">
        <v>328</v>
      </c>
      <c r="B93" s="175"/>
      <c r="C93" s="175"/>
      <c r="D93" s="175"/>
      <c r="E93" s="175"/>
      <c r="F93" s="352">
        <v>256975</v>
      </c>
      <c r="G93" s="352">
        <v>282672.5</v>
      </c>
      <c r="H93" s="352">
        <v>310939.75</v>
      </c>
      <c r="I93" s="352">
        <v>342033.72500000003</v>
      </c>
      <c r="J93" s="352">
        <v>376237.09750000009</v>
      </c>
      <c r="K93" s="352">
        <v>413860.80725000013</v>
      </c>
      <c r="L93" s="352">
        <v>455246.88797500019</v>
      </c>
      <c r="M93" s="352">
        <v>500771.57677250024</v>
      </c>
      <c r="N93" s="352">
        <v>550848.73444975028</v>
      </c>
      <c r="O93" s="352">
        <v>605933.6078947254</v>
      </c>
    </row>
    <row r="94" spans="1:15" x14ac:dyDescent="0.25">
      <c r="A94" s="174" t="s">
        <v>329</v>
      </c>
      <c r="B94" s="175"/>
      <c r="C94" s="175"/>
      <c r="D94" s="175"/>
      <c r="E94" s="175"/>
      <c r="F94" s="352">
        <v>36987</v>
      </c>
      <c r="G94" s="352"/>
      <c r="H94" s="352"/>
      <c r="I94" s="352"/>
      <c r="J94" s="352"/>
      <c r="K94" s="352"/>
      <c r="L94" s="352"/>
      <c r="M94" s="352"/>
      <c r="N94" s="352"/>
      <c r="O94" s="352"/>
    </row>
    <row r="95" spans="1:15" x14ac:dyDescent="0.25">
      <c r="A95" s="174" t="s">
        <v>602</v>
      </c>
      <c r="B95" s="175"/>
      <c r="C95" s="175"/>
      <c r="D95" s="175"/>
      <c r="E95" s="175"/>
      <c r="F95" s="293"/>
      <c r="G95" s="293">
        <v>460000</v>
      </c>
      <c r="H95" s="293">
        <v>21000</v>
      </c>
      <c r="I95" s="293">
        <v>500000</v>
      </c>
      <c r="J95" s="293">
        <v>300000</v>
      </c>
      <c r="K95" s="293">
        <v>300000</v>
      </c>
      <c r="L95" s="293">
        <v>150000</v>
      </c>
      <c r="M95" s="293">
        <v>1000000</v>
      </c>
      <c r="N95" s="293"/>
      <c r="O95" s="293"/>
    </row>
    <row r="96" spans="1:15" x14ac:dyDescent="0.25">
      <c r="A96" s="174" t="s">
        <v>601</v>
      </c>
      <c r="B96" s="175"/>
      <c r="C96" s="175"/>
      <c r="D96" s="175"/>
      <c r="E96" s="175"/>
      <c r="F96" s="293">
        <v>50000</v>
      </c>
      <c r="G96" s="293"/>
      <c r="H96" s="293"/>
      <c r="I96" s="293"/>
      <c r="J96" s="293"/>
      <c r="K96" s="293"/>
      <c r="L96" s="293"/>
      <c r="M96" s="293"/>
      <c r="N96" s="293"/>
      <c r="O96" s="293"/>
    </row>
    <row r="97" spans="1:15" x14ac:dyDescent="0.25">
      <c r="F97" s="54">
        <v>0</v>
      </c>
    </row>
    <row r="98" spans="1:15" s="174" customFormat="1" ht="14.4" x14ac:dyDescent="0.3">
      <c r="A98" s="359" t="s">
        <v>608</v>
      </c>
      <c r="B98" s="175"/>
      <c r="C98" s="175"/>
      <c r="D98" s="175"/>
      <c r="E98" s="175"/>
      <c r="F98" s="293">
        <v>597780</v>
      </c>
      <c r="G98" s="293">
        <v>1049616.29</v>
      </c>
      <c r="H98" s="293">
        <v>291650</v>
      </c>
      <c r="I98" s="293">
        <v>1095797</v>
      </c>
      <c r="J98" s="293">
        <v>381217.5</v>
      </c>
      <c r="K98" s="293">
        <v>687616.28999999992</v>
      </c>
      <c r="L98" s="293">
        <v>1892797.55</v>
      </c>
      <c r="M98" s="293"/>
      <c r="N98" s="293">
        <v>597780</v>
      </c>
      <c r="O98" s="293"/>
    </row>
    <row r="99" spans="1:15" s="174" customFormat="1" ht="14.4" x14ac:dyDescent="0.3">
      <c r="A99" s="359" t="s">
        <v>609</v>
      </c>
      <c r="B99" s="175"/>
      <c r="C99" s="175"/>
      <c r="D99" s="175"/>
      <c r="E99" s="175"/>
      <c r="F99" s="293"/>
      <c r="G99" s="293">
        <v>1572777</v>
      </c>
      <c r="H99" s="293"/>
      <c r="I99" s="293"/>
      <c r="J99" s="293"/>
      <c r="K99" s="293"/>
      <c r="L99" s="293"/>
      <c r="M99" s="293"/>
      <c r="N99" s="293"/>
      <c r="O99" s="293"/>
    </row>
    <row r="100" spans="1:15" s="174" customFormat="1" ht="14.4" x14ac:dyDescent="0.3">
      <c r="A100" s="359" t="s">
        <v>610</v>
      </c>
      <c r="B100" s="175"/>
      <c r="C100" s="175"/>
      <c r="D100" s="175"/>
      <c r="E100" s="175"/>
      <c r="F100" s="293"/>
      <c r="G100" s="293">
        <v>2557500</v>
      </c>
      <c r="H100" s="293"/>
      <c r="I100" s="293"/>
      <c r="J100" s="293"/>
      <c r="K100" s="293"/>
      <c r="L100" s="293"/>
      <c r="M100" s="293"/>
      <c r="N100" s="293"/>
      <c r="O100" s="293"/>
    </row>
    <row r="102" spans="1:15" x14ac:dyDescent="0.25">
      <c r="A102" s="174" t="s">
        <v>330</v>
      </c>
      <c r="B102" s="175"/>
      <c r="C102" s="175"/>
      <c r="D102" s="175"/>
      <c r="E102" s="175"/>
      <c r="F102" s="293">
        <f t="shared" ref="F102:O102" si="46">SUM(F81:F101)</f>
        <v>6711030.2824590588</v>
      </c>
      <c r="G102" s="293">
        <f t="shared" si="46"/>
        <v>15505127.706654593</v>
      </c>
      <c r="H102" s="293">
        <f t="shared" si="46"/>
        <v>5386773.6795166293</v>
      </c>
      <c r="I102" s="293">
        <f t="shared" si="46"/>
        <v>5992505.4982148716</v>
      </c>
      <c r="J102" s="293">
        <f t="shared" si="46"/>
        <v>4919616.9597329386</v>
      </c>
      <c r="K102" s="293">
        <f t="shared" si="46"/>
        <v>5577690.5554642072</v>
      </c>
      <c r="L102" s="293">
        <f t="shared" si="46"/>
        <v>10323853.290281707</v>
      </c>
      <c r="M102" s="293">
        <f t="shared" si="46"/>
        <v>5729400.1907281913</v>
      </c>
      <c r="N102" s="293">
        <f t="shared" si="46"/>
        <v>8462427.2463969775</v>
      </c>
      <c r="O102" s="293">
        <f t="shared" si="46"/>
        <v>4352946.917529624</v>
      </c>
    </row>
    <row r="103" spans="1:15" x14ac:dyDescent="0.25">
      <c r="A103" s="174"/>
      <c r="B103" s="174"/>
      <c r="C103" s="174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</row>
    <row r="104" spans="1:15" x14ac:dyDescent="0.25">
      <c r="A104" s="174"/>
      <c r="B104" s="174"/>
      <c r="C104" s="174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</row>
    <row r="105" spans="1:15" x14ac:dyDescent="0.25">
      <c r="A105" s="361" t="s">
        <v>334</v>
      </c>
      <c r="B105" s="362"/>
      <c r="C105" s="362"/>
      <c r="D105" s="363"/>
      <c r="E105" s="363"/>
      <c r="F105" s="363">
        <f>F81+F82+F87+F90+F93+F94+F95+F92</f>
        <v>3930119.2824590583</v>
      </c>
      <c r="G105" s="363">
        <f t="shared" ref="G105:O105" si="47">G81+G82+G87+G90+G93+G94+G95</f>
        <v>2665675.416654591</v>
      </c>
      <c r="H105" s="363">
        <f t="shared" si="47"/>
        <v>2604751.2650166294</v>
      </c>
      <c r="I105" s="363">
        <f t="shared" si="47"/>
        <v>2919037.4982148721</v>
      </c>
      <c r="J105" s="363">
        <f t="shared" si="47"/>
        <v>2841478.4597329386</v>
      </c>
      <c r="K105" s="363">
        <f t="shared" si="47"/>
        <v>3313414.3454642068</v>
      </c>
      <c r="L105" s="363">
        <f t="shared" si="47"/>
        <v>3837569.1982817072</v>
      </c>
      <c r="M105" s="363">
        <f t="shared" si="47"/>
        <v>4382479.1907281922</v>
      </c>
      <c r="N105" s="363">
        <f t="shared" si="47"/>
        <v>2762821.0463969782</v>
      </c>
      <c r="O105" s="363">
        <f t="shared" si="47"/>
        <v>2968744.0975296237</v>
      </c>
    </row>
    <row r="106" spans="1:15" x14ac:dyDescent="0.25">
      <c r="A106" s="364" t="s">
        <v>335</v>
      </c>
      <c r="B106" s="365"/>
      <c r="C106" s="365"/>
      <c r="D106" s="365"/>
      <c r="E106" s="365"/>
      <c r="F106" s="365">
        <f t="shared" ref="F106:O106" si="48">F84+F96+F83+F89</f>
        <v>1222240</v>
      </c>
      <c r="G106" s="365">
        <f t="shared" si="48"/>
        <v>1185000</v>
      </c>
      <c r="H106" s="365">
        <f t="shared" si="48"/>
        <v>1185000</v>
      </c>
      <c r="I106" s="365">
        <f t="shared" si="48"/>
        <v>1185000</v>
      </c>
      <c r="J106" s="365">
        <f t="shared" si="48"/>
        <v>1185000</v>
      </c>
      <c r="K106" s="365">
        <f t="shared" si="48"/>
        <v>1185000</v>
      </c>
      <c r="L106" s="365">
        <f t="shared" si="48"/>
        <v>1185000</v>
      </c>
      <c r="M106" s="365">
        <f t="shared" si="48"/>
        <v>1185000</v>
      </c>
      <c r="N106" s="365">
        <f t="shared" si="48"/>
        <v>1185000</v>
      </c>
      <c r="O106" s="365">
        <f t="shared" si="48"/>
        <v>1185000</v>
      </c>
    </row>
    <row r="107" spans="1:15" x14ac:dyDescent="0.25">
      <c r="A107" s="290" t="s">
        <v>400</v>
      </c>
      <c r="B107" s="175"/>
      <c r="C107" s="175"/>
      <c r="D107" s="175"/>
      <c r="E107" s="175"/>
      <c r="F107" s="175">
        <f>F102-F105-F106</f>
        <v>1558671.0000000005</v>
      </c>
      <c r="G107" s="175">
        <f t="shared" ref="G107" si="49">G102-G105-G106</f>
        <v>11654452.290000003</v>
      </c>
      <c r="H107" s="175">
        <f t="shared" ref="H107" si="50">H102-H105-H106</f>
        <v>1597022.4145</v>
      </c>
      <c r="I107" s="175">
        <f t="shared" ref="I107" si="51">I102-I105-I106</f>
        <v>1888467.9999999995</v>
      </c>
      <c r="J107" s="175">
        <f t="shared" ref="J107" si="52">J102-J105-J106</f>
        <v>893138.5</v>
      </c>
      <c r="K107" s="175">
        <f t="shared" ref="K107" si="53">K102-K105-K106</f>
        <v>1079276.2100000004</v>
      </c>
      <c r="L107" s="175">
        <f t="shared" ref="L107" si="54">L102-L105-L106</f>
        <v>5301284.0920000002</v>
      </c>
      <c r="M107" s="175">
        <f t="shared" ref="M107" si="55">M102-M105-M106</f>
        <v>161920.99999999907</v>
      </c>
      <c r="N107" s="175">
        <f t="shared" ref="N107" si="56">N102-N105-N106</f>
        <v>4514606.1999999993</v>
      </c>
      <c r="O107" s="175">
        <f t="shared" ref="O107" si="57">O102-O105-O106</f>
        <v>199202.8200000003</v>
      </c>
    </row>
    <row r="108" spans="1:15" ht="13.8" thickBot="1" x14ac:dyDescent="0.3">
      <c r="A108" s="174"/>
      <c r="B108" s="175"/>
      <c r="C108" s="175"/>
      <c r="D108" s="175"/>
      <c r="E108" s="175"/>
      <c r="F108" s="353">
        <f>SUM(F105:F107)</f>
        <v>6711030.2824590579</v>
      </c>
      <c r="G108" s="353">
        <f t="shared" ref="G108" si="58">SUM(G105:G107)</f>
        <v>15505127.706654593</v>
      </c>
      <c r="H108" s="353">
        <f t="shared" ref="H108" si="59">SUM(H105:H107)</f>
        <v>5386773.6795166293</v>
      </c>
      <c r="I108" s="353">
        <f t="shared" ref="I108" si="60">SUM(I105:I107)</f>
        <v>5992505.4982148716</v>
      </c>
      <c r="J108" s="353">
        <f t="shared" ref="J108" si="61">SUM(J105:J107)</f>
        <v>4919616.9597329386</v>
      </c>
      <c r="K108" s="353">
        <f t="shared" ref="K108" si="62">SUM(K105:K107)</f>
        <v>5577690.5554642081</v>
      </c>
      <c r="L108" s="353">
        <f t="shared" ref="L108" si="63">SUM(L105:L107)</f>
        <v>10323853.290281707</v>
      </c>
      <c r="M108" s="353">
        <f t="shared" ref="M108" si="64">SUM(M105:M107)</f>
        <v>5729400.1907281913</v>
      </c>
      <c r="N108" s="353">
        <f t="shared" ref="N108" si="65">SUM(N105:N107)</f>
        <v>8462427.2463969775</v>
      </c>
      <c r="O108" s="353">
        <f t="shared" ref="O108" si="66">SUM(O105:O107)</f>
        <v>4352946.917529624</v>
      </c>
    </row>
  </sheetData>
  <pageMargins left="0.70866141732283472" right="0.70866141732283472" top="0.74803149606299213" bottom="0.74803149606299213" header="0.31496062992125984" footer="0.31496062992125984"/>
  <pageSetup paperSize="9" scale="87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R58"/>
  <sheetViews>
    <sheetView workbookViewId="0">
      <selection activeCell="I62" sqref="I62"/>
    </sheetView>
  </sheetViews>
  <sheetFormatPr defaultRowHeight="14.4" outlineLevelRow="1" outlineLevelCol="1" x14ac:dyDescent="0.3"/>
  <cols>
    <col min="1" max="1" width="38.44140625" bestFit="1" customWidth="1"/>
    <col min="2" max="3" width="13.44140625" hidden="1" customWidth="1" outlineLevel="1"/>
    <col min="4" max="4" width="13.44140625" customWidth="1" collapsed="1"/>
    <col min="5" max="13" width="13.44140625" customWidth="1"/>
    <col min="14" max="15" width="13.44140625" style="221" customWidth="1"/>
    <col min="16" max="16" width="10.88671875" bestFit="1" customWidth="1"/>
    <col min="17" max="17" width="13" customWidth="1"/>
  </cols>
  <sheetData>
    <row r="1" spans="1:18" ht="15" x14ac:dyDescent="0.25">
      <c r="A1" s="160" t="s">
        <v>341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</row>
    <row r="2" spans="1:18" s="17" customFormat="1" ht="18.75" x14ac:dyDescent="0.3">
      <c r="A2" s="294" t="s">
        <v>410</v>
      </c>
      <c r="B2" s="295" t="s">
        <v>69</v>
      </c>
      <c r="C2" s="295" t="s">
        <v>69</v>
      </c>
      <c r="D2" s="295" t="s">
        <v>70</v>
      </c>
      <c r="E2" s="295" t="s">
        <v>71</v>
      </c>
      <c r="F2" s="295" t="s">
        <v>71</v>
      </c>
      <c r="G2" s="295" t="s">
        <v>71</v>
      </c>
      <c r="H2" s="295" t="s">
        <v>71</v>
      </c>
      <c r="I2" s="295" t="s">
        <v>71</v>
      </c>
      <c r="J2" s="295" t="s">
        <v>71</v>
      </c>
      <c r="K2" s="295" t="s">
        <v>71</v>
      </c>
      <c r="L2" s="295" t="s">
        <v>71</v>
      </c>
      <c r="M2" s="295" t="s">
        <v>71</v>
      </c>
      <c r="N2" s="295" t="s">
        <v>71</v>
      </c>
      <c r="O2" s="295" t="s">
        <v>71</v>
      </c>
      <c r="P2" s="156" t="s">
        <v>390</v>
      </c>
      <c r="Q2" s="156" t="s">
        <v>502</v>
      </c>
      <c r="R2" s="156"/>
    </row>
    <row r="3" spans="1:18" ht="15" x14ac:dyDescent="0.25">
      <c r="A3" s="296" t="s">
        <v>73</v>
      </c>
      <c r="B3" s="297" t="s">
        <v>60</v>
      </c>
      <c r="C3" s="297" t="s">
        <v>68</v>
      </c>
      <c r="D3" s="295" t="s">
        <v>0</v>
      </c>
      <c r="E3" s="295" t="s">
        <v>1</v>
      </c>
      <c r="F3" s="295" t="s">
        <v>2</v>
      </c>
      <c r="G3" s="295" t="s">
        <v>3</v>
      </c>
      <c r="H3" s="295" t="s">
        <v>4</v>
      </c>
      <c r="I3" s="295" t="s">
        <v>5</v>
      </c>
      <c r="J3" s="295" t="s">
        <v>6</v>
      </c>
      <c r="K3" s="295" t="s">
        <v>7</v>
      </c>
      <c r="L3" s="295" t="s">
        <v>8</v>
      </c>
      <c r="M3" s="295" t="s">
        <v>9</v>
      </c>
      <c r="N3" s="213" t="s">
        <v>514</v>
      </c>
      <c r="O3" s="213" t="s">
        <v>515</v>
      </c>
      <c r="P3" s="24" t="s">
        <v>504</v>
      </c>
      <c r="Q3" s="221"/>
      <c r="R3" s="221"/>
    </row>
    <row r="4" spans="1:18" ht="6" customHeight="1" x14ac:dyDescent="0.25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21"/>
      <c r="Q4" s="221"/>
      <c r="R4" s="221"/>
    </row>
    <row r="5" spans="1:18" ht="15" x14ac:dyDescent="0.25">
      <c r="A5" s="25" t="s">
        <v>342</v>
      </c>
      <c r="B5" s="131" t="e">
        <f>+('GF &amp; FF  Bal Sheet'!B12-Reserves!D13)/'GF &amp; FF  Bal Sheet'!B28</f>
        <v>#DIV/0!</v>
      </c>
      <c r="C5" s="131" t="e">
        <f>+('GF &amp; FF  Bal Sheet'!C12-Reserves!F13)/'GF &amp; FF  Bal Sheet'!C28</f>
        <v>#DIV/0!</v>
      </c>
      <c r="D5" s="131">
        <f>+('GF &amp; FF  Bal Sheet'!D12-Reserves!H13)/'GF &amp; FF  Bal Sheet'!D28</f>
        <v>-1228.1581922870914</v>
      </c>
      <c r="E5" s="131">
        <f>+('GF &amp; FF  Bal Sheet'!E12-Reserves!J13)/'GF &amp; FF  Bal Sheet'!E28</f>
        <v>-1641.77366735805</v>
      </c>
      <c r="F5" s="131">
        <f>+('GF &amp; FF  Bal Sheet'!F12-Reserves!L13)/'GF &amp; FF  Bal Sheet'!F28</f>
        <v>-1591.4991990313003</v>
      </c>
      <c r="G5" s="131">
        <f>+('GF &amp; FF  Bal Sheet'!G12-Reserves!N13)/'GF &amp; FF  Bal Sheet'!G28</f>
        <v>-1529.162907243762</v>
      </c>
      <c r="H5" s="131">
        <f>+('GF &amp; FF  Bal Sheet'!H12-Reserves!P13)/'GF &amp; FF  Bal Sheet'!H28</f>
        <v>-1460.8291504813003</v>
      </c>
      <c r="I5" s="131">
        <f>+('GF &amp; FF  Bal Sheet'!I12-Reserves!R13)/'GF &amp; FF  Bal Sheet'!I28</f>
        <v>-1372.4377235507025</v>
      </c>
      <c r="J5" s="131">
        <f>+('GF &amp; FF  Bal Sheet'!J12-Reserves!T13)/'GF &amp; FF  Bal Sheet'!J28</f>
        <v>-1325.6195039418878</v>
      </c>
      <c r="K5" s="131">
        <f>+('GF &amp; FF  Bal Sheet'!K12-Reserves!V13)/'GF &amp; FF  Bal Sheet'!K28</f>
        <v>-1082.2167770711767</v>
      </c>
      <c r="L5" s="131">
        <f>+('GF &amp; FF  Bal Sheet'!L12-Reserves!X13)/'GF &amp; FF  Bal Sheet'!L28</f>
        <v>-1115.8398193828036</v>
      </c>
      <c r="M5" s="131">
        <f>+('GF &amp; FF  Bal Sheet'!M12-Reserves!Z13)/'GF &amp; FF  Bal Sheet'!M28</f>
        <v>-1061.0463912832015</v>
      </c>
      <c r="N5" s="208">
        <f>+('GF &amp; FF  Bal Sheet'!N12-Reserves!AA13)/'GF &amp; FF  Bal Sheet'!N28</f>
        <v>1.5126383778562946</v>
      </c>
      <c r="O5" s="208">
        <f>+('GF &amp; FF  Bal Sheet'!O12-Reserves!AB13)/'GF &amp; FF  Bal Sheet'!O28</f>
        <v>1.5494329873921555</v>
      </c>
      <c r="P5" s="304">
        <v>1.5</v>
      </c>
      <c r="Q5" s="221" t="s">
        <v>503</v>
      </c>
      <c r="R5" s="221" t="s">
        <v>501</v>
      </c>
    </row>
    <row r="6" spans="1:18" ht="15" x14ac:dyDescent="0.25">
      <c r="A6" s="25" t="s">
        <v>440</v>
      </c>
      <c r="B6" s="131">
        <v>0</v>
      </c>
      <c r="C6" s="131">
        <v>0</v>
      </c>
      <c r="D6" s="131">
        <v>0</v>
      </c>
      <c r="E6" s="131">
        <v>0</v>
      </c>
      <c r="F6" s="131">
        <v>0</v>
      </c>
      <c r="G6" s="131">
        <v>0</v>
      </c>
      <c r="H6" s="131">
        <v>0</v>
      </c>
      <c r="I6" s="131">
        <v>0</v>
      </c>
      <c r="J6" s="131">
        <v>0</v>
      </c>
      <c r="K6" s="131">
        <v>0</v>
      </c>
      <c r="L6" s="131">
        <v>0</v>
      </c>
      <c r="M6" s="131">
        <v>0</v>
      </c>
      <c r="N6" s="208">
        <v>1</v>
      </c>
      <c r="O6" s="208">
        <v>2</v>
      </c>
      <c r="P6" s="304"/>
      <c r="Q6" s="221" t="s">
        <v>393</v>
      </c>
      <c r="R6" s="221" t="s">
        <v>501</v>
      </c>
    </row>
    <row r="7" spans="1:18" ht="15" x14ac:dyDescent="0.25">
      <c r="A7" s="132" t="s">
        <v>441</v>
      </c>
      <c r="B7" s="131" t="e">
        <f>+'GF &amp; FF  Inc Exp Statement'!B11/('GF &amp; FF  Inc Exp Statement'!B21)</f>
        <v>#DIV/0!</v>
      </c>
      <c r="C7" s="208" t="e">
        <f>+'GF &amp; FF  Inc Exp Statement'!C11/('GF &amp; FF  Inc Exp Statement'!C21)</f>
        <v>#DIV/0!</v>
      </c>
      <c r="D7" s="208" t="e">
        <f>+'GF &amp; FF  Inc Exp Statement'!D11/('GF &amp; FF  Inc Exp Statement'!D21)</f>
        <v>#DIV/0!</v>
      </c>
      <c r="E7" s="208">
        <f>+'GF &amp; FF  Inc Exp Statement'!E11/('GF &amp; FF  Inc Exp Statement'!E21)</f>
        <v>0.29244013415077008</v>
      </c>
      <c r="F7" s="208">
        <f>+'GF &amp; FF  Inc Exp Statement'!F11/('GF &amp; FF  Inc Exp Statement'!F21)</f>
        <v>0.35116687535731056</v>
      </c>
      <c r="G7" s="208">
        <f>+'GF &amp; FF  Inc Exp Statement'!G11/('GF &amp; FF  Inc Exp Statement'!G21)</f>
        <v>0.35656604742185061</v>
      </c>
      <c r="H7" s="208">
        <f>+'GF &amp; FF  Inc Exp Statement'!H11/('GF &amp; FF  Inc Exp Statement'!H21)</f>
        <v>0.35947223661842376</v>
      </c>
      <c r="I7" s="208">
        <f>+'GF &amp; FF  Inc Exp Statement'!I11/('GF &amp; FF  Inc Exp Statement'!I21)</f>
        <v>0.3644131334959464</v>
      </c>
      <c r="J7" s="208">
        <f>+'GF &amp; FF  Inc Exp Statement'!J11/('GF &amp; FF  Inc Exp Statement'!J21)</f>
        <v>0.36671373928258505</v>
      </c>
      <c r="K7" s="208">
        <f>+'GF &amp; FF  Inc Exp Statement'!K11/('GF &amp; FF  Inc Exp Statement'!K21)</f>
        <v>0.3699731731666675</v>
      </c>
      <c r="L7" s="208">
        <f>+'GF &amp; FF  Inc Exp Statement'!L11/('GF &amp; FF  Inc Exp Statement'!L21)</f>
        <v>0.37081605267017337</v>
      </c>
      <c r="M7" s="208">
        <f>+'GF &amp; FF  Inc Exp Statement'!M11/('GF &amp; FF  Inc Exp Statement'!M21)</f>
        <v>0.37163401607359386</v>
      </c>
      <c r="N7" s="208">
        <f>+'GF &amp; FF  Inc Exp Statement'!N11/('GF &amp; FF  Inc Exp Statement'!N21)</f>
        <v>0.37234249053368756</v>
      </c>
      <c r="O7" s="208">
        <f>+'GF &amp; FF  Inc Exp Statement'!O11/('GF &amp; FF  Inc Exp Statement'!O21)</f>
        <v>0.37309151165152588</v>
      </c>
      <c r="P7" s="304"/>
      <c r="Q7" s="221" t="s">
        <v>393</v>
      </c>
      <c r="R7" s="221" t="s">
        <v>501</v>
      </c>
    </row>
    <row r="8" spans="1:18" ht="15" x14ac:dyDescent="0.25">
      <c r="A8" s="25" t="s">
        <v>364</v>
      </c>
      <c r="B8" s="131">
        <v>0.41</v>
      </c>
      <c r="C8" s="131">
        <f>+'Capital Program'!C6/SUMIF(Depreciation!$AE$2:$AE$19,"infra renewal",Depreciation!R$2:R$19)</f>
        <v>0.45162615773224812</v>
      </c>
      <c r="D8" s="131">
        <f>+'Capital Program'!DE6/SUMIF(Depreciation!$AE$2:$AE$19,"infra renewal",Depreciation!S$2:S$19)</f>
        <v>0</v>
      </c>
      <c r="E8" s="131">
        <f ca="1">+'Capital Program'!I6/SUMIF(Depreciation!$AE$2:$AE$19,"infra renewal",Depreciation!T$2:T$19)</f>
        <v>1.0126975755467433</v>
      </c>
      <c r="F8" s="131">
        <f ca="1">+'Capital Program'!J6/SUMIF(Depreciation!$AE$2:$AE$19,"infra renewal",Depreciation!U$2:U$19)</f>
        <v>0.79878103636918452</v>
      </c>
      <c r="G8" s="131">
        <f ca="1">+'Capital Program'!K6/SUMIF(Depreciation!$AE$2:$AE$19,"infra renewal",Depreciation!V$2:V$19)</f>
        <v>0.90229587363413921</v>
      </c>
      <c r="H8" s="131">
        <f ca="1">+'Capital Program'!L6/SUMIF(Depreciation!$AE$2:$AE$19,"infra renewal",Depreciation!W$2:W$19)</f>
        <v>1.0135635454681231</v>
      </c>
      <c r="I8" s="131">
        <f ca="1">+'Capital Program'!M6/SUMIF(Depreciation!$AE$2:$AE$19,"infra renewal",Depreciation!X$2:X$19)</f>
        <v>1.1240153807130597</v>
      </c>
      <c r="J8" s="131">
        <f ca="1">+'Capital Program'!N6/SUMIF(Depreciation!$AE$2:$AE$19,"infra renewal",Depreciation!Y$2:Y$19)</f>
        <v>0.70461997799930531</v>
      </c>
      <c r="K8" s="131">
        <f ca="1">+'Capital Program'!O6/SUMIF(Depreciation!$AE$2:$AE$19,"infra renewal",Depreciation!Z$2:Z$19)</f>
        <v>0.73605492308680143</v>
      </c>
      <c r="L8" s="131" t="e">
        <f>+'Capital Program'!#REF!/SUMIF(Depreciation!$AE$2:$AE$19,"infra renewal",Depreciation!AA$2:AA$19)</f>
        <v>#REF!</v>
      </c>
      <c r="M8" s="131" t="e">
        <f>+'Capital Program'!#REF!/SUMIF(Depreciation!$AE$2:$AE$19,"infra renewal",Depreciation!AB$2:AB$19)</f>
        <v>#REF!</v>
      </c>
      <c r="N8" s="208" t="e">
        <f>+'Capital Program'!#REF!/SUMIF(Depreciation!$AE$2:$AE$19,"infra renewal",Depreciation!AC$2:AC$19)</f>
        <v>#REF!</v>
      </c>
      <c r="O8" s="208" t="e">
        <f>+'Capital Program'!#REF!/SUMIF(Depreciation!$AE$2:$AE$19,"infra renewal",Depreciation!AD$2:AD$19)</f>
        <v>#REF!</v>
      </c>
      <c r="P8" s="304">
        <v>1</v>
      </c>
      <c r="Q8" s="221" t="s">
        <v>503</v>
      </c>
      <c r="R8" s="221" t="s">
        <v>501</v>
      </c>
    </row>
    <row r="9" spans="1:18" ht="15" x14ac:dyDescent="0.25">
      <c r="A9" s="25" t="s">
        <v>389</v>
      </c>
      <c r="B9" s="133" t="e">
        <f>+('GF &amp; FF  Inc Exp Statement'!B21-'GF &amp; FF  Inc Exp Statement'!B16-'GF &amp; FF  Inc Exp Statement'!B31)/('GF &amp; FF  Inc Exp Statement'!B21-'GF &amp; FF  Inc Exp Statement'!B16)</f>
        <v>#DIV/0!</v>
      </c>
      <c r="C9" s="133" t="e">
        <f>+('GF &amp; FF  Inc Exp Statement'!C21-'GF &amp; FF  Inc Exp Statement'!C16-'GF &amp; FF  Inc Exp Statement'!C31)/('GF &amp; FF  Inc Exp Statement'!C21-'GF &amp; FF  Inc Exp Statement'!C16)</f>
        <v>#DIV/0!</v>
      </c>
      <c r="D9" s="133" t="e">
        <f>+('GF &amp; FF  Inc Exp Statement'!D21-'GF &amp; FF  Inc Exp Statement'!D16-'GF &amp; FF  Inc Exp Statement'!D31)/('GF &amp; FF  Inc Exp Statement'!D21-'GF &amp; FF  Inc Exp Statement'!D16)</f>
        <v>#DIV/0!</v>
      </c>
      <c r="E9" s="133">
        <f>+('GF &amp; FF  Inc Exp Statement'!E21-'GF &amp; FF  Inc Exp Statement'!E16-'GF &amp; FF  Inc Exp Statement'!E31)/('GF &amp; FF  Inc Exp Statement'!E21-'GF &amp; FF  Inc Exp Statement'!E16)</f>
        <v>-8.1875502256289798E-2</v>
      </c>
      <c r="F9" s="133">
        <f>+('GF &amp; FF  Inc Exp Statement'!F21-'GF &amp; FF  Inc Exp Statement'!F16-'GF &amp; FF  Inc Exp Statement'!F31)/('GF &amp; FF  Inc Exp Statement'!F21-'GF &amp; FF  Inc Exp Statement'!F16)</f>
        <v>7.8428465057202713E-4</v>
      </c>
      <c r="G9" s="133">
        <f>+('GF &amp; FF  Inc Exp Statement'!G21-'GF &amp; FF  Inc Exp Statement'!G16-'GF &amp; FF  Inc Exp Statement'!G31)/('GF &amp; FF  Inc Exp Statement'!G21-'GF &amp; FF  Inc Exp Statement'!G16)</f>
        <v>1.6195019811860001E-2</v>
      </c>
      <c r="H9" s="133">
        <f>+('GF &amp; FF  Inc Exp Statement'!H21-'GF &amp; FF  Inc Exp Statement'!H16-'GF &amp; FF  Inc Exp Statement'!H31)/('GF &amp; FF  Inc Exp Statement'!H21-'GF &amp; FF  Inc Exp Statement'!H16)</f>
        <v>1.3933209785465599E-2</v>
      </c>
      <c r="I9" s="133">
        <f>+('GF &amp; FF  Inc Exp Statement'!I21-'GF &amp; FF  Inc Exp Statement'!I16-'GF &amp; FF  Inc Exp Statement'!I31)/('GF &amp; FF  Inc Exp Statement'!I21-'GF &amp; FF  Inc Exp Statement'!I16)</f>
        <v>1.8400616334424205E-2</v>
      </c>
      <c r="J9" s="133">
        <f>+('GF &amp; FF  Inc Exp Statement'!J21-'GF &amp; FF  Inc Exp Statement'!J16-'GF &amp; FF  Inc Exp Statement'!J31)/('GF &amp; FF  Inc Exp Statement'!J21-'GF &amp; FF  Inc Exp Statement'!J16)</f>
        <v>1.3885829321355885E-2</v>
      </c>
      <c r="K9" s="133">
        <f>+('GF &amp; FF  Inc Exp Statement'!K21-'GF &amp; FF  Inc Exp Statement'!K16-'GF &amp; FF  Inc Exp Statement'!K31)/('GF &amp; FF  Inc Exp Statement'!K21-'GF &amp; FF  Inc Exp Statement'!K16)</f>
        <v>6.3419629263559421E-3</v>
      </c>
      <c r="L9" s="133">
        <f>+('GF &amp; FF  Inc Exp Statement'!L21-'GF &amp; FF  Inc Exp Statement'!L16-'GF &amp; FF  Inc Exp Statement'!L31)/('GF &amp; FF  Inc Exp Statement'!L21-'GF &amp; FF  Inc Exp Statement'!L16)</f>
        <v>5.8846215124110533E-3</v>
      </c>
      <c r="M9" s="133">
        <f>+('GF &amp; FF  Inc Exp Statement'!M21-'GF &amp; FF  Inc Exp Statement'!M16-'GF &amp; FF  Inc Exp Statement'!M31)/('GF &amp; FF  Inc Exp Statement'!M21-'GF &amp; FF  Inc Exp Statement'!M16)</f>
        <v>5.2074719065726702E-3</v>
      </c>
      <c r="N9" s="133">
        <f>+('GF &amp; FF  Inc Exp Statement'!N21-'GF &amp; FF  Inc Exp Statement'!N16-'GF &amp; FF  Inc Exp Statement'!N31)/('GF &amp; FF  Inc Exp Statement'!N21-'GF &amp; FF  Inc Exp Statement'!N16)</f>
        <v>4.7339463031986851E-3</v>
      </c>
      <c r="O9" s="133">
        <f>+('GF &amp; FF  Inc Exp Statement'!O21-'GF &amp; FF  Inc Exp Statement'!O16-'GF &amp; FF  Inc Exp Statement'!O31)/('GF &amp; FF  Inc Exp Statement'!O21-'GF &amp; FF  Inc Exp Statement'!O16)</f>
        <v>4.1100160243647118E-3</v>
      </c>
      <c r="P9" s="304" t="s">
        <v>509</v>
      </c>
      <c r="Q9" s="221" t="s">
        <v>394</v>
      </c>
      <c r="R9" s="221"/>
    </row>
    <row r="10" spans="1:18" ht="15" x14ac:dyDescent="0.25">
      <c r="A10" s="25" t="s">
        <v>442</v>
      </c>
      <c r="B10" s="133" t="e">
        <f>+('GF &amp; FF  Inc Exp Statement'!B11+'GF &amp; FF  Inc Exp Statement'!B12)/'GF &amp; FF  Inc Exp Statement'!B21</f>
        <v>#DIV/0!</v>
      </c>
      <c r="C10" s="133" t="e">
        <f>+('GF &amp; FF  Inc Exp Statement'!C11+'GF &amp; FF  Inc Exp Statement'!C12)/'GF &amp; FF  Inc Exp Statement'!C21</f>
        <v>#DIV/0!</v>
      </c>
      <c r="D10" s="133" t="e">
        <f>+('GF &amp; FF  Inc Exp Statement'!D11+'GF &amp; FF  Inc Exp Statement'!D12)/'GF &amp; FF  Inc Exp Statement'!D21</f>
        <v>#DIV/0!</v>
      </c>
      <c r="E10" s="133">
        <f>+('GF &amp; FF  Inc Exp Statement'!E11+'GF &amp; FF  Inc Exp Statement'!E12)/'GF &amp; FF  Inc Exp Statement'!E21</f>
        <v>0.4557067481255207</v>
      </c>
      <c r="F10" s="133">
        <f>+('GF &amp; FF  Inc Exp Statement'!F11+'GF &amp; FF  Inc Exp Statement'!F12)/'GF &amp; FF  Inc Exp Statement'!F21</f>
        <v>0.58171612361533598</v>
      </c>
      <c r="G10" s="133">
        <f>+('GF &amp; FF  Inc Exp Statement'!G11+'GF &amp; FF  Inc Exp Statement'!G12)/'GF &amp; FF  Inc Exp Statement'!G21</f>
        <v>0.58777249724785963</v>
      </c>
      <c r="H10" s="133">
        <f>+('GF &amp; FF  Inc Exp Statement'!H11+'GF &amp; FF  Inc Exp Statement'!H12)/'GF &amp; FF  Inc Exp Statement'!H21</f>
        <v>0.58888365820239441</v>
      </c>
      <c r="I10" s="133">
        <f>+('GF &amp; FF  Inc Exp Statement'!I11+'GF &amp; FF  Inc Exp Statement'!I12)/'GF &amp; FF  Inc Exp Statement'!I21</f>
        <v>0.59149990151667009</v>
      </c>
      <c r="J10" s="133">
        <f>+('GF &amp; FF  Inc Exp Statement'!J11+'GF &amp; FF  Inc Exp Statement'!J12)/'GF &amp; FF  Inc Exp Statement'!J21</f>
        <v>0.59420086062112898</v>
      </c>
      <c r="K10" s="133">
        <f>+('GF &amp; FF  Inc Exp Statement'!K11+'GF &amp; FF  Inc Exp Statement'!K12)/'GF &amp; FF  Inc Exp Statement'!K21</f>
        <v>0.59836269453528113</v>
      </c>
      <c r="L10" s="133">
        <f>+('GF &amp; FF  Inc Exp Statement'!L11+'GF &amp; FF  Inc Exp Statement'!L12)/'GF &amp; FF  Inc Exp Statement'!L21</f>
        <v>0.59860926175536266</v>
      </c>
      <c r="M10" s="133">
        <f>+('GF &amp; FF  Inc Exp Statement'!M11+'GF &amp; FF  Inc Exp Statement'!M12)/'GF &amp; FF  Inc Exp Statement'!M21</f>
        <v>0.59881606458754322</v>
      </c>
      <c r="N10" s="133">
        <f>+('GF &amp; FF  Inc Exp Statement'!N11+'GF &amp; FF  Inc Exp Statement'!N12)/'GF &amp; FF  Inc Exp Statement'!N21</f>
        <v>0.59884731585928208</v>
      </c>
      <c r="O10" s="133">
        <f>+('GF &amp; FF  Inc Exp Statement'!O11+'GF &amp; FF  Inc Exp Statement'!O12)/'GF &amp; FF  Inc Exp Statement'!O21</f>
        <v>0.59894486014595338</v>
      </c>
      <c r="P10" s="304" t="s">
        <v>510</v>
      </c>
      <c r="Q10" s="221" t="s">
        <v>394</v>
      </c>
      <c r="R10" s="221"/>
    </row>
    <row r="11" spans="1:18" ht="15" x14ac:dyDescent="0.25">
      <c r="A11" s="25" t="s">
        <v>443</v>
      </c>
      <c r="B11" s="133">
        <v>0</v>
      </c>
      <c r="C11" s="133">
        <v>0</v>
      </c>
      <c r="D11" s="133">
        <v>0</v>
      </c>
      <c r="E11" s="133">
        <v>0</v>
      </c>
      <c r="F11" s="133">
        <v>0</v>
      </c>
      <c r="G11" s="133">
        <v>0</v>
      </c>
      <c r="H11" s="133">
        <v>0</v>
      </c>
      <c r="I11" s="133">
        <v>0</v>
      </c>
      <c r="J11" s="133">
        <v>0</v>
      </c>
      <c r="K11" s="133">
        <v>0</v>
      </c>
      <c r="L11" s="133">
        <v>0</v>
      </c>
      <c r="M11" s="133">
        <v>0</v>
      </c>
      <c r="N11" s="133">
        <v>1</v>
      </c>
      <c r="O11" s="133">
        <v>2</v>
      </c>
      <c r="P11" s="304" t="s">
        <v>505</v>
      </c>
      <c r="Q11" s="221" t="s">
        <v>394</v>
      </c>
      <c r="R11" s="221"/>
    </row>
    <row r="12" spans="1:18" ht="15" x14ac:dyDescent="0.25">
      <c r="A12" s="25" t="s">
        <v>391</v>
      </c>
      <c r="B12" s="131" t="e">
        <f>+'Capital Program'!B14/'GF &amp; FF  Inc Exp Statement'!B27</f>
        <v>#DIV/0!</v>
      </c>
      <c r="C12" s="131" t="e">
        <f>+'Capital Program'!C14/'GF &amp; FF  Inc Exp Statement'!C27</f>
        <v>#DIV/0!</v>
      </c>
      <c r="D12" s="131" t="e">
        <f>+'Capital Program'!D14/'GF &amp; FF  Inc Exp Statement'!D27</f>
        <v>#DIV/0!</v>
      </c>
      <c r="E12" s="131">
        <f>+'Capital Program'!E14/'GF &amp; FF  Inc Exp Statement'!E27</f>
        <v>0</v>
      </c>
      <c r="F12" s="131">
        <f ca="1">+'Capital Program'!F14/'GF &amp; FF  Inc Exp Statement'!F24</f>
        <v>4472.9407186126127</v>
      </c>
      <c r="G12" s="131">
        <f ca="1">+'Capital Program'!G14/'GF &amp; FF  Inc Exp Statement'!G27</f>
        <v>2033.3353712402575</v>
      </c>
      <c r="H12" s="131">
        <f ca="1">+'Capital Program'!H14/'GF &amp; FF  Inc Exp Statement'!H27</f>
        <v>689.39399242397883</v>
      </c>
      <c r="I12" s="131">
        <f ca="1">+'Capital Program'!I14/'GF &amp; FF  Inc Exp Statement'!I27</f>
        <v>748.6005521356393</v>
      </c>
      <c r="J12" s="131">
        <f ca="1">+'Capital Program'!J14/'GF &amp; FF  Inc Exp Statement'!J27</f>
        <v>599.62393335818206</v>
      </c>
      <c r="K12" s="131">
        <f ca="1">+'Capital Program'!K14/'GF &amp; FF  Inc Exp Statement'!K27</f>
        <v>663.25146802343011</v>
      </c>
      <c r="L12" s="131">
        <f ca="1">+'Capital Program'!L14/'GF &amp; FF  Inc Exp Statement'!L27</f>
        <v>1197.6826613616058</v>
      </c>
      <c r="M12" s="131">
        <f ca="1">+'Capital Program'!M14/'GF &amp; FF  Inc Exp Statement'!M27</f>
        <v>648.46304444896316</v>
      </c>
      <c r="N12" s="208">
        <f ca="1">+'Capital Program'!N14/'GF &amp; FF  Inc Exp Statement'!N27</f>
        <v>934.4308224414732</v>
      </c>
      <c r="O12" s="208">
        <f ca="1">+'Capital Program'!O14/'GF &amp; FF  Inc Exp Statement'!O27</f>
        <v>468.93399001270399</v>
      </c>
      <c r="P12" s="304" t="s">
        <v>506</v>
      </c>
      <c r="Q12" s="221" t="s">
        <v>395</v>
      </c>
      <c r="R12" s="221"/>
    </row>
    <row r="13" spans="1:18" ht="15" x14ac:dyDescent="0.25">
      <c r="A13" s="25" t="s">
        <v>392</v>
      </c>
      <c r="B13" s="134" t="e">
        <f>+'Scenario2  Bal Sheet'!B6/('GF &amp; FF  Inc Exp Statement'!B31-'GF &amp; FF  Inc Exp Statement'!B27)*12</f>
        <v>#DIV/0!</v>
      </c>
      <c r="C13" s="134" t="e">
        <f>+'Scenario2  Bal Sheet'!C6/('GF &amp; FF  Inc Exp Statement'!C31-'GF &amp; FF  Inc Exp Statement'!C27)*12</f>
        <v>#DIV/0!</v>
      </c>
      <c r="D13" s="134" t="e">
        <f ca="1">+'Scenario2  Bal Sheet'!D6/('GF &amp; FF  Inc Exp Statement'!D31-'GF &amp; FF  Inc Exp Statement'!D27)*12</f>
        <v>#DIV/0!</v>
      </c>
      <c r="E13" s="134">
        <f ca="1">+'Scenario2  Bal Sheet'!E6/('GF &amp; FF  Inc Exp Statement'!E31-'GF &amp; FF  Inc Exp Statement'!E27)*12</f>
        <v>-1905.4915698722884</v>
      </c>
      <c r="F13" s="134">
        <f ca="1">+'Scenario2  Bal Sheet'!F6/('GF &amp; FF  Inc Exp Statement'!F31-'GF &amp; FF  Inc Exp Statement'!F24)*12</f>
        <v>-2076.2476178638099</v>
      </c>
      <c r="G13" s="134">
        <f ca="1">+'Scenario2  Bal Sheet'!G6/('GF &amp; FF  Inc Exp Statement'!G31-'GF &amp; FF  Inc Exp Statement'!G27)*12</f>
        <v>-3395.8092766823897</v>
      </c>
      <c r="H13" s="134">
        <f ca="1">+'Scenario2  Bal Sheet'!H6/('GF &amp; FF  Inc Exp Statement'!H31-'GF &amp; FF  Inc Exp Statement'!H27)*12</f>
        <v>-5635.7130272461482</v>
      </c>
      <c r="I13" s="134">
        <f ca="1">+'Scenario2  Bal Sheet'!I6/('GF &amp; FF  Inc Exp Statement'!I31-'GF &amp; FF  Inc Exp Statement'!I27)*12</f>
        <v>-5498.9988985929213</v>
      </c>
      <c r="J13" s="134">
        <f ca="1">+'Scenario2  Bal Sheet'!J6/('GF &amp; FF  Inc Exp Statement'!J31-'GF &amp; FF  Inc Exp Statement'!J27)*12</f>
        <v>-6758.292132866236</v>
      </c>
      <c r="K13" s="134">
        <f ca="1">+'Scenario2  Bal Sheet'!K6/('GF &amp; FF  Inc Exp Statement'!K31-'GF &amp; FF  Inc Exp Statement'!K27)*12</f>
        <v>-5799.6723737093516</v>
      </c>
      <c r="L13" s="134" t="e">
        <f ca="1">+'Scenario2  Bal Sheet'!L6/('GF &amp; FF  Inc Exp Statement'!L31-'GF &amp; FF  Inc Exp Statement'!L27)*12</f>
        <v>#REF!</v>
      </c>
      <c r="M13" s="134" t="e">
        <f ca="1">+'Scenario2  Bal Sheet'!M6/('GF &amp; FF  Inc Exp Statement'!M31-'GF &amp; FF  Inc Exp Statement'!M27)*12</f>
        <v>#REF!</v>
      </c>
      <c r="N13" s="134" t="e">
        <f ca="1">+'Scenario2  Bal Sheet'!N6/('GF &amp; FF  Inc Exp Statement'!N31-'GF &amp; FF  Inc Exp Statement'!N27)*12</f>
        <v>#REF!</v>
      </c>
      <c r="O13" s="134" t="e">
        <f ca="1">+'Scenario2  Bal Sheet'!O6/('GF &amp; FF  Inc Exp Statement'!O31-'GF &amp; FF  Inc Exp Statement'!O27)*12</f>
        <v>#REF!</v>
      </c>
      <c r="P13" s="305" t="s">
        <v>507</v>
      </c>
      <c r="Q13" s="221" t="s">
        <v>394</v>
      </c>
      <c r="R13" s="221"/>
    </row>
    <row r="14" spans="1:18" ht="15" x14ac:dyDescent="0.25">
      <c r="A14" s="25" t="s">
        <v>444</v>
      </c>
      <c r="B14" s="133">
        <v>0</v>
      </c>
      <c r="C14" s="133">
        <v>0</v>
      </c>
      <c r="D14" s="133">
        <v>0</v>
      </c>
      <c r="E14" s="133">
        <v>0</v>
      </c>
      <c r="F14" s="133">
        <v>0</v>
      </c>
      <c r="G14" s="133">
        <v>0</v>
      </c>
      <c r="H14" s="133">
        <v>0</v>
      </c>
      <c r="I14" s="133">
        <v>0</v>
      </c>
      <c r="J14" s="133">
        <v>0</v>
      </c>
      <c r="K14" s="133">
        <v>0</v>
      </c>
      <c r="L14" s="133">
        <v>0</v>
      </c>
      <c r="M14" s="133">
        <v>0</v>
      </c>
      <c r="N14" s="133">
        <v>1</v>
      </c>
      <c r="O14" s="133">
        <v>2</v>
      </c>
      <c r="P14" s="305" t="s">
        <v>508</v>
      </c>
      <c r="Q14" s="221" t="s">
        <v>394</v>
      </c>
      <c r="R14" s="221"/>
    </row>
    <row r="15" spans="1:18" ht="9.75" customHeight="1" x14ac:dyDescent="0.25">
      <c r="A15" s="25"/>
      <c r="B15" s="133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08"/>
    </row>
    <row r="16" spans="1:18" ht="15" hidden="1" outlineLevel="1" x14ac:dyDescent="0.25">
      <c r="A16" s="22" t="s">
        <v>341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08"/>
    </row>
    <row r="17" spans="1:18" s="17" customFormat="1" ht="18.75" hidden="1" outlineLevel="1" x14ac:dyDescent="0.3">
      <c r="A17" s="294" t="s">
        <v>445</v>
      </c>
      <c r="B17" s="295" t="s">
        <v>69</v>
      </c>
      <c r="C17" s="295" t="s">
        <v>69</v>
      </c>
      <c r="D17" s="295" t="s">
        <v>70</v>
      </c>
      <c r="E17" s="295" t="s">
        <v>71</v>
      </c>
      <c r="F17" s="295" t="s">
        <v>71</v>
      </c>
      <c r="G17" s="295" t="s">
        <v>71</v>
      </c>
      <c r="H17" s="295" t="s">
        <v>71</v>
      </c>
      <c r="I17" s="295" t="s">
        <v>71</v>
      </c>
      <c r="J17" s="295" t="s">
        <v>71</v>
      </c>
      <c r="K17" s="295" t="s">
        <v>71</v>
      </c>
      <c r="L17" s="295" t="s">
        <v>71</v>
      </c>
      <c r="M17" s="295" t="s">
        <v>71</v>
      </c>
      <c r="N17" s="295" t="s">
        <v>71</v>
      </c>
      <c r="O17" s="295" t="s">
        <v>71</v>
      </c>
      <c r="P17" s="17" t="s">
        <v>390</v>
      </c>
      <c r="Q17" s="17" t="s">
        <v>502</v>
      </c>
    </row>
    <row r="18" spans="1:18" ht="15" hidden="1" outlineLevel="1" x14ac:dyDescent="0.25">
      <c r="A18" s="296" t="s">
        <v>73</v>
      </c>
      <c r="B18" s="297" t="s">
        <v>60</v>
      </c>
      <c r="C18" s="297" t="s">
        <v>68</v>
      </c>
      <c r="D18" s="295" t="s">
        <v>0</v>
      </c>
      <c r="E18" s="295" t="s">
        <v>1</v>
      </c>
      <c r="F18" s="295" t="s">
        <v>2</v>
      </c>
      <c r="G18" s="295" t="s">
        <v>3</v>
      </c>
      <c r="H18" s="295" t="s">
        <v>4</v>
      </c>
      <c r="I18" s="295" t="s">
        <v>5</v>
      </c>
      <c r="J18" s="295" t="s">
        <v>6</v>
      </c>
      <c r="K18" s="295" t="s">
        <v>7</v>
      </c>
      <c r="L18" s="295" t="s">
        <v>8</v>
      </c>
      <c r="M18" s="295" t="s">
        <v>9</v>
      </c>
      <c r="N18" s="213" t="s">
        <v>514</v>
      </c>
      <c r="O18" s="213" t="s">
        <v>515</v>
      </c>
      <c r="P18" s="24" t="s">
        <v>504</v>
      </c>
    </row>
    <row r="19" spans="1:18" ht="6.75" hidden="1" customHeight="1" outlineLevel="1" x14ac:dyDescent="0.25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</row>
    <row r="20" spans="1:18" ht="15" hidden="1" outlineLevel="1" x14ac:dyDescent="0.25">
      <c r="A20" s="25" t="s">
        <v>342</v>
      </c>
      <c r="B20" s="131">
        <f>+('Scenario2  Bal Sheet'!B11-Reserves!D13)/'Scenario2  Bal Sheet'!B23</f>
        <v>2.6436591761918038</v>
      </c>
      <c r="C20" s="131">
        <f>+('Scenario2  Bal Sheet'!C11-Reserves!F13)/'Scenario2  Bal Sheet'!C23</f>
        <v>1.7050922657369376</v>
      </c>
      <c r="D20" s="131">
        <f ca="1">+('Scenario2  Bal Sheet'!D11-Reserves!H13)/'Scenario2  Bal Sheet'!D23</f>
        <v>0.8068904623634896</v>
      </c>
      <c r="E20" s="131">
        <f ca="1">+('Scenario2  Bal Sheet'!E11-Reserves!J13)/'Scenario2  Bal Sheet'!E23</f>
        <v>0.70652588749787515</v>
      </c>
      <c r="F20" s="131">
        <f ca="1">+('Scenario2  Bal Sheet'!F11-Reserves!L13)/'Scenario2  Bal Sheet'!F23</f>
        <v>0.66108658988885005</v>
      </c>
      <c r="G20" s="131">
        <f ca="1">+('Scenario2  Bal Sheet'!G11-Reserves!N13)/'Scenario2  Bal Sheet'!G23</f>
        <v>0.58730614643414381</v>
      </c>
      <c r="H20" s="131">
        <f ca="1">+('Scenario2  Bal Sheet'!H11-Reserves!P13)/'Scenario2  Bal Sheet'!H23</f>
        <v>0.1047277391654907</v>
      </c>
      <c r="I20" s="131">
        <f ca="1">+('Scenario2  Bal Sheet'!I11-Reserves!R13)/'Scenario2  Bal Sheet'!I23</f>
        <v>5.8525260788068384E-2</v>
      </c>
      <c r="J20" s="131">
        <f ca="1">+('Scenario2  Bal Sheet'!J11-Reserves!T13)/'Scenario2  Bal Sheet'!J23</f>
        <v>-0.28321386506771212</v>
      </c>
      <c r="K20" s="131">
        <f ca="1">+('Scenario2  Bal Sheet'!K11-Reserves!V13)/'Scenario2  Bal Sheet'!K23</f>
        <v>-6.3096382357451089E-2</v>
      </c>
      <c r="L20" s="131" t="e">
        <f ca="1">+('Scenario2  Bal Sheet'!L11-Reserves!X13)/'Scenario2  Bal Sheet'!L23</f>
        <v>#REF!</v>
      </c>
      <c r="M20" s="131" t="e">
        <f ca="1">+('Scenario2  Bal Sheet'!M11-Reserves!Z13)/'Scenario2  Bal Sheet'!M23</f>
        <v>#REF!</v>
      </c>
      <c r="N20" s="208" t="e">
        <f ca="1">+('Scenario2  Bal Sheet'!N11-Reserves!AA13)/'Scenario2  Bal Sheet'!N23</f>
        <v>#REF!</v>
      </c>
      <c r="O20" s="208" t="e">
        <f ca="1">+('Scenario2  Bal Sheet'!O11-Reserves!AB13)/'Scenario2  Bal Sheet'!O23</f>
        <v>#REF!</v>
      </c>
      <c r="P20" s="304">
        <v>1.5</v>
      </c>
      <c r="Q20" t="s">
        <v>503</v>
      </c>
      <c r="R20" t="s">
        <v>501</v>
      </c>
    </row>
    <row r="21" spans="1:18" ht="15" hidden="1" outlineLevel="1" x14ac:dyDescent="0.25">
      <c r="A21" s="25" t="s">
        <v>440</v>
      </c>
      <c r="B21" s="131">
        <v>0</v>
      </c>
      <c r="C21" s="131">
        <v>0</v>
      </c>
      <c r="D21" s="131">
        <v>0</v>
      </c>
      <c r="E21" s="131">
        <v>0</v>
      </c>
      <c r="F21" s="131">
        <v>0</v>
      </c>
      <c r="G21" s="131">
        <v>0</v>
      </c>
      <c r="H21" s="131">
        <v>0</v>
      </c>
      <c r="I21" s="131">
        <v>0</v>
      </c>
      <c r="J21" s="131">
        <v>0</v>
      </c>
      <c r="K21" s="131">
        <v>0</v>
      </c>
      <c r="L21" s="131">
        <v>0</v>
      </c>
      <c r="M21" s="131">
        <v>0</v>
      </c>
      <c r="N21" s="208">
        <v>1</v>
      </c>
      <c r="O21" s="208">
        <v>2</v>
      </c>
      <c r="P21" s="304"/>
      <c r="Q21" s="221" t="s">
        <v>393</v>
      </c>
      <c r="R21" s="221" t="s">
        <v>501</v>
      </c>
    </row>
    <row r="22" spans="1:18" ht="15" hidden="1" outlineLevel="1" x14ac:dyDescent="0.25">
      <c r="A22" s="132" t="s">
        <v>441</v>
      </c>
      <c r="B22" s="131">
        <f>+'Scenario 2 Inc Exp Statement'!B6/('Scenario 2 Inc Exp Statement'!B14)</f>
        <v>0.54188457934036705</v>
      </c>
      <c r="C22" s="208">
        <f>+'Scenario 2 Inc Exp Statement'!C6/('Scenario 2 Inc Exp Statement'!C14)</f>
        <v>0.62520348558843242</v>
      </c>
      <c r="D22" s="208" t="e">
        <f>+'Scenario 2 Inc Exp Statement'!D6/('Scenario 2 Inc Exp Statement'!D14)</f>
        <v>#DIV/0!</v>
      </c>
      <c r="E22" s="208">
        <f>+'Scenario 2 Inc Exp Statement'!E6/('Scenario 2 Inc Exp Statement'!E14)</f>
        <v>0.71532039877284814</v>
      </c>
      <c r="F22" s="208">
        <f>+'Scenario 2 Inc Exp Statement'!F6/('Scenario 2 Inc Exp Statement'!F14)</f>
        <v>0.72171981495642845</v>
      </c>
      <c r="G22" s="208">
        <f>+'Scenario 2 Inc Exp Statement'!G6/('Scenario 2 Inc Exp Statement'!G14)</f>
        <v>0.72344982234256672</v>
      </c>
      <c r="H22" s="208">
        <f>+'Scenario 2 Inc Exp Statement'!H6/('Scenario 2 Inc Exp Statement'!H14)</f>
        <v>0.71543833765887654</v>
      </c>
      <c r="I22" s="208">
        <f>+'Scenario 2 Inc Exp Statement'!I6/('Scenario 2 Inc Exp Statement'!I14)</f>
        <v>0.71674811349173362</v>
      </c>
      <c r="J22" s="208">
        <f>+'Scenario 2 Inc Exp Statement'!J6/('Scenario 2 Inc Exp Statement'!J14)</f>
        <v>0.71835046070873976</v>
      </c>
      <c r="K22" s="208">
        <f>+'Scenario 2 Inc Exp Statement'!K6/('Scenario 2 Inc Exp Statement'!K14)</f>
        <v>0.72085403945362292</v>
      </c>
      <c r="L22" s="208">
        <f>+'Scenario 2 Inc Exp Statement'!L6/('Scenario 2 Inc Exp Statement'!L14)</f>
        <v>0.72222896092078259</v>
      </c>
      <c r="M22" s="208">
        <f>+'Scenario 2 Inc Exp Statement'!M6/('Scenario 2 Inc Exp Statement'!M14)</f>
        <v>0.72369096133418664</v>
      </c>
      <c r="N22" s="208">
        <f>+'Scenario 2 Inc Exp Statement'!N6/('Scenario 2 Inc Exp Statement'!N14)</f>
        <v>0.72369096133418664</v>
      </c>
      <c r="O22" s="208">
        <f>+'Scenario 2 Inc Exp Statement'!O6/('Scenario 2 Inc Exp Statement'!O14)</f>
        <v>0.72369096133418664</v>
      </c>
      <c r="P22" s="304"/>
      <c r="Q22" t="s">
        <v>393</v>
      </c>
      <c r="R22" s="221" t="s">
        <v>501</v>
      </c>
    </row>
    <row r="23" spans="1:18" ht="15" hidden="1" outlineLevel="1" x14ac:dyDescent="0.25">
      <c r="A23" s="25" t="s">
        <v>364</v>
      </c>
      <c r="B23" s="131">
        <f>+B8</f>
        <v>0.41</v>
      </c>
      <c r="C23" s="131">
        <f t="shared" ref="C23" si="0">+C8</f>
        <v>0.45162615773224812</v>
      </c>
      <c r="D23" s="208">
        <f ca="1">+'Capital Program'!D24/SUMIF(Depreciation!$AE$2:$AE$19,"infra renewal",Depreciation!S$2:S$19)</f>
        <v>0.77277891243800989</v>
      </c>
      <c r="E23" s="208">
        <f ca="1">+'Capital Program'!E24/SUMIF(Depreciation!$AE$2:$AE$19,"infra renewal",Depreciation!T$2:T$19)</f>
        <v>1.2527068853226928</v>
      </c>
      <c r="F23" s="208">
        <f ca="1">+'Capital Program'!F24/SUMIF(Depreciation!$AE$2:$AE$19,"infra renewal",Depreciation!U$2:U$19)</f>
        <v>1.0794570236086474</v>
      </c>
      <c r="G23" s="208">
        <f ca="1">+'Capital Program'!G24/SUMIF(Depreciation!$AE$2:$AE$19,"infra renewal",Depreciation!V$2:V$19)</f>
        <v>1.1766614245343772</v>
      </c>
      <c r="H23" s="208">
        <f ca="1">+'Capital Program'!H24/SUMIF(Depreciation!$AE$2:$AE$19,"infra renewal",Depreciation!W$2:W$19)</f>
        <v>1.3274333628270467</v>
      </c>
      <c r="I23" s="208">
        <f ca="1">+'Capital Program'!I24/SUMIF(Depreciation!$AE$2:$AE$19,"infra renewal",Depreciation!X$2:X$19)</f>
        <v>1.4364180570094172</v>
      </c>
      <c r="J23" s="208">
        <f ca="1">+'Capital Program'!J24/SUMIF(Depreciation!$AE$2:$AE$19,"infra renewal",Depreciation!Y$2:Y$19)</f>
        <v>0.99068545069247671</v>
      </c>
      <c r="K23" s="208">
        <f ca="1">+'Capital Program'!K24/SUMIF(Depreciation!$AE$2:$AE$19,"infra renewal",Depreciation!Z$2:Z$19)</f>
        <v>1.0011686945446798</v>
      </c>
      <c r="L23" s="208" t="e">
        <f>+'Capital Program'!L24/SUMIF(Depreciation!$AE$2:$AE$19,"infra renewal",Depreciation!AA$2:AA$19)</f>
        <v>#REF!</v>
      </c>
      <c r="M23" s="208" t="e">
        <f>+'Capital Program'!M24/SUMIF(Depreciation!$AE$2:$AE$19,"infra renewal",Depreciation!AB$2:AB$19)</f>
        <v>#REF!</v>
      </c>
      <c r="N23" s="208" t="e">
        <f>+'Capital Program'!N24/SUMIF(Depreciation!$AE$2:$AE$19,"infra renewal",Depreciation!AC$2:AC$19)</f>
        <v>#DIV/0!</v>
      </c>
      <c r="O23" s="208" t="e">
        <f>+'Capital Program'!O24/SUMIF(Depreciation!$AE$2:$AE$19,"infra renewal",Depreciation!AD$2:AD$19)</f>
        <v>#DIV/0!</v>
      </c>
      <c r="P23" s="304">
        <v>1</v>
      </c>
      <c r="Q23" s="221" t="s">
        <v>503</v>
      </c>
      <c r="R23" s="221" t="s">
        <v>501</v>
      </c>
    </row>
    <row r="24" spans="1:18" ht="15" hidden="1" outlineLevel="1" x14ac:dyDescent="0.25">
      <c r="A24" s="25" t="s">
        <v>389</v>
      </c>
      <c r="B24" s="133">
        <f>+('Scenario 2 Inc Exp Statement'!B14-'Scenario 2 Inc Exp Statement'!B11-'Scenario 2 Inc Exp Statement'!B21)/('Scenario 2 Inc Exp Statement'!B14-'Scenario 2 Inc Exp Statement'!B11)</f>
        <v>5.1463644948064213E-2</v>
      </c>
      <c r="C24" s="133">
        <f>+('Scenario 2 Inc Exp Statement'!C14-'Scenario 2 Inc Exp Statement'!C11-'Scenario 2 Inc Exp Statement'!C21)/('Scenario 2 Inc Exp Statement'!C14-'Scenario 2 Inc Exp Statement'!C11)</f>
        <v>-9.1160890489215107E-2</v>
      </c>
      <c r="D24" s="133" t="e">
        <f>+('Scenario 2 Inc Exp Statement'!D14-'Scenario 2 Inc Exp Statement'!D11-'Scenario 2 Inc Exp Statement'!D21)/('Scenario 2 Inc Exp Statement'!D14-'Scenario 2 Inc Exp Statement'!D11)</f>
        <v>#DIV/0!</v>
      </c>
      <c r="E24" s="133">
        <f>+('Scenario 2 Inc Exp Statement'!E14-'Scenario 2 Inc Exp Statement'!E11-'Scenario 2 Inc Exp Statement'!E21)/('Scenario 2 Inc Exp Statement'!E14-'Scenario 2 Inc Exp Statement'!E11)</f>
        <v>-2.9864928915767388E-2</v>
      </c>
      <c r="F24" s="133">
        <f>+('Scenario 2 Inc Exp Statement'!F14-'Scenario 2 Inc Exp Statement'!F11-'Scenario 2 Inc Exp Statement'!F21)/('Scenario 2 Inc Exp Statement'!F14-'Scenario 2 Inc Exp Statement'!F11)</f>
        <v>-2.3366213883503115E-2</v>
      </c>
      <c r="G24" s="133">
        <f>+('Scenario 2 Inc Exp Statement'!G14-'Scenario 2 Inc Exp Statement'!G11-'Scenario 2 Inc Exp Statement'!G21)/('Scenario 2 Inc Exp Statement'!G14-'Scenario 2 Inc Exp Statement'!G11)</f>
        <v>-1.954761293969861E-2</v>
      </c>
      <c r="H24" s="133">
        <f>+('Scenario 2 Inc Exp Statement'!H14-'Scenario 2 Inc Exp Statement'!H11-'Scenario 2 Inc Exp Statement'!H21)/('Scenario 2 Inc Exp Statement'!H14-'Scenario 2 Inc Exp Statement'!H11)</f>
        <v>-2.1687819280631723E-2</v>
      </c>
      <c r="I24" s="133">
        <f>+('Scenario 2 Inc Exp Statement'!I14-'Scenario 2 Inc Exp Statement'!I11-'Scenario 2 Inc Exp Statement'!I21)/('Scenario 2 Inc Exp Statement'!I14-'Scenario 2 Inc Exp Statement'!I11)</f>
        <v>-2.3330286143394139E-2</v>
      </c>
      <c r="J24" s="133">
        <f>+('Scenario 2 Inc Exp Statement'!J14-'Scenario 2 Inc Exp Statement'!J11-'Scenario 2 Inc Exp Statement'!J21)/('Scenario 2 Inc Exp Statement'!J14-'Scenario 2 Inc Exp Statement'!J11)</f>
        <v>-3.1298223517148442E-2</v>
      </c>
      <c r="K24" s="133">
        <f>+('Scenario 2 Inc Exp Statement'!K14-'Scenario 2 Inc Exp Statement'!K11-'Scenario 2 Inc Exp Statement'!K21)/('Scenario 2 Inc Exp Statement'!K14-'Scenario 2 Inc Exp Statement'!K11)</f>
        <v>-2.8882814799750012E-2</v>
      </c>
      <c r="L24" s="133">
        <f>+('Scenario 2 Inc Exp Statement'!L14-'Scenario 2 Inc Exp Statement'!L11-'Scenario 2 Inc Exp Statement'!L21)/('Scenario 2 Inc Exp Statement'!L14-'Scenario 2 Inc Exp Statement'!L11)</f>
        <v>-3.0669221874740298E-2</v>
      </c>
      <c r="M24" s="133">
        <f>+('Scenario 2 Inc Exp Statement'!M14-'Scenario 2 Inc Exp Statement'!M11-'Scenario 2 Inc Exp Statement'!M21)/('Scenario 2 Inc Exp Statement'!M14-'Scenario 2 Inc Exp Statement'!M11)</f>
        <v>-3.2602121929705061E-2</v>
      </c>
      <c r="N24" s="133">
        <f>+('Scenario 2 Inc Exp Statement'!N14-'Scenario 2 Inc Exp Statement'!N11-'Scenario 2 Inc Exp Statement'!N21)/('Scenario 2 Inc Exp Statement'!N14-'Scenario 2 Inc Exp Statement'!N11)</f>
        <v>-3.2602121929705061E-2</v>
      </c>
      <c r="O24" s="133">
        <f>+('Scenario 2 Inc Exp Statement'!O14-'Scenario 2 Inc Exp Statement'!O11-'Scenario 2 Inc Exp Statement'!O21)/('Scenario 2 Inc Exp Statement'!O14-'Scenario 2 Inc Exp Statement'!O11)</f>
        <v>-3.2602121929705061E-2</v>
      </c>
      <c r="P24" s="304" t="s">
        <v>509</v>
      </c>
      <c r="Q24" t="s">
        <v>394</v>
      </c>
    </row>
    <row r="25" spans="1:18" ht="15" hidden="1" outlineLevel="1" x14ac:dyDescent="0.25">
      <c r="A25" s="25" t="s">
        <v>442</v>
      </c>
      <c r="B25" s="133">
        <f>+('Scenario 2 Inc Exp Statement'!B6+'Scenario 2 Inc Exp Statement'!B7)/'Scenario 2 Inc Exp Statement'!B14</f>
        <v>0.63284863508570388</v>
      </c>
      <c r="C25" s="133">
        <f>+('Scenario 2 Inc Exp Statement'!C6+'Scenario 2 Inc Exp Statement'!C7)/'Scenario 2 Inc Exp Statement'!C14</f>
        <v>0.72954770340579012</v>
      </c>
      <c r="D25" s="133" t="e">
        <f>+('Scenario 2 Inc Exp Statement'!D6+'Scenario 2 Inc Exp Statement'!D7)/'Scenario 2 Inc Exp Statement'!D14</f>
        <v>#DIV/0!</v>
      </c>
      <c r="E25" s="133">
        <f>+('Scenario 2 Inc Exp Statement'!E6+'Scenario 2 Inc Exp Statement'!E7)/'Scenario 2 Inc Exp Statement'!E14</f>
        <v>0.81536026551750573</v>
      </c>
      <c r="F25" s="133">
        <f>+('Scenario 2 Inc Exp Statement'!F6+'Scenario 2 Inc Exp Statement'!F7)/'Scenario 2 Inc Exp Statement'!F14</f>
        <v>0.82164403433975663</v>
      </c>
      <c r="G25" s="133">
        <f>+('Scenario 2 Inc Exp Statement'!G6+'Scenario 2 Inc Exp Statement'!G7)/'Scenario 2 Inc Exp Statement'!G14</f>
        <v>0.82262021956653819</v>
      </c>
      <c r="H25" s="133">
        <f>+('Scenario 2 Inc Exp Statement'!H6+'Scenario 2 Inc Exp Statement'!H7)/'Scenario 2 Inc Exp Statement'!H14</f>
        <v>0.81254715971062541</v>
      </c>
      <c r="I25" s="133">
        <f>+('Scenario 2 Inc Exp Statement'!I6+'Scenario 2 Inc Exp Statement'!I7)/'Scenario 2 Inc Exp Statement'!I14</f>
        <v>0.81308812193795732</v>
      </c>
      <c r="J25" s="133">
        <f>+('Scenario 2 Inc Exp Statement'!J6+'Scenario 2 Inc Exp Statement'!J7)/'Scenario 2 Inc Exp Statement'!J14</f>
        <v>0.81397523257613358</v>
      </c>
      <c r="K25" s="133">
        <f>+('Scenario 2 Inc Exp Statement'!K6+'Scenario 2 Inc Exp Statement'!K7)/'Scenario 2 Inc Exp Statement'!K14</f>
        <v>0.81589592112797071</v>
      </c>
      <c r="L25" s="133">
        <f>+('Scenario 2 Inc Exp Statement'!L6+'Scenario 2 Inc Exp Statement'!L7)/'Scenario 2 Inc Exp Statement'!L14</f>
        <v>0.81655149061414178</v>
      </c>
      <c r="M25" s="133">
        <f>+('Scenario 2 Inc Exp Statement'!M6+'Scenario 2 Inc Exp Statement'!M7)/'Scenario 2 Inc Exp Statement'!M14</f>
        <v>0.81731884344097316</v>
      </c>
      <c r="N25" s="133">
        <f>+('Scenario 2 Inc Exp Statement'!N6+'Scenario 2 Inc Exp Statement'!N7)/'Scenario 2 Inc Exp Statement'!N14</f>
        <v>0.81731884344097316</v>
      </c>
      <c r="O25" s="133">
        <f>+('Scenario 2 Inc Exp Statement'!O6+'Scenario 2 Inc Exp Statement'!O7)/'Scenario 2 Inc Exp Statement'!O14</f>
        <v>0.81731884344097316</v>
      </c>
      <c r="P25" s="304" t="s">
        <v>510</v>
      </c>
      <c r="Q25" s="221" t="s">
        <v>394</v>
      </c>
    </row>
    <row r="26" spans="1:18" ht="15" hidden="1" outlineLevel="1" x14ac:dyDescent="0.25">
      <c r="A26" s="25" t="s">
        <v>443</v>
      </c>
      <c r="B26" s="133">
        <v>0</v>
      </c>
      <c r="C26" s="133">
        <v>0</v>
      </c>
      <c r="D26" s="133">
        <v>0</v>
      </c>
      <c r="E26" s="133">
        <v>0</v>
      </c>
      <c r="F26" s="133">
        <v>0</v>
      </c>
      <c r="G26" s="133">
        <v>0</v>
      </c>
      <c r="H26" s="133">
        <v>0</v>
      </c>
      <c r="I26" s="133">
        <v>0</v>
      </c>
      <c r="J26" s="133">
        <v>0</v>
      </c>
      <c r="K26" s="133">
        <v>0</v>
      </c>
      <c r="L26" s="133">
        <v>0</v>
      </c>
      <c r="M26" s="133">
        <v>0</v>
      </c>
      <c r="N26" s="133">
        <v>1</v>
      </c>
      <c r="O26" s="133">
        <v>2</v>
      </c>
      <c r="P26" s="304" t="s">
        <v>505</v>
      </c>
      <c r="Q26" s="221" t="s">
        <v>394</v>
      </c>
    </row>
    <row r="27" spans="1:18" ht="15" hidden="1" outlineLevel="1" x14ac:dyDescent="0.25">
      <c r="A27" s="25" t="s">
        <v>391</v>
      </c>
      <c r="B27" s="131">
        <f>+'Capital Program'!B14/'Scenario 2 Inc Exp Statement'!B19</f>
        <v>0.87005906406179012</v>
      </c>
      <c r="C27" s="131">
        <f>+'Capital Program'!C14/'Scenario 2 Inc Exp Statement'!C19</f>
        <v>0.89578843322818091</v>
      </c>
      <c r="D27" s="131" t="e">
        <f ca="1">+'Capital Program'!D32/'Scenario 2 Inc Exp Statement'!D19</f>
        <v>#DIV/0!</v>
      </c>
      <c r="E27" s="208">
        <f ca="1">+'Capital Program'!E32/'Scenario 2 Inc Exp Statement'!E19</f>
        <v>1.489917355092256</v>
      </c>
      <c r="F27" s="208">
        <f ca="1">+'Capital Program'!F32/'Scenario 2 Inc Exp Statement'!F19</f>
        <v>1.2633920305105713</v>
      </c>
      <c r="G27" s="208">
        <f ca="1">+'Capital Program'!G32/'Scenario 2 Inc Exp Statement'!G19</f>
        <v>1.3688621483174814</v>
      </c>
      <c r="H27" s="208">
        <f ca="1">+'Capital Program'!H32/'Scenario 2 Inc Exp Statement'!H19</f>
        <v>2.328024123694159</v>
      </c>
      <c r="I27" s="208">
        <f ca="1">+'Capital Program'!I32/'Scenario 2 Inc Exp Statement'!I19</f>
        <v>1.373317695051739</v>
      </c>
      <c r="J27" s="208">
        <f ca="1">+'Capital Program'!J32/'Scenario 2 Inc Exp Statement'!J19</f>
        <v>1.8489463556980776</v>
      </c>
      <c r="K27" s="208">
        <f ca="1">+'Capital Program'!K32/'Scenario 2 Inc Exp Statement'!K19</f>
        <v>1.0241630492574938</v>
      </c>
      <c r="L27" s="208" t="e">
        <f>+'Capital Program'!L32/'Scenario 2 Inc Exp Statement'!L19</f>
        <v>#REF!</v>
      </c>
      <c r="M27" s="208" t="e">
        <f>+'Capital Program'!M32/'Scenario 2 Inc Exp Statement'!M19</f>
        <v>#REF!</v>
      </c>
      <c r="N27" s="208">
        <f>+'Capital Program'!N32/'Scenario 2 Inc Exp Statement'!N19</f>
        <v>0</v>
      </c>
      <c r="O27" s="208">
        <f>+'Capital Program'!O32/'Scenario 2 Inc Exp Statement'!O19</f>
        <v>0</v>
      </c>
      <c r="P27" s="304" t="s">
        <v>506</v>
      </c>
      <c r="Q27" t="s">
        <v>395</v>
      </c>
    </row>
    <row r="28" spans="1:18" ht="15" hidden="1" outlineLevel="1" x14ac:dyDescent="0.25">
      <c r="A28" s="25" t="s">
        <v>392</v>
      </c>
      <c r="B28" s="134">
        <f>+'Scenario2  Bal Sheet'!B6/('Scenario 2 Inc Exp Statement'!B21-'Scenario 2 Inc Exp Statement'!B19)*12</f>
        <v>3.1267244394357441</v>
      </c>
      <c r="C28" s="134">
        <f>+'Scenario2  Bal Sheet'!C6/('Scenario 2 Inc Exp Statement'!C21-'Scenario 2 Inc Exp Statement'!C19)*12</f>
        <v>3.6796831209596057</v>
      </c>
      <c r="D28" s="134" t="e">
        <f ca="1">+'Scenario2  Bal Sheet'!D6/('Scenario 2 Inc Exp Statement'!D21-'Scenario 2 Inc Exp Statement'!D19)*12</f>
        <v>#DIV/0!</v>
      </c>
      <c r="E28" s="134">
        <f ca="1">+'Scenario2  Bal Sheet'!E6/('Scenario 2 Inc Exp Statement'!E21-'Scenario 2 Inc Exp Statement'!E19)*12</f>
        <v>-2.0222012416632551</v>
      </c>
      <c r="F28" s="134">
        <f ca="1">+'Scenario2  Bal Sheet'!F6/('Scenario 2 Inc Exp Statement'!F21-'Scenario 2 Inc Exp Statement'!F19)*12</f>
        <v>-2.8736543873730316</v>
      </c>
      <c r="G28" s="134">
        <f ca="1">+'Scenario2  Bal Sheet'!G6/('Scenario 2 Inc Exp Statement'!G21-'Scenario 2 Inc Exp Statement'!G19)*12</f>
        <v>-3.8480144443998441</v>
      </c>
      <c r="H28" s="134">
        <f ca="1">+'Scenario2  Bal Sheet'!H6/('Scenario 2 Inc Exp Statement'!H21-'Scenario 2 Inc Exp Statement'!H19)*12</f>
        <v>-6.3803536437326107</v>
      </c>
      <c r="I28" s="134">
        <f ca="1">+'Scenario2  Bal Sheet'!I6/('Scenario 2 Inc Exp Statement'!I21-'Scenario 2 Inc Exp Statement'!I19)*12</f>
        <v>-6.1961287374417413</v>
      </c>
      <c r="J28" s="134">
        <f ca="1">+'Scenario2  Bal Sheet'!J6/('Scenario 2 Inc Exp Statement'!J21-'Scenario 2 Inc Exp Statement'!J19)*12</f>
        <v>-7.5345995643701853</v>
      </c>
      <c r="K28" s="134">
        <f ca="1">+'Scenario2  Bal Sheet'!K6/('Scenario 2 Inc Exp Statement'!K21-'Scenario 2 Inc Exp Statement'!K19)*12</f>
        <v>-6.4579574343194768</v>
      </c>
      <c r="L28" s="134" t="e">
        <f ca="1">+'Scenario2  Bal Sheet'!L6/('Scenario 2 Inc Exp Statement'!L21-'Scenario 2 Inc Exp Statement'!L19)*12</f>
        <v>#REF!</v>
      </c>
      <c r="M28" s="134" t="e">
        <f ca="1">+'Scenario2  Bal Sheet'!M6/('Scenario 2 Inc Exp Statement'!M21-'Scenario 2 Inc Exp Statement'!M19)*12</f>
        <v>#REF!</v>
      </c>
      <c r="N28" s="134" t="e">
        <f ca="1">+'Scenario2  Bal Sheet'!N6/('Scenario 2 Inc Exp Statement'!N21-'Scenario 2 Inc Exp Statement'!N19)*12</f>
        <v>#REF!</v>
      </c>
      <c r="O28" s="134" t="e">
        <f ca="1">+'Scenario2  Bal Sheet'!O6/('Scenario 2 Inc Exp Statement'!O21-'Scenario 2 Inc Exp Statement'!O19)*12</f>
        <v>#REF!</v>
      </c>
      <c r="P28" s="305" t="s">
        <v>507</v>
      </c>
      <c r="Q28" t="s">
        <v>394</v>
      </c>
    </row>
    <row r="29" spans="1:18" ht="15" hidden="1" outlineLevel="1" x14ac:dyDescent="0.25">
      <c r="A29" s="25" t="s">
        <v>444</v>
      </c>
      <c r="B29" s="133">
        <v>0</v>
      </c>
      <c r="C29" s="133">
        <v>0</v>
      </c>
      <c r="D29" s="133">
        <v>0</v>
      </c>
      <c r="E29" s="133">
        <v>0</v>
      </c>
      <c r="F29" s="133">
        <v>0</v>
      </c>
      <c r="G29" s="133">
        <v>0</v>
      </c>
      <c r="H29" s="133">
        <v>0</v>
      </c>
      <c r="I29" s="133">
        <v>0</v>
      </c>
      <c r="J29" s="133">
        <v>0</v>
      </c>
      <c r="K29" s="133">
        <v>0</v>
      </c>
      <c r="L29" s="133">
        <v>0</v>
      </c>
      <c r="M29" s="133">
        <v>0</v>
      </c>
      <c r="N29" s="133">
        <v>1</v>
      </c>
      <c r="O29" s="133">
        <v>2</v>
      </c>
      <c r="P29" s="305" t="s">
        <v>508</v>
      </c>
      <c r="Q29" s="221" t="s">
        <v>394</v>
      </c>
    </row>
    <row r="30" spans="1:18" ht="9.75" hidden="1" customHeight="1" outlineLevel="1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</row>
    <row r="31" spans="1:18" ht="15" hidden="1" outlineLevel="1" x14ac:dyDescent="0.25">
      <c r="A31" s="135" t="s">
        <v>446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8" ht="15" hidden="1" outlineLevel="1" x14ac:dyDescent="0.25">
      <c r="A32" s="296" t="s">
        <v>73</v>
      </c>
      <c r="B32" s="297" t="s">
        <v>60</v>
      </c>
      <c r="C32" s="297" t="s">
        <v>68</v>
      </c>
      <c r="D32" s="295" t="s">
        <v>0</v>
      </c>
      <c r="E32" s="295" t="s">
        <v>1</v>
      </c>
      <c r="F32" s="295" t="s">
        <v>2</v>
      </c>
      <c r="G32" s="295" t="s">
        <v>3</v>
      </c>
      <c r="H32" s="295" t="s">
        <v>4</v>
      </c>
      <c r="I32" s="295" t="s">
        <v>5</v>
      </c>
      <c r="J32" s="295" t="s">
        <v>6</v>
      </c>
      <c r="K32" s="295" t="s">
        <v>7</v>
      </c>
      <c r="L32" s="295" t="s">
        <v>8</v>
      </c>
      <c r="M32" s="295" t="s">
        <v>9</v>
      </c>
      <c r="N32" s="213" t="s">
        <v>514</v>
      </c>
      <c r="O32" s="213" t="s">
        <v>515</v>
      </c>
    </row>
    <row r="33" spans="1:15" ht="15" hidden="1" outlineLevel="1" x14ac:dyDescent="0.25">
      <c r="A33" s="25" t="s">
        <v>410</v>
      </c>
      <c r="B33" s="25"/>
      <c r="C33" s="25"/>
      <c r="D33" s="136">
        <f>+Charts!B12</f>
        <v>0</v>
      </c>
      <c r="E33" s="136">
        <f>+Charts!C12</f>
        <v>11810</v>
      </c>
      <c r="F33" s="136">
        <f>+Charts!D12</f>
        <v>2928.0070000000123</v>
      </c>
      <c r="G33" s="136">
        <f>+Charts!E12</f>
        <v>4419.8999599999952</v>
      </c>
      <c r="H33" s="136">
        <f>+Charts!F12</f>
        <v>4402.2824850000034</v>
      </c>
      <c r="I33" s="136">
        <f>+Charts!G12</f>
        <v>4661.3812902999998</v>
      </c>
      <c r="J33" s="136">
        <f>+Charts!H12</f>
        <v>4547.2847176340074</v>
      </c>
      <c r="K33" s="136">
        <f>+Charts!I12</f>
        <v>4332.5622136972088</v>
      </c>
      <c r="L33" s="136">
        <f>+Charts!J12</f>
        <v>4420.1863558144687</v>
      </c>
      <c r="M33" s="136">
        <f>+Charts!K12</f>
        <v>4499.7787113932573</v>
      </c>
      <c r="N33" s="136">
        <f>+Charts!L12</f>
        <v>0</v>
      </c>
      <c r="O33" s="136">
        <f>+Charts!M12</f>
        <v>0</v>
      </c>
    </row>
    <row r="34" spans="1:15" ht="15" hidden="1" outlineLevel="1" x14ac:dyDescent="0.25">
      <c r="A34" s="25" t="s">
        <v>445</v>
      </c>
      <c r="B34" s="25"/>
      <c r="C34" s="25"/>
      <c r="D34" s="136">
        <f>+Charts!B48</f>
        <v>0</v>
      </c>
      <c r="E34" s="136">
        <f>+Charts!C48</f>
        <v>103739.76394675672</v>
      </c>
      <c r="F34" s="136">
        <f>+Charts!D48</f>
        <v>308909.95306405425</v>
      </c>
      <c r="G34" s="136">
        <f>+Charts!E48</f>
        <v>434790.09293688461</v>
      </c>
      <c r="H34" s="136">
        <f>+Charts!F48</f>
        <v>825152.94458618015</v>
      </c>
      <c r="I34" s="136">
        <f>+Charts!G48</f>
        <v>789259.44459495693</v>
      </c>
      <c r="J34" s="136">
        <f>+Charts!H48</f>
        <v>535662.33781281114</v>
      </c>
      <c r="K34" s="136">
        <f>+Charts!I48</f>
        <v>632160.84402335435</v>
      </c>
      <c r="L34" s="136">
        <f>+Charts!J48</f>
        <v>580835.38523375988</v>
      </c>
      <c r="M34" s="136">
        <f>+Charts!K48</f>
        <v>520893.5212347284</v>
      </c>
      <c r="N34" s="136">
        <f>+Charts!L48</f>
        <v>0</v>
      </c>
      <c r="O34" s="136">
        <f>+Charts!M48</f>
        <v>0</v>
      </c>
    </row>
    <row r="35" spans="1:15" ht="6" hidden="1" customHeight="1" outlineLevel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</row>
    <row r="36" spans="1:15" ht="15" hidden="1" outlineLevel="1" x14ac:dyDescent="0.25">
      <c r="A36" s="135" t="s">
        <v>447</v>
      </c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</row>
    <row r="37" spans="1:15" ht="15" hidden="1" outlineLevel="1" x14ac:dyDescent="0.25">
      <c r="A37" s="296" t="s">
        <v>73</v>
      </c>
      <c r="B37" s="297" t="s">
        <v>60</v>
      </c>
      <c r="C37" s="297" t="s">
        <v>68</v>
      </c>
      <c r="D37" s="295" t="s">
        <v>0</v>
      </c>
      <c r="E37" s="295" t="s">
        <v>1</v>
      </c>
      <c r="F37" s="295" t="s">
        <v>2</v>
      </c>
      <c r="G37" s="295" t="s">
        <v>3</v>
      </c>
      <c r="H37" s="295" t="s">
        <v>4</v>
      </c>
      <c r="I37" s="295" t="s">
        <v>5</v>
      </c>
      <c r="J37" s="295" t="s">
        <v>6</v>
      </c>
      <c r="K37" s="295" t="s">
        <v>7</v>
      </c>
      <c r="L37" s="295" t="s">
        <v>8</v>
      </c>
      <c r="M37" s="295" t="s">
        <v>9</v>
      </c>
      <c r="N37" s="213" t="s">
        <v>514</v>
      </c>
      <c r="O37" s="213" t="s">
        <v>515</v>
      </c>
    </row>
    <row r="38" spans="1:15" ht="15" hidden="1" outlineLevel="1" x14ac:dyDescent="0.25">
      <c r="A38" s="25" t="s">
        <v>410</v>
      </c>
      <c r="B38" s="25"/>
      <c r="C38" s="25"/>
      <c r="D38" s="136">
        <f>+Charts!B13</f>
        <v>0</v>
      </c>
      <c r="E38" s="136">
        <f>+Charts!C13</f>
        <v>-2644</v>
      </c>
      <c r="F38" s="136">
        <f>+Charts!D13</f>
        <v>30.000000000012278</v>
      </c>
      <c r="G38" s="136">
        <f>+Charts!E13</f>
        <v>631.93295999999509</v>
      </c>
      <c r="H38" s="136">
        <f>+Charts!F13</f>
        <v>557.91147500000352</v>
      </c>
      <c r="I38" s="136">
        <f>+Charts!G13</f>
        <v>758.92227499999944</v>
      </c>
      <c r="J38" s="136">
        <f>+Charts!H13</f>
        <v>585.00338500000726</v>
      </c>
      <c r="K38" s="136">
        <f>+Charts!I13</f>
        <v>271.22384774735883</v>
      </c>
      <c r="L38" s="136">
        <f>+Charts!J13</f>
        <v>257.31453071587384</v>
      </c>
      <c r="M38" s="136">
        <f>+Charts!K13</f>
        <v>232.83509066719671</v>
      </c>
      <c r="N38" s="136">
        <f>+Charts!L13</f>
        <v>0</v>
      </c>
      <c r="O38" s="136">
        <f>+Charts!M13</f>
        <v>0</v>
      </c>
    </row>
    <row r="39" spans="1:15" ht="15" hidden="1" outlineLevel="1" x14ac:dyDescent="0.25">
      <c r="A39" s="25" t="s">
        <v>445</v>
      </c>
      <c r="B39" s="25"/>
      <c r="C39" s="25"/>
      <c r="D39" s="136">
        <f>+Charts!B49</f>
        <v>0</v>
      </c>
      <c r="E39" s="136">
        <f>+Charts!C49</f>
        <v>-893910.23605324328</v>
      </c>
      <c r="F39" s="136">
        <f>+Charts!D49</f>
        <v>-713681.29693594575</v>
      </c>
      <c r="G39" s="136">
        <f>+Charts!E49</f>
        <v>-613365.93831311527</v>
      </c>
      <c r="H39" s="136">
        <f>+Charts!F49</f>
        <v>-699206.98744506948</v>
      </c>
      <c r="I39" s="136">
        <f>+Charts!G49</f>
        <v>-773209.48573707417</v>
      </c>
      <c r="J39" s="136">
        <f>+Charts!H49</f>
        <v>-1065868.3157775202</v>
      </c>
      <c r="K39" s="136">
        <f>+Charts!I49</f>
        <v>-1009408.0759067354</v>
      </c>
      <c r="L39" s="136">
        <f>+Charts!J49</f>
        <v>-1101772.757694582</v>
      </c>
      <c r="M39" s="136">
        <f>+Charts!K49</f>
        <v>-1203779.825266822</v>
      </c>
      <c r="N39" s="136">
        <f>+Charts!L49</f>
        <v>0</v>
      </c>
      <c r="O39" s="136">
        <f>+Charts!M49</f>
        <v>0</v>
      </c>
    </row>
    <row r="40" spans="1:15" ht="6.75" hidden="1" customHeight="1" outlineLevel="1" x14ac:dyDescent="0.25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</row>
    <row r="41" spans="1:15" ht="15" hidden="1" outlineLevel="1" x14ac:dyDescent="0.25">
      <c r="A41" s="135" t="s">
        <v>511</v>
      </c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</row>
    <row r="42" spans="1:15" ht="15" hidden="1" outlineLevel="1" x14ac:dyDescent="0.25">
      <c r="A42" s="296" t="s">
        <v>73</v>
      </c>
      <c r="B42" s="297" t="s">
        <v>60</v>
      </c>
      <c r="C42" s="297" t="s">
        <v>68</v>
      </c>
      <c r="D42" s="295" t="s">
        <v>0</v>
      </c>
      <c r="E42" s="295" t="s">
        <v>1</v>
      </c>
      <c r="F42" s="295" t="s">
        <v>2</v>
      </c>
      <c r="G42" s="295" t="s">
        <v>3</v>
      </c>
      <c r="H42" s="295" t="s">
        <v>4</v>
      </c>
      <c r="I42" s="295" t="s">
        <v>5</v>
      </c>
      <c r="J42" s="295" t="s">
        <v>6</v>
      </c>
      <c r="K42" s="295" t="s">
        <v>7</v>
      </c>
      <c r="L42" s="295" t="s">
        <v>8</v>
      </c>
      <c r="M42" s="295" t="s">
        <v>9</v>
      </c>
      <c r="N42" s="213" t="s">
        <v>514</v>
      </c>
      <c r="O42" s="213" t="s">
        <v>515</v>
      </c>
    </row>
    <row r="43" spans="1:15" ht="15" hidden="1" outlineLevel="1" x14ac:dyDescent="0.25">
      <c r="A43" s="25" t="s">
        <v>410</v>
      </c>
      <c r="B43" s="25"/>
      <c r="C43" s="25"/>
      <c r="D43" s="136">
        <f>+Charts!B16</f>
        <v>0</v>
      </c>
      <c r="E43" s="136">
        <f>+Charts!C16</f>
        <v>7182</v>
      </c>
      <c r="F43" s="136">
        <f>+Charts!D16</f>
        <v>30</v>
      </c>
      <c r="G43" s="136">
        <f>+Charts!E16</f>
        <v>-29.533999999999651</v>
      </c>
      <c r="H43" s="136">
        <f>+Charts!F16</f>
        <v>204.21536999999444</v>
      </c>
      <c r="I43" s="136">
        <f>+Charts!G16</f>
        <v>-39.821116350000011</v>
      </c>
      <c r="J43" s="136">
        <f>+Charts!H16</f>
        <v>-82.117286270749901</v>
      </c>
      <c r="K43" s="136">
        <f>+Charts!I16</f>
        <v>-877.12273922060012</v>
      </c>
      <c r="L43" s="136">
        <f>+Charts!J16</f>
        <v>-782.43674298686892</v>
      </c>
      <c r="M43" s="136">
        <f>+Charts!K16</f>
        <v>-387.18517746121506</v>
      </c>
      <c r="N43" s="136">
        <f>+Charts!L16</f>
        <v>0</v>
      </c>
      <c r="O43" s="136">
        <f>+Charts!M16</f>
        <v>0</v>
      </c>
    </row>
    <row r="44" spans="1:15" ht="15" hidden="1" outlineLevel="1" x14ac:dyDescent="0.25">
      <c r="A44" s="25" t="s">
        <v>445</v>
      </c>
      <c r="B44" s="25"/>
      <c r="C44" s="25"/>
      <c r="D44" s="136">
        <f ca="1">+Charts!B52</f>
        <v>-5386773.6795166293</v>
      </c>
      <c r="E44" s="136">
        <f ca="1">+Charts!C52</f>
        <v>-2154949.7342681158</v>
      </c>
      <c r="F44" s="136">
        <f ca="1">+Charts!D52</f>
        <v>-933514.06866888423</v>
      </c>
      <c r="G44" s="136" t="e">
        <f ca="1">+Charts!E52</f>
        <v>#REF!</v>
      </c>
      <c r="H44" s="136">
        <f ca="1">+Charts!F52</f>
        <v>-5766074.3456955273</v>
      </c>
      <c r="I44" s="136">
        <f ca="1">+Charts!G52</f>
        <v>-1102539.7461332353</v>
      </c>
      <c r="J44" s="136">
        <f ca="1">+Charts!H52</f>
        <v>-3890598.9085841663</v>
      </c>
      <c r="K44" s="136">
        <f ca="1">+Charts!I52</f>
        <v>505010.9264937304</v>
      </c>
      <c r="L44" s="136" t="e">
        <f>+Charts!J52</f>
        <v>#REF!</v>
      </c>
      <c r="M44" s="136" t="e">
        <f>+Charts!K52</f>
        <v>#REF!</v>
      </c>
      <c r="N44" s="136">
        <f>+Charts!L52</f>
        <v>0</v>
      </c>
      <c r="O44" s="136">
        <f>+Charts!M52</f>
        <v>0</v>
      </c>
    </row>
    <row r="45" spans="1:15" ht="6.75" hidden="1" customHeight="1" outlineLevel="1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</row>
    <row r="46" spans="1:15" ht="15" hidden="1" outlineLevel="1" x14ac:dyDescent="0.25">
      <c r="A46" s="135" t="s">
        <v>403</v>
      </c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</row>
    <row r="47" spans="1:15" ht="15" hidden="1" outlineLevel="1" x14ac:dyDescent="0.25">
      <c r="A47" s="296" t="s">
        <v>73</v>
      </c>
      <c r="B47" s="297" t="s">
        <v>60</v>
      </c>
      <c r="C47" s="297" t="s">
        <v>68</v>
      </c>
      <c r="D47" s="295" t="s">
        <v>0</v>
      </c>
      <c r="E47" s="295" t="s">
        <v>1</v>
      </c>
      <c r="F47" s="295" t="s">
        <v>2</v>
      </c>
      <c r="G47" s="295" t="s">
        <v>3</v>
      </c>
      <c r="H47" s="295" t="s">
        <v>4</v>
      </c>
      <c r="I47" s="295" t="s">
        <v>5</v>
      </c>
      <c r="J47" s="295" t="s">
        <v>6</v>
      </c>
      <c r="K47" s="295" t="s">
        <v>7</v>
      </c>
      <c r="L47" s="295" t="s">
        <v>8</v>
      </c>
      <c r="M47" s="295" t="s">
        <v>9</v>
      </c>
      <c r="N47" s="213" t="s">
        <v>514</v>
      </c>
      <c r="O47" s="213" t="s">
        <v>515</v>
      </c>
    </row>
    <row r="48" spans="1:15" ht="15" hidden="1" outlineLevel="1" x14ac:dyDescent="0.25">
      <c r="A48" s="25" t="s">
        <v>410</v>
      </c>
      <c r="B48" s="25"/>
      <c r="C48" s="25"/>
      <c r="D48" s="136">
        <f>+Charts!B20</f>
        <v>16444</v>
      </c>
      <c r="E48" s="136">
        <f>+Charts!C20</f>
        <v>4031</v>
      </c>
      <c r="F48" s="136">
        <f>+Charts!D20</f>
        <v>3648.9440000000068</v>
      </c>
      <c r="G48" s="136">
        <f>+Charts!E20</f>
        <v>3683.475960000007</v>
      </c>
      <c r="H48" s="136">
        <f>+Charts!F20</f>
        <v>1066.4586449999961</v>
      </c>
      <c r="I48" s="136">
        <f>+Charts!G20</f>
        <v>1170.7025402999957</v>
      </c>
      <c r="J48" s="136">
        <f>+Charts!H20</f>
        <v>1199.7808530590023</v>
      </c>
      <c r="K48" s="136">
        <f>+Charts!I20</f>
        <v>1172.8366667562145</v>
      </c>
      <c r="L48" s="136">
        <f>+Charts!J20</f>
        <v>1219.0247125706878</v>
      </c>
      <c r="M48" s="136">
        <f>+Charts!K20</f>
        <v>1627.423891213944</v>
      </c>
      <c r="N48" s="136">
        <f>+Charts!L20</f>
        <v>0</v>
      </c>
      <c r="O48" s="136">
        <f>+Charts!M20</f>
        <v>0</v>
      </c>
    </row>
    <row r="49" spans="1:15" ht="15" hidden="1" outlineLevel="1" x14ac:dyDescent="0.25">
      <c r="A49" s="25" t="s">
        <v>445</v>
      </c>
      <c r="B49" s="25"/>
      <c r="C49" s="25"/>
      <c r="D49" s="136">
        <f ca="1">+Charts!B55</f>
        <v>19737226.320483372</v>
      </c>
      <c r="E49" s="136">
        <f ca="1">+Charts!C55</f>
        <v>17582276.586215254</v>
      </c>
      <c r="F49" s="136">
        <f ca="1">+Charts!D55</f>
        <v>16646499.57954637</v>
      </c>
      <c r="G49" s="136">
        <f ca="1">+Charts!E55</f>
        <v>15294615.117019048</v>
      </c>
      <c r="H49" s="136">
        <f ca="1">+Charts!F55</f>
        <v>9526340.7713235207</v>
      </c>
      <c r="I49" s="136">
        <f ca="1">+Charts!G55</f>
        <v>8415801.0251902863</v>
      </c>
      <c r="J49" s="136">
        <f ca="1">+Charts!H55</f>
        <v>4523202.11660612</v>
      </c>
      <c r="K49" s="136">
        <f ca="1">+Charts!I55</f>
        <v>5026173.043099843</v>
      </c>
      <c r="L49" s="136" t="e">
        <f ca="1">+Charts!J55</f>
        <v>#REF!</v>
      </c>
      <c r="M49" s="136" t="e">
        <f ca="1">+Charts!K55</f>
        <v>#REF!</v>
      </c>
      <c r="N49" s="136">
        <f>+Charts!L55</f>
        <v>0</v>
      </c>
      <c r="O49" s="136">
        <f>+Charts!M55</f>
        <v>0</v>
      </c>
    </row>
    <row r="50" spans="1:15" ht="15" hidden="1" outlineLevel="1" x14ac:dyDescent="0.25"/>
    <row r="51" spans="1:15" ht="15" collapsed="1" x14ac:dyDescent="0.25">
      <c r="A51" s="298" t="s">
        <v>499</v>
      </c>
      <c r="B51" s="298"/>
      <c r="C51" s="298"/>
      <c r="D51" s="298"/>
      <c r="E51" s="298"/>
      <c r="F51" s="298"/>
      <c r="G51" s="298"/>
      <c r="H51" s="298"/>
      <c r="I51" s="298"/>
      <c r="J51" s="298"/>
      <c r="K51" s="298"/>
      <c r="L51" s="298"/>
      <c r="M51" s="298"/>
      <c r="N51" s="298"/>
      <c r="O51" s="298"/>
    </row>
    <row r="52" spans="1:15" ht="15" x14ac:dyDescent="0.25">
      <c r="A52" s="299" t="s">
        <v>73</v>
      </c>
      <c r="B52" s="300" t="s">
        <v>60</v>
      </c>
      <c r="C52" s="300" t="s">
        <v>68</v>
      </c>
      <c r="D52" s="301" t="s">
        <v>0</v>
      </c>
      <c r="E52" s="301" t="s">
        <v>1</v>
      </c>
      <c r="F52" s="301" t="s">
        <v>2</v>
      </c>
      <c r="G52" s="301" t="s">
        <v>3</v>
      </c>
      <c r="H52" s="301" t="s">
        <v>4</v>
      </c>
      <c r="I52" s="301" t="s">
        <v>5</v>
      </c>
      <c r="J52" s="301" t="s">
        <v>6</v>
      </c>
      <c r="K52" s="301" t="s">
        <v>7</v>
      </c>
      <c r="L52" s="301" t="s">
        <v>8</v>
      </c>
      <c r="M52" s="301" t="s">
        <v>9</v>
      </c>
      <c r="N52" s="301" t="s">
        <v>514</v>
      </c>
      <c r="O52" s="301" t="s">
        <v>515</v>
      </c>
    </row>
    <row r="53" spans="1:15" ht="15" x14ac:dyDescent="0.25">
      <c r="A53" s="298" t="s">
        <v>410</v>
      </c>
      <c r="B53" s="298"/>
      <c r="C53" s="298"/>
      <c r="D53" s="302">
        <f>'Capital Program'!D14</f>
        <v>0</v>
      </c>
      <c r="E53" s="302">
        <f>'Capital Program'!E14</f>
        <v>0</v>
      </c>
      <c r="F53" s="302">
        <f ca="1">'Capital Program'!F14</f>
        <v>6711030.2824590579</v>
      </c>
      <c r="G53" s="302">
        <f ca="1">'Capital Program'!G14</f>
        <v>15505127.70665459</v>
      </c>
      <c r="H53" s="302">
        <f ca="1">'Capital Program'!H14</f>
        <v>5386773.6795166293</v>
      </c>
      <c r="I53" s="302">
        <f ca="1">'Capital Program'!I14</f>
        <v>5992505.4982148726</v>
      </c>
      <c r="J53" s="302">
        <f ca="1">'Capital Program'!J14</f>
        <v>4919616.9597329386</v>
      </c>
      <c r="K53" s="302">
        <f ca="1">'Capital Program'!K14</f>
        <v>5577690.5554642063</v>
      </c>
      <c r="L53" s="302">
        <f ca="1">'Capital Program'!L14</f>
        <v>10323853.290281707</v>
      </c>
      <c r="M53" s="302">
        <f ca="1">'Capital Program'!M14</f>
        <v>5729400.1907281922</v>
      </c>
      <c r="N53" s="302">
        <f ca="1">'Capital Program'!N14</f>
        <v>8462427.2463969775</v>
      </c>
      <c r="O53" s="302">
        <f ca="1">'Capital Program'!O14</f>
        <v>4352946.917529624</v>
      </c>
    </row>
    <row r="54" spans="1:15" ht="15" hidden="1" x14ac:dyDescent="0.25">
      <c r="A54" s="298" t="s">
        <v>445</v>
      </c>
      <c r="B54" s="298"/>
      <c r="C54" s="298"/>
      <c r="D54" s="302">
        <f ca="1">'Capital Program'!D32</f>
        <v>5386773.6795166293</v>
      </c>
      <c r="E54" s="302">
        <f ca="1">'Capital Program'!E32</f>
        <v>6869037.4982148726</v>
      </c>
      <c r="F54" s="302">
        <f ca="1">'Capital Program'!F32</f>
        <v>5970292.9597329386</v>
      </c>
      <c r="G54" s="302">
        <f ca="1">'Capital Program'!G32</f>
        <v>6630420.5554642072</v>
      </c>
      <c r="H54" s="302">
        <f ca="1">'Capital Program'!H32</f>
        <v>11558267.290281707</v>
      </c>
      <c r="I54" s="302">
        <f ca="1">'Capital Program'!I32</f>
        <v>6988760.1907281922</v>
      </c>
      <c r="J54" s="302">
        <f ca="1">'Capital Program'!J32</f>
        <v>9644446.2463969775</v>
      </c>
      <c r="K54" s="302">
        <f ca="1">'Capital Program'!K32</f>
        <v>5475779.917529624</v>
      </c>
      <c r="L54" s="302" t="e">
        <f>'Capital Program'!L32</f>
        <v>#REF!</v>
      </c>
      <c r="M54" s="302" t="e">
        <f>'Capital Program'!M32</f>
        <v>#REF!</v>
      </c>
      <c r="N54" s="302">
        <f>'Capital Program'!N32</f>
        <v>0</v>
      </c>
      <c r="O54" s="302">
        <f>'Capital Program'!O32</f>
        <v>0</v>
      </c>
    </row>
    <row r="55" spans="1:15" ht="15" hidden="1" x14ac:dyDescent="0.25">
      <c r="A55" s="298"/>
      <c r="B55" s="298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</row>
    <row r="56" spans="1:15" ht="15" hidden="1" x14ac:dyDescent="0.25">
      <c r="A56" s="298" t="s">
        <v>500</v>
      </c>
      <c r="B56" s="298"/>
      <c r="C56" s="298"/>
      <c r="D56" s="303">
        <f ca="1">D54-D53</f>
        <v>5386773.6795166293</v>
      </c>
      <c r="E56" s="303">
        <f t="shared" ref="E56:M56" ca="1" si="1">E54-E53</f>
        <v>6869037.4982148726</v>
      </c>
      <c r="F56" s="303">
        <f t="shared" ca="1" si="1"/>
        <v>-740737.32272611931</v>
      </c>
      <c r="G56" s="303">
        <f t="shared" ca="1" si="1"/>
        <v>-8874707.1511903815</v>
      </c>
      <c r="H56" s="303">
        <f t="shared" ca="1" si="1"/>
        <v>6171493.6107650781</v>
      </c>
      <c r="I56" s="303">
        <f t="shared" ca="1" si="1"/>
        <v>996254.69251331966</v>
      </c>
      <c r="J56" s="303">
        <f t="shared" ca="1" si="1"/>
        <v>4724829.2866640389</v>
      </c>
      <c r="K56" s="303">
        <f t="shared" ca="1" si="1"/>
        <v>-101910.63793458231</v>
      </c>
      <c r="L56" s="303" t="e">
        <f t="shared" ca="1" si="1"/>
        <v>#REF!</v>
      </c>
      <c r="M56" s="303" t="e">
        <f t="shared" ca="1" si="1"/>
        <v>#REF!</v>
      </c>
      <c r="N56" s="303">
        <f t="shared" ref="N56:O56" ca="1" si="2">N54-N53</f>
        <v>-8462427.2463969775</v>
      </c>
      <c r="O56" s="303">
        <f t="shared" ca="1" si="2"/>
        <v>-4352946.917529624</v>
      </c>
    </row>
    <row r="57" spans="1:15" ht="15" hidden="1" x14ac:dyDescent="0.25">
      <c r="A57" s="298"/>
      <c r="B57" s="298"/>
      <c r="C57" s="298"/>
      <c r="D57" s="298"/>
      <c r="E57" s="298"/>
      <c r="F57" s="298"/>
      <c r="G57" s="298"/>
      <c r="H57" s="298"/>
      <c r="I57" s="298"/>
      <c r="J57" s="298"/>
      <c r="K57" s="298"/>
      <c r="L57" s="298"/>
      <c r="M57" s="298"/>
      <c r="N57" s="298"/>
      <c r="O57" s="298"/>
    </row>
    <row r="58" spans="1:15" ht="15" hidden="1" x14ac:dyDescent="0.25">
      <c r="A58" s="298"/>
      <c r="B58" s="298"/>
      <c r="C58" s="298"/>
      <c r="D58" s="298"/>
      <c r="E58" s="298"/>
      <c r="F58" s="298"/>
      <c r="G58" s="298"/>
      <c r="H58" s="298"/>
      <c r="I58" s="298"/>
      <c r="J58" s="298"/>
      <c r="K58" s="298"/>
      <c r="L58" s="298"/>
      <c r="M58" s="298"/>
      <c r="N58" s="298"/>
      <c r="O58" s="298"/>
    </row>
  </sheetData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85"/>
  <sheetViews>
    <sheetView workbookViewId="0">
      <pane xSplit="1" ySplit="2" topLeftCell="L3" activePane="bottomRight" state="frozen"/>
      <selection pane="topRight" activeCell="B1" sqref="B1"/>
      <selection pane="bottomLeft" activeCell="A2" sqref="A2"/>
      <selection pane="bottomRight" activeCell="A49" sqref="A49"/>
    </sheetView>
  </sheetViews>
  <sheetFormatPr defaultRowHeight="14.4" x14ac:dyDescent="0.3"/>
  <cols>
    <col min="1" max="1" width="43.44140625" bestFit="1" customWidth="1"/>
    <col min="2" max="11" width="13.44140625" customWidth="1"/>
  </cols>
  <sheetData>
    <row r="1" spans="1:28" s="221" customFormat="1" ht="15" x14ac:dyDescent="0.25">
      <c r="L1" s="1560" t="s">
        <v>410</v>
      </c>
      <c r="M1" s="1560"/>
      <c r="N1" s="1560"/>
      <c r="O1" s="1560"/>
      <c r="P1" s="1560"/>
      <c r="Q1" s="1560"/>
      <c r="R1" s="1560"/>
      <c r="S1" s="1560"/>
      <c r="U1" s="1560" t="s">
        <v>445</v>
      </c>
      <c r="V1" s="1560"/>
      <c r="W1" s="1560"/>
      <c r="X1" s="1560"/>
      <c r="Y1" s="1560"/>
      <c r="Z1" s="1560"/>
      <c r="AA1" s="1560"/>
      <c r="AB1" s="1560"/>
    </row>
    <row r="2" spans="1:28" ht="15" x14ac:dyDescent="0.25">
      <c r="A2" s="18" t="s">
        <v>73</v>
      </c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19" t="s">
        <v>5</v>
      </c>
      <c r="H2" s="19" t="s">
        <v>6</v>
      </c>
      <c r="I2" s="19" t="s">
        <v>7</v>
      </c>
      <c r="J2" s="19" t="s">
        <v>8</v>
      </c>
      <c r="K2" s="19" t="s">
        <v>9</v>
      </c>
    </row>
    <row r="3" spans="1:28" ht="15" x14ac:dyDescent="0.25">
      <c r="A3" t="s">
        <v>398</v>
      </c>
      <c r="B3" s="94">
        <f>+Ratios!D8</f>
        <v>0</v>
      </c>
      <c r="C3" s="94">
        <f ca="1">+Ratios!E8</f>
        <v>1.0126975755467433</v>
      </c>
      <c r="D3" s="94">
        <f ca="1">+Ratios!F8</f>
        <v>0.79878103636918452</v>
      </c>
      <c r="E3" s="94">
        <f ca="1">+Ratios!G8</f>
        <v>0.90229587363413921</v>
      </c>
      <c r="F3" s="94">
        <f ca="1">+Ratios!H8</f>
        <v>1.0135635454681231</v>
      </c>
      <c r="G3" s="94">
        <f ca="1">+Ratios!I8</f>
        <v>1.1240153807130597</v>
      </c>
      <c r="H3" s="94">
        <f ca="1">+Ratios!J8</f>
        <v>0.70461997799930531</v>
      </c>
      <c r="I3" s="94">
        <f ca="1">+Ratios!K8</f>
        <v>0.73605492308680143</v>
      </c>
      <c r="J3" s="94" t="e">
        <f>+Ratios!L8</f>
        <v>#REF!</v>
      </c>
      <c r="K3" s="94" t="e">
        <f>+Ratios!M8</f>
        <v>#REF!</v>
      </c>
    </row>
    <row r="4" spans="1:28" ht="15" x14ac:dyDescent="0.25">
      <c r="A4" t="s">
        <v>397</v>
      </c>
      <c r="B4" s="94" t="e">
        <f ca="1">+('Capital Program'!H6+'Capital Program'!H11)/'GF &amp; FF  Inc Exp Statement'!D27</f>
        <v>#DIV/0!</v>
      </c>
      <c r="C4" s="94">
        <f ca="1">+('Capital Program'!I6+'Capital Program'!I11)/'GF &amp; FF  Inc Exp Statement'!E27</f>
        <v>679.95648819477481</v>
      </c>
      <c r="D4" s="94">
        <f ca="1">+('Capital Program'!J6+'Capital Program'!J11)/'GF &amp; FF  Inc Exp Statement'!F24</f>
        <v>2782.7540685067593</v>
      </c>
      <c r="E4" s="94">
        <f ca="1">+('Capital Program'!K6+'Capital Program'!K11)/'GF &amp; FF  Inc Exp Statement'!G27</f>
        <v>609.41520883830788</v>
      </c>
      <c r="F4" s="94">
        <f ca="1">+('Capital Program'!L6+'Capital Program'!L11)/'GF &amp; FF  Inc Exp Statement'!H27</f>
        <v>661.80882191114745</v>
      </c>
      <c r="G4" s="94">
        <f ca="1">+('Capital Program'!M6+'Capital Program'!M11)/'GF &amp; FF  Inc Exp Statement'!I27</f>
        <v>714.07609981134067</v>
      </c>
      <c r="H4" s="94">
        <f ca="1">+('Capital Program'!N6+'Capital Program'!N11)/'GF &amp; FF  Inc Exp Statement'!J27</f>
        <v>499.29661151935301</v>
      </c>
      <c r="I4" s="94">
        <f ca="1">+('Capital Program'!O6+'Capital Program'!O11)/'GF &amp; FF  Inc Exp Statement'!K27</f>
        <v>511.60526123505133</v>
      </c>
      <c r="J4" s="94" t="e">
        <f>+('Capital Program'!#REF!+'Capital Program'!#REF!)/'GF &amp; FF  Inc Exp Statement'!L27</f>
        <v>#REF!</v>
      </c>
      <c r="K4" s="94" t="e">
        <f>+('Capital Program'!#REF!+'Capital Program'!#REF!)/'GF &amp; FF  Inc Exp Statement'!M27</f>
        <v>#REF!</v>
      </c>
    </row>
    <row r="5" spans="1:28" ht="15" x14ac:dyDescent="0.25">
      <c r="A5" t="s">
        <v>396</v>
      </c>
      <c r="B5" s="94">
        <v>1</v>
      </c>
      <c r="C5" s="94">
        <v>1</v>
      </c>
      <c r="D5" s="94">
        <v>1</v>
      </c>
      <c r="E5" s="94">
        <v>1</v>
      </c>
      <c r="F5" s="94">
        <v>1</v>
      </c>
      <c r="G5" s="94">
        <v>1</v>
      </c>
      <c r="H5" s="94">
        <v>1</v>
      </c>
      <c r="I5" s="94">
        <v>1</v>
      </c>
      <c r="J5" s="94">
        <v>1</v>
      </c>
      <c r="K5" s="94">
        <v>1</v>
      </c>
    </row>
    <row r="7" spans="1:28" ht="15" x14ac:dyDescent="0.25">
      <c r="A7" s="114" t="s">
        <v>331</v>
      </c>
    </row>
    <row r="8" spans="1:28" ht="15" x14ac:dyDescent="0.25">
      <c r="A8" t="s">
        <v>399</v>
      </c>
      <c r="B8" s="109">
        <f ca="1">('Capital Program'!H6+'Capital Program'!H11)</f>
        <v>3938411.2650166294</v>
      </c>
      <c r="C8" s="109">
        <f ca="1">('Capital Program'!I6+'Capital Program'!I11)</f>
        <v>4883447.4982148726</v>
      </c>
      <c r="D8" s="109">
        <f ca="1">('Capital Program'!J6+'Capital Program'!J11)</f>
        <v>4175138.4597329386</v>
      </c>
      <c r="E8" s="109">
        <f ca="1">('Capital Program'!K6+'Capital Program'!K11)</f>
        <v>4647074.3454642072</v>
      </c>
      <c r="F8" s="109">
        <f ca="1">('Capital Program'!L6+'Capital Program'!L11)</f>
        <v>5171229.1982817072</v>
      </c>
      <c r="G8" s="109">
        <f ca="1">('Capital Program'!M6+'Capital Program'!M11)</f>
        <v>5716139.1907281922</v>
      </c>
      <c r="H8" s="109">
        <f ca="1">('Capital Program'!N6+'Capital Program'!N11)</f>
        <v>4096481.0463969782</v>
      </c>
      <c r="I8" s="109">
        <f ca="1">('Capital Program'!O6+'Capital Program'!O11)</f>
        <v>4302404.0975296237</v>
      </c>
      <c r="J8" s="109" t="e">
        <f>('Capital Program'!#REF!+'Capital Program'!#REF!)</f>
        <v>#REF!</v>
      </c>
      <c r="K8" s="109" t="e">
        <f>('Capital Program'!#REF!+'Capital Program'!#REF!)</f>
        <v>#REF!</v>
      </c>
    </row>
    <row r="9" spans="1:28" ht="15" x14ac:dyDescent="0.25">
      <c r="A9" t="s">
        <v>400</v>
      </c>
      <c r="B9" s="109">
        <f ca="1">('Capital Program'!H5+'Capital Program'!H10)</f>
        <v>1448362.4145000002</v>
      </c>
      <c r="C9" s="109">
        <f ca="1">('Capital Program'!I5+'Capital Program'!I10)</f>
        <v>1109058</v>
      </c>
      <c r="D9" s="109">
        <f ca="1">('Capital Program'!J5+'Capital Program'!J10)</f>
        <v>744478.5</v>
      </c>
      <c r="E9" s="109">
        <f ca="1">('Capital Program'!K5+'Capital Program'!K10)</f>
        <v>930616.21</v>
      </c>
      <c r="F9" s="109">
        <f ca="1">('Capital Program'!L5+'Capital Program'!L10)</f>
        <v>5152624.0920000002</v>
      </c>
      <c r="G9" s="109">
        <f ca="1">('Capital Program'!M5+'Capital Program'!M10)</f>
        <v>13261</v>
      </c>
      <c r="H9" s="109">
        <f ca="1">('Capital Program'!N5+'Capital Program'!N10)</f>
        <v>4365946.2</v>
      </c>
      <c r="I9" s="109">
        <f ca="1">('Capital Program'!O5+'Capital Program'!O10)</f>
        <v>50542.82</v>
      </c>
      <c r="J9" s="109" t="e">
        <f>('Capital Program'!#REF!+'Capital Program'!#REF!)</f>
        <v>#REF!</v>
      </c>
      <c r="K9" s="109" t="e">
        <f>('Capital Program'!#REF!+'Capital Program'!#REF!)</f>
        <v>#REF!</v>
      </c>
    </row>
    <row r="11" spans="1:28" ht="15" x14ac:dyDescent="0.25">
      <c r="A11" s="202" t="s">
        <v>401</v>
      </c>
    </row>
    <row r="12" spans="1:28" ht="15" x14ac:dyDescent="0.25">
      <c r="A12" s="221" t="s">
        <v>512</v>
      </c>
      <c r="B12" s="4">
        <f>+'GF &amp; FF  Inc Exp Statement'!D38</f>
        <v>0</v>
      </c>
      <c r="C12" s="4">
        <f>+'GF &amp; FF  Inc Exp Statement'!E38</f>
        <v>11810</v>
      </c>
      <c r="D12" s="4">
        <f>+'GF &amp; FF  Inc Exp Statement'!F38</f>
        <v>2928.0070000000123</v>
      </c>
      <c r="E12" s="4">
        <f>+'GF &amp; FF  Inc Exp Statement'!G38</f>
        <v>4419.8999599999952</v>
      </c>
      <c r="F12" s="4">
        <f>+'GF &amp; FF  Inc Exp Statement'!H38</f>
        <v>4402.2824850000034</v>
      </c>
      <c r="G12" s="4">
        <f>+'GF &amp; FF  Inc Exp Statement'!I38</f>
        <v>4661.3812902999998</v>
      </c>
      <c r="H12" s="4">
        <f>+'GF &amp; FF  Inc Exp Statement'!J38</f>
        <v>4547.2847176340074</v>
      </c>
      <c r="I12" s="4">
        <f>+'GF &amp; FF  Inc Exp Statement'!K38</f>
        <v>4332.5622136972088</v>
      </c>
      <c r="J12" s="4">
        <f>+'GF &amp; FF  Inc Exp Statement'!L38</f>
        <v>4420.1863558144687</v>
      </c>
      <c r="K12" s="4">
        <f>+'GF &amp; FF  Inc Exp Statement'!M38</f>
        <v>4499.7787113932573</v>
      </c>
    </row>
    <row r="13" spans="1:28" ht="15" x14ac:dyDescent="0.25">
      <c r="A13" s="221" t="s">
        <v>513</v>
      </c>
      <c r="B13" s="4">
        <f>+'GF &amp; FF  Inc Exp Statement'!D43</f>
        <v>0</v>
      </c>
      <c r="C13" s="4">
        <f>+'GF &amp; FF  Inc Exp Statement'!E43</f>
        <v>-2644</v>
      </c>
      <c r="D13" s="4">
        <f>+'GF &amp; FF  Inc Exp Statement'!F43</f>
        <v>30.000000000012278</v>
      </c>
      <c r="E13" s="4">
        <f>+'GF &amp; FF  Inc Exp Statement'!G43</f>
        <v>631.93295999999509</v>
      </c>
      <c r="F13" s="4">
        <f>+'GF &amp; FF  Inc Exp Statement'!H43</f>
        <v>557.91147500000352</v>
      </c>
      <c r="G13" s="4">
        <f>+'GF &amp; FF  Inc Exp Statement'!I43</f>
        <v>758.92227499999944</v>
      </c>
      <c r="H13" s="4">
        <f>+'GF &amp; FF  Inc Exp Statement'!J43</f>
        <v>585.00338500000726</v>
      </c>
      <c r="I13" s="4">
        <f>+'GF &amp; FF  Inc Exp Statement'!K43</f>
        <v>271.22384774735883</v>
      </c>
      <c r="J13" s="4">
        <f>+'GF &amp; FF  Inc Exp Statement'!L43</f>
        <v>257.31453071587384</v>
      </c>
      <c r="K13" s="4">
        <f>+'GF &amp; FF  Inc Exp Statement'!M43</f>
        <v>232.83509066719671</v>
      </c>
    </row>
    <row r="16" spans="1:28" ht="15" x14ac:dyDescent="0.25">
      <c r="A16" t="s">
        <v>402</v>
      </c>
      <c r="B16" s="4">
        <f>+'GF &amp; FF  Inc Exp Statement'!D69</f>
        <v>0</v>
      </c>
      <c r="C16" s="4">
        <f>+'GF &amp; FF  Inc Exp Statement'!E69</f>
        <v>7182</v>
      </c>
      <c r="D16" s="4">
        <f>+'GF &amp; FF  Inc Exp Statement'!F69</f>
        <v>30</v>
      </c>
      <c r="E16" s="4">
        <f>+'GF &amp; FF  Inc Exp Statement'!G69</f>
        <v>-29.533999999999651</v>
      </c>
      <c r="F16" s="4">
        <f>+'GF &amp; FF  Inc Exp Statement'!H69</f>
        <v>204.21536999999444</v>
      </c>
      <c r="G16" s="4">
        <f>+'GF &amp; FF  Inc Exp Statement'!I69</f>
        <v>-39.821116350000011</v>
      </c>
      <c r="H16" s="4">
        <f>+'GF &amp; FF  Inc Exp Statement'!J69</f>
        <v>-82.117286270749901</v>
      </c>
      <c r="I16" s="4">
        <f>+'GF &amp; FF  Inc Exp Statement'!K69</f>
        <v>-877.12273922060012</v>
      </c>
      <c r="J16" s="4">
        <f>+'GF &amp; FF  Inc Exp Statement'!L69</f>
        <v>-782.43674298686892</v>
      </c>
      <c r="K16" s="4">
        <f>+'GF &amp; FF  Inc Exp Statement'!M69</f>
        <v>-387.18517746121506</v>
      </c>
    </row>
    <row r="18" spans="1:11" s="221" customFormat="1" ht="15" x14ac:dyDescent="0.25"/>
    <row r="19" spans="1:11" ht="15" x14ac:dyDescent="0.25">
      <c r="A19" s="212" t="s">
        <v>73</v>
      </c>
      <c r="B19" s="213" t="s">
        <v>0</v>
      </c>
      <c r="C19" s="213" t="s">
        <v>1</v>
      </c>
      <c r="D19" s="213" t="s">
        <v>2</v>
      </c>
      <c r="E19" s="213" t="s">
        <v>3</v>
      </c>
      <c r="F19" s="213" t="s">
        <v>4</v>
      </c>
      <c r="G19" s="213" t="s">
        <v>5</v>
      </c>
      <c r="H19" s="213" t="s">
        <v>6</v>
      </c>
      <c r="I19" s="213" t="s">
        <v>7</v>
      </c>
      <c r="J19" s="213" t="s">
        <v>8</v>
      </c>
      <c r="K19" s="213" t="s">
        <v>9</v>
      </c>
    </row>
    <row r="20" spans="1:11" ht="15" x14ac:dyDescent="0.25">
      <c r="A20" t="s">
        <v>403</v>
      </c>
      <c r="B20" s="4">
        <f>+('GF &amp; FF  Bal Sheet'!D7+'GF &amp; FF  Bal Sheet'!D8)</f>
        <v>16444</v>
      </c>
      <c r="C20" s="214">
        <f>+('GF &amp; FF  Bal Sheet'!E7+'GF &amp; FF  Bal Sheet'!E8)</f>
        <v>4031</v>
      </c>
      <c r="D20" s="214">
        <f>+('GF &amp; FF  Bal Sheet'!F7+'GF &amp; FF  Bal Sheet'!F8)</f>
        <v>3648.9440000000068</v>
      </c>
      <c r="E20" s="214">
        <f>+('GF &amp; FF  Bal Sheet'!G7+'GF &amp; FF  Bal Sheet'!G8)</f>
        <v>3683.475960000007</v>
      </c>
      <c r="F20" s="214">
        <f>+('GF &amp; FF  Bal Sheet'!H7+'GF &amp; FF  Bal Sheet'!H8)</f>
        <v>1066.4586449999961</v>
      </c>
      <c r="G20" s="214">
        <f>+('GF &amp; FF  Bal Sheet'!I7+'GF &amp; FF  Bal Sheet'!I8)</f>
        <v>1170.7025402999957</v>
      </c>
      <c r="H20" s="214">
        <f>+('GF &amp; FF  Bal Sheet'!J7+'GF &amp; FF  Bal Sheet'!J8)</f>
        <v>1199.7808530590023</v>
      </c>
      <c r="I20" s="214">
        <f>+('GF &amp; FF  Bal Sheet'!K7+'GF &amp; FF  Bal Sheet'!K8)</f>
        <v>1172.8366667562145</v>
      </c>
      <c r="J20" s="214">
        <f>+('GF &amp; FF  Bal Sheet'!L7+'GF &amp; FF  Bal Sheet'!L8)</f>
        <v>1219.0247125706878</v>
      </c>
      <c r="K20" s="214">
        <f>+('GF &amp; FF  Bal Sheet'!M7+'GF &amp; FF  Bal Sheet'!M8)</f>
        <v>1627.423891213944</v>
      </c>
    </row>
    <row r="23" spans="1:11" ht="15" x14ac:dyDescent="0.25">
      <c r="A23" s="114" t="s">
        <v>76</v>
      </c>
    </row>
    <row r="24" spans="1:11" ht="15" x14ac:dyDescent="0.25">
      <c r="A24" s="4" t="s">
        <v>410</v>
      </c>
      <c r="B24" s="4">
        <f>+'GF &amp; FF  Inc Exp Statement'!D38</f>
        <v>0</v>
      </c>
      <c r="C24" s="4">
        <f>+'GF &amp; FF  Inc Exp Statement'!E38</f>
        <v>11810</v>
      </c>
      <c r="D24" s="4">
        <f>+'GF &amp; FF  Inc Exp Statement'!F38</f>
        <v>2928.0070000000123</v>
      </c>
      <c r="E24" s="4">
        <f>+'GF &amp; FF  Inc Exp Statement'!G38</f>
        <v>4419.8999599999952</v>
      </c>
      <c r="F24" s="4">
        <f>+'GF &amp; FF  Inc Exp Statement'!H38</f>
        <v>4402.2824850000034</v>
      </c>
      <c r="G24" s="4">
        <f>+'GF &amp; FF  Inc Exp Statement'!I38</f>
        <v>4661.3812902999998</v>
      </c>
      <c r="H24" s="4">
        <f>+'GF &amp; FF  Inc Exp Statement'!J38</f>
        <v>4547.2847176340074</v>
      </c>
      <c r="I24" s="4">
        <f>+'GF &amp; FF  Inc Exp Statement'!K38</f>
        <v>4332.5622136972088</v>
      </c>
      <c r="J24" s="4">
        <f>+'GF &amp; FF  Inc Exp Statement'!L38</f>
        <v>4420.1863558144687</v>
      </c>
      <c r="K24" s="4">
        <f>+'GF &amp; FF  Inc Exp Statement'!M38</f>
        <v>4499.7787113932573</v>
      </c>
    </row>
    <row r="25" spans="1:11" ht="15" x14ac:dyDescent="0.25">
      <c r="A25" s="4" t="s">
        <v>414</v>
      </c>
      <c r="B25" s="4">
        <f>+'GF &amp; FF  Inc Exp Statement'!D113</f>
        <v>0</v>
      </c>
      <c r="C25" s="4">
        <f>+'GF &amp; FF  Inc Exp Statement'!E113</f>
        <v>11810</v>
      </c>
      <c r="D25" s="4">
        <f>+'GF &amp; FF  Inc Exp Statement'!F113</f>
        <v>2928.0070000000123</v>
      </c>
      <c r="E25" s="4">
        <f>+'GF &amp; FF  Inc Exp Statement'!G113</f>
        <v>4719.9369999999908</v>
      </c>
      <c r="F25" s="4">
        <f>+'GF &amp; FF  Inc Exp Statement'!H113</f>
        <v>4997.5820099999983</v>
      </c>
      <c r="G25" s="4">
        <f>+'GF &amp; FF  Inc Exp Statement'!I113</f>
        <v>8581.3400152999966</v>
      </c>
      <c r="H25" s="4">
        <f>+'GF &amp; FF  Inc Exp Statement'!J113</f>
        <v>4131.9530926340012</v>
      </c>
      <c r="I25" s="4">
        <f>+'GF &amp; FF  Inc Exp Statement'!K113</f>
        <v>4096.5218832090395</v>
      </c>
      <c r="J25" s="4">
        <f>+'GF &amp; FF  Inc Exp Statement'!L113</f>
        <v>4268.246832507255</v>
      </c>
      <c r="K25" s="4">
        <f>+'GF &amp; FF  Inc Exp Statement'!M113</f>
        <v>4409.5900297828048</v>
      </c>
    </row>
    <row r="26" spans="1:11" ht="15" x14ac:dyDescent="0.25">
      <c r="A26" s="4" t="s">
        <v>411</v>
      </c>
      <c r="B26" s="4">
        <f>+'GF &amp; FF  Inc Exp Statement'!D182</f>
        <v>0</v>
      </c>
      <c r="C26" s="4">
        <f>+'GF &amp; FF  Inc Exp Statement'!E182</f>
        <v>11810</v>
      </c>
      <c r="D26" s="4">
        <f>+'GF &amp; FF  Inc Exp Statement'!F182</f>
        <v>2928.0070000000123</v>
      </c>
      <c r="E26" s="4">
        <f>+'GF &amp; FF  Inc Exp Statement'!G182</f>
        <v>5278.2884999999951</v>
      </c>
      <c r="F26" s="4">
        <f>+'GF &amp; FF  Inc Exp Statement'!H182</f>
        <v>5090.9202934999994</v>
      </c>
      <c r="G26" s="4">
        <f>+'GF &amp; FF  Inc Exp Statement'!I182</f>
        <v>8943.6078496374976</v>
      </c>
      <c r="H26" s="4">
        <f>+'GF &amp; FF  Inc Exp Statement'!J182</f>
        <v>4503.2776228299408</v>
      </c>
      <c r="I26" s="4">
        <f>+'GF &amp; FF  Inc Exp Statement'!K182</f>
        <v>3963.6507705890253</v>
      </c>
      <c r="J26" s="4">
        <f>+'GF &amp; FF  Inc Exp Statement'!L182</f>
        <v>4086.0821188998816</v>
      </c>
      <c r="K26" s="4">
        <f>+'GF &amp; FF  Inc Exp Statement'!M182</f>
        <v>3813.3604825893635</v>
      </c>
    </row>
    <row r="28" spans="1:11" ht="15" x14ac:dyDescent="0.25">
      <c r="A28" s="114" t="s">
        <v>422</v>
      </c>
    </row>
    <row r="29" spans="1:11" ht="15" x14ac:dyDescent="0.25">
      <c r="A29" t="s">
        <v>416</v>
      </c>
      <c r="B29" s="4">
        <f>+'GF &amp; FF  Inc Exp Statement'!D21-'GF &amp; FF  Inc Exp Statement'!D16</f>
        <v>0</v>
      </c>
      <c r="C29" s="4">
        <f>+'GF &amp; FF  Inc Exp Statement'!E21-'GF &amp; FF  Inc Exp Statement'!E16</f>
        <v>32354</v>
      </c>
      <c r="D29" s="4">
        <f>+'GF &amp; FF  Inc Exp Statement'!F21-'GF &amp; FF  Inc Exp Statement'!F16</f>
        <v>38251.418000000005</v>
      </c>
      <c r="E29" s="4">
        <f>+'GF &amp; FF  Inc Exp Statement'!G21-'GF &amp; FF  Inc Exp Statement'!G16</f>
        <v>39020.202960000002</v>
      </c>
      <c r="F29" s="4">
        <f>+'GF &amp; FF  Inc Exp Statement'!H21-'GF &amp; FF  Inc Exp Statement'!H16</f>
        <v>40041.848474999999</v>
      </c>
      <c r="G29" s="4">
        <f>+'GF &amp; FF  Inc Exp Statement'!I21-'GF &amp; FF  Inc Exp Statement'!I16</f>
        <v>41244.394274999999</v>
      </c>
      <c r="H29" s="4">
        <f>+'GF &amp; FF  Inc Exp Statement'!J21-'GF &amp; FF  Inc Exp Statement'!J16</f>
        <v>42129.524385000012</v>
      </c>
      <c r="I29" s="4">
        <f>+'GF &amp; FF  Inc Exp Statement'!K21-'GF &amp; FF  Inc Exp Statement'!K16</f>
        <v>42766.545767747361</v>
      </c>
      <c r="J29" s="4">
        <f>+'GF &amp; FF  Inc Exp Statement'!L21-'GF &amp; FF  Inc Exp Statement'!L16</f>
        <v>43726.606744915873</v>
      </c>
      <c r="K29" s="4">
        <f>+'GF &amp; FF  Inc Exp Statement'!M21-'GF &amp; FF  Inc Exp Statement'!M16</f>
        <v>44711.732457610196</v>
      </c>
    </row>
    <row r="30" spans="1:11" ht="15" x14ac:dyDescent="0.25">
      <c r="A30" t="s">
        <v>417</v>
      </c>
      <c r="B30" s="4">
        <f>+'GF &amp; FF  Inc Exp Statement'!D31</f>
        <v>0</v>
      </c>
      <c r="C30" s="4">
        <f>+'GF &amp; FF  Inc Exp Statement'!E31</f>
        <v>35003</v>
      </c>
      <c r="D30" s="4">
        <f>+'GF &amp; FF  Inc Exp Statement'!F31</f>
        <v>38221.417999999991</v>
      </c>
      <c r="E30" s="4">
        <f>+'GF &amp; FF  Inc Exp Statement'!G31</f>
        <v>38388.270000000004</v>
      </c>
      <c r="F30" s="4">
        <f>+'GF &amp; FF  Inc Exp Statement'!H31</f>
        <v>39483.936999999998</v>
      </c>
      <c r="G30" s="4">
        <f>+'GF &amp; FF  Inc Exp Statement'!I31</f>
        <v>40485.472000000002</v>
      </c>
      <c r="H30" s="4">
        <f>+'GF &amp; FF  Inc Exp Statement'!J31</f>
        <v>41544.521000000001</v>
      </c>
      <c r="I30" s="4">
        <f>+'GF &amp; FF  Inc Exp Statement'!K31</f>
        <v>42495.321920000002</v>
      </c>
      <c r="J30" s="4">
        <f>+'GF &amp; FF  Inc Exp Statement'!L31</f>
        <v>43469.292214200002</v>
      </c>
      <c r="K30" s="4">
        <f>+'GF &amp; FF  Inc Exp Statement'!M31</f>
        <v>44478.897366942998</v>
      </c>
    </row>
    <row r="31" spans="1:11" ht="15" x14ac:dyDescent="0.25">
      <c r="A31" t="s">
        <v>418</v>
      </c>
      <c r="B31" s="4">
        <f>+'GF &amp; FF  Inc Exp Statement'!D94-'GF &amp; FF  Inc Exp Statement'!D89</f>
        <v>0</v>
      </c>
      <c r="C31" s="4">
        <f>+'GF &amp; FF  Inc Exp Statement'!E94-'GF &amp; FF  Inc Exp Statement'!E89</f>
        <v>32354</v>
      </c>
      <c r="D31" s="4">
        <f>+'GF &amp; FF  Inc Exp Statement'!F94-'GF &amp; FF  Inc Exp Statement'!F89</f>
        <v>38251.418000000005</v>
      </c>
      <c r="E31" s="4">
        <f>+'GF &amp; FF  Inc Exp Statement'!G94-'GF &amp; FF  Inc Exp Statement'!G89</f>
        <v>39320.239999999998</v>
      </c>
      <c r="F31" s="4">
        <f>+'GF &amp; FF  Inc Exp Statement'!H94-'GF &amp; FF  Inc Exp Statement'!H89</f>
        <v>40351.375999999997</v>
      </c>
      <c r="G31" s="4">
        <f>+'GF &amp; FF  Inc Exp Statement'!I94-'GF &amp; FF  Inc Exp Statement'!I89</f>
        <v>42162.347999999998</v>
      </c>
      <c r="H31" s="4">
        <f>+'GF &amp; FF  Inc Exp Statement'!J94-'GF &amp; FF  Inc Exp Statement'!J89</f>
        <v>43646.566760000002</v>
      </c>
      <c r="I31" s="4">
        <f>+'GF &amp; FF  Inc Exp Statement'!K94-'GF &amp; FF  Inc Exp Statement'!K89</f>
        <v>44478.879439722354</v>
      </c>
      <c r="J31" s="4">
        <f>+'GF &amp; FF  Inc Exp Statement'!L94-'GF &amp; FF  Inc Exp Statement'!L89</f>
        <v>45540.450008625841</v>
      </c>
      <c r="K31" s="4">
        <f>+'GF &amp; FF  Inc Exp Statement'!M94-'GF &amp; FF  Inc Exp Statement'!M89</f>
        <v>46594.320689854641</v>
      </c>
    </row>
    <row r="32" spans="1:11" ht="15" x14ac:dyDescent="0.25">
      <c r="A32" t="s">
        <v>419</v>
      </c>
      <c r="B32" s="4">
        <f>+'GF &amp; FF  Inc Exp Statement'!D106</f>
        <v>0</v>
      </c>
      <c r="C32" s="4">
        <f>+'GF &amp; FF  Inc Exp Statement'!E106</f>
        <v>35003</v>
      </c>
      <c r="D32" s="4">
        <f>+'GF &amp; FF  Inc Exp Statement'!F106</f>
        <v>38221.417999999991</v>
      </c>
      <c r="E32" s="4">
        <f>+'GF &amp; FF  Inc Exp Statement'!G106</f>
        <v>38388.270000000004</v>
      </c>
      <c r="F32" s="4">
        <f>+'GF &amp; FF  Inc Exp Statement'!H106</f>
        <v>39198.165000000001</v>
      </c>
      <c r="G32" s="4">
        <f>+'GF &amp; FF  Inc Exp Statement'!I106</f>
        <v>40983.467000000004</v>
      </c>
      <c r="H32" s="4">
        <f>+'GF &amp; FF  Inc Exp Statement'!J106</f>
        <v>43476.894999999997</v>
      </c>
      <c r="I32" s="4">
        <f>+'GF &amp; FF  Inc Exp Statement'!K106</f>
        <v>44432.589515799998</v>
      </c>
      <c r="J32" s="4">
        <f>+'GF &amp; FF  Inc Exp Statement'!L106</f>
        <v>45412.362399591002</v>
      </c>
      <c r="K32" s="4">
        <f>+'GF &amp; FF  Inc Exp Statement'!M106</f>
        <v>46416.838758638696</v>
      </c>
    </row>
    <row r="33" spans="1:11" ht="15" x14ac:dyDescent="0.25">
      <c r="A33" t="s">
        <v>420</v>
      </c>
      <c r="B33" s="4">
        <f>+'GF &amp; FF  Inc Exp Statement'!D163-'GF &amp; FF  Inc Exp Statement'!D158</f>
        <v>0</v>
      </c>
      <c r="C33" s="4">
        <f>+'GF &amp; FF  Inc Exp Statement'!E163-'GF &amp; FF  Inc Exp Statement'!E158</f>
        <v>32354</v>
      </c>
      <c r="D33" s="4">
        <f>+'GF &amp; FF  Inc Exp Statement'!F163-'GF &amp; FF  Inc Exp Statement'!F158</f>
        <v>38251.418000000005</v>
      </c>
      <c r="E33" s="4">
        <f>+'GF &amp; FF  Inc Exp Statement'!G163-'GF &amp; FF  Inc Exp Statement'!G158</f>
        <v>39878.591500000002</v>
      </c>
      <c r="F33" s="4">
        <f>+'GF &amp; FF  Inc Exp Statement'!H163-'GF &amp; FF  Inc Exp Statement'!H158</f>
        <v>40444.714283499998</v>
      </c>
      <c r="G33" s="4">
        <f>+'GF &amp; FF  Inc Exp Statement'!I163-'GF &amp; FF  Inc Exp Statement'!I158</f>
        <v>42524.615834337499</v>
      </c>
      <c r="H33" s="4">
        <f>+'GF &amp; FF  Inc Exp Statement'!J163-'GF &amp; FF  Inc Exp Statement'!J158</f>
        <v>44017.891290195941</v>
      </c>
      <c r="I33" s="4">
        <f>+'GF &amp; FF  Inc Exp Statement'!K163-'GF &amp; FF  Inc Exp Statement'!K158</f>
        <v>44354.713327102341</v>
      </c>
      <c r="J33" s="4">
        <f>+'GF &amp; FF  Inc Exp Statement'!L163-'GF &amp; FF  Inc Exp Statement'!L158</f>
        <v>45376.087020018473</v>
      </c>
      <c r="K33" s="4">
        <f>+'GF &amp; FF  Inc Exp Statement'!M163-'GF &amp; FF  Inc Exp Statement'!M158</f>
        <v>46025.394592786193</v>
      </c>
    </row>
    <row r="34" spans="1:11" ht="15" x14ac:dyDescent="0.25">
      <c r="A34" t="s">
        <v>421</v>
      </c>
      <c r="B34" s="4">
        <f>+'GF &amp; FF  Inc Exp Statement'!D175</f>
        <v>0</v>
      </c>
      <c r="C34" s="4">
        <f>+'GF &amp; FF  Inc Exp Statement'!E175</f>
        <v>35003</v>
      </c>
      <c r="D34" s="4">
        <f>+'GF &amp; FF  Inc Exp Statement'!F175</f>
        <v>38221.417999999991</v>
      </c>
      <c r="E34" s="4">
        <f>+'GF &amp; FF  Inc Exp Statement'!G175</f>
        <v>38388.270000000004</v>
      </c>
      <c r="F34" s="4">
        <f>+'GF &amp; FF  Inc Exp Statement'!H175</f>
        <v>39198.165000000001</v>
      </c>
      <c r="G34" s="4">
        <f>+'GF &amp; FF  Inc Exp Statement'!I175</f>
        <v>40983.467000000004</v>
      </c>
      <c r="H34" s="4">
        <f>+'GF &amp; FF  Inc Exp Statement'!J175</f>
        <v>43476.894999999997</v>
      </c>
      <c r="I34" s="4">
        <f>+'GF &amp; FF  Inc Exp Statement'!K175</f>
        <v>44432.589515799998</v>
      </c>
      <c r="J34" s="4">
        <f>+'GF &amp; FF  Inc Exp Statement'!L175</f>
        <v>45412.362399591002</v>
      </c>
      <c r="K34" s="4">
        <f>+'GF &amp; FF  Inc Exp Statement'!M175</f>
        <v>46416.838758638696</v>
      </c>
    </row>
    <row r="37" spans="1:11" x14ac:dyDescent="0.3">
      <c r="A37" s="114" t="s">
        <v>429</v>
      </c>
    </row>
    <row r="38" spans="1:11" x14ac:dyDescent="0.3">
      <c r="A38" t="s">
        <v>410</v>
      </c>
      <c r="B38" s="4">
        <f>+'GF &amp; FF   Cash Flow'!D52</f>
        <v>55408</v>
      </c>
      <c r="C38" s="4">
        <f>+'GF &amp; FF   Cash Flow'!E52</f>
        <v>19402</v>
      </c>
      <c r="D38" s="4">
        <f>+'GF &amp; FF   Cash Flow'!F52</f>
        <v>19019.944000000007</v>
      </c>
      <c r="E38" s="4">
        <f>+'GF &amp; FF   Cash Flow'!G52</f>
        <v>19054.475960000007</v>
      </c>
      <c r="F38" s="4">
        <f>+'GF &amp; FF   Cash Flow'!H52</f>
        <v>13437.458644999995</v>
      </c>
      <c r="G38" s="4">
        <f>+'GF &amp; FF   Cash Flow'!I52</f>
        <v>13541.702540299995</v>
      </c>
      <c r="H38" s="4">
        <f>+'GF &amp; FF   Cash Flow'!J52</f>
        <v>13570.780853059003</v>
      </c>
      <c r="I38" s="4">
        <f>+'GF &amp; FF   Cash Flow'!K52</f>
        <v>13543.836666756215</v>
      </c>
      <c r="J38" s="4">
        <f>+'GF &amp; FF   Cash Flow'!L52</f>
        <v>13590.024712570688</v>
      </c>
      <c r="K38" s="4">
        <f>+'GF &amp; FF   Cash Flow'!M52</f>
        <v>13998.423891213944</v>
      </c>
    </row>
    <row r="39" spans="1:11" x14ac:dyDescent="0.3">
      <c r="A39" t="s">
        <v>414</v>
      </c>
      <c r="B39" s="4">
        <f>+'GF &amp; FF   Cash Flow'!D105</f>
        <v>55408</v>
      </c>
      <c r="C39" s="4">
        <f>+'GF &amp; FF   Cash Flow'!E105</f>
        <v>19402</v>
      </c>
      <c r="D39" s="4">
        <f>+'GF &amp; FF   Cash Flow'!F105</f>
        <v>19019.944000000007</v>
      </c>
      <c r="E39" s="4">
        <f>+'GF &amp; FF   Cash Flow'!G105</f>
        <v>20384.695000000003</v>
      </c>
      <c r="F39" s="4">
        <f>+'GF &amp; FF   Cash Flow'!H105</f>
        <v>13082.483209999991</v>
      </c>
      <c r="G39" s="4">
        <f>+'GF &amp; FF   Cash Flow'!I105</f>
        <v>15032.671830299994</v>
      </c>
      <c r="H39" s="4">
        <f>+'GF &amp; FF   Cash Flow'!J105</f>
        <v>15910.471518058994</v>
      </c>
      <c r="I39" s="4">
        <f>+'GF &amp; FF   Cash Flow'!K105</f>
        <v>17490.727236271163</v>
      </c>
      <c r="J39" s="4">
        <f>+'GF &amp; FF   Cash Flow'!L105</f>
        <v>18286.993849656621</v>
      </c>
      <c r="K39" s="4">
        <f>+'GF &amp; FF   Cash Flow'!M105</f>
        <v>18250.471614839582</v>
      </c>
    </row>
    <row r="40" spans="1:11" x14ac:dyDescent="0.3">
      <c r="A40" t="s">
        <v>411</v>
      </c>
      <c r="B40" s="4">
        <f>+'GF &amp; FF   Cash Flow'!D158</f>
        <v>55408</v>
      </c>
      <c r="C40" s="4">
        <f>+'GF &amp; FF   Cash Flow'!E158</f>
        <v>19402</v>
      </c>
      <c r="D40" s="4">
        <f>+'GF &amp; FF   Cash Flow'!F158</f>
        <v>19019.944000000007</v>
      </c>
      <c r="E40" s="4">
        <f>+'GF &amp; FF   Cash Flow'!G158</f>
        <v>20943.046500000008</v>
      </c>
      <c r="F40" s="4">
        <f>+'GF &amp; FF   Cash Flow'!H158</f>
        <v>13734.172993500004</v>
      </c>
      <c r="G40" s="4">
        <f>+'GF &amp; FF   Cash Flow'!I158</f>
        <v>16046.629448137508</v>
      </c>
      <c r="H40" s="4">
        <f>+'GF &amp; FF   Cash Flow'!J158</f>
        <v>17295.753666092449</v>
      </c>
      <c r="I40" s="4">
        <f>+'GF &amp; FF   Cash Flow'!K158</f>
        <v>17983.323358708971</v>
      </c>
      <c r="J40" s="4">
        <f>+'GF &amp; FF   Cash Flow'!L158</f>
        <v>18772.037057951897</v>
      </c>
      <c r="K40" s="4">
        <f>+'GF &amp; FF   Cash Flow'!M158</f>
        <v>19267.421889363035</v>
      </c>
    </row>
    <row r="46" spans="1:11" x14ac:dyDescent="0.3">
      <c r="A46" s="115" t="s">
        <v>430</v>
      </c>
    </row>
    <row r="47" spans="1:11" x14ac:dyDescent="0.3">
      <c r="A47" s="202" t="s">
        <v>401</v>
      </c>
    </row>
    <row r="48" spans="1:11" x14ac:dyDescent="0.3">
      <c r="A48" s="221" t="s">
        <v>512</v>
      </c>
      <c r="B48" s="4">
        <f>+'Scenario 2 Inc Exp Statement'!D28</f>
        <v>0</v>
      </c>
      <c r="C48" s="4">
        <f>+'Scenario 2 Inc Exp Statement'!E28</f>
        <v>103739.76394675672</v>
      </c>
      <c r="D48" s="4">
        <f>+'Scenario 2 Inc Exp Statement'!F28</f>
        <v>308909.95306405425</v>
      </c>
      <c r="E48" s="4">
        <f>+'Scenario 2 Inc Exp Statement'!G28</f>
        <v>434790.09293688461</v>
      </c>
      <c r="F48" s="4">
        <f>+'Scenario 2 Inc Exp Statement'!H28</f>
        <v>825152.94458618015</v>
      </c>
      <c r="G48" s="4">
        <f>+'Scenario 2 Inc Exp Statement'!I28</f>
        <v>789259.44459495693</v>
      </c>
      <c r="H48" s="4">
        <f>+'Scenario 2 Inc Exp Statement'!J28</f>
        <v>535662.33781281114</v>
      </c>
      <c r="I48" s="4">
        <f>+'Scenario 2 Inc Exp Statement'!K28</f>
        <v>632160.84402335435</v>
      </c>
      <c r="J48" s="4">
        <f>+'Scenario 2 Inc Exp Statement'!L28</f>
        <v>580835.38523375988</v>
      </c>
      <c r="K48" s="4">
        <f>+'Scenario 2 Inc Exp Statement'!M28</f>
        <v>520893.5212347284</v>
      </c>
    </row>
    <row r="49" spans="1:11" x14ac:dyDescent="0.3">
      <c r="A49" s="221" t="s">
        <v>513</v>
      </c>
      <c r="B49" s="4">
        <f>+'Scenario 2 Inc Exp Statement'!D33</f>
        <v>0</v>
      </c>
      <c r="C49" s="4">
        <f>+'Scenario 2 Inc Exp Statement'!E33</f>
        <v>-893910.23605324328</v>
      </c>
      <c r="D49" s="4">
        <f>+'Scenario 2 Inc Exp Statement'!F33</f>
        <v>-713681.29693594575</v>
      </c>
      <c r="E49" s="4">
        <f>+'Scenario 2 Inc Exp Statement'!G33</f>
        <v>-613365.93831311527</v>
      </c>
      <c r="F49" s="4">
        <f>+'Scenario 2 Inc Exp Statement'!H33</f>
        <v>-699206.98744506948</v>
      </c>
      <c r="G49" s="4">
        <f>+'Scenario 2 Inc Exp Statement'!I33</f>
        <v>-773209.48573707417</v>
      </c>
      <c r="H49" s="4">
        <f>+'Scenario 2 Inc Exp Statement'!J33</f>
        <v>-1065868.3157775202</v>
      </c>
      <c r="I49" s="4">
        <f>+'Scenario 2 Inc Exp Statement'!K33</f>
        <v>-1009408.0759067354</v>
      </c>
      <c r="J49" s="4">
        <f>+'Scenario 2 Inc Exp Statement'!L33</f>
        <v>-1101772.757694582</v>
      </c>
      <c r="K49" s="4">
        <f>+'Scenario 2 Inc Exp Statement'!M33</f>
        <v>-1203779.825266822</v>
      </c>
    </row>
    <row r="52" spans="1:11" x14ac:dyDescent="0.3">
      <c r="A52" t="s">
        <v>402</v>
      </c>
      <c r="B52" s="4">
        <f ca="1">+'Scenario 2 Inc Exp Statement'!D45</f>
        <v>-5386773.6795166293</v>
      </c>
      <c r="C52" s="4">
        <f ca="1">+'Scenario 2 Inc Exp Statement'!E45</f>
        <v>-2154949.7342681158</v>
      </c>
      <c r="D52" s="4">
        <f ca="1">+'Scenario 2 Inc Exp Statement'!F45</f>
        <v>-933514.06866888423</v>
      </c>
      <c r="E52" s="4" t="e">
        <f ca="1">+'Scenario 2 Inc Exp Statement'!G45</f>
        <v>#REF!</v>
      </c>
      <c r="F52" s="4">
        <f ca="1">+'Scenario 2 Inc Exp Statement'!H45</f>
        <v>-5766074.3456955273</v>
      </c>
      <c r="G52" s="4">
        <f ca="1">+'Scenario 2 Inc Exp Statement'!I45</f>
        <v>-1102539.7461332353</v>
      </c>
      <c r="H52" s="4">
        <f ca="1">+'Scenario 2 Inc Exp Statement'!J45</f>
        <v>-3890598.9085841663</v>
      </c>
      <c r="I52" s="4">
        <f ca="1">+'Scenario 2 Inc Exp Statement'!K45</f>
        <v>505010.9264937304</v>
      </c>
      <c r="J52" s="4" t="e">
        <f>+'Scenario 2 Inc Exp Statement'!L45</f>
        <v>#REF!</v>
      </c>
      <c r="K52" s="4" t="e">
        <f>+'Scenario 2 Inc Exp Statement'!M45</f>
        <v>#REF!</v>
      </c>
    </row>
    <row r="54" spans="1:11" x14ac:dyDescent="0.3">
      <c r="A54" s="212" t="s">
        <v>73</v>
      </c>
      <c r="B54" s="213" t="s">
        <v>0</v>
      </c>
      <c r="C54" s="213" t="s">
        <v>1</v>
      </c>
      <c r="D54" s="213" t="s">
        <v>2</v>
      </c>
      <c r="E54" s="213" t="s">
        <v>3</v>
      </c>
      <c r="F54" s="213" t="s">
        <v>4</v>
      </c>
      <c r="G54" s="213" t="s">
        <v>5</v>
      </c>
      <c r="H54" s="213" t="s">
        <v>6</v>
      </c>
      <c r="I54" s="213" t="s">
        <v>7</v>
      </c>
      <c r="J54" s="213" t="s">
        <v>8</v>
      </c>
      <c r="K54" s="213" t="s">
        <v>9</v>
      </c>
    </row>
    <row r="55" spans="1:11" x14ac:dyDescent="0.3">
      <c r="A55" t="s">
        <v>403</v>
      </c>
      <c r="B55" s="4">
        <f ca="1">+'Scenario2  Bal Sheet'!D6+'Scenario2  Bal Sheet'!D7</f>
        <v>19737226.320483372</v>
      </c>
      <c r="C55" s="4">
        <f ca="1">+'Scenario2  Bal Sheet'!E6+'Scenario2  Bal Sheet'!E7</f>
        <v>17582276.586215254</v>
      </c>
      <c r="D55" s="4">
        <f ca="1">+'Scenario2  Bal Sheet'!F6+'Scenario2  Bal Sheet'!F7</f>
        <v>16646499.57954637</v>
      </c>
      <c r="E55" s="4">
        <f ca="1">+'Scenario2  Bal Sheet'!G6+'Scenario2  Bal Sheet'!G7</f>
        <v>15294615.117019048</v>
      </c>
      <c r="F55" s="4">
        <f ca="1">+'Scenario2  Bal Sheet'!H6+'Scenario2  Bal Sheet'!H7</f>
        <v>9526340.7713235207</v>
      </c>
      <c r="G55" s="4">
        <f ca="1">+'Scenario2  Bal Sheet'!I6+'Scenario2  Bal Sheet'!I7</f>
        <v>8415801.0251902863</v>
      </c>
      <c r="H55" s="4">
        <f ca="1">+'Scenario2  Bal Sheet'!J6+'Scenario2  Bal Sheet'!J7</f>
        <v>4523202.11660612</v>
      </c>
      <c r="I55" s="4">
        <f ca="1">+'Scenario2  Bal Sheet'!K6+'Scenario2  Bal Sheet'!K7</f>
        <v>5026173.043099843</v>
      </c>
      <c r="J55" s="4" t="e">
        <f ca="1">+'Scenario2  Bal Sheet'!L6+'Scenario2  Bal Sheet'!L7</f>
        <v>#REF!</v>
      </c>
      <c r="K55" s="4" t="e">
        <f ca="1">+'Scenario2  Bal Sheet'!M6+'Scenario2  Bal Sheet'!M7</f>
        <v>#REF!</v>
      </c>
    </row>
    <row r="58" spans="1:11" x14ac:dyDescent="0.3">
      <c r="A58" s="114" t="s">
        <v>76</v>
      </c>
    </row>
    <row r="59" spans="1:11" x14ac:dyDescent="0.3">
      <c r="A59" s="4" t="s">
        <v>430</v>
      </c>
      <c r="B59" s="4">
        <f>+'Scenario 2 Inc Exp Statement'!D28</f>
        <v>0</v>
      </c>
      <c r="C59" s="4">
        <f>+'Scenario 2 Inc Exp Statement'!E28</f>
        <v>103739.76394675672</v>
      </c>
      <c r="D59" s="4">
        <f>+'Scenario 2 Inc Exp Statement'!F28</f>
        <v>308909.95306405425</v>
      </c>
      <c r="E59" s="4">
        <f>+'Scenario 2 Inc Exp Statement'!G28</f>
        <v>434790.09293688461</v>
      </c>
      <c r="F59" s="4">
        <f>+'Scenario 2 Inc Exp Statement'!H28</f>
        <v>825152.94458618015</v>
      </c>
      <c r="G59" s="4">
        <f>+'Scenario 2 Inc Exp Statement'!I28</f>
        <v>789259.44459495693</v>
      </c>
      <c r="H59" s="4">
        <f>+'Scenario 2 Inc Exp Statement'!J28</f>
        <v>535662.33781281114</v>
      </c>
      <c r="I59" s="4">
        <f>+'Scenario 2 Inc Exp Statement'!K28</f>
        <v>632160.84402335435</v>
      </c>
      <c r="J59" s="4">
        <f>+'Scenario 2 Inc Exp Statement'!L28</f>
        <v>580835.38523375988</v>
      </c>
      <c r="K59" s="4">
        <f>+'Scenario 2 Inc Exp Statement'!M28</f>
        <v>520893.5212347284</v>
      </c>
    </row>
    <row r="60" spans="1:11" x14ac:dyDescent="0.3">
      <c r="A60" s="4" t="s">
        <v>414</v>
      </c>
      <c r="B60" s="4">
        <f>+'Scenario 2 Inc Exp Statement'!D75</f>
        <v>0</v>
      </c>
      <c r="C60" s="4">
        <f>+'Scenario 2 Inc Exp Statement'!E75</f>
        <v>92804.695160973817</v>
      </c>
      <c r="D60" s="4">
        <f>+'Scenario 2 Inc Exp Statement'!F75</f>
        <v>297767.53269756213</v>
      </c>
      <c r="E60" s="4">
        <f>+'Scenario 2 Inc Exp Statement'!G75</f>
        <v>423439.42901846394</v>
      </c>
      <c r="F60" s="4">
        <f>+'Scenario 2 Inc Exp Statement'!H75</f>
        <v>813821.44670383632</v>
      </c>
      <c r="G60" s="4">
        <f>+'Scenario 2 Inc Exp Statement'!I75</f>
        <v>777638.36578719318</v>
      </c>
      <c r="H60" s="4">
        <f>+'Scenario 2 Inc Exp Statement'!J75</f>
        <v>523925.78796397895</v>
      </c>
      <c r="I60" s="4">
        <f>+'Scenario 2 Inc Exp Statement'!K75</f>
        <v>620868.89690640569</v>
      </c>
      <c r="J60" s="4">
        <f>+'Scenario 2 Inc Exp Statement'!L75</f>
        <v>569316.26267142594</v>
      </c>
      <c r="K60" s="4">
        <f>+'Scenario 2 Inc Exp Statement'!M75</f>
        <v>509205.72573777288</v>
      </c>
    </row>
    <row r="61" spans="1:11" x14ac:dyDescent="0.3">
      <c r="A61" s="4" t="s">
        <v>411</v>
      </c>
      <c r="B61" s="4">
        <f>+'Scenario 2 Inc Exp Statement'!D122</f>
        <v>0</v>
      </c>
      <c r="C61" s="4">
        <f>+'Scenario 2 Inc Exp Statement'!E122</f>
        <v>92804.695160973817</v>
      </c>
      <c r="D61" s="4">
        <f>+'Scenario 2 Inc Exp Statement'!F122</f>
        <v>297767.53269756213</v>
      </c>
      <c r="E61" s="4">
        <f>+'Scenario 2 Inc Exp Statement'!G122</f>
        <v>423439.42901846394</v>
      </c>
      <c r="F61" s="4">
        <f>+'Scenario 2 Inc Exp Statement'!H122</f>
        <v>813821.44670383632</v>
      </c>
      <c r="G61" s="4">
        <f>+'Scenario 2 Inc Exp Statement'!I122</f>
        <v>777638.36578719318</v>
      </c>
      <c r="H61" s="4">
        <f>+'Scenario 2 Inc Exp Statement'!J122</f>
        <v>523925.78796397895</v>
      </c>
      <c r="I61" s="4">
        <f>+'Scenario 2 Inc Exp Statement'!K122</f>
        <v>620868.89690640569</v>
      </c>
      <c r="J61" s="4">
        <f>+'Scenario 2 Inc Exp Statement'!L122</f>
        <v>569316.26267142594</v>
      </c>
      <c r="K61" s="4">
        <f>+'Scenario 2 Inc Exp Statement'!M122</f>
        <v>509205.72573777288</v>
      </c>
    </row>
    <row r="64" spans="1:11" x14ac:dyDescent="0.3">
      <c r="A64" s="114" t="s">
        <v>422</v>
      </c>
    </row>
    <row r="65" spans="1:11" x14ac:dyDescent="0.3">
      <c r="A65" t="s">
        <v>432</v>
      </c>
      <c r="B65" s="4">
        <f>+'Scenario 2 Inc Exp Statement'!D14-'Scenario 2 Inc Exp Statement'!D11</f>
        <v>0</v>
      </c>
      <c r="C65" s="4">
        <f>+'Scenario 2 Inc Exp Statement'!E14-'Scenario 2 Inc Exp Statement'!E11</f>
        <v>29931771.763946757</v>
      </c>
      <c r="D65" s="4">
        <f>+'Scenario 2 Inc Exp Statement'!F14-'Scenario 2 Inc Exp Statement'!F11</f>
        <v>30543300.703064054</v>
      </c>
      <c r="E65" s="4">
        <f>+'Scenario 2 Inc Exp Statement'!G14-'Scenario 2 Inc Exp Statement'!G11</f>
        <v>31378048.061686885</v>
      </c>
      <c r="F65" s="4">
        <f>+'Scenario 2 Inc Exp Statement'!H14-'Scenario 2 Inc Exp Statement'!H11</f>
        <v>32239617.012554929</v>
      </c>
      <c r="G65" s="4">
        <f>+'Scenario 2 Inc Exp Statement'!I14-'Scenario 2 Inc Exp Statement'!I11</f>
        <v>33141877.514262926</v>
      </c>
      <c r="H65" s="4">
        <f>+'Scenario 2 Inc Exp Statement'!J14-'Scenario 2 Inc Exp Statement'!J11</f>
        <v>34055233.684222482</v>
      </c>
      <c r="I65" s="4">
        <f>+'Scenario 2 Inc Exp Statement'!K14-'Scenario 2 Inc Exp Statement'!K11</f>
        <v>34948396.924093261</v>
      </c>
      <c r="J65" s="4">
        <f>+'Scenario 2 Inc Exp Statement'!L14-'Scenario 2 Inc Exp Statement'!L11</f>
        <v>35924379.24230542</v>
      </c>
      <c r="K65" s="4">
        <f>+'Scenario 2 Inc Exp Statement'!M14-'Scenario 2 Inc Exp Statement'!M11</f>
        <v>36923358.174733177</v>
      </c>
    </row>
    <row r="66" spans="1:11" x14ac:dyDescent="0.3">
      <c r="A66" t="s">
        <v>433</v>
      </c>
      <c r="B66" s="4">
        <f>+'Scenario 2 Inc Exp Statement'!D21</f>
        <v>0</v>
      </c>
      <c r="C66" s="4">
        <f>+'Scenario 2 Inc Exp Statement'!E21</f>
        <v>30825682</v>
      </c>
      <c r="D66" s="4">
        <f>+'Scenario 2 Inc Exp Statement'!F21</f>
        <v>31256982</v>
      </c>
      <c r="E66" s="4">
        <f>+'Scenario 2 Inc Exp Statement'!G21</f>
        <v>31991414</v>
      </c>
      <c r="F66" s="4">
        <f>+'Scenario 2 Inc Exp Statement'!H21</f>
        <v>32938824</v>
      </c>
      <c r="G66" s="4">
        <f>+'Scenario 2 Inc Exp Statement'!I21</f>
        <v>33915087</v>
      </c>
      <c r="H66" s="4">
        <f>+'Scenario 2 Inc Exp Statement'!J21</f>
        <v>35121102</v>
      </c>
      <c r="I66" s="4">
        <f>+'Scenario 2 Inc Exp Statement'!K21</f>
        <v>35957805</v>
      </c>
      <c r="J66" s="4">
        <f>+'Scenario 2 Inc Exp Statement'!L21</f>
        <v>37026152</v>
      </c>
      <c r="K66" s="4">
        <f>+'Scenario 2 Inc Exp Statement'!M21</f>
        <v>38127138</v>
      </c>
    </row>
    <row r="67" spans="1:11" x14ac:dyDescent="0.3">
      <c r="A67" t="s">
        <v>418</v>
      </c>
      <c r="B67" s="4">
        <f>+'Scenario 2 Inc Exp Statement'!D61-'Scenario 2 Inc Exp Statement'!D58</f>
        <v>0</v>
      </c>
      <c r="C67" s="4">
        <f>+'Scenario 2 Inc Exp Statement'!E61-'Scenario 2 Inc Exp Statement'!E58</f>
        <v>29920836.695160974</v>
      </c>
      <c r="D67" s="4">
        <f>+'Scenario 2 Inc Exp Statement'!F61-'Scenario 2 Inc Exp Statement'!F58</f>
        <v>30532158.282697562</v>
      </c>
      <c r="E67" s="4">
        <f>+'Scenario 2 Inc Exp Statement'!G61-'Scenario 2 Inc Exp Statement'!G58</f>
        <v>31366697.397768464</v>
      </c>
      <c r="F67" s="4">
        <f>+'Scenario 2 Inc Exp Statement'!H61-'Scenario 2 Inc Exp Statement'!H58</f>
        <v>32228285.514672585</v>
      </c>
      <c r="G67" s="4">
        <f>+'Scenario 2 Inc Exp Statement'!I61-'Scenario 2 Inc Exp Statement'!I58</f>
        <v>33130256.435455162</v>
      </c>
      <c r="H67" s="4">
        <f>+'Scenario 2 Inc Exp Statement'!J61-'Scenario 2 Inc Exp Statement'!J58</f>
        <v>34043497.13437365</v>
      </c>
      <c r="I67" s="4">
        <f>+'Scenario 2 Inc Exp Statement'!K61-'Scenario 2 Inc Exp Statement'!K58</f>
        <v>34937104.976976313</v>
      </c>
      <c r="J67" s="4">
        <f>+'Scenario 2 Inc Exp Statement'!L61-'Scenario 2 Inc Exp Statement'!L58</f>
        <v>35912860.119743086</v>
      </c>
      <c r="K67" s="4">
        <f>+'Scenario 2 Inc Exp Statement'!M61-'Scenario 2 Inc Exp Statement'!M58</f>
        <v>36911670.379236221</v>
      </c>
    </row>
    <row r="68" spans="1:11" x14ac:dyDescent="0.3">
      <c r="A68" t="s">
        <v>419</v>
      </c>
      <c r="B68" s="4">
        <f>+'Scenario 2 Inc Exp Statement'!D68</f>
        <v>0</v>
      </c>
      <c r="C68" s="4">
        <f>+'Scenario 2 Inc Exp Statement'!E68</f>
        <v>30825682</v>
      </c>
      <c r="D68" s="4">
        <f>+'Scenario 2 Inc Exp Statement'!F68</f>
        <v>31256982</v>
      </c>
      <c r="E68" s="4">
        <f>+'Scenario 2 Inc Exp Statement'!G68</f>
        <v>31991414</v>
      </c>
      <c r="F68" s="4">
        <f>+'Scenario 2 Inc Exp Statement'!H68</f>
        <v>32938824</v>
      </c>
      <c r="G68" s="4">
        <f>+'Scenario 2 Inc Exp Statement'!I68</f>
        <v>33915087</v>
      </c>
      <c r="H68" s="4">
        <f>+'Scenario 2 Inc Exp Statement'!J68</f>
        <v>35121102</v>
      </c>
      <c r="I68" s="4">
        <f>+'Scenario 2 Inc Exp Statement'!K68</f>
        <v>35957805</v>
      </c>
      <c r="J68" s="4">
        <f>+'Scenario 2 Inc Exp Statement'!L68</f>
        <v>37026152</v>
      </c>
      <c r="K68" s="4">
        <f>+'Scenario 2 Inc Exp Statement'!M68</f>
        <v>38127138</v>
      </c>
    </row>
    <row r="69" spans="1:11" x14ac:dyDescent="0.3">
      <c r="A69" t="s">
        <v>420</v>
      </c>
      <c r="B69" s="4">
        <f>+'Scenario 2 Inc Exp Statement'!D108-'Scenario 2 Inc Exp Statement'!D105</f>
        <v>0</v>
      </c>
      <c r="C69" s="4">
        <f>+'Scenario 2 Inc Exp Statement'!E108-'Scenario 2 Inc Exp Statement'!E105</f>
        <v>29920836.695160974</v>
      </c>
      <c r="D69" s="4">
        <f>+'Scenario 2 Inc Exp Statement'!F108-'Scenario 2 Inc Exp Statement'!F105</f>
        <v>30532158.282697562</v>
      </c>
      <c r="E69" s="4">
        <f>+'Scenario 2 Inc Exp Statement'!G108-'Scenario 2 Inc Exp Statement'!G105</f>
        <v>31366697.397768464</v>
      </c>
      <c r="F69" s="4">
        <f>+'Scenario 2 Inc Exp Statement'!H108-'Scenario 2 Inc Exp Statement'!H105</f>
        <v>32228285.514672585</v>
      </c>
      <c r="G69" s="4">
        <f>+'Scenario 2 Inc Exp Statement'!I108-'Scenario 2 Inc Exp Statement'!I105</f>
        <v>33130256.435455162</v>
      </c>
      <c r="H69" s="4">
        <f>+'Scenario 2 Inc Exp Statement'!J108-'Scenario 2 Inc Exp Statement'!J105</f>
        <v>34043497.13437365</v>
      </c>
      <c r="I69" s="4">
        <f>+'Scenario 2 Inc Exp Statement'!K108-'Scenario 2 Inc Exp Statement'!K105</f>
        <v>34937104.976976313</v>
      </c>
      <c r="J69" s="4">
        <f>+'Scenario 2 Inc Exp Statement'!L108-'Scenario 2 Inc Exp Statement'!L105</f>
        <v>35912860.119743086</v>
      </c>
      <c r="K69" s="4">
        <f>+'Scenario 2 Inc Exp Statement'!M108-'Scenario 2 Inc Exp Statement'!M105</f>
        <v>36911670.379236221</v>
      </c>
    </row>
    <row r="70" spans="1:11" x14ac:dyDescent="0.3">
      <c r="A70" t="s">
        <v>421</v>
      </c>
      <c r="B70" s="4">
        <f>+'Scenario 2 Inc Exp Statement'!D115</f>
        <v>0</v>
      </c>
      <c r="C70" s="4">
        <f>+'Scenario 2 Inc Exp Statement'!E115</f>
        <v>30825682</v>
      </c>
      <c r="D70" s="4">
        <f>+'Scenario 2 Inc Exp Statement'!F115</f>
        <v>31256982</v>
      </c>
      <c r="E70" s="4">
        <f>+'Scenario 2 Inc Exp Statement'!G115</f>
        <v>31991414</v>
      </c>
      <c r="F70" s="4">
        <f>+'Scenario 2 Inc Exp Statement'!H115</f>
        <v>32938824</v>
      </c>
      <c r="G70" s="4">
        <f>+'Scenario 2 Inc Exp Statement'!I115</f>
        <v>33915087</v>
      </c>
      <c r="H70" s="4">
        <f>+'Scenario 2 Inc Exp Statement'!J115</f>
        <v>35121102</v>
      </c>
      <c r="I70" s="4">
        <f>+'Scenario 2 Inc Exp Statement'!K115</f>
        <v>35957805</v>
      </c>
      <c r="J70" s="4">
        <f>+'Scenario 2 Inc Exp Statement'!L115</f>
        <v>37026152</v>
      </c>
      <c r="K70" s="4">
        <f>+'Scenario 2 Inc Exp Statement'!M115</f>
        <v>38127138</v>
      </c>
    </row>
    <row r="73" spans="1:11" x14ac:dyDescent="0.3">
      <c r="A73" s="114" t="s">
        <v>429</v>
      </c>
    </row>
    <row r="74" spans="1:11" x14ac:dyDescent="0.3">
      <c r="A74" t="s">
        <v>430</v>
      </c>
      <c r="B74" s="4">
        <f ca="1">+'Scenario 2 Cash Flow'!D40</f>
        <v>19737226.320483372</v>
      </c>
      <c r="C74" s="4">
        <f ca="1">+'Scenario 2 Cash Flow'!E40</f>
        <v>17582276.586215254</v>
      </c>
      <c r="D74" s="4">
        <f ca="1">+'Scenario 2 Cash Flow'!F40</f>
        <v>16646499.57954637</v>
      </c>
      <c r="E74" s="4">
        <f ca="1">+'Scenario 2 Cash Flow'!G40</f>
        <v>15294615.117019048</v>
      </c>
      <c r="F74" s="4">
        <f ca="1">+'Scenario 2 Cash Flow'!H40</f>
        <v>9526340.7713235207</v>
      </c>
      <c r="G74" s="4">
        <f ca="1">+'Scenario 2 Cash Flow'!I40</f>
        <v>8415801.0251902863</v>
      </c>
      <c r="H74" s="4">
        <f ca="1">+'Scenario 2 Cash Flow'!J40</f>
        <v>4523202.11660612</v>
      </c>
      <c r="I74" s="4">
        <f ca="1">+'Scenario 2 Cash Flow'!K40</f>
        <v>5026173.043099843</v>
      </c>
      <c r="J74" s="4" t="e">
        <f ca="1">+'Scenario 2 Cash Flow'!L40</f>
        <v>#REF!</v>
      </c>
      <c r="K74" s="4" t="e">
        <f ca="1">+'Scenario 2 Cash Flow'!M40</f>
        <v>#REF!</v>
      </c>
    </row>
    <row r="75" spans="1:11" x14ac:dyDescent="0.3">
      <c r="A75" t="s">
        <v>414</v>
      </c>
      <c r="B75" s="4">
        <f ca="1">+'Scenario 2 Cash Flow'!D82</f>
        <v>19737226.320483372</v>
      </c>
      <c r="C75" s="4">
        <f ca="1">+'Scenario 2 Cash Flow'!E82</f>
        <v>17571341.517429471</v>
      </c>
      <c r="D75" s="4">
        <f ca="1">+'Scenario 2 Cash Flow'!F82</f>
        <v>16624422.090394095</v>
      </c>
      <c r="E75" s="4">
        <f ca="1">+'Scenario 2 Cash Flow'!G82</f>
        <v>15261186.963948352</v>
      </c>
      <c r="F75" s="4">
        <f ca="1">+'Scenario 2 Cash Flow'!H82</f>
        <v>9481581.1203704849</v>
      </c>
      <c r="G75" s="4">
        <f ca="1">+'Scenario 2 Cash Flow'!I82</f>
        <v>8359420.2954294868</v>
      </c>
      <c r="H75" s="4">
        <f ca="1">+'Scenario 2 Cash Flow'!J82</f>
        <v>4455084.8369964957</v>
      </c>
      <c r="I75" s="4">
        <f ca="1">+'Scenario 2 Cash Flow'!K82</f>
        <v>4946763.81637327</v>
      </c>
      <c r="J75" s="4" t="e">
        <f ca="1">+'Scenario 2 Cash Flow'!L82</f>
        <v>#REF!</v>
      </c>
      <c r="K75" s="4" t="e">
        <f ca="1">+'Scenario 2 Cash Flow'!M82</f>
        <v>#REF!</v>
      </c>
    </row>
    <row r="76" spans="1:11" x14ac:dyDescent="0.3">
      <c r="A76" t="s">
        <v>411</v>
      </c>
      <c r="B76" s="4">
        <f ca="1">+'Scenario 2 Cash Flow'!D124</f>
        <v>19737226.320483372</v>
      </c>
      <c r="C76" s="4">
        <f ca="1">+'Scenario 2 Cash Flow'!E124</f>
        <v>17571341.517429471</v>
      </c>
      <c r="D76" s="4">
        <f ca="1">+'Scenario 2 Cash Flow'!F124</f>
        <v>16624422.090394095</v>
      </c>
      <c r="E76" s="4">
        <f ca="1">+'Scenario 2 Cash Flow'!G124</f>
        <v>15261186.963948352</v>
      </c>
      <c r="F76" s="4">
        <f ca="1">+'Scenario 2 Cash Flow'!H124</f>
        <v>9481581.1203704849</v>
      </c>
      <c r="G76" s="4">
        <f ca="1">+'Scenario 2 Cash Flow'!I124</f>
        <v>8359420.2954294868</v>
      </c>
      <c r="H76" s="4">
        <f ca="1">+'Scenario 2 Cash Flow'!J124</f>
        <v>4455084.8369964957</v>
      </c>
      <c r="I76" s="4">
        <f ca="1">+'Scenario 2 Cash Flow'!K124</f>
        <v>4946763.81637327</v>
      </c>
      <c r="J76" s="4" t="e">
        <f ca="1">+'Scenario 2 Cash Flow'!L124</f>
        <v>#REF!</v>
      </c>
      <c r="K76" s="4" t="e">
        <f ca="1">+'Scenario 2 Cash Flow'!M124</f>
        <v>#REF!</v>
      </c>
    </row>
    <row r="78" spans="1:11" x14ac:dyDescent="0.3">
      <c r="A78" s="212" t="s">
        <v>73</v>
      </c>
      <c r="B78" s="213" t="s">
        <v>0</v>
      </c>
      <c r="C78" s="213" t="s">
        <v>1</v>
      </c>
      <c r="D78" s="213" t="s">
        <v>2</v>
      </c>
      <c r="E78" s="213" t="s">
        <v>3</v>
      </c>
      <c r="F78" s="213" t="s">
        <v>4</v>
      </c>
      <c r="G78" s="213" t="s">
        <v>5</v>
      </c>
      <c r="H78" s="213" t="s">
        <v>6</v>
      </c>
      <c r="I78" s="213" t="s">
        <v>7</v>
      </c>
      <c r="J78" s="213" t="s">
        <v>8</v>
      </c>
      <c r="K78" s="213" t="s">
        <v>9</v>
      </c>
    </row>
    <row r="79" spans="1:11" x14ac:dyDescent="0.3">
      <c r="A79" s="211" t="s">
        <v>398</v>
      </c>
      <c r="B79" s="200">
        <f ca="1">Ratios!D23</f>
        <v>0.77277891243800989</v>
      </c>
      <c r="C79" s="200">
        <f ca="1">Ratios!E23</f>
        <v>1.2527068853226928</v>
      </c>
      <c r="D79" s="200">
        <f ca="1">Ratios!F23</f>
        <v>1.0794570236086474</v>
      </c>
      <c r="E79" s="200">
        <f ca="1">Ratios!G23</f>
        <v>1.1766614245343772</v>
      </c>
      <c r="F79" s="200">
        <f ca="1">Ratios!H23</f>
        <v>1.3274333628270467</v>
      </c>
      <c r="G79" s="200">
        <f ca="1">Ratios!I23</f>
        <v>1.4364180570094172</v>
      </c>
      <c r="H79" s="200">
        <f ca="1">Ratios!J23</f>
        <v>0.99068545069247671</v>
      </c>
      <c r="I79" s="200">
        <f ca="1">Ratios!K23</f>
        <v>1.0011686945446798</v>
      </c>
      <c r="J79" s="200" t="e">
        <f>Ratios!L23</f>
        <v>#REF!</v>
      </c>
      <c r="K79" s="200" t="e">
        <f>Ratios!M23</f>
        <v>#REF!</v>
      </c>
    </row>
    <row r="80" spans="1:11" x14ac:dyDescent="0.3">
      <c r="A80" s="211" t="s">
        <v>397</v>
      </c>
      <c r="B80" s="200" t="e">
        <f ca="1">+('Capital Program'!D24+'Capital Program'!D29)/'Scenario 2 Inc Exp Statement'!D19</f>
        <v>#DIV/0!</v>
      </c>
      <c r="C80" s="200">
        <f ca="1">+('Capital Program'!E24+'Capital Program'!E29)/'Scenario 2 Inc Exp Statement'!E19</f>
        <v>1.2493589417143505</v>
      </c>
      <c r="D80" s="200">
        <f ca="1">+('Capital Program'!F24+'Capital Program'!F29)/'Scenario 2 Inc Exp Statement'!F19</f>
        <v>1.1058506485163888</v>
      </c>
      <c r="E80" s="200">
        <f ca="1">+('Capital Program'!G24+'Capital Program'!G29)/'Scenario 2 Inc Exp Statement'!G19</f>
        <v>1.1767347721090675</v>
      </c>
      <c r="F80" s="200">
        <f ca="1">+('Capital Program'!H24+'Capital Program'!H29)/'Scenario 2 Inc Exp Statement'!H19</f>
        <v>1.2902013354472062</v>
      </c>
      <c r="G80" s="200">
        <f ca="1">+('Capital Program'!I24+'Capital Program'!I29)/'Scenario 2 Inc Exp Statement'!I19</f>
        <v>1.3707118586147924</v>
      </c>
      <c r="H80" s="200">
        <f ca="1">+('Capital Program'!J24+'Capital Program'!J29)/'Scenario 2 Inc Exp Statement'!J19</f>
        <v>1.0119464793516675</v>
      </c>
      <c r="I80" s="200">
        <f ca="1">+('Capital Program'!K24+'Capital Program'!K29)/'Scenario 2 Inc Exp Statement'!K19</f>
        <v>1.0147097678201664</v>
      </c>
      <c r="J80" s="200" t="e">
        <f>+('Capital Program'!L24+'Capital Program'!L29)/'Scenario 2 Inc Exp Statement'!L19</f>
        <v>#REF!</v>
      </c>
      <c r="K80" s="200" t="e">
        <f>+('Capital Program'!M24+'Capital Program'!M29)/'Scenario 2 Inc Exp Statement'!M19</f>
        <v>#REF!</v>
      </c>
    </row>
    <row r="81" spans="1:11" x14ac:dyDescent="0.3">
      <c r="A81" s="211" t="s">
        <v>396</v>
      </c>
      <c r="B81" s="200">
        <v>1</v>
      </c>
      <c r="C81" s="200">
        <v>1</v>
      </c>
      <c r="D81" s="200">
        <v>1</v>
      </c>
      <c r="E81" s="200">
        <v>1</v>
      </c>
      <c r="F81" s="200">
        <v>1</v>
      </c>
      <c r="G81" s="200">
        <v>1</v>
      </c>
      <c r="H81" s="200">
        <v>1</v>
      </c>
      <c r="I81" s="200">
        <v>1</v>
      </c>
      <c r="J81" s="200">
        <v>1</v>
      </c>
      <c r="K81" s="200">
        <v>1</v>
      </c>
    </row>
    <row r="82" spans="1:11" x14ac:dyDescent="0.3">
      <c r="A82" s="211"/>
      <c r="B82" s="211"/>
      <c r="C82" s="211"/>
      <c r="D82" s="211"/>
      <c r="E82" s="211"/>
      <c r="F82" s="211"/>
      <c r="G82" s="211"/>
      <c r="H82" s="211"/>
      <c r="I82" s="211"/>
      <c r="J82" s="211"/>
      <c r="K82" s="211"/>
    </row>
    <row r="83" spans="1:11" x14ac:dyDescent="0.3">
      <c r="A83" s="202" t="s">
        <v>331</v>
      </c>
      <c r="B83" s="211"/>
      <c r="C83" s="211"/>
      <c r="D83" s="211"/>
      <c r="E83" s="211"/>
      <c r="F83" s="211"/>
      <c r="G83" s="211"/>
      <c r="H83" s="211"/>
      <c r="I83" s="211"/>
      <c r="J83" s="211"/>
      <c r="K83" s="211"/>
    </row>
    <row r="84" spans="1:11" x14ac:dyDescent="0.3">
      <c r="A84" s="211" t="s">
        <v>399</v>
      </c>
      <c r="B84" s="201">
        <f ca="1">'Capital Program'!D24+'Capital Program'!D29</f>
        <v>3938411.2650166294</v>
      </c>
      <c r="C84" s="201">
        <f ca="1">'Capital Program'!E24+'Capital Program'!E29</f>
        <v>5759979.4982148726</v>
      </c>
      <c r="D84" s="201">
        <f ca="1">'Capital Program'!F24+'Capital Program'!F29</f>
        <v>5225814.4597329386</v>
      </c>
      <c r="E84" s="201">
        <f ca="1">'Capital Program'!G24+'Capital Program'!G29</f>
        <v>5699804.3454642072</v>
      </c>
      <c r="F84" s="201">
        <f ca="1">'Capital Program'!H24+'Capital Program'!H29</f>
        <v>6405643.1982817072</v>
      </c>
      <c r="G84" s="201">
        <f ca="1">'Capital Program'!I24+'Capital Program'!I29</f>
        <v>6975499.1907281922</v>
      </c>
      <c r="H84" s="201">
        <f ca="1">'Capital Program'!J24+'Capital Program'!J29</f>
        <v>5278500.0463969782</v>
      </c>
      <c r="I84" s="201">
        <f ca="1">'Capital Program'!K24+'Capital Program'!K29</f>
        <v>5425237.0975296237</v>
      </c>
      <c r="J84" s="201" t="e">
        <f>'Capital Program'!L24+'Capital Program'!L29</f>
        <v>#REF!</v>
      </c>
      <c r="K84" s="201" t="e">
        <f>'Capital Program'!M24+'Capital Program'!M29</f>
        <v>#REF!</v>
      </c>
    </row>
    <row r="85" spans="1:11" x14ac:dyDescent="0.3">
      <c r="A85" s="211" t="s">
        <v>400</v>
      </c>
      <c r="B85" s="201">
        <f ca="1">'Capital Program'!D23+'Capital Program'!D28</f>
        <v>1448362.4145000002</v>
      </c>
      <c r="C85" s="201">
        <f ca="1">'Capital Program'!E23+'Capital Program'!E28</f>
        <v>1109058</v>
      </c>
      <c r="D85" s="201">
        <f ca="1">'Capital Program'!F23+'Capital Program'!F28</f>
        <v>744478.5</v>
      </c>
      <c r="E85" s="201">
        <f ca="1">'Capital Program'!G23+'Capital Program'!G28</f>
        <v>930616.21</v>
      </c>
      <c r="F85" s="201">
        <f ca="1">'Capital Program'!H23+'Capital Program'!H28</f>
        <v>5152624.0920000002</v>
      </c>
      <c r="G85" s="201">
        <f ca="1">'Capital Program'!I23+'Capital Program'!I28</f>
        <v>13261</v>
      </c>
      <c r="H85" s="201">
        <f ca="1">'Capital Program'!J23+'Capital Program'!J28</f>
        <v>4365946.2</v>
      </c>
      <c r="I85" s="201">
        <f ca="1">'Capital Program'!K23+'Capital Program'!K28</f>
        <v>50542.82</v>
      </c>
      <c r="J85" s="201" t="e">
        <f>'Capital Program'!L23+'Capital Program'!L28</f>
        <v>#REF!</v>
      </c>
      <c r="K85" s="201" t="e">
        <f>'Capital Program'!M23+'Capital Program'!M28</f>
        <v>#REF!</v>
      </c>
    </row>
  </sheetData>
  <mergeCells count="2">
    <mergeCell ref="U1:AB1"/>
    <mergeCell ref="L1:S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0"/>
  <sheetViews>
    <sheetView workbookViewId="0">
      <pane xSplit="1" ySplit="2" topLeftCell="C60" activePane="bottomRight" state="frozen"/>
      <selection pane="topRight" activeCell="B1" sqref="B1"/>
      <selection pane="bottomLeft" activeCell="A2" sqref="A2"/>
      <selection pane="bottomRight" activeCell="E77" sqref="E77"/>
    </sheetView>
  </sheetViews>
  <sheetFormatPr defaultColWidth="9.109375" defaultRowHeight="14.4" x14ac:dyDescent="0.3"/>
  <cols>
    <col min="1" max="1" width="43.44140625" style="221" bestFit="1" customWidth="1"/>
    <col min="2" max="13" width="13.44140625" style="221" customWidth="1"/>
    <col min="14" max="16384" width="9.109375" style="221"/>
  </cols>
  <sheetData>
    <row r="1" spans="1:21" ht="18.75" x14ac:dyDescent="0.3">
      <c r="A1" s="895" t="s">
        <v>1247</v>
      </c>
      <c r="N1" s="1560" t="s">
        <v>410</v>
      </c>
      <c r="O1" s="1560"/>
      <c r="P1" s="1560"/>
      <c r="Q1" s="1560"/>
      <c r="R1" s="1560"/>
      <c r="S1" s="1560"/>
      <c r="T1" s="1560"/>
      <c r="U1" s="1560"/>
    </row>
    <row r="2" spans="1:21" ht="15" x14ac:dyDescent="0.25">
      <c r="A2" s="212" t="s">
        <v>73</v>
      </c>
      <c r="B2" s="213" t="s">
        <v>2</v>
      </c>
      <c r="C2" s="213" t="s">
        <v>3</v>
      </c>
      <c r="D2" s="213" t="s">
        <v>4</v>
      </c>
      <c r="E2" s="213" t="s">
        <v>5</v>
      </c>
      <c r="F2" s="213" t="s">
        <v>6</v>
      </c>
      <c r="G2" s="213" t="s">
        <v>7</v>
      </c>
      <c r="H2" s="213" t="s">
        <v>8</v>
      </c>
      <c r="I2" s="213" t="s">
        <v>9</v>
      </c>
      <c r="J2" s="213" t="s">
        <v>514</v>
      </c>
      <c r="K2" s="213" t="s">
        <v>515</v>
      </c>
      <c r="L2" s="213" t="s">
        <v>904</v>
      </c>
      <c r="M2" s="213" t="s">
        <v>1046</v>
      </c>
    </row>
    <row r="3" spans="1:21" ht="15" x14ac:dyDescent="0.25">
      <c r="A3" s="221" t="s">
        <v>398</v>
      </c>
      <c r="B3" s="200" t="e">
        <f>'LTFP Ratios'!E8</f>
        <v>#DIV/0!</v>
      </c>
      <c r="C3" s="200">
        <f>'LTFP Ratios'!F8</f>
        <v>0</v>
      </c>
      <c r="D3" s="200">
        <f>'LTFP Ratios'!G8</f>
        <v>0.71315602183920312</v>
      </c>
      <c r="E3" s="200">
        <f>'LTFP Ratios'!H8</f>
        <v>0.73905551910144274</v>
      </c>
      <c r="F3" s="200">
        <f>'LTFP Ratios'!I8</f>
        <v>1.1694040238942953</v>
      </c>
      <c r="G3" s="200">
        <f>'LTFP Ratios'!J8</f>
        <v>0.68882413788496322</v>
      </c>
      <c r="H3" s="200">
        <f>'LTFP Ratios'!K8</f>
        <v>0.68806687754309703</v>
      </c>
      <c r="I3" s="200">
        <f>'LTFP Ratios'!L8</f>
        <v>0.6930091506342112</v>
      </c>
      <c r="J3" s="200">
        <f>'LTFP Ratios'!M8</f>
        <v>0.68534694442012933</v>
      </c>
      <c r="K3" s="200">
        <f>'LTFP Ratios'!N8</f>
        <v>0.68564478212521218</v>
      </c>
      <c r="L3" s="200">
        <f>'LTFP Ratios'!O8</f>
        <v>0.68892185024134245</v>
      </c>
      <c r="M3" s="200">
        <f>'LTFP Ratios'!P8</f>
        <v>0.68581149497660043</v>
      </c>
    </row>
    <row r="4" spans="1:21" ht="15" x14ac:dyDescent="0.25">
      <c r="A4" s="221" t="s">
        <v>397</v>
      </c>
      <c r="B4" s="200" t="e">
        <f>'Renewals &amp; Maintenance'!E13/'Renewals &amp; Maintenance'!E8</f>
        <v>#DIV/0!</v>
      </c>
      <c r="C4" s="200">
        <f>'Renewals &amp; Maintenance'!F13/'Renewals &amp; Maintenance'!F8</f>
        <v>0</v>
      </c>
      <c r="D4" s="200">
        <f>'Renewals &amp; Maintenance'!G13/'Renewals &amp; Maintenance'!G8</f>
        <v>0.60795686359111845</v>
      </c>
      <c r="E4" s="200">
        <f>'Renewals &amp; Maintenance'!H13/'Renewals &amp; Maintenance'!H8</f>
        <v>0.79105648382351756</v>
      </c>
      <c r="F4" s="200">
        <f>'Renewals &amp; Maintenance'!I13/'Renewals &amp; Maintenance'!I8</f>
        <v>1.163584518754633</v>
      </c>
      <c r="G4" s="200">
        <f>'Renewals &amp; Maintenance'!J13/'Renewals &amp; Maintenance'!J8</f>
        <v>0.75454927163486651</v>
      </c>
      <c r="H4" s="200">
        <f>'Renewals &amp; Maintenance'!K13/'Renewals &amp; Maintenance'!K8</f>
        <v>0.75020672255476217</v>
      </c>
      <c r="I4" s="200">
        <f>'Renewals &amp; Maintenance'!L13/'Renewals &amp; Maintenance'!L8</f>
        <v>0.74785934453799763</v>
      </c>
      <c r="J4" s="200">
        <f>'Renewals &amp; Maintenance'!M13/'Renewals &amp; Maintenance'!M8</f>
        <v>0.74218245493504864</v>
      </c>
      <c r="K4" s="200">
        <f>'Renewals &amp; Maintenance'!N13/'Renewals &amp; Maintenance'!N8</f>
        <v>0.73911685958408591</v>
      </c>
      <c r="L4" s="200">
        <f>'Renewals &amp; Maintenance'!O13/'Renewals &amp; Maintenance'!O8</f>
        <v>0.73867336664623739</v>
      </c>
      <c r="M4" s="200">
        <f>'Renewals &amp; Maintenance'!P13/'Renewals &amp; Maintenance'!P8</f>
        <v>0.73286071051572177</v>
      </c>
    </row>
    <row r="5" spans="1:21" ht="15" x14ac:dyDescent="0.25">
      <c r="A5" s="221" t="s">
        <v>396</v>
      </c>
      <c r="B5" s="200">
        <v>1</v>
      </c>
      <c r="C5" s="200">
        <v>1</v>
      </c>
      <c r="D5" s="200">
        <v>1</v>
      </c>
      <c r="E5" s="200">
        <v>1</v>
      </c>
      <c r="F5" s="200">
        <v>1</v>
      </c>
      <c r="G5" s="200">
        <v>1</v>
      </c>
      <c r="H5" s="200">
        <v>1</v>
      </c>
      <c r="I5" s="200">
        <v>1</v>
      </c>
      <c r="J5" s="200">
        <v>1</v>
      </c>
      <c r="K5" s="200">
        <v>1</v>
      </c>
      <c r="L5" s="200">
        <v>1</v>
      </c>
      <c r="M5" s="200">
        <v>1</v>
      </c>
    </row>
    <row r="7" spans="1:21" ht="15" x14ac:dyDescent="0.25">
      <c r="A7" s="202" t="s">
        <v>331</v>
      </c>
    </row>
    <row r="8" spans="1:21" ht="15" x14ac:dyDescent="0.25">
      <c r="A8" s="221" t="s">
        <v>399</v>
      </c>
      <c r="B8" s="465">
        <f>'Renewals &amp; Maintenance'!E13</f>
        <v>0</v>
      </c>
      <c r="C8" s="465">
        <f>'Renewals &amp; Maintenance'!F13</f>
        <v>0</v>
      </c>
      <c r="D8" s="465">
        <f>'Renewals &amp; Maintenance'!G13</f>
        <v>6862</v>
      </c>
      <c r="E8" s="465">
        <f>'Renewals &amp; Maintenance'!H13</f>
        <v>8236.1360000000004</v>
      </c>
      <c r="F8" s="465">
        <f>'Renewals &amp; Maintenance'!I13</f>
        <v>12599.570299999999</v>
      </c>
      <c r="G8" s="465">
        <f>'Renewals &amp; Maintenance'!J13</f>
        <v>8360.277395000001</v>
      </c>
      <c r="H8" s="465">
        <f>'Renewals &amp; Maintenance'!K13</f>
        <v>8506.4374048749996</v>
      </c>
      <c r="I8" s="465">
        <f>'Renewals &amp; Maintenance'!L13</f>
        <v>8691.8165000000008</v>
      </c>
      <c r="J8" s="465">
        <f>'Renewals &amp; Maintenance'!M13</f>
        <v>8841.484162499999</v>
      </c>
      <c r="K8" s="465">
        <f>'Renewals &amp; Maintenance'!N13</f>
        <v>9025.0883915625</v>
      </c>
      <c r="L8" s="465">
        <f>'Renewals &amp; Maintenance'!O13</f>
        <v>9245.1648863515638</v>
      </c>
      <c r="M8" s="465">
        <f>'Renewals &amp; Maintenance'!P13</f>
        <v>9401.7245967103518</v>
      </c>
    </row>
    <row r="9" spans="1:21" ht="15" x14ac:dyDescent="0.25">
      <c r="A9" s="221" t="s">
        <v>400</v>
      </c>
      <c r="B9" s="465">
        <f>-'GF &amp; FF  Inc Exp Statement'!E51-'LTFP Chart Data'!B8</f>
        <v>0</v>
      </c>
      <c r="C9" s="465">
        <f>'GF &amp; FF  Inc Exp Statement'!F51</f>
        <v>11320.421999999999</v>
      </c>
      <c r="D9" s="465">
        <f>'GF &amp; FF  Inc Exp Statement'!G51</f>
        <v>3222.8580000000002</v>
      </c>
      <c r="E9" s="465">
        <f>'GF &amp; FF  Inc Exp Statement'!H51</f>
        <v>4748.0245000000004</v>
      </c>
      <c r="F9" s="465">
        <f>'GF &amp; FF  Inc Exp Statement'!I51</f>
        <v>3849.145</v>
      </c>
      <c r="G9" s="465">
        <f>'GF &amp; FF  Inc Exp Statement'!J51</f>
        <v>3839.348</v>
      </c>
      <c r="H9" s="465">
        <f>'GF &amp; FF  Inc Exp Statement'!K51</f>
        <v>3674.7064999999998</v>
      </c>
      <c r="I9" s="465">
        <f>'GF &amp; FF  Inc Exp Statement'!L51</f>
        <v>3724.1991625000001</v>
      </c>
      <c r="J9" s="465">
        <f>'GF &amp; FF  Inc Exp Statement'!M51</f>
        <v>3743.9291415625003</v>
      </c>
      <c r="K9" s="465">
        <f>'GF &amp; FF  Inc Exp Statement'!N51</f>
        <v>4053.9023701015626</v>
      </c>
      <c r="L9" s="465">
        <f>'GF &amp; FF  Inc Exp Statement'!O51</f>
        <v>4204.1249293541014</v>
      </c>
      <c r="M9" s="465">
        <f>'GF &amp; FF  Inc Exp Statement'!P51</f>
        <v>4029.6030525879537</v>
      </c>
    </row>
    <row r="11" spans="1:21" ht="15" x14ac:dyDescent="0.25">
      <c r="A11" s="202" t="s">
        <v>401</v>
      </c>
    </row>
    <row r="12" spans="1:21" ht="15" x14ac:dyDescent="0.25">
      <c r="A12" s="221" t="s">
        <v>512</v>
      </c>
      <c r="B12" s="466">
        <f>'GF &amp; FF  Inc Exp Statement'!E33</f>
        <v>11810</v>
      </c>
      <c r="C12" s="466">
        <f>'GF &amp; FF  Inc Exp Statement'!F33</f>
        <v>2928.0070000000123</v>
      </c>
      <c r="D12" s="466">
        <f>'GF &amp; FF  Inc Exp Statement'!G33</f>
        <v>4419.8999599999952</v>
      </c>
      <c r="E12" s="466">
        <f>'GF &amp; FF  Inc Exp Statement'!H33</f>
        <v>4402.2824850000034</v>
      </c>
      <c r="F12" s="466">
        <f>'GF &amp; FF  Inc Exp Statement'!I33</f>
        <v>4661.3812902999998</v>
      </c>
      <c r="G12" s="466">
        <f>'GF &amp; FF  Inc Exp Statement'!J33</f>
        <v>4547.2847176340074</v>
      </c>
      <c r="H12" s="466">
        <f>'GF &amp; FF  Inc Exp Statement'!K33</f>
        <v>4332.5622136972088</v>
      </c>
      <c r="I12" s="466">
        <f>'GF &amp; FF  Inc Exp Statement'!L33</f>
        <v>4420.1863558144687</v>
      </c>
      <c r="J12" s="466">
        <f>'GF &amp; FF  Inc Exp Statement'!M33</f>
        <v>4499.7787113932573</v>
      </c>
      <c r="K12" s="466">
        <f>'GF &amp; FF  Inc Exp Statement'!N33</f>
        <v>4590.119519842272</v>
      </c>
      <c r="L12" s="466">
        <f>'GF &amp; FF  Inc Exp Statement'!O33</f>
        <v>4675.2005194942831</v>
      </c>
      <c r="M12" s="466">
        <f>'GF &amp; FF  Inc Exp Statement'!P33</f>
        <v>4760.1743875826869</v>
      </c>
    </row>
    <row r="13" spans="1:21" ht="15" x14ac:dyDescent="0.25">
      <c r="A13" s="221" t="s">
        <v>513</v>
      </c>
      <c r="B13" s="466">
        <f>'GF &amp; FF  Inc Exp Statement'!E43</f>
        <v>-2644</v>
      </c>
      <c r="C13" s="466">
        <f>'GF &amp; FF  Inc Exp Statement'!F43</f>
        <v>30.000000000012278</v>
      </c>
      <c r="D13" s="466">
        <f>'GF &amp; FF  Inc Exp Statement'!G43</f>
        <v>631.93295999999509</v>
      </c>
      <c r="E13" s="466">
        <f>'GF &amp; FF  Inc Exp Statement'!H43</f>
        <v>557.91147500000352</v>
      </c>
      <c r="F13" s="466">
        <f>'GF &amp; FF  Inc Exp Statement'!I43</f>
        <v>758.92227499999944</v>
      </c>
      <c r="G13" s="466">
        <f>'GF &amp; FF  Inc Exp Statement'!J43</f>
        <v>585.00338500000726</v>
      </c>
      <c r="H13" s="466">
        <f>'GF &amp; FF  Inc Exp Statement'!K43</f>
        <v>271.22384774735883</v>
      </c>
      <c r="I13" s="466">
        <f>'GF &amp; FF  Inc Exp Statement'!L43</f>
        <v>257.31453071587384</v>
      </c>
      <c r="J13" s="466">
        <f>'GF &amp; FF  Inc Exp Statement'!M43</f>
        <v>232.83509066719671</v>
      </c>
      <c r="K13" s="466">
        <f>'GF &amp; FF  Inc Exp Statement'!N43</f>
        <v>216.50230859806106</v>
      </c>
      <c r="L13" s="466">
        <f>'GF &amp; FF  Inc Exp Statement'!O43</f>
        <v>192.24287796896624</v>
      </c>
      <c r="M13" s="466">
        <f>'GF &amp; FF  Inc Exp Statement'!P43</f>
        <v>165.14280501923804</v>
      </c>
    </row>
    <row r="16" spans="1:21" ht="15" x14ac:dyDescent="0.25">
      <c r="A16" s="221" t="s">
        <v>402</v>
      </c>
      <c r="B16" s="466">
        <f>'GF &amp; FF  Inc Exp Statement'!E71</f>
        <v>7182</v>
      </c>
      <c r="C16" s="466">
        <f>'GF &amp; FF  Inc Exp Statement'!F71</f>
        <v>30</v>
      </c>
      <c r="D16" s="466">
        <f>'GF &amp; FF  Inc Exp Statement'!G71</f>
        <v>0.46600000000034925</v>
      </c>
      <c r="E16" s="466">
        <f>'GF &amp; FF  Inc Exp Statement'!H71</f>
        <v>204.68136999999479</v>
      </c>
      <c r="F16" s="466">
        <f>'GF &amp; FF  Inc Exp Statement'!I71</f>
        <v>164.86025364999477</v>
      </c>
      <c r="G16" s="466">
        <f>'GF &amp; FF  Inc Exp Statement'!J71</f>
        <v>82.742967379244874</v>
      </c>
      <c r="H16" s="466">
        <f>'GF &amp; FF  Inc Exp Statement'!K71</f>
        <v>-794.37977184135525</v>
      </c>
      <c r="I16" s="466">
        <f>'GF &amp; FF  Inc Exp Statement'!L71</f>
        <v>-1576.8165148282242</v>
      </c>
      <c r="J16" s="466">
        <f>'GF &amp; FF  Inc Exp Statement'!M71</f>
        <v>-1964.0016922894392</v>
      </c>
      <c r="K16" s="466">
        <f>'GF &amp; FF  Inc Exp Statement'!N71</f>
        <v>-2455.6673295542078</v>
      </c>
      <c r="L16" s="466">
        <f>'GF &amp; FF  Inc Exp Statement'!O71</f>
        <v>-2913.311390329065</v>
      </c>
      <c r="M16" s="466">
        <f>'GF &amp; FF  Inc Exp Statement'!P71</f>
        <v>-3074.1909170180406</v>
      </c>
    </row>
    <row r="19" spans="1:13" ht="15" x14ac:dyDescent="0.25">
      <c r="A19" s="212" t="s">
        <v>73</v>
      </c>
      <c r="B19" s="213" t="str">
        <f t="shared" ref="B19:M19" si="0">B2</f>
        <v>2015/16</v>
      </c>
      <c r="C19" s="213" t="str">
        <f t="shared" si="0"/>
        <v>2016/17</v>
      </c>
      <c r="D19" s="213" t="str">
        <f t="shared" si="0"/>
        <v>2017/18</v>
      </c>
      <c r="E19" s="213" t="str">
        <f t="shared" si="0"/>
        <v>2018/19</v>
      </c>
      <c r="F19" s="213" t="str">
        <f t="shared" si="0"/>
        <v>2019/20</v>
      </c>
      <c r="G19" s="213" t="str">
        <f t="shared" si="0"/>
        <v>2020/21</v>
      </c>
      <c r="H19" s="213" t="str">
        <f t="shared" si="0"/>
        <v>2021/22</v>
      </c>
      <c r="I19" s="213" t="str">
        <f t="shared" si="0"/>
        <v>2022/23</v>
      </c>
      <c r="J19" s="213" t="str">
        <f t="shared" si="0"/>
        <v>2023/24</v>
      </c>
      <c r="K19" s="213" t="str">
        <f t="shared" si="0"/>
        <v>2024/25</v>
      </c>
      <c r="L19" s="213" t="str">
        <f t="shared" si="0"/>
        <v>2025/26</v>
      </c>
      <c r="M19" s="213" t="str">
        <f t="shared" si="0"/>
        <v>2026/27</v>
      </c>
    </row>
    <row r="20" spans="1:13" ht="15" x14ac:dyDescent="0.25">
      <c r="A20" s="221" t="s">
        <v>403</v>
      </c>
      <c r="B20" s="466">
        <f>'GF &amp; FF   Cash Flow'!E52</f>
        <v>19402</v>
      </c>
      <c r="C20" s="466">
        <f>'GF &amp; FF   Cash Flow'!F52</f>
        <v>19019.944000000007</v>
      </c>
      <c r="D20" s="466">
        <f>'GF &amp; FF   Cash Flow'!G52</f>
        <v>19054.475960000007</v>
      </c>
      <c r="E20" s="466">
        <f>'GF &amp; FF   Cash Flow'!H52</f>
        <v>13437.458644999995</v>
      </c>
      <c r="F20" s="466">
        <f>'GF &amp; FF   Cash Flow'!I52</f>
        <v>13541.702540299995</v>
      </c>
      <c r="G20" s="466">
        <f>'GF &amp; FF   Cash Flow'!J52</f>
        <v>13570.780853059003</v>
      </c>
      <c r="H20" s="466">
        <f>'GF &amp; FF   Cash Flow'!K52</f>
        <v>13543.836666756215</v>
      </c>
      <c r="I20" s="466">
        <f>'GF &amp; FF   Cash Flow'!L52</f>
        <v>13590.024712570688</v>
      </c>
      <c r="J20" s="466">
        <f>'GF &amp; FF   Cash Flow'!M52</f>
        <v>13998.423891213944</v>
      </c>
      <c r="K20" s="466">
        <f>'GF &amp; FF   Cash Flow'!N52</f>
        <v>14276.483682187465</v>
      </c>
      <c r="L20" s="466">
        <f>'GF &amp; FF   Cash Flow'!O52</f>
        <v>14553.763540135265</v>
      </c>
      <c r="M20" s="466">
        <f>'GF &amp; FF   Cash Flow'!P52</f>
        <v>15089.096803887705</v>
      </c>
    </row>
    <row r="23" spans="1:13" ht="15" x14ac:dyDescent="0.25">
      <c r="A23" s="202" t="s">
        <v>76</v>
      </c>
    </row>
    <row r="24" spans="1:13" ht="15" x14ac:dyDescent="0.25">
      <c r="A24" s="466" t="str">
        <f>'Scenarios &amp; Version Control'!A5</f>
        <v>Scenario 1 - Base Case (BAU)</v>
      </c>
      <c r="B24" s="466">
        <f>'GF &amp; FF  Inc Exp Statement'!E38</f>
        <v>11810</v>
      </c>
      <c r="C24" s="466">
        <f>'GF &amp; FF  Inc Exp Statement'!F38</f>
        <v>2928.0070000000123</v>
      </c>
      <c r="D24" s="466">
        <f>'GF &amp; FF  Inc Exp Statement'!G38</f>
        <v>4419.8999599999952</v>
      </c>
      <c r="E24" s="466">
        <f>'GF &amp; FF  Inc Exp Statement'!H38</f>
        <v>4402.2824850000034</v>
      </c>
      <c r="F24" s="466">
        <f>'GF &amp; FF  Inc Exp Statement'!I38</f>
        <v>4661.3812902999998</v>
      </c>
      <c r="G24" s="466">
        <f>'GF &amp; FF  Inc Exp Statement'!J38</f>
        <v>4547.2847176340074</v>
      </c>
      <c r="H24" s="466">
        <f>'GF &amp; FF  Inc Exp Statement'!K38</f>
        <v>4332.5622136972088</v>
      </c>
      <c r="I24" s="466">
        <f>'GF &amp; FF  Inc Exp Statement'!L38</f>
        <v>4420.1863558144687</v>
      </c>
      <c r="J24" s="466">
        <f>'GF &amp; FF  Inc Exp Statement'!M38</f>
        <v>4499.7787113932573</v>
      </c>
      <c r="K24" s="466">
        <f>'GF &amp; FF  Inc Exp Statement'!N38</f>
        <v>4590.119519842272</v>
      </c>
      <c r="L24" s="466">
        <f>'GF &amp; FF  Inc Exp Statement'!O38</f>
        <v>4675.2005194942831</v>
      </c>
      <c r="M24" s="466">
        <f>'GF &amp; FF  Inc Exp Statement'!P38</f>
        <v>4760.1743875826869</v>
      </c>
    </row>
    <row r="25" spans="1:13" ht="15" x14ac:dyDescent="0.25">
      <c r="A25" s="466" t="str">
        <f>'Scenarios &amp; Version Control'!A7</f>
        <v>Scenario 2 - SRV with proactive response</v>
      </c>
      <c r="B25" s="466">
        <f>'GF &amp; FF  Inc Exp Statement'!E113</f>
        <v>11810</v>
      </c>
      <c r="C25" s="466">
        <f>'GF &amp; FF  Inc Exp Statement'!F113</f>
        <v>2928.0070000000123</v>
      </c>
      <c r="D25" s="466">
        <f>'GF &amp; FF  Inc Exp Statement'!G113</f>
        <v>4719.9369999999908</v>
      </c>
      <c r="E25" s="466">
        <f>'GF &amp; FF  Inc Exp Statement'!H113</f>
        <v>4997.5820099999983</v>
      </c>
      <c r="F25" s="466">
        <f>'GF &amp; FF  Inc Exp Statement'!I113</f>
        <v>8581.3400152999966</v>
      </c>
      <c r="G25" s="466">
        <f>'GF &amp; FF  Inc Exp Statement'!J113</f>
        <v>4131.9530926340012</v>
      </c>
      <c r="H25" s="466">
        <f>'GF &amp; FF  Inc Exp Statement'!K113</f>
        <v>4096.5218832090395</v>
      </c>
      <c r="I25" s="466">
        <f>'GF &amp; FF  Inc Exp Statement'!L113</f>
        <v>4268.246832507255</v>
      </c>
      <c r="J25" s="466">
        <f>'GF &amp; FF  Inc Exp Statement'!M113</f>
        <v>4409.5900297828048</v>
      </c>
      <c r="K25" s="466">
        <f>'GF &amp; FF  Inc Exp Statement'!N113</f>
        <v>4518.5770583586636</v>
      </c>
      <c r="L25" s="466">
        <f>'GF &amp; FF  Inc Exp Statement'!O113</f>
        <v>4650.317316433182</v>
      </c>
      <c r="M25" s="466">
        <f>'GF &amp; FF  Inc Exp Statement'!P113</f>
        <v>4786.4474090166477</v>
      </c>
    </row>
    <row r="26" spans="1:13" ht="15" x14ac:dyDescent="0.25">
      <c r="A26" s="466" t="str">
        <f>'Scenarios &amp; Version Control'!A11</f>
        <v>Scenario 3 - SRV with Mine revenue reduction</v>
      </c>
      <c r="B26" s="466">
        <f>'GF &amp; FF  Inc Exp Statement'!E182</f>
        <v>11810</v>
      </c>
      <c r="C26" s="466">
        <f>'GF &amp; FF  Inc Exp Statement'!F182</f>
        <v>2928.0070000000123</v>
      </c>
      <c r="D26" s="466">
        <f>'GF &amp; FF  Inc Exp Statement'!G182</f>
        <v>5278.2884999999951</v>
      </c>
      <c r="E26" s="466">
        <f>'GF &amp; FF  Inc Exp Statement'!H182</f>
        <v>5090.9202934999994</v>
      </c>
      <c r="F26" s="466">
        <f>'GF &amp; FF  Inc Exp Statement'!I182</f>
        <v>8943.6078496374976</v>
      </c>
      <c r="G26" s="466">
        <f>'GF &amp; FF  Inc Exp Statement'!J182</f>
        <v>4503.2776228299408</v>
      </c>
      <c r="H26" s="466">
        <f>'GF &amp; FF  Inc Exp Statement'!K182</f>
        <v>3963.6507705890253</v>
      </c>
      <c r="I26" s="466">
        <f>'GF &amp; FF  Inc Exp Statement'!L182</f>
        <v>4086.0821188998816</v>
      </c>
      <c r="J26" s="466">
        <f>'GF &amp; FF  Inc Exp Statement'!M182</f>
        <v>3813.3604825893635</v>
      </c>
      <c r="K26" s="466">
        <f>'GF &amp; FF  Inc Exp Statement'!N182</f>
        <v>3918.9951962862178</v>
      </c>
      <c r="L26" s="466">
        <f>'GF &amp; FF  Inc Exp Statement'!O182</f>
        <v>2729.6776722817813</v>
      </c>
      <c r="M26" s="466">
        <f>'GF &amp; FF  Inc Exp Statement'!P182</f>
        <v>750.33486055577669</v>
      </c>
    </row>
    <row r="28" spans="1:13" ht="15" x14ac:dyDescent="0.25">
      <c r="A28" s="202" t="s">
        <v>422</v>
      </c>
    </row>
    <row r="29" spans="1:13" ht="15" x14ac:dyDescent="0.25">
      <c r="A29" s="221" t="s">
        <v>1060</v>
      </c>
      <c r="B29" s="466">
        <f>'GF &amp; FF  Inc Exp Statement'!E21</f>
        <v>46813</v>
      </c>
      <c r="C29" s="466">
        <f>'GF &amp; FF  Inc Exp Statement'!F21</f>
        <v>41149.425000000003</v>
      </c>
      <c r="D29" s="466">
        <f>'GF &amp; FF  Inc Exp Statement'!G21</f>
        <v>42808.169959999999</v>
      </c>
      <c r="E29" s="466">
        <f>'GF &amp; FF  Inc Exp Statement'!H21</f>
        <v>43886.219485000001</v>
      </c>
      <c r="F29" s="466">
        <f>'GF &amp; FF  Inc Exp Statement'!I21</f>
        <v>45146.853290300001</v>
      </c>
      <c r="G29" s="466">
        <f>'GF &amp; FF  Inc Exp Statement'!J21</f>
        <v>46091.805717634008</v>
      </c>
      <c r="H29" s="466">
        <f>'GF &amp; FF  Inc Exp Statement'!K21</f>
        <v>46827.884133697211</v>
      </c>
      <c r="I29" s="466">
        <f>'GF &amp; FF  Inc Exp Statement'!L21</f>
        <v>47889.478570014471</v>
      </c>
      <c r="J29" s="466">
        <f>'GF &amp; FF  Inc Exp Statement'!M21</f>
        <v>48978.676078336255</v>
      </c>
      <c r="K29" s="466">
        <f>'GF &amp; FF  Inc Exp Statement'!N21</f>
        <v>50107.61897881153</v>
      </c>
      <c r="L29" s="466">
        <f>'GF &amp; FF  Inc Exp Statement'!O21</f>
        <v>51257.198138234926</v>
      </c>
      <c r="M29" s="466">
        <f>'GF &amp; FF  Inc Exp Statement'!P21</f>
        <v>52433.202873876013</v>
      </c>
    </row>
    <row r="30" spans="1:13" ht="15" x14ac:dyDescent="0.25">
      <c r="A30" s="221" t="s">
        <v>417</v>
      </c>
      <c r="B30" s="466">
        <f>'GF &amp; FF  Inc Exp Statement'!E31</f>
        <v>35003</v>
      </c>
      <c r="C30" s="466">
        <f>'GF &amp; FF  Inc Exp Statement'!F31</f>
        <v>38221.417999999991</v>
      </c>
      <c r="D30" s="466">
        <f>'GF &amp; FF  Inc Exp Statement'!G31</f>
        <v>38388.270000000004</v>
      </c>
      <c r="E30" s="466">
        <f>'GF &amp; FF  Inc Exp Statement'!H31</f>
        <v>39483.936999999998</v>
      </c>
      <c r="F30" s="466">
        <f>'GF &amp; FF  Inc Exp Statement'!I31</f>
        <v>40485.472000000002</v>
      </c>
      <c r="G30" s="466">
        <f>'GF &amp; FF  Inc Exp Statement'!J31</f>
        <v>41544.521000000001</v>
      </c>
      <c r="H30" s="466">
        <f>'GF &amp; FF  Inc Exp Statement'!K31</f>
        <v>42495.321920000002</v>
      </c>
      <c r="I30" s="466">
        <f>'GF &amp; FF  Inc Exp Statement'!L31</f>
        <v>43469.292214200002</v>
      </c>
      <c r="J30" s="466">
        <f>'GF &amp; FF  Inc Exp Statement'!M31</f>
        <v>44478.897366942998</v>
      </c>
      <c r="K30" s="466">
        <f>'GF &amp; FF  Inc Exp Statement'!N31</f>
        <v>45517.499458969258</v>
      </c>
      <c r="L30" s="466">
        <f>'GF &amp; FF  Inc Exp Statement'!O31</f>
        <v>46581.997618740643</v>
      </c>
      <c r="M30" s="466">
        <f>'GF &amp; FF  Inc Exp Statement'!P31</f>
        <v>47673.028486293326</v>
      </c>
    </row>
    <row r="31" spans="1:13" ht="15" x14ac:dyDescent="0.25">
      <c r="A31" s="221" t="s">
        <v>1061</v>
      </c>
      <c r="B31" s="466">
        <f>'GF &amp; FF  Inc Exp Statement'!E94</f>
        <v>46813</v>
      </c>
      <c r="C31" s="466">
        <f>'GF &amp; FF  Inc Exp Statement'!F94</f>
        <v>41149.425000000003</v>
      </c>
      <c r="D31" s="466">
        <f>'GF &amp; FF  Inc Exp Statement'!G94</f>
        <v>43108.206999999995</v>
      </c>
      <c r="E31" s="466">
        <f>'GF &amp; FF  Inc Exp Statement'!H94</f>
        <v>44195.747009999999</v>
      </c>
      <c r="F31" s="466">
        <f>'GF &amp; FF  Inc Exp Statement'!I94</f>
        <v>49564.807015300001</v>
      </c>
      <c r="G31" s="466">
        <f>'GF &amp; FF  Inc Exp Statement'!J94</f>
        <v>47608.848092633998</v>
      </c>
      <c r="H31" s="466">
        <f>'GF &amp; FF  Inc Exp Statement'!K94</f>
        <v>48529.111399009038</v>
      </c>
      <c r="I31" s="466">
        <f>'GF &amp; FF  Inc Exp Statement'!L94</f>
        <v>49680.609232098257</v>
      </c>
      <c r="J31" s="466">
        <f>'GF &amp; FF  Inc Exp Statement'!M94</f>
        <v>50826.428788421501</v>
      </c>
      <c r="K31" s="466">
        <f>'GF &amp; FF  Inc Exp Statement'!N94</f>
        <v>51965.237432049325</v>
      </c>
      <c r="L31" s="466">
        <f>'GF &amp; FF  Inc Exp Statement'!O94</f>
        <v>53152.803470647756</v>
      </c>
      <c r="M31" s="466">
        <f>'GF &amp; FF  Inc Exp Statement'!P94</f>
        <v>54371.440015326611</v>
      </c>
    </row>
    <row r="32" spans="1:13" ht="15" x14ac:dyDescent="0.25">
      <c r="A32" s="221" t="s">
        <v>1062</v>
      </c>
      <c r="B32" s="466">
        <f>'GF &amp; FF  Inc Exp Statement'!E106</f>
        <v>35003</v>
      </c>
      <c r="C32" s="466">
        <f>'GF &amp; FF  Inc Exp Statement'!F106</f>
        <v>38221.417999999991</v>
      </c>
      <c r="D32" s="466">
        <f>'GF &amp; FF  Inc Exp Statement'!G106</f>
        <v>38388.270000000004</v>
      </c>
      <c r="E32" s="466">
        <f>'GF &amp; FF  Inc Exp Statement'!H106</f>
        <v>39198.165000000001</v>
      </c>
      <c r="F32" s="466">
        <f>'GF &amp; FF  Inc Exp Statement'!I106</f>
        <v>40983.467000000004</v>
      </c>
      <c r="G32" s="466">
        <f>'GF &amp; FF  Inc Exp Statement'!J106</f>
        <v>43476.894999999997</v>
      </c>
      <c r="H32" s="466">
        <f>'GF &amp; FF  Inc Exp Statement'!K106</f>
        <v>44432.589515799998</v>
      </c>
      <c r="I32" s="466">
        <f>'GF &amp; FF  Inc Exp Statement'!L106</f>
        <v>45412.362399591002</v>
      </c>
      <c r="J32" s="466">
        <f>'GF &amp; FF  Inc Exp Statement'!M106</f>
        <v>46416.838758638696</v>
      </c>
      <c r="K32" s="466">
        <f>'GF &amp; FF  Inc Exp Statement'!N106</f>
        <v>47446.660373690662</v>
      </c>
      <c r="L32" s="466">
        <f>'GF &amp; FF  Inc Exp Statement'!O106</f>
        <v>48502.486154214574</v>
      </c>
      <c r="M32" s="466">
        <f>'GF &amp; FF  Inc Exp Statement'!P106</f>
        <v>49584.992606309963</v>
      </c>
    </row>
    <row r="33" spans="1:13" ht="15" x14ac:dyDescent="0.25">
      <c r="A33" s="221" t="s">
        <v>1063</v>
      </c>
      <c r="B33" s="466">
        <f>'GF &amp; FF  Inc Exp Statement'!E163</f>
        <v>46813</v>
      </c>
      <c r="C33" s="466">
        <f>'GF &amp; FF  Inc Exp Statement'!F163</f>
        <v>41149.425000000003</v>
      </c>
      <c r="D33" s="466">
        <f>'GF &amp; FF  Inc Exp Statement'!G163</f>
        <v>43666.558499999999</v>
      </c>
      <c r="E33" s="466">
        <f>'GF &amp; FF  Inc Exp Statement'!H163</f>
        <v>44289.0852935</v>
      </c>
      <c r="F33" s="466">
        <f>'GF &amp; FF  Inc Exp Statement'!I163</f>
        <v>49927.074849637502</v>
      </c>
      <c r="G33" s="466">
        <f>'GF &amp; FF  Inc Exp Statement'!J163</f>
        <v>47980.172622829938</v>
      </c>
      <c r="H33" s="466">
        <f>'GF &amp; FF  Inc Exp Statement'!K163</f>
        <v>48396.240286389024</v>
      </c>
      <c r="I33" s="466">
        <f>'GF &amp; FF  Inc Exp Statement'!L163</f>
        <v>49498.444518490884</v>
      </c>
      <c r="J33" s="466">
        <f>'GF &amp; FF  Inc Exp Statement'!M163</f>
        <v>50230.19924122806</v>
      </c>
      <c r="K33" s="466">
        <f>'GF &amp; FF  Inc Exp Statement'!N163</f>
        <v>51365.65556997688</v>
      </c>
      <c r="L33" s="466">
        <f>'GF &amp; FF  Inc Exp Statement'!O163</f>
        <v>51232.163826496355</v>
      </c>
      <c r="M33" s="466">
        <f>'GF &amp; FF  Inc Exp Statement'!P163</f>
        <v>50335.32746686574</v>
      </c>
    </row>
    <row r="34" spans="1:13" ht="15" x14ac:dyDescent="0.25">
      <c r="A34" s="221" t="s">
        <v>1064</v>
      </c>
      <c r="B34" s="466">
        <f>'GF &amp; FF  Inc Exp Statement'!E175</f>
        <v>35003</v>
      </c>
      <c r="C34" s="466">
        <f>'GF &amp; FF  Inc Exp Statement'!F175</f>
        <v>38221.417999999991</v>
      </c>
      <c r="D34" s="466">
        <f>'GF &amp; FF  Inc Exp Statement'!G175</f>
        <v>38388.270000000004</v>
      </c>
      <c r="E34" s="466">
        <f>'GF &amp; FF  Inc Exp Statement'!H175</f>
        <v>39198.165000000001</v>
      </c>
      <c r="F34" s="466">
        <f>'GF &amp; FF  Inc Exp Statement'!I175</f>
        <v>40983.467000000004</v>
      </c>
      <c r="G34" s="466">
        <f>'GF &amp; FF  Inc Exp Statement'!J175</f>
        <v>43476.894999999997</v>
      </c>
      <c r="H34" s="466">
        <f>'GF &amp; FF  Inc Exp Statement'!K175</f>
        <v>44432.589515799998</v>
      </c>
      <c r="I34" s="466">
        <f>'GF &amp; FF  Inc Exp Statement'!L175</f>
        <v>45412.362399591002</v>
      </c>
      <c r="J34" s="466">
        <f>'GF &amp; FF  Inc Exp Statement'!M175</f>
        <v>46416.838758638696</v>
      </c>
      <c r="K34" s="466">
        <f>'GF &amp; FF  Inc Exp Statement'!N175</f>
        <v>47446.660373690662</v>
      </c>
      <c r="L34" s="466">
        <f>'GF &amp; FF  Inc Exp Statement'!O175</f>
        <v>48502.486154214574</v>
      </c>
      <c r="M34" s="466">
        <f>'GF &amp; FF  Inc Exp Statement'!P175</f>
        <v>49584.992606309963</v>
      </c>
    </row>
    <row r="37" spans="1:13" ht="15" x14ac:dyDescent="0.25">
      <c r="A37" s="202" t="s">
        <v>429</v>
      </c>
    </row>
    <row r="38" spans="1:13" ht="15" x14ac:dyDescent="0.25">
      <c r="A38" s="221" t="str">
        <f>'Scenarios &amp; Version Control'!A5</f>
        <v>Scenario 1 - Base Case (BAU)</v>
      </c>
      <c r="B38" s="466">
        <f>'GF &amp; FF   Cash Flow'!E52*1000</f>
        <v>19402000</v>
      </c>
      <c r="C38" s="466">
        <f>'GF &amp; FF   Cash Flow'!F52*1000</f>
        <v>19019944.000000007</v>
      </c>
      <c r="D38" s="466">
        <f>'GF &amp; FF   Cash Flow'!G52*1000</f>
        <v>19054475.960000008</v>
      </c>
      <c r="E38" s="466">
        <f>'GF &amp; FF   Cash Flow'!H52*1000</f>
        <v>13437458.644999996</v>
      </c>
      <c r="F38" s="466">
        <f>'GF &amp; FF   Cash Flow'!I52*1000</f>
        <v>13541702.540299995</v>
      </c>
      <c r="G38" s="466">
        <f>'GF &amp; FF   Cash Flow'!J52*1000</f>
        <v>13570780.853059003</v>
      </c>
      <c r="H38" s="466">
        <f>'GF &amp; FF   Cash Flow'!K52*1000</f>
        <v>13543836.666756215</v>
      </c>
      <c r="I38" s="466">
        <f>'GF &amp; FF   Cash Flow'!L52*1000</f>
        <v>13590024.712570688</v>
      </c>
      <c r="J38" s="466">
        <f>'GF &amp; FF   Cash Flow'!M52*1000</f>
        <v>13998423.891213944</v>
      </c>
      <c r="K38" s="466">
        <f>'GF &amp; FF   Cash Flow'!N52*1000</f>
        <v>14276483.682187466</v>
      </c>
      <c r="L38" s="466">
        <f>'GF &amp; FF   Cash Flow'!O52*1000</f>
        <v>14553763.540135266</v>
      </c>
      <c r="M38" s="466">
        <f>'GF &amp; FF   Cash Flow'!P52*1000</f>
        <v>15089096.803887706</v>
      </c>
    </row>
    <row r="39" spans="1:13" ht="15" x14ac:dyDescent="0.25">
      <c r="A39" s="221" t="str">
        <f>'Scenarios &amp; Version Control'!A7</f>
        <v>Scenario 2 - SRV with proactive response</v>
      </c>
      <c r="B39" s="466">
        <f>'GF &amp; FF   Cash Flow'!E105*1000</f>
        <v>19402000</v>
      </c>
      <c r="C39" s="466">
        <f>'GF &amp; FF   Cash Flow'!F105*1000</f>
        <v>19019944.000000007</v>
      </c>
      <c r="D39" s="466">
        <f>'GF &amp; FF   Cash Flow'!G105*1000</f>
        <v>20384695.000000004</v>
      </c>
      <c r="E39" s="466">
        <f>'GF &amp; FF   Cash Flow'!H105*1000</f>
        <v>13082483.209999992</v>
      </c>
      <c r="F39" s="466">
        <f>'GF &amp; FF   Cash Flow'!I105*1000</f>
        <v>15032671.830299994</v>
      </c>
      <c r="G39" s="466">
        <f>'GF &amp; FF   Cash Flow'!J105*1000</f>
        <v>15910471.518058993</v>
      </c>
      <c r="H39" s="466">
        <f>'GF &amp; FF   Cash Flow'!K105*1000</f>
        <v>17490727.236271162</v>
      </c>
      <c r="I39" s="466">
        <f>'GF &amp; FF   Cash Flow'!L105*1000</f>
        <v>18286993.849656623</v>
      </c>
      <c r="J39" s="466">
        <f>'GF &amp; FF   Cash Flow'!M105*1000</f>
        <v>18250471.614839584</v>
      </c>
      <c r="K39" s="466">
        <f>'GF &amp; FF   Cash Flow'!N105*1000</f>
        <v>18759500.919183407</v>
      </c>
      <c r="L39" s="466">
        <f>'GF &amp; FF   Cash Flow'!O105*1000</f>
        <v>19355648.959295385</v>
      </c>
      <c r="M39" s="466">
        <f>'GF &amp; FF   Cash Flow'!P105*1000</f>
        <v>20046239.883057676</v>
      </c>
    </row>
    <row r="40" spans="1:13" ht="15" x14ac:dyDescent="0.25">
      <c r="A40" s="221" t="str">
        <f>'Scenarios &amp; Version Control'!A11</f>
        <v>Scenario 3 - SRV with Mine revenue reduction</v>
      </c>
      <c r="B40" s="466">
        <f>'GF &amp; FF   Cash Flow'!E158*1000</f>
        <v>19402000</v>
      </c>
      <c r="C40" s="466">
        <f>'GF &amp; FF   Cash Flow'!F158*1000</f>
        <v>19019944.000000007</v>
      </c>
      <c r="D40" s="466">
        <f>'GF &amp; FF   Cash Flow'!G158*1000</f>
        <v>20943046.500000007</v>
      </c>
      <c r="E40" s="466">
        <f>'GF &amp; FF   Cash Flow'!H158*1000</f>
        <v>13734172.993500004</v>
      </c>
      <c r="F40" s="466">
        <f>'GF &amp; FF   Cash Flow'!I158*1000</f>
        <v>16046629.448137509</v>
      </c>
      <c r="G40" s="466">
        <f>'GF &amp; FF   Cash Flow'!J158*1000</f>
        <v>17295753.666092448</v>
      </c>
      <c r="H40" s="466">
        <f>'GF &amp; FF   Cash Flow'!K158*1000</f>
        <v>17983323.35870897</v>
      </c>
      <c r="I40" s="466">
        <f>'GF &amp; FF   Cash Flow'!L158*1000</f>
        <v>18772037.057951897</v>
      </c>
      <c r="J40" s="466">
        <f>'GF &amp; FF   Cash Flow'!M158*1000</f>
        <v>19267421.889363036</v>
      </c>
      <c r="K40" s="466">
        <f>'GF &amp; FF   Cash Flow'!N158*1000</f>
        <v>19848555.561741147</v>
      </c>
      <c r="L40" s="466">
        <f>'GF &amp; FF   Cash Flow'!O158*1000</f>
        <v>19221249.960937668</v>
      </c>
      <c r="M40" s="466">
        <f>'GF &amp; FF   Cash Flow'!P158*1000</f>
        <v>16596288.251280021</v>
      </c>
    </row>
    <row r="44" spans="1:13" ht="15" x14ac:dyDescent="0.25">
      <c r="A44" s="202" t="s">
        <v>1297</v>
      </c>
    </row>
    <row r="45" spans="1:13" ht="15" x14ac:dyDescent="0.25">
      <c r="A45" s="466" t="str">
        <f>'Scenarios &amp; Version Control'!A5</f>
        <v>Scenario 1 - Base Case (BAU)</v>
      </c>
      <c r="B45" s="466">
        <f>'GF &amp; FF  Inc Exp Statement'!E43</f>
        <v>-2644</v>
      </c>
      <c r="C45" s="466">
        <f>'GF &amp; FF  Inc Exp Statement'!F43</f>
        <v>30.000000000012278</v>
      </c>
      <c r="D45" s="466">
        <f>'GF &amp; FF  Inc Exp Statement'!G43</f>
        <v>631.93295999999509</v>
      </c>
      <c r="E45" s="466">
        <f>'GF &amp; FF  Inc Exp Statement'!H43</f>
        <v>557.91147500000352</v>
      </c>
      <c r="F45" s="466">
        <f>'GF &amp; FF  Inc Exp Statement'!I43</f>
        <v>758.92227499999944</v>
      </c>
      <c r="G45" s="466">
        <f>'GF &amp; FF  Inc Exp Statement'!J43</f>
        <v>585.00338500000726</v>
      </c>
      <c r="H45" s="466">
        <f>'GF &amp; FF  Inc Exp Statement'!K43</f>
        <v>271.22384774735883</v>
      </c>
      <c r="I45" s="466">
        <f>'GF &amp; FF  Inc Exp Statement'!L43</f>
        <v>257.31453071587384</v>
      </c>
      <c r="J45" s="466">
        <f>'GF &amp; FF  Inc Exp Statement'!M43</f>
        <v>232.83509066719671</v>
      </c>
      <c r="K45" s="466">
        <f>'GF &amp; FF  Inc Exp Statement'!N43</f>
        <v>216.50230859806106</v>
      </c>
      <c r="L45" s="466">
        <f>'GF &amp; FF  Inc Exp Statement'!O43</f>
        <v>192.24287796896624</v>
      </c>
      <c r="M45" s="466">
        <f>'GF &amp; FF  Inc Exp Statement'!P43</f>
        <v>165.14280501923804</v>
      </c>
    </row>
    <row r="46" spans="1:13" ht="15" x14ac:dyDescent="0.25">
      <c r="A46" s="466" t="str">
        <f>'Scenarios &amp; Version Control'!A7</f>
        <v>Scenario 2 - SRV with proactive response</v>
      </c>
      <c r="B46" s="466">
        <f>'GF &amp; FF  Inc Exp Statement'!E118</f>
        <v>-2644</v>
      </c>
      <c r="C46" s="466">
        <f>'GF &amp; FF  Inc Exp Statement'!F118</f>
        <v>30.000000000012278</v>
      </c>
      <c r="D46" s="466">
        <f>'GF &amp; FF  Inc Exp Statement'!G118</f>
        <v>931.9699999999907</v>
      </c>
      <c r="E46" s="466">
        <f>'GF &amp; FF  Inc Exp Statement'!H118</f>
        <v>1153.2109999999984</v>
      </c>
      <c r="F46" s="466">
        <f>'GF &amp; FF  Inc Exp Statement'!I118</f>
        <v>1178.8809999999967</v>
      </c>
      <c r="G46" s="466">
        <f>'GF &amp; FF  Inc Exp Statement'!J118</f>
        <v>169.67176000000109</v>
      </c>
      <c r="H46" s="466">
        <f>'GF &amp; FF  Inc Exp Statement'!K118</f>
        <v>46.289923922358867</v>
      </c>
      <c r="I46" s="466">
        <f>'GF &amp; FF  Inc Exp Statement'!L118</f>
        <v>128.08760903484108</v>
      </c>
      <c r="J46" s="466">
        <f>'GF &amp; FF  Inc Exp Statement'!M118</f>
        <v>177.4819312159425</v>
      </c>
      <c r="K46" s="466">
        <f>'GF &amp; FF  Inc Exp Statement'!N118</f>
        <v>192.45246492984006</v>
      </c>
      <c r="L46" s="466">
        <f>'GF &amp; FF  Inc Exp Statement'!O118</f>
        <v>228.06153992289182</v>
      </c>
      <c r="M46" s="466">
        <f>'GF &amp; FF  Inc Exp Statement'!P118</f>
        <v>265.89760848293827</v>
      </c>
    </row>
    <row r="47" spans="1:13" ht="15" x14ac:dyDescent="0.25">
      <c r="A47" s="466" t="str">
        <f>'Scenarios &amp; Version Control'!A11</f>
        <v>Scenario 3 - SRV with Mine revenue reduction</v>
      </c>
      <c r="B47" s="466">
        <f>'GF &amp; FF  Inc Exp Statement'!E187</f>
        <v>-2644</v>
      </c>
      <c r="C47" s="466">
        <f>'GF &amp; FF  Inc Exp Statement'!F187</f>
        <v>30.000000000012278</v>
      </c>
      <c r="D47" s="466">
        <f>'GF &amp; FF  Inc Exp Statement'!G187</f>
        <v>1490.321499999995</v>
      </c>
      <c r="E47" s="466">
        <f>'GF &amp; FF  Inc Exp Statement'!H187</f>
        <v>1246.5492834999995</v>
      </c>
      <c r="F47" s="466">
        <f>'GF &amp; FF  Inc Exp Statement'!I187</f>
        <v>1541.1488343374976</v>
      </c>
      <c r="G47" s="466">
        <f>'GF &amp; FF  Inc Exp Statement'!J187</f>
        <v>540.99629019594067</v>
      </c>
      <c r="H47" s="466">
        <f>'GF &amp; FF  Inc Exp Statement'!K187</f>
        <v>-77.87618869765538</v>
      </c>
      <c r="I47" s="466">
        <f>'GF &amp; FF  Inc Exp Statement'!L187</f>
        <v>-36.275379572532074</v>
      </c>
      <c r="J47" s="466">
        <f>'GF &amp; FF  Inc Exp Statement'!M187</f>
        <v>-391.44416585249928</v>
      </c>
      <c r="K47" s="466">
        <f>'GF &amp; FF  Inc Exp Statement'!N187</f>
        <v>-369.90554512448216</v>
      </c>
      <c r="L47" s="466">
        <f>'GF &amp; FF  Inc Exp Statement'!O187</f>
        <v>-1645.0010839571323</v>
      </c>
      <c r="M47" s="466">
        <f>'GF &amp; FF  Inc Exp Statement'!P187</f>
        <v>-3711.8374708079155</v>
      </c>
    </row>
    <row r="50" spans="1:13" ht="15" x14ac:dyDescent="0.25">
      <c r="A50" s="202" t="s">
        <v>1307</v>
      </c>
    </row>
    <row r="51" spans="1:13" ht="15" x14ac:dyDescent="0.25">
      <c r="A51" s="466" t="str">
        <f>A45</f>
        <v>Scenario 1 - Base Case (BAU)</v>
      </c>
      <c r="B51" s="778" t="str">
        <f>'Muswellbrook FFF Ratios'!D248</f>
        <v/>
      </c>
      <c r="C51" s="778" t="str">
        <f>'Muswellbrook FFF Ratios'!E248</f>
        <v/>
      </c>
      <c r="D51" s="778">
        <f>'Muswellbrook FFF Ratios'!F248</f>
        <v>-1.2625051997187818E-2</v>
      </c>
      <c r="E51" s="778">
        <f>'Muswellbrook FFF Ratios'!G248</f>
        <v>1.0398161787175448E-2</v>
      </c>
      <c r="F51" s="778">
        <f>'Muswellbrook FFF Ratios'!H248</f>
        <v>1.619835660923372E-2</v>
      </c>
      <c r="G51" s="778">
        <f>'Muswellbrook FFF Ratios'!I248</f>
        <v>1.5410001324382134E-2</v>
      </c>
      <c r="H51" s="778">
        <f>'Muswellbrook FFF Ratios'!J248</f>
        <v>1.2804372610127093E-2</v>
      </c>
      <c r="I51" s="778">
        <f>'Muswellbrook FFF Ratios'!K248</f>
        <v>8.6574295475843523E-3</v>
      </c>
      <c r="J51" s="778">
        <f>'Muswellbrook FFF Ratios'!L248</f>
        <v>5.8029353808200148E-3</v>
      </c>
      <c r="K51" s="778">
        <f>'Muswellbrook FFF Ratios'!M248</f>
        <v>5.2667481604024239E-3</v>
      </c>
      <c r="L51" s="778">
        <f>'Muswellbrook FFF Ratios'!N248</f>
        <v>4.6755603805826934E-3</v>
      </c>
      <c r="M51" s="778">
        <f>'Muswellbrook FFF Ratios'!O248</f>
        <v>4.0890819868293496E-3</v>
      </c>
    </row>
    <row r="52" spans="1:13" ht="15" x14ac:dyDescent="0.25">
      <c r="A52" s="466" t="str">
        <f t="shared" ref="A52:A53" si="1">A46</f>
        <v>Scenario 2 - SRV with proactive response</v>
      </c>
      <c r="B52" s="778" t="str">
        <f>'Muswellbrook FFF Ratios'!D567</f>
        <v/>
      </c>
      <c r="C52" s="778" t="str">
        <f>'Muswellbrook FFF Ratios'!E567</f>
        <v/>
      </c>
      <c r="D52" s="778">
        <f>'Muswellbrook FFF Ratios'!F567</f>
        <v>-9.8612138065034757E-3</v>
      </c>
      <c r="E52" s="778">
        <f>'Muswellbrook FFF Ratios'!G567</f>
        <v>1.7936962171444724E-2</v>
      </c>
      <c r="F52" s="778">
        <f>'Muswellbrook FFF Ratios'!H567</f>
        <v>2.6791067883172526E-2</v>
      </c>
      <c r="G52" s="778">
        <f>'Muswellbrook FFF Ratios'!I567</f>
        <v>1.9830041171664797E-2</v>
      </c>
      <c r="H52" s="778">
        <f>'Muswellbrook FFF Ratios'!J567</f>
        <v>1.0705858461186137E-2</v>
      </c>
      <c r="I52" s="778">
        <f>'Muswellbrook FFF Ratios'!K567</f>
        <v>2.5739496963453471E-3</v>
      </c>
      <c r="J52" s="778">
        <f>'Muswellbrook FFF Ratios'!L567</f>
        <v>2.5755805793724654E-3</v>
      </c>
      <c r="K52" s="778">
        <f>'Muswellbrook FFF Ratios'!M567</f>
        <v>3.5630547894766888E-3</v>
      </c>
      <c r="L52" s="778">
        <f>'Muswellbrook FFF Ratios'!N567</f>
        <v>4.1828433354658993E-3</v>
      </c>
      <c r="M52" s="778">
        <f>'Muswellbrook FFF Ratios'!O567</f>
        <v>4.6943580079982523E-3</v>
      </c>
    </row>
    <row r="53" spans="1:13" ht="15" x14ac:dyDescent="0.25">
      <c r="A53" s="466" t="str">
        <f t="shared" si="1"/>
        <v>Scenario 3 - SRV with Mine revenue reduction</v>
      </c>
      <c r="B53" s="778" t="str">
        <f>'Muswellbrook FFF Ratios'!D887</f>
        <v/>
      </c>
      <c r="C53" s="778" t="str">
        <f>'Muswellbrook FFF Ratios'!E887</f>
        <v/>
      </c>
      <c r="D53" s="778">
        <f>'Muswellbrook FFF Ratios'!F887</f>
        <v>-4.7578308289717482E-3</v>
      </c>
      <c r="E53" s="778">
        <f>'Muswellbrook FFF Ratios'!G887</f>
        <v>2.3334406315395691E-2</v>
      </c>
      <c r="F53" s="778">
        <f>'Muswellbrook FFF Ratios'!H887</f>
        <v>3.4823703661392216E-2</v>
      </c>
      <c r="G53" s="778">
        <f>'Muswellbrook FFF Ratios'!I887</f>
        <v>2.6212829693609292E-2</v>
      </c>
      <c r="H53" s="778">
        <f>'Muswellbrook FFF Ratios'!J887</f>
        <v>1.531177613184184E-2</v>
      </c>
      <c r="I53" s="778">
        <f>'Muswellbrook FFF Ratios'!K887</f>
        <v>3.1913936256155895E-3</v>
      </c>
      <c r="J53" s="778">
        <f>'Muswellbrook FFF Ratios'!L887</f>
        <v>-3.7242921720550492E-3</v>
      </c>
      <c r="K53" s="778">
        <f>'Muswellbrook FFF Ratios'!M887</f>
        <v>-5.7599310263255418E-3</v>
      </c>
      <c r="L53" s="778">
        <f>'Muswellbrook FFF Ratios'!N887</f>
        <v>-1.7193177187658018E-2</v>
      </c>
      <c r="M53" s="778">
        <f>'Muswellbrook FFF Ratios'!O887</f>
        <v>-4.0961668003924118E-2</v>
      </c>
    </row>
    <row r="56" spans="1:13" ht="15" x14ac:dyDescent="0.25">
      <c r="A56" s="202" t="s">
        <v>1308</v>
      </c>
    </row>
    <row r="57" spans="1:13" ht="15" x14ac:dyDescent="0.25">
      <c r="A57" s="466" t="str">
        <f>A51</f>
        <v>Scenario 1 - Base Case (BAU)</v>
      </c>
      <c r="B57" s="778" t="str">
        <f>'Muswellbrook FFF Ratios'!D249</f>
        <v/>
      </c>
      <c r="C57" s="778" t="str">
        <f>'Muswellbrook FFF Ratios'!E249</f>
        <v/>
      </c>
      <c r="D57" s="778">
        <f>'Muswellbrook FFF Ratios'!F249</f>
        <v>0.74135751938037875</v>
      </c>
      <c r="E57" s="778">
        <f>'Muswellbrook FFF Ratios'!G249</f>
        <v>0.78330332890749022</v>
      </c>
      <c r="F57" s="778">
        <f>'Muswellbrook FFF Ratios'!H249</f>
        <v>0.78628367390414611</v>
      </c>
      <c r="G57" s="778">
        <f>'Muswellbrook FFF Ratios'!I249</f>
        <v>0.78803446532289201</v>
      </c>
      <c r="H57" s="778">
        <f>'Muswellbrook FFF Ratios'!J249</f>
        <v>0.78853136528569923</v>
      </c>
      <c r="I57" s="778">
        <f>'Muswellbrook FFF Ratios'!K249</f>
        <v>0.78803930046675852</v>
      </c>
      <c r="J57" s="778">
        <f>'Muswellbrook FFF Ratios'!L249</f>
        <v>0.78710505630802108</v>
      </c>
      <c r="K57" s="778">
        <f>'Muswellbrook FFF Ratios'!M249</f>
        <v>0.78665215828739066</v>
      </c>
      <c r="L57" s="778">
        <f>'Muswellbrook FFF Ratios'!N249</f>
        <v>0.78621696552033993</v>
      </c>
      <c r="M57" s="778">
        <f>'Muswellbrook FFF Ratios'!O249</f>
        <v>0.78579431389126453</v>
      </c>
    </row>
    <row r="58" spans="1:13" ht="15" x14ac:dyDescent="0.25">
      <c r="A58" s="466" t="str">
        <f t="shared" ref="A58:A59" si="2">A52</f>
        <v>Scenario 2 - SRV with proactive response</v>
      </c>
      <c r="B58" s="778" t="str">
        <f>'Muswellbrook FFF Ratios'!D568</f>
        <v/>
      </c>
      <c r="C58" s="778" t="str">
        <f>'Muswellbrook FFF Ratios'!E568</f>
        <v/>
      </c>
      <c r="D58" s="778">
        <f>'Muswellbrook FFF Ratios'!F568</f>
        <v>0.74194957075729773</v>
      </c>
      <c r="E58" s="778">
        <f>'Muswellbrook FFF Ratios'!G568</f>
        <v>0.78433164449614579</v>
      </c>
      <c r="F58" s="778">
        <f>'Muswellbrook FFF Ratios'!H568</f>
        <v>0.76856204594820132</v>
      </c>
      <c r="G58" s="778">
        <f>'Muswellbrook FFF Ratios'!I568</f>
        <v>0.77263950588741637</v>
      </c>
      <c r="H58" s="778">
        <f>'Muswellbrook FFF Ratios'!J568</f>
        <v>0.77566907098045301</v>
      </c>
      <c r="I58" s="778">
        <f>'Muswellbrook FFF Ratios'!K568</f>
        <v>0.79555284973703599</v>
      </c>
      <c r="J58" s="778">
        <f>'Muswellbrook FFF Ratios'!L568</f>
        <v>0.79519394674580646</v>
      </c>
      <c r="K58" s="778">
        <f>'Muswellbrook FFF Ratios'!M568</f>
        <v>0.79503209188009294</v>
      </c>
      <c r="L58" s="778">
        <f>'Muswellbrook FFF Ratios'!N568</f>
        <v>0.79481248518802872</v>
      </c>
      <c r="M58" s="778">
        <f>'Muswellbrook FFF Ratios'!O568</f>
        <v>0.79458373090887635</v>
      </c>
    </row>
    <row r="59" spans="1:13" ht="15" x14ac:dyDescent="0.25">
      <c r="A59" s="466" t="str">
        <f t="shared" si="2"/>
        <v>Scenario 3 - SRV with Mine revenue reduction</v>
      </c>
      <c r="B59" s="778" t="str">
        <f>'Muswellbrook FFF Ratios'!D888</f>
        <v/>
      </c>
      <c r="C59" s="778" t="str">
        <f>'Muswellbrook FFF Ratios'!E888</f>
        <v/>
      </c>
      <c r="D59" s="778">
        <f>'Muswellbrook FFF Ratios'!F888</f>
        <v>0.74304415917275923</v>
      </c>
      <c r="E59" s="778">
        <f>'Muswellbrook FFF Ratios'!G888</f>
        <v>0.78542028389055185</v>
      </c>
      <c r="F59" s="778">
        <f>'Muswellbrook FFF Ratios'!H888</f>
        <v>0.77026398712601418</v>
      </c>
      <c r="G59" s="778">
        <f>'Muswellbrook FFF Ratios'!I888</f>
        <v>0.77396170145376153</v>
      </c>
      <c r="H59" s="778">
        <f>'Muswellbrook FFF Ratios'!J888</f>
        <v>0.77664967204964952</v>
      </c>
      <c r="I59" s="778">
        <f>'Muswellbrook FFF Ratios'!K888</f>
        <v>0.79581344838157753</v>
      </c>
      <c r="J59" s="778">
        <f>'Muswellbrook FFF Ratios'!L888</f>
        <v>0.79429725413181462</v>
      </c>
      <c r="K59" s="778">
        <f>'Muswellbrook FFF Ratios'!M888</f>
        <v>0.79370767489620175</v>
      </c>
      <c r="L59" s="778">
        <f>'Muswellbrook FFF Ratios'!N888</f>
        <v>0.79136185794722469</v>
      </c>
      <c r="M59" s="778">
        <f>'Muswellbrook FFF Ratios'!O888</f>
        <v>0.78671362973293946</v>
      </c>
    </row>
    <row r="62" spans="1:13" ht="15" x14ac:dyDescent="0.25">
      <c r="A62" s="202" t="s">
        <v>1309</v>
      </c>
    </row>
    <row r="63" spans="1:13" ht="15" x14ac:dyDescent="0.25">
      <c r="A63" s="466" t="str">
        <f>A57</f>
        <v>Scenario 1 - Base Case (BAU)</v>
      </c>
      <c r="B63" s="778" t="str">
        <f>'Muswellbrook FFF Ratios'!D250</f>
        <v/>
      </c>
      <c r="C63" s="778" t="str">
        <f>'Muswellbrook FFF Ratios'!E250</f>
        <v/>
      </c>
      <c r="D63" s="778">
        <f>'Muswellbrook FFF Ratios'!F250</f>
        <v>0.71882981528158085</v>
      </c>
      <c r="E63" s="778">
        <f>'Muswellbrook FFF Ratios'!G250</f>
        <v>1.2526875977648806</v>
      </c>
      <c r="F63" s="778">
        <f>'Muswellbrook FFF Ratios'!H250</f>
        <v>1.2647632617226836</v>
      </c>
      <c r="G63" s="778">
        <f>'Muswellbrook FFF Ratios'!I250</f>
        <v>1.2395288167645289</v>
      </c>
      <c r="H63" s="778">
        <f>'Muswellbrook FFF Ratios'!J250</f>
        <v>1.0109582940059707</v>
      </c>
      <c r="I63" s="778">
        <f>'Muswellbrook FFF Ratios'!K250</f>
        <v>1.0085819344000608</v>
      </c>
      <c r="J63" s="778">
        <f>'Muswellbrook FFF Ratios'!L250</f>
        <v>1.007344765301398</v>
      </c>
      <c r="K63" s="778">
        <f>'Muswellbrook FFF Ratios'!M250</f>
        <v>1.0054813493376618</v>
      </c>
      <c r="L63" s="778">
        <f>'Muswellbrook FFF Ratios'!N250</f>
        <v>1.0056665579389272</v>
      </c>
      <c r="M63" s="778">
        <f>'Muswellbrook FFF Ratios'!O250</f>
        <v>1.0060454347123233</v>
      </c>
    </row>
    <row r="64" spans="1:13" ht="15" x14ac:dyDescent="0.25">
      <c r="A64" s="466" t="str">
        <f t="shared" ref="A64:A65" si="3">A58</f>
        <v>Scenario 2 - SRV with proactive response</v>
      </c>
      <c r="B64" s="778" t="str">
        <f>'Muswellbrook FFF Ratios'!D569</f>
        <v/>
      </c>
      <c r="C64" s="778" t="str">
        <f>'Muswellbrook FFF Ratios'!E569</f>
        <v/>
      </c>
      <c r="D64" s="778">
        <f>'Muswellbrook FFF Ratios'!F569</f>
        <v>0.69437508163592687</v>
      </c>
      <c r="E64" s="778">
        <f>'Muswellbrook FFF Ratios'!G569</f>
        <v>1.2154836502792421</v>
      </c>
      <c r="F64" s="778">
        <f>'Muswellbrook FFF Ratios'!H569</f>
        <v>1.2540672326695927</v>
      </c>
      <c r="G64" s="778">
        <f>'Muswellbrook FFF Ratios'!I569</f>
        <v>1.2501138655914967</v>
      </c>
      <c r="H64" s="778">
        <f>'Muswellbrook FFF Ratios'!J569</f>
        <v>1.0348765279617809</v>
      </c>
      <c r="I64" s="778">
        <f>'Muswellbrook FFF Ratios'!K569</f>
        <v>1.0051266199834599</v>
      </c>
      <c r="J64" s="778">
        <f>'Muswellbrook FFF Ratios'!L569</f>
        <v>1.0167827185702296</v>
      </c>
      <c r="K64" s="778">
        <f>'Muswellbrook FFF Ratios'!M569</f>
        <v>1.0157722325305814</v>
      </c>
      <c r="L64" s="778">
        <f>'Muswellbrook FFF Ratios'!N569</f>
        <v>1.0214461571315983</v>
      </c>
      <c r="M64" s="778">
        <f>'Muswellbrook FFF Ratios'!O569</f>
        <v>1.0075238149263706</v>
      </c>
    </row>
    <row r="65" spans="1:13" ht="15" x14ac:dyDescent="0.25">
      <c r="A65" s="466" t="str">
        <f t="shared" si="3"/>
        <v>Scenario 3 - SRV with Mine revenue reduction</v>
      </c>
      <c r="B65" s="778" t="str">
        <f>'Muswellbrook FFF Ratios'!D889</f>
        <v/>
      </c>
      <c r="C65" s="778" t="str">
        <f>'Muswellbrook FFF Ratios'!E889</f>
        <v/>
      </c>
      <c r="D65" s="778">
        <f>'Muswellbrook FFF Ratios'!F889</f>
        <v>0.69437508163592687</v>
      </c>
      <c r="E65" s="778">
        <f>'Muswellbrook FFF Ratios'!G889</f>
        <v>1.2154836502792421</v>
      </c>
      <c r="F65" s="778">
        <f>'Muswellbrook FFF Ratios'!H889</f>
        <v>1.2540672326695927</v>
      </c>
      <c r="G65" s="778">
        <f>'Muswellbrook FFF Ratios'!I889</f>
        <v>1.2501138655914967</v>
      </c>
      <c r="H65" s="778">
        <f>'Muswellbrook FFF Ratios'!J889</f>
        <v>1.0348765279617809</v>
      </c>
      <c r="I65" s="778">
        <f>'Muswellbrook FFF Ratios'!K889</f>
        <v>1.0051266199834599</v>
      </c>
      <c r="J65" s="778">
        <f>'Muswellbrook FFF Ratios'!L889</f>
        <v>1.0167827185702296</v>
      </c>
      <c r="K65" s="778">
        <f>'Muswellbrook FFF Ratios'!M889</f>
        <v>1.0157722325305814</v>
      </c>
      <c r="L65" s="778">
        <f>'Muswellbrook FFF Ratios'!N889</f>
        <v>1.0214461571315983</v>
      </c>
      <c r="M65" s="778">
        <f>'Muswellbrook FFF Ratios'!O889</f>
        <v>1.0075238149263706</v>
      </c>
    </row>
    <row r="68" spans="1:13" ht="15" x14ac:dyDescent="0.25">
      <c r="A68" s="202" t="s">
        <v>1310</v>
      </c>
    </row>
    <row r="69" spans="1:13" ht="15" x14ac:dyDescent="0.25">
      <c r="A69" s="466" t="str">
        <f>A63</f>
        <v>Scenario 1 - Base Case (BAU)</v>
      </c>
      <c r="B69" s="778">
        <f>'Muswellbrook FFF Ratios'!D251</f>
        <v>2.0921636390210323E-2</v>
      </c>
      <c r="C69" s="778">
        <f>'Muswellbrook FFF Ratios'!E251</f>
        <v>2.1202333570640202E-2</v>
      </c>
      <c r="D69" s="778">
        <f>'Muswellbrook FFF Ratios'!F251</f>
        <v>2.1308459510721522E-2</v>
      </c>
      <c r="E69" s="778">
        <f>'Muswellbrook FFF Ratios'!G251</f>
        <v>2.0300319896555834E-2</v>
      </c>
      <c r="F69" s="778">
        <f>'Muswellbrook FFF Ratios'!H251</f>
        <v>9.4234301255619549E-3</v>
      </c>
      <c r="G69" s="778">
        <f>'Muswellbrook FFF Ratios'!I251</f>
        <v>9.2626657543320601E-3</v>
      </c>
      <c r="H69" s="778">
        <f>'Muswellbrook FFF Ratios'!J251</f>
        <v>9.1441558722497231E-3</v>
      </c>
      <c r="I69" s="778">
        <f>'Muswellbrook FFF Ratios'!K251</f>
        <v>8.9060321589522259E-3</v>
      </c>
      <c r="J69" s="778">
        <f>'Muswellbrook FFF Ratios'!L251</f>
        <v>8.8474109302820077E-3</v>
      </c>
      <c r="K69" s="778">
        <f>'Muswellbrook FFF Ratios'!M251</f>
        <v>8.7799463957723249E-3</v>
      </c>
      <c r="L69" s="778">
        <f>'Muswellbrook FFF Ratios'!N251</f>
        <v>8.6275377018121512E-3</v>
      </c>
      <c r="M69" s="778">
        <f>'Muswellbrook FFF Ratios'!O251</f>
        <v>8.5523479924291511E-3</v>
      </c>
    </row>
    <row r="70" spans="1:13" ht="15" x14ac:dyDescent="0.25">
      <c r="A70" s="466" t="str">
        <f t="shared" ref="A70:A71" si="4">A64</f>
        <v>Scenario 2 - SRV with proactive response</v>
      </c>
      <c r="B70" s="778">
        <f>'Muswellbrook FFF Ratios'!D570</f>
        <v>2.0921636390210323E-2</v>
      </c>
      <c r="C70" s="778">
        <f>'Muswellbrook FFF Ratios'!E570</f>
        <v>2.1202333570640202E-2</v>
      </c>
      <c r="D70" s="778">
        <f>'Muswellbrook FFF Ratios'!F570</f>
        <v>2.1308459510721522E-2</v>
      </c>
      <c r="E70" s="778">
        <f>'Muswellbrook FFF Ratios'!G570</f>
        <v>2.1412691594808034E-2</v>
      </c>
      <c r="F70" s="778">
        <f>'Muswellbrook FFF Ratios'!H570</f>
        <v>1.1170667618858909E-2</v>
      </c>
      <c r="G70" s="778">
        <f>'Muswellbrook FFF Ratios'!I570</f>
        <v>9.7385412168629407E-3</v>
      </c>
      <c r="H70" s="778">
        <f>'Muswellbrook FFF Ratios'!J570</f>
        <v>9.4868742052211137E-3</v>
      </c>
      <c r="I70" s="778">
        <f>'Muswellbrook FFF Ratios'!K570</f>
        <v>9.4434408038928212E-3</v>
      </c>
      <c r="J70" s="778">
        <f>'Muswellbrook FFF Ratios'!L570</f>
        <v>9.4743307091066081E-3</v>
      </c>
      <c r="K70" s="778">
        <f>'Muswellbrook FFF Ratios'!M570</f>
        <v>8.6013078119878215E-3</v>
      </c>
      <c r="L70" s="778">
        <f>'Muswellbrook FFF Ratios'!N570</f>
        <v>8.5904340231987182E-3</v>
      </c>
      <c r="M70" s="778">
        <f>'Muswellbrook FFF Ratios'!O570</f>
        <v>8.2857881105872933E-3</v>
      </c>
    </row>
    <row r="71" spans="1:13" ht="15" x14ac:dyDescent="0.25">
      <c r="A71" s="466" t="str">
        <f t="shared" si="4"/>
        <v>Scenario 3 - SRV with Mine revenue reduction</v>
      </c>
      <c r="B71" s="778">
        <f>'Muswellbrook FFF Ratios'!D890</f>
        <v>2.0921636390210323E-2</v>
      </c>
      <c r="C71" s="778">
        <f>'Muswellbrook FFF Ratios'!E890</f>
        <v>2.1202333570640202E-2</v>
      </c>
      <c r="D71" s="778">
        <f>'Muswellbrook FFF Ratios'!F890</f>
        <v>2.1308459510721522E-2</v>
      </c>
      <c r="E71" s="778">
        <f>'Muswellbrook FFF Ratios'!G890</f>
        <v>2.1412691594808034E-2</v>
      </c>
      <c r="F71" s="778">
        <f>'Muswellbrook FFF Ratios'!H890</f>
        <v>1.1170667618858909E-2</v>
      </c>
      <c r="G71" s="778">
        <f>'Muswellbrook FFF Ratios'!I890</f>
        <v>9.7385412168629407E-3</v>
      </c>
      <c r="H71" s="778">
        <f>'Muswellbrook FFF Ratios'!J890</f>
        <v>9.4868742052211137E-3</v>
      </c>
      <c r="I71" s="778">
        <f>'Muswellbrook FFF Ratios'!K890</f>
        <v>9.4434408038928212E-3</v>
      </c>
      <c r="J71" s="778">
        <f>'Muswellbrook FFF Ratios'!L890</f>
        <v>9.4743307091066081E-3</v>
      </c>
      <c r="K71" s="778">
        <f>'Muswellbrook FFF Ratios'!M890</f>
        <v>8.6013078119878215E-3</v>
      </c>
      <c r="L71" s="778">
        <f>'Muswellbrook FFF Ratios'!N890</f>
        <v>8.5904340231987182E-3</v>
      </c>
      <c r="M71" s="778">
        <f>'Muswellbrook FFF Ratios'!O890</f>
        <v>8.2857881105872933E-3</v>
      </c>
    </row>
    <row r="74" spans="1:13" ht="15" x14ac:dyDescent="0.25">
      <c r="A74" s="202" t="s">
        <v>1311</v>
      </c>
    </row>
    <row r="75" spans="1:13" ht="15" x14ac:dyDescent="0.25">
      <c r="A75" s="466" t="str">
        <f>A69</f>
        <v>Scenario 1 - Base Case (BAU)</v>
      </c>
      <c r="B75" s="778">
        <f>'Muswellbrook FFF Ratios'!D252</f>
        <v>0.82606451612903231</v>
      </c>
      <c r="C75" s="778">
        <f>'Muswellbrook FFF Ratios'!E252</f>
        <v>0.91303225806451616</v>
      </c>
      <c r="D75" s="778">
        <f>'Muswellbrook FFF Ratios'!F252</f>
        <v>0.94202150537634421</v>
      </c>
      <c r="E75" s="778">
        <f>'Muswellbrook FFF Ratios'!G252</f>
        <v>1</v>
      </c>
      <c r="F75" s="778">
        <f>'Muswellbrook FFF Ratios'!H252</f>
        <v>1</v>
      </c>
      <c r="G75" s="778">
        <f>'Muswellbrook FFF Ratios'!I252</f>
        <v>1</v>
      </c>
      <c r="H75" s="778">
        <f>'Muswellbrook FFF Ratios'!J252</f>
        <v>1</v>
      </c>
      <c r="I75" s="778">
        <f>'Muswellbrook FFF Ratios'!K252</f>
        <v>1</v>
      </c>
      <c r="J75" s="778">
        <f>'Muswellbrook FFF Ratios'!L252</f>
        <v>1</v>
      </c>
      <c r="K75" s="778">
        <f>'Muswellbrook FFF Ratios'!M252</f>
        <v>1</v>
      </c>
      <c r="L75" s="778">
        <f>'Muswellbrook FFF Ratios'!N252</f>
        <v>1</v>
      </c>
      <c r="M75" s="778">
        <f>'Muswellbrook FFF Ratios'!O252</f>
        <v>1</v>
      </c>
    </row>
    <row r="76" spans="1:13" ht="15" x14ac:dyDescent="0.25">
      <c r="A76" s="466" t="str">
        <f t="shared" ref="A76:A77" si="5">A70</f>
        <v>Scenario 2 - SRV with proactive response</v>
      </c>
      <c r="B76" s="778">
        <f>'Muswellbrook FFF Ratios'!D571</f>
        <v>0</v>
      </c>
      <c r="C76" s="778">
        <f>'Muswellbrook FFF Ratios'!E571</f>
        <v>0</v>
      </c>
      <c r="D76" s="778">
        <f>'Muswellbrook FFF Ratios'!F571</f>
        <v>0.94202150537634421</v>
      </c>
      <c r="E76" s="778">
        <f>'Muswellbrook FFF Ratios'!G571</f>
        <v>1</v>
      </c>
      <c r="F76" s="778">
        <f>'Muswellbrook FFF Ratios'!H571</f>
        <v>1</v>
      </c>
      <c r="G76" s="778">
        <f>'Muswellbrook FFF Ratios'!I571</f>
        <v>1</v>
      </c>
      <c r="H76" s="778">
        <f>'Muswellbrook FFF Ratios'!J571</f>
        <v>1</v>
      </c>
      <c r="I76" s="778">
        <f>'Muswellbrook FFF Ratios'!K571</f>
        <v>1</v>
      </c>
      <c r="J76" s="778">
        <f>'Muswellbrook FFF Ratios'!L571</f>
        <v>1</v>
      </c>
      <c r="K76" s="778">
        <f>'Muswellbrook FFF Ratios'!M571</f>
        <v>1</v>
      </c>
      <c r="L76" s="778">
        <f>'Muswellbrook FFF Ratios'!N571</f>
        <v>1</v>
      </c>
      <c r="M76" s="778">
        <f>'Muswellbrook FFF Ratios'!O571</f>
        <v>1</v>
      </c>
    </row>
    <row r="77" spans="1:13" ht="15" x14ac:dyDescent="0.25">
      <c r="A77" s="466" t="str">
        <f t="shared" si="5"/>
        <v>Scenario 3 - SRV with Mine revenue reduction</v>
      </c>
      <c r="B77" s="778">
        <f>'Muswellbrook FFF Ratios'!D891</f>
        <v>0.82606451612903231</v>
      </c>
      <c r="C77" s="778">
        <f>'Muswellbrook FFF Ratios'!E891</f>
        <v>0.91303225806451616</v>
      </c>
      <c r="D77" s="778">
        <f>'Muswellbrook FFF Ratios'!F891</f>
        <v>0.94202150537634421</v>
      </c>
      <c r="E77" s="778">
        <f>'Muswellbrook FFF Ratios'!G891</f>
        <v>1</v>
      </c>
      <c r="F77" s="778">
        <f>'Muswellbrook FFF Ratios'!H891</f>
        <v>1</v>
      </c>
      <c r="G77" s="778">
        <f>'Muswellbrook FFF Ratios'!I891</f>
        <v>1</v>
      </c>
      <c r="H77" s="778">
        <f>'Muswellbrook FFF Ratios'!J891</f>
        <v>1</v>
      </c>
      <c r="I77" s="778">
        <f>'Muswellbrook FFF Ratios'!K891</f>
        <v>1</v>
      </c>
      <c r="J77" s="778">
        <f>'Muswellbrook FFF Ratios'!L891</f>
        <v>1</v>
      </c>
      <c r="K77" s="778">
        <f>'Muswellbrook FFF Ratios'!M891</f>
        <v>1</v>
      </c>
      <c r="L77" s="778">
        <f>'Muswellbrook FFF Ratios'!N891</f>
        <v>1</v>
      </c>
      <c r="M77" s="778">
        <f>'Muswellbrook FFF Ratios'!O891</f>
        <v>1</v>
      </c>
    </row>
    <row r="80" spans="1:13" ht="15" x14ac:dyDescent="0.25">
      <c r="A80" s="202" t="s">
        <v>1312</v>
      </c>
    </row>
    <row r="81" spans="1:13" ht="15" x14ac:dyDescent="0.25">
      <c r="A81" s="466" t="str">
        <f>A75</f>
        <v>Scenario 1 - Base Case (BAU)</v>
      </c>
      <c r="B81" s="778" t="str">
        <f>'Muswellbrook FFF Ratios'!D253</f>
        <v/>
      </c>
      <c r="C81" s="778" t="str">
        <f>'Muswellbrook FFF Ratios'!E253</f>
        <v/>
      </c>
      <c r="D81" s="778">
        <f>'Muswellbrook FFF Ratios'!F253</f>
        <v>3.4120049739244658E-2</v>
      </c>
      <c r="E81" s="778">
        <f>'Muswellbrook FFF Ratios'!G253</f>
        <v>3.8289345815390854E-2</v>
      </c>
      <c r="F81" s="778">
        <f>'Muswellbrook FFF Ratios'!H253</f>
        <v>3.7263672561705173E-2</v>
      </c>
      <c r="G81" s="778">
        <f>'Muswellbrook FFF Ratios'!I253</f>
        <v>3.6255310839704402E-2</v>
      </c>
      <c r="H81" s="778">
        <f>'Muswellbrook FFF Ratios'!J253</f>
        <v>3.5276419982969182E-2</v>
      </c>
      <c r="I81" s="778">
        <f>'Muswellbrook FFF Ratios'!K253</f>
        <v>3.4269283662219277E-2</v>
      </c>
      <c r="J81" s="778">
        <f>'Muswellbrook FFF Ratios'!L253</f>
        <v>3.3226864998111325E-2</v>
      </c>
      <c r="K81" s="778">
        <f>'Muswellbrook FFF Ratios'!M253</f>
        <v>3.2230241857104498E-2</v>
      </c>
      <c r="L81" s="778">
        <f>'Muswellbrook FFF Ratios'!N253</f>
        <v>3.1360208371424635E-2</v>
      </c>
      <c r="M81" s="778">
        <f>'Muswellbrook FFF Ratios'!O253</f>
        <v>3.0531360876583976E-2</v>
      </c>
    </row>
    <row r="82" spans="1:13" ht="15" x14ac:dyDescent="0.25">
      <c r="A82" s="466" t="str">
        <f t="shared" ref="A82:A83" si="6">A76</f>
        <v>Scenario 2 - SRV with proactive response</v>
      </c>
      <c r="B82" s="778" t="str">
        <f>'Muswellbrook FFF Ratios'!D572</f>
        <v/>
      </c>
      <c r="C82" s="778" t="str">
        <f>'Muswellbrook FFF Ratios'!E572</f>
        <v/>
      </c>
      <c r="D82" s="778">
        <f>'Muswellbrook FFF Ratios'!F572</f>
        <v>3.4026923170480255E-2</v>
      </c>
      <c r="E82" s="778">
        <f>'Muswellbrook FFF Ratios'!G572</f>
        <v>3.8091421562304786E-2</v>
      </c>
      <c r="F82" s="778">
        <f>'Muswellbrook FFF Ratios'!H572</f>
        <v>4.0241036563498832E-2</v>
      </c>
      <c r="G82" s="778">
        <f>'Muswellbrook FFF Ratios'!I572</f>
        <v>4.5554539906166591E-2</v>
      </c>
      <c r="H82" s="778">
        <f>'Muswellbrook FFF Ratios'!J572</f>
        <v>5.0310061054161033E-2</v>
      </c>
      <c r="I82" s="778">
        <f>'Muswellbrook FFF Ratios'!K572</f>
        <v>5.1658733572945162E-2</v>
      </c>
      <c r="J82" s="778">
        <f>'Muswellbrook FFF Ratios'!L572</f>
        <v>4.9655034573440164E-2</v>
      </c>
      <c r="K82" s="778">
        <f>'Muswellbrook FFF Ratios'!M572</f>
        <v>4.7646032614275413E-2</v>
      </c>
      <c r="L82" s="778">
        <f>'Muswellbrook FFF Ratios'!N572</f>
        <v>4.5698984880199509E-2</v>
      </c>
      <c r="M82" s="778">
        <f>'Muswellbrook FFF Ratios'!O572</f>
        <v>4.3799721327056187E-2</v>
      </c>
    </row>
    <row r="83" spans="1:13" ht="15" x14ac:dyDescent="0.25">
      <c r="A83" s="466" t="str">
        <f t="shared" si="6"/>
        <v>Scenario 3 - SRV with Mine revenue reduction</v>
      </c>
      <c r="B83" s="778" t="str">
        <f>'Muswellbrook FFF Ratios'!D892</f>
        <v/>
      </c>
      <c r="C83" s="778" t="str">
        <f>'Muswellbrook FFF Ratios'!E892</f>
        <v/>
      </c>
      <c r="D83" s="778">
        <f>'Muswellbrook FFF Ratios'!F892</f>
        <v>3.3854966451961031E-2</v>
      </c>
      <c r="E83" s="778">
        <f>'Muswellbrook FFF Ratios'!G892</f>
        <v>3.7882070113032414E-2</v>
      </c>
      <c r="F83" s="778">
        <f>'Muswellbrook FFF Ratios'!H892</f>
        <v>3.990889658883838E-2</v>
      </c>
      <c r="G83" s="778">
        <f>'Muswellbrook FFF Ratios'!I892</f>
        <v>4.5257892379054955E-2</v>
      </c>
      <c r="H83" s="778">
        <f>'Muswellbrook FFF Ratios'!J892</f>
        <v>5.0075829404046653E-2</v>
      </c>
      <c r="I83" s="778">
        <f>'Muswellbrook FFF Ratios'!K892</f>
        <v>5.1626754889985464E-2</v>
      </c>
      <c r="J83" s="778">
        <f>'Muswellbrook FFF Ratios'!L892</f>
        <v>4.9968662747354453E-2</v>
      </c>
      <c r="K83" s="778">
        <f>'Muswellbrook FFF Ratios'!M892</f>
        <v>4.8091824280649537E-2</v>
      </c>
      <c r="L83" s="778">
        <f>'Muswellbrook FFF Ratios'!N892</f>
        <v>4.6679950544576146E-2</v>
      </c>
      <c r="M83" s="778">
        <f>'Muswellbrook FFF Ratios'!O892</f>
        <v>4.5808874226280973E-2</v>
      </c>
    </row>
    <row r="86" spans="1:13" ht="15" x14ac:dyDescent="0.25">
      <c r="A86" s="202" t="s">
        <v>1306</v>
      </c>
    </row>
    <row r="87" spans="1:13" ht="15" x14ac:dyDescent="0.25">
      <c r="A87" s="466" t="str">
        <f>A81</f>
        <v>Scenario 1 - Base Case (BAU)</v>
      </c>
      <c r="B87" s="547">
        <f>'Muswellbrook FFF Ratios'!D255</f>
        <v>1948.3505592524425</v>
      </c>
      <c r="C87" s="547">
        <f>'Muswellbrook FFF Ratios'!E255</f>
        <v>2093.0326906360388</v>
      </c>
      <c r="D87" s="547">
        <f>'Muswellbrook FFF Ratios'!F255</f>
        <v>2032.6667745911852</v>
      </c>
      <c r="E87" s="547">
        <f>'Muswellbrook FFF Ratios'!G255</f>
        <v>2021.5595042229556</v>
      </c>
      <c r="F87" s="547">
        <f>'Muswellbrook FFF Ratios'!H255</f>
        <v>2004.3045718564874</v>
      </c>
      <c r="G87" s="547">
        <f>'Muswellbrook FFF Ratios'!I255</f>
        <v>1999.96379708564</v>
      </c>
      <c r="H87" s="547">
        <f>'Muswellbrook FFF Ratios'!J255</f>
        <v>1978.5851857434325</v>
      </c>
      <c r="I87" s="547">
        <f>'Muswellbrook FFF Ratios'!K255</f>
        <v>1957.4985528890484</v>
      </c>
      <c r="J87" s="547">
        <f>'Muswellbrook FFF Ratios'!L255</f>
        <v>1937.2164338665013</v>
      </c>
      <c r="K87" s="547">
        <f>'Muswellbrook FFF Ratios'!M255</f>
        <v>1917.3781726862455</v>
      </c>
      <c r="L87" s="547">
        <f>'Muswellbrook FFF Ratios'!N255</f>
        <v>1900.3046476239467</v>
      </c>
      <c r="M87" s="547">
        <f>'Muswellbrook FFF Ratios'!O255</f>
        <v>1880.975396063626</v>
      </c>
    </row>
    <row r="88" spans="1:13" ht="15" x14ac:dyDescent="0.25">
      <c r="A88" s="466" t="str">
        <f t="shared" ref="A88:A89" si="7">A82</f>
        <v>Scenario 2 - SRV with proactive response</v>
      </c>
      <c r="B88" s="547">
        <f>'Muswellbrook FFF Ratios'!D574</f>
        <v>1948.3505592524425</v>
      </c>
      <c r="C88" s="547">
        <f>'Muswellbrook FFF Ratios'!E574</f>
        <v>2093.0326906360388</v>
      </c>
      <c r="D88" s="547">
        <f>'Muswellbrook FFF Ratios'!F574</f>
        <v>2032.6667745911852</v>
      </c>
      <c r="E88" s="547">
        <f>'Muswellbrook FFF Ratios'!G574</f>
        <v>2006.9281086090677</v>
      </c>
      <c r="F88" s="547">
        <f>'Muswellbrook FFF Ratios'!H574</f>
        <v>2028.9586911233114</v>
      </c>
      <c r="G88" s="547">
        <f>'Muswellbrook FFF Ratios'!I574</f>
        <v>2092.9887724471214</v>
      </c>
      <c r="H88" s="547">
        <f>'Muswellbrook FFF Ratios'!J574</f>
        <v>2068.7845016372289</v>
      </c>
      <c r="I88" s="547">
        <f>'Muswellbrook FFF Ratios'!K574</f>
        <v>2044.998415029022</v>
      </c>
      <c r="J88" s="547">
        <f>'Muswellbrook FFF Ratios'!L574</f>
        <v>2021.620772420388</v>
      </c>
      <c r="K88" s="547">
        <f>'Muswellbrook FFF Ratios'!M574</f>
        <v>1998.6421057549014</v>
      </c>
      <c r="L88" s="547">
        <f>'Muswellbrook FFF Ratios'!N574</f>
        <v>1978.6506498615445</v>
      </c>
      <c r="M88" s="547">
        <f>'Muswellbrook FFF Ratios'!O574</f>
        <v>1956.4133865185797</v>
      </c>
    </row>
    <row r="89" spans="1:13" ht="15" x14ac:dyDescent="0.25">
      <c r="A89" s="466" t="str">
        <f t="shared" si="7"/>
        <v>Scenario 3 - SRV with Mine revenue reduction</v>
      </c>
      <c r="B89" s="547">
        <f>'Muswellbrook FFF Ratios'!D894</f>
        <v>1948.3505592524425</v>
      </c>
      <c r="C89" s="547">
        <f>'Muswellbrook FFF Ratios'!E894</f>
        <v>2093.0326906360388</v>
      </c>
      <c r="D89" s="547">
        <f>'Muswellbrook FFF Ratios'!F894</f>
        <v>2032.6667745911852</v>
      </c>
      <c r="E89" s="547">
        <f>'Muswellbrook FFF Ratios'!G894</f>
        <v>2006.9281086090677</v>
      </c>
      <c r="F89" s="547">
        <f>'Muswellbrook FFF Ratios'!H894</f>
        <v>2028.9586911233114</v>
      </c>
      <c r="G89" s="547">
        <f>'Muswellbrook FFF Ratios'!I894</f>
        <v>2092.9887724471214</v>
      </c>
      <c r="H89" s="547">
        <f>'Muswellbrook FFF Ratios'!J894</f>
        <v>2068.7845016372289</v>
      </c>
      <c r="I89" s="547">
        <f>'Muswellbrook FFF Ratios'!K894</f>
        <v>2044.998415029022</v>
      </c>
      <c r="J89" s="547">
        <f>'Muswellbrook FFF Ratios'!L894</f>
        <v>2021.620772420388</v>
      </c>
      <c r="K89" s="547">
        <f>'Muswellbrook FFF Ratios'!M894</f>
        <v>1998.6421057549014</v>
      </c>
      <c r="L89" s="547">
        <f>'Muswellbrook FFF Ratios'!N894</f>
        <v>1978.6506498615445</v>
      </c>
      <c r="M89" s="547">
        <f>'Muswellbrook FFF Ratios'!O894</f>
        <v>1956.4133865185797</v>
      </c>
    </row>
    <row r="93" spans="1:13" ht="23.4" x14ac:dyDescent="0.45">
      <c r="A93" s="932" t="s">
        <v>1298</v>
      </c>
    </row>
    <row r="94" spans="1:13" x14ac:dyDescent="0.3">
      <c r="A94" s="202" t="s">
        <v>1299</v>
      </c>
      <c r="B94" s="213" t="s">
        <v>2</v>
      </c>
      <c r="C94" s="213" t="s">
        <v>3</v>
      </c>
      <c r="D94" s="213" t="s">
        <v>4</v>
      </c>
      <c r="E94" s="213" t="s">
        <v>5</v>
      </c>
      <c r="F94" s="213" t="s">
        <v>6</v>
      </c>
      <c r="G94" s="213" t="s">
        <v>7</v>
      </c>
      <c r="H94" s="213" t="s">
        <v>8</v>
      </c>
      <c r="I94" s="213" t="s">
        <v>9</v>
      </c>
      <c r="J94" s="213" t="s">
        <v>514</v>
      </c>
      <c r="K94" s="213" t="s">
        <v>515</v>
      </c>
      <c r="L94" s="213" t="s">
        <v>904</v>
      </c>
      <c r="M94" s="213" t="s">
        <v>1046</v>
      </c>
    </row>
    <row r="95" spans="1:13" x14ac:dyDescent="0.3">
      <c r="A95" s="466" t="str">
        <f>A87</f>
        <v>Scenario 1 - Base Case (BAU)</v>
      </c>
      <c r="B95" s="466">
        <f t="shared" ref="B95:M95" si="8">C45</f>
        <v>30.000000000012278</v>
      </c>
      <c r="C95" s="466">
        <f t="shared" si="8"/>
        <v>631.93295999999509</v>
      </c>
      <c r="D95" s="466">
        <f t="shared" si="8"/>
        <v>557.91147500000352</v>
      </c>
      <c r="E95" s="466">
        <f t="shared" si="8"/>
        <v>758.92227499999944</v>
      </c>
      <c r="F95" s="466">
        <f t="shared" si="8"/>
        <v>585.00338500000726</v>
      </c>
      <c r="G95" s="466">
        <f t="shared" si="8"/>
        <v>271.22384774735883</v>
      </c>
      <c r="H95" s="466">
        <f t="shared" si="8"/>
        <v>257.31453071587384</v>
      </c>
      <c r="I95" s="466">
        <f t="shared" si="8"/>
        <v>232.83509066719671</v>
      </c>
      <c r="J95" s="466">
        <f t="shared" si="8"/>
        <v>216.50230859806106</v>
      </c>
      <c r="K95" s="466">
        <f t="shared" si="8"/>
        <v>192.24287796896624</v>
      </c>
      <c r="L95" s="466">
        <f t="shared" si="8"/>
        <v>165.14280501923804</v>
      </c>
      <c r="M95" s="466">
        <f t="shared" si="8"/>
        <v>0</v>
      </c>
    </row>
    <row r="96" spans="1:13" x14ac:dyDescent="0.3">
      <c r="A96" s="466" t="str">
        <f t="shared" ref="A96:A97" si="9">A88</f>
        <v>Scenario 2 - SRV with proactive response</v>
      </c>
      <c r="B96" s="466">
        <f t="shared" ref="B96:M96" si="10">C46</f>
        <v>30.000000000012278</v>
      </c>
      <c r="C96" s="466">
        <f t="shared" si="10"/>
        <v>931.9699999999907</v>
      </c>
      <c r="D96" s="466">
        <f t="shared" si="10"/>
        <v>1153.2109999999984</v>
      </c>
      <c r="E96" s="466">
        <f t="shared" si="10"/>
        <v>1178.8809999999967</v>
      </c>
      <c r="F96" s="466">
        <f t="shared" si="10"/>
        <v>169.67176000000109</v>
      </c>
      <c r="G96" s="466">
        <f t="shared" si="10"/>
        <v>46.289923922358867</v>
      </c>
      <c r="H96" s="466">
        <f t="shared" si="10"/>
        <v>128.08760903484108</v>
      </c>
      <c r="I96" s="466">
        <f t="shared" si="10"/>
        <v>177.4819312159425</v>
      </c>
      <c r="J96" s="466">
        <f t="shared" si="10"/>
        <v>192.45246492984006</v>
      </c>
      <c r="K96" s="466">
        <f t="shared" si="10"/>
        <v>228.06153992289182</v>
      </c>
      <c r="L96" s="466">
        <f t="shared" si="10"/>
        <v>265.89760848293827</v>
      </c>
      <c r="M96" s="466">
        <f t="shared" si="10"/>
        <v>0</v>
      </c>
    </row>
    <row r="97" spans="1:13" x14ac:dyDescent="0.3">
      <c r="A97" s="466" t="str">
        <f t="shared" si="9"/>
        <v>Scenario 3 - SRV with Mine revenue reduction</v>
      </c>
      <c r="B97" s="466">
        <f t="shared" ref="B97:M97" si="11">C47</f>
        <v>30.000000000012278</v>
      </c>
      <c r="C97" s="466">
        <f t="shared" si="11"/>
        <v>1490.321499999995</v>
      </c>
      <c r="D97" s="466">
        <f t="shared" si="11"/>
        <v>1246.5492834999995</v>
      </c>
      <c r="E97" s="466">
        <f t="shared" si="11"/>
        <v>1541.1488343374976</v>
      </c>
      <c r="F97" s="466">
        <f t="shared" si="11"/>
        <v>540.99629019594067</v>
      </c>
      <c r="G97" s="466">
        <f t="shared" si="11"/>
        <v>-77.87618869765538</v>
      </c>
      <c r="H97" s="466">
        <f t="shared" si="11"/>
        <v>-36.275379572532074</v>
      </c>
      <c r="I97" s="466">
        <f t="shared" si="11"/>
        <v>-391.44416585249928</v>
      </c>
      <c r="J97" s="466">
        <f t="shared" si="11"/>
        <v>-369.90554512448216</v>
      </c>
      <c r="K97" s="466">
        <f t="shared" si="11"/>
        <v>-1645.0010839571323</v>
      </c>
      <c r="L97" s="466">
        <f t="shared" si="11"/>
        <v>-3711.8374708079155</v>
      </c>
      <c r="M97" s="466">
        <f t="shared" si="11"/>
        <v>0</v>
      </c>
    </row>
    <row r="100" spans="1:13" x14ac:dyDescent="0.3">
      <c r="A100" s="202" t="s">
        <v>1300</v>
      </c>
      <c r="B100" s="213" t="s">
        <v>2</v>
      </c>
      <c r="C100" s="213" t="s">
        <v>3</v>
      </c>
      <c r="D100" s="213" t="s">
        <v>4</v>
      </c>
      <c r="E100" s="213" t="s">
        <v>5</v>
      </c>
      <c r="F100" s="213" t="s">
        <v>6</v>
      </c>
      <c r="G100" s="213" t="s">
        <v>7</v>
      </c>
      <c r="H100" s="213" t="s">
        <v>8</v>
      </c>
      <c r="I100" s="213" t="s">
        <v>9</v>
      </c>
      <c r="J100" s="213" t="s">
        <v>514</v>
      </c>
      <c r="K100" s="213" t="s">
        <v>515</v>
      </c>
      <c r="L100" s="213" t="s">
        <v>904</v>
      </c>
      <c r="M100" s="213" t="s">
        <v>1046</v>
      </c>
    </row>
    <row r="101" spans="1:13" x14ac:dyDescent="0.3">
      <c r="A101" s="466" t="str">
        <f>A95</f>
        <v>Scenario 1 - Base Case (BAU)</v>
      </c>
      <c r="B101" s="778">
        <f>'Muswellbrook FFF Ratios'!D207</f>
        <v>-6.3232067249745033E-2</v>
      </c>
      <c r="C101" s="778">
        <f>'Muswellbrook FFF Ratios'!E207</f>
        <v>7.8428465057164679E-4</v>
      </c>
      <c r="D101" s="325">
        <f>'Muswellbrook FFF Ratios'!F207</f>
        <v>1.6195019811860185E-2</v>
      </c>
      <c r="E101" s="325">
        <f>'Muswellbrook FFF Ratios'!G207</f>
        <v>1.3933209785465238E-2</v>
      </c>
      <c r="F101" s="325">
        <f>'Muswellbrook FFF Ratios'!H207</f>
        <v>1.8400616334424379E-2</v>
      </c>
      <c r="G101" s="325">
        <f>'Muswellbrook FFF Ratios'!I207</f>
        <v>1.3885829321355543E-2</v>
      </c>
      <c r="H101" s="325">
        <f>'Muswellbrook FFF Ratios'!J207</f>
        <v>6.3419629263559421E-3</v>
      </c>
      <c r="I101" s="325">
        <f>'Muswellbrook FFF Ratios'!K207</f>
        <v>5.8846215124110533E-3</v>
      </c>
      <c r="J101" s="325">
        <f>'Muswellbrook FFF Ratios'!L207</f>
        <v>5.2074719065725089E-3</v>
      </c>
      <c r="K101" s="325">
        <f>'Muswellbrook FFF Ratios'!M207</f>
        <v>4.7339463031988447E-3</v>
      </c>
      <c r="L101" s="325">
        <f>'Muswellbrook FFF Ratios'!N207</f>
        <v>4.1100160243645566E-3</v>
      </c>
      <c r="M101" s="325">
        <f>'Muswellbrook FFF Ratios'!O207</f>
        <v>3.4521136690948465E-3</v>
      </c>
    </row>
    <row r="102" spans="1:13" x14ac:dyDescent="0.3">
      <c r="A102" s="466" t="str">
        <f t="shared" ref="A102:A103" si="12">A96</f>
        <v>Scenario 2 - SRV with proactive response</v>
      </c>
      <c r="B102" s="778">
        <f>'Muswellbrook FFF Ratios'!D526</f>
        <v>-6.3232067249745033E-2</v>
      </c>
      <c r="C102" s="778">
        <f>'Muswellbrook FFF Ratios'!E526</f>
        <v>7.8428465057164679E-4</v>
      </c>
      <c r="D102" s="325">
        <f>'Muswellbrook FFF Ratios'!F526</f>
        <v>2.3702042510422138E-2</v>
      </c>
      <c r="E102" s="325">
        <f>'Muswellbrook FFF Ratios'!G526</f>
        <v>2.857922366761393E-2</v>
      </c>
      <c r="F102" s="325">
        <f>'Muswellbrook FFF Ratios'!H526</f>
        <v>2.796051586121362E-2</v>
      </c>
      <c r="G102" s="325">
        <f>'Muswellbrook FFF Ratios'!I526</f>
        <v>3.8874022081274171E-3</v>
      </c>
      <c r="H102" s="325">
        <f>'Muswellbrook FFF Ratios'!J526</f>
        <v>1.0407169538768277E-3</v>
      </c>
      <c r="I102" s="325">
        <f>'Muswellbrook FFF Ratios'!K526</f>
        <v>2.8126118431104244E-3</v>
      </c>
      <c r="J102" s="325">
        <f>'Muswellbrook FFF Ratios'!L526</f>
        <v>3.8090893608538554E-3</v>
      </c>
      <c r="K102" s="325">
        <f>'Muswellbrook FFF Ratios'!M526</f>
        <v>4.0397995147766113E-3</v>
      </c>
      <c r="L102" s="325">
        <f>'Muswellbrook FFF Ratios'!N526</f>
        <v>4.6800528767775122E-3</v>
      </c>
      <c r="M102" s="325">
        <f>'Muswellbrook FFF Ratios'!O526</f>
        <v>5.3338587804002292E-3</v>
      </c>
    </row>
    <row r="103" spans="1:13" x14ac:dyDescent="0.3">
      <c r="A103" s="466" t="str">
        <f t="shared" si="12"/>
        <v>Scenario 3 - SRV with Mine revenue reduction</v>
      </c>
      <c r="B103" s="778">
        <f>'Muswellbrook FFF Ratios'!D846</f>
        <v>-6.3232067249745033E-2</v>
      </c>
      <c r="C103" s="778">
        <f>'Muswellbrook FFF Ratios'!E846</f>
        <v>7.8428465057164679E-4</v>
      </c>
      <c r="D103" s="325">
        <f>'Muswellbrook FFF Ratios'!F846</f>
        <v>3.7371467846350717E-2</v>
      </c>
      <c r="E103" s="325">
        <f>'Muswellbrook FFF Ratios'!G846</f>
        <v>3.082106785975107E-2</v>
      </c>
      <c r="F103" s="325">
        <f>'Muswellbrook FFF Ratios'!H846</f>
        <v>3.6241334674047131E-2</v>
      </c>
      <c r="G103" s="325">
        <f>'Muswellbrook FFF Ratios'!I846</f>
        <v>1.2290372717523283E-2</v>
      </c>
      <c r="H103" s="325">
        <f>'Muswellbrook FFF Ratios'!J846</f>
        <v>-1.7557590356481337E-3</v>
      </c>
      <c r="I103" s="325">
        <f>'Muswellbrook FFF Ratios'!K846</f>
        <v>-7.9943824941374549E-4</v>
      </c>
      <c r="J103" s="325">
        <f>'Muswellbrook FFF Ratios'!L846</f>
        <v>-8.5049605617907309E-3</v>
      </c>
      <c r="K103" s="325">
        <f>'Muswellbrook FFF Ratios'!M846</f>
        <v>-7.8574988117066456E-3</v>
      </c>
      <c r="L103" s="325">
        <f>'Muswellbrook FFF Ratios'!N846</f>
        <v>-3.5106474056186374E-2</v>
      </c>
      <c r="M103" s="325">
        <f>'Muswellbrook FFF Ratios'!O846</f>
        <v>-8.0915242473375559E-2</v>
      </c>
    </row>
    <row r="104" spans="1:13" x14ac:dyDescent="0.3">
      <c r="A104" s="935" t="s">
        <v>390</v>
      </c>
      <c r="B104" s="937">
        <v>0</v>
      </c>
      <c r="C104" s="937">
        <v>0</v>
      </c>
      <c r="D104" s="937">
        <v>0</v>
      </c>
      <c r="E104" s="937">
        <f t="shared" ref="E104:M104" si="13">D104</f>
        <v>0</v>
      </c>
      <c r="F104" s="937">
        <f t="shared" si="13"/>
        <v>0</v>
      </c>
      <c r="G104" s="937">
        <f t="shared" si="13"/>
        <v>0</v>
      </c>
      <c r="H104" s="937">
        <f t="shared" si="13"/>
        <v>0</v>
      </c>
      <c r="I104" s="937">
        <f t="shared" si="13"/>
        <v>0</v>
      </c>
      <c r="J104" s="937">
        <f t="shared" si="13"/>
        <v>0</v>
      </c>
      <c r="K104" s="937">
        <f t="shared" si="13"/>
        <v>0</v>
      </c>
      <c r="L104" s="937">
        <f t="shared" si="13"/>
        <v>0</v>
      </c>
      <c r="M104" s="937">
        <f t="shared" si="13"/>
        <v>0</v>
      </c>
    </row>
    <row r="106" spans="1:13" x14ac:dyDescent="0.3">
      <c r="A106" s="202" t="s">
        <v>1301</v>
      </c>
      <c r="B106" s="213" t="s">
        <v>2</v>
      </c>
      <c r="C106" s="213" t="s">
        <v>3</v>
      </c>
      <c r="D106" s="213" t="s">
        <v>4</v>
      </c>
      <c r="E106" s="213" t="s">
        <v>5</v>
      </c>
      <c r="F106" s="213" t="s">
        <v>6</v>
      </c>
      <c r="G106" s="213" t="s">
        <v>7</v>
      </c>
      <c r="H106" s="213" t="s">
        <v>8</v>
      </c>
      <c r="I106" s="213" t="s">
        <v>9</v>
      </c>
      <c r="J106" s="213" t="s">
        <v>514</v>
      </c>
      <c r="K106" s="213" t="s">
        <v>515</v>
      </c>
      <c r="L106" s="213" t="s">
        <v>904</v>
      </c>
      <c r="M106" s="213" t="s">
        <v>1046</v>
      </c>
    </row>
    <row r="107" spans="1:13" x14ac:dyDescent="0.3">
      <c r="A107" s="466" t="str">
        <f>A101</f>
        <v>Scenario 1 - Base Case (BAU)</v>
      </c>
      <c r="B107" s="778">
        <f>'Muswellbrook FFF Ratios'!D211</f>
        <v>0.66866028708133973</v>
      </c>
      <c r="C107" s="778">
        <f>'Muswellbrook FFF Ratios'!E211</f>
        <v>0.77951694343238087</v>
      </c>
      <c r="D107" s="778">
        <f>'Muswellbrook FFF Ratios'!F211</f>
        <v>0.78418007570440884</v>
      </c>
      <c r="E107" s="778">
        <f>'Muswellbrook FFF Ratios'!G211</f>
        <v>0.78599838126384913</v>
      </c>
      <c r="F107" s="778">
        <f>'Muswellbrook FFF Ratios'!H211</f>
        <v>0.78855562858572448</v>
      </c>
      <c r="G107" s="778">
        <f>'Muswellbrook FFF Ratios'!I211</f>
        <v>0.7894626400171304</v>
      </c>
      <c r="H107" s="778">
        <f>'Muswellbrook FFF Ratios'!J211</f>
        <v>0.78759133678661619</v>
      </c>
      <c r="I107" s="778">
        <f>'Muswellbrook FFF Ratios'!K211</f>
        <v>0.78710742356918684</v>
      </c>
      <c r="J107" s="778">
        <f>'Muswellbrook FFF Ratios'!L211</f>
        <v>0.78663781516057996</v>
      </c>
      <c r="K107" s="778">
        <f>'Muswellbrook FFF Ratios'!M211</f>
        <v>0.78623106644498708</v>
      </c>
      <c r="L107" s="778">
        <f>'Muswellbrook FFF Ratios'!N211</f>
        <v>0.78580103911896004</v>
      </c>
      <c r="M107" s="778">
        <f>'Muswellbrook FFF Ratios'!O211</f>
        <v>0.78537035835049918</v>
      </c>
    </row>
    <row r="108" spans="1:13" x14ac:dyDescent="0.3">
      <c r="A108" s="466" t="str">
        <f t="shared" ref="A108:A109" si="14">A102</f>
        <v>Scenario 2 - SRV with proactive response</v>
      </c>
      <c r="B108" s="778">
        <f>'Muswellbrook FFF Ratios'!D530</f>
        <v>0.66866028708133973</v>
      </c>
      <c r="C108" s="778">
        <f>'Muswellbrook FFF Ratios'!E530</f>
        <v>0.77951694343238087</v>
      </c>
      <c r="D108" s="778">
        <f>'Muswellbrook FFF Ratios'!F530</f>
        <v>0.78568220199926198</v>
      </c>
      <c r="E108" s="778">
        <f>'Muswellbrook FFF Ratios'!G530</f>
        <v>0.78749715424257949</v>
      </c>
      <c r="F108" s="778">
        <f>'Muswellbrook FFF Ratios'!H530</f>
        <v>0.73678808007316854</v>
      </c>
      <c r="G108" s="778">
        <f>'Muswellbrook FFF Ratios'!I530</f>
        <v>0.79617135298563546</v>
      </c>
      <c r="H108" s="778">
        <f>'Muswellbrook FFF Ratios'!J530</f>
        <v>0.79526635504210852</v>
      </c>
      <c r="I108" s="778">
        <f>'Muswellbrook FFF Ratios'!K530</f>
        <v>0.79523999338357598</v>
      </c>
      <c r="J108" s="778">
        <f>'Muswellbrook FFF Ratios'!L530</f>
        <v>0.79507980267876832</v>
      </c>
      <c r="K108" s="778">
        <f>'Muswellbrook FFF Ratios'!M530</f>
        <v>0.79478666544706045</v>
      </c>
      <c r="L108" s="778">
        <f>'Muswellbrook FFF Ratios'!N530</f>
        <v>0.79458211042625548</v>
      </c>
      <c r="M108" s="778">
        <f>'Muswellbrook FFF Ratios'!O530</f>
        <v>0.79439136138063371</v>
      </c>
    </row>
    <row r="109" spans="1:13" x14ac:dyDescent="0.3">
      <c r="A109" s="466" t="str">
        <f t="shared" si="14"/>
        <v>Scenario 3 - SRV with Mine revenue reduction</v>
      </c>
      <c r="B109" s="778">
        <f>'Muswellbrook FFF Ratios'!D850</f>
        <v>0.66866028708133973</v>
      </c>
      <c r="C109" s="778">
        <f>'Muswellbrook FFF Ratios'!E850</f>
        <v>0.77951694343238087</v>
      </c>
      <c r="D109" s="778">
        <f>'Muswellbrook FFF Ratios'!F850</f>
        <v>0.78842262094000382</v>
      </c>
      <c r="E109" s="778">
        <f>'Muswellbrook FFF Ratios'!G850</f>
        <v>0.78794499936582885</v>
      </c>
      <c r="F109" s="778">
        <f>'Muswellbrook FFF Ratios'!H850</f>
        <v>0.73869792983886928</v>
      </c>
      <c r="G109" s="778">
        <f>'Muswellbrook FFF Ratios'!I850</f>
        <v>0.79774880826467431</v>
      </c>
      <c r="H109" s="778">
        <f>'Muswellbrook FFF Ratios'!J850</f>
        <v>0.79488413140062641</v>
      </c>
      <c r="I109" s="778">
        <f>'Muswellbrook FFF Ratios'!K850</f>
        <v>0.79484607549073716</v>
      </c>
      <c r="J109" s="778">
        <f>'Muswellbrook FFF Ratios'!L850</f>
        <v>0.79319097827098528</v>
      </c>
      <c r="K109" s="778">
        <f>'Muswellbrook FFF Ratios'!M850</f>
        <v>0.79311593156304894</v>
      </c>
      <c r="L109" s="778">
        <f>'Muswellbrook FFF Ratios'!N850</f>
        <v>0.787809866270477</v>
      </c>
      <c r="M109" s="778">
        <f>'Muswellbrook FFF Ratios'!O850</f>
        <v>0.77906450892812085</v>
      </c>
    </row>
    <row r="110" spans="1:13" x14ac:dyDescent="0.3">
      <c r="A110" s="935" t="s">
        <v>390</v>
      </c>
      <c r="B110" s="936">
        <v>0.6</v>
      </c>
      <c r="C110" s="937">
        <f>B110</f>
        <v>0.6</v>
      </c>
      <c r="D110" s="937">
        <v>0.6</v>
      </c>
      <c r="E110" s="937">
        <f t="shared" ref="E110:M110" si="15">D110</f>
        <v>0.6</v>
      </c>
      <c r="F110" s="937">
        <f t="shared" si="15"/>
        <v>0.6</v>
      </c>
      <c r="G110" s="937">
        <f t="shared" si="15"/>
        <v>0.6</v>
      </c>
      <c r="H110" s="937">
        <f t="shared" si="15"/>
        <v>0.6</v>
      </c>
      <c r="I110" s="937">
        <f t="shared" si="15"/>
        <v>0.6</v>
      </c>
      <c r="J110" s="937">
        <f t="shared" si="15"/>
        <v>0.6</v>
      </c>
      <c r="K110" s="937">
        <f t="shared" si="15"/>
        <v>0.6</v>
      </c>
      <c r="L110" s="937">
        <f t="shared" si="15"/>
        <v>0.6</v>
      </c>
      <c r="M110" s="937">
        <f t="shared" si="15"/>
        <v>0.6</v>
      </c>
    </row>
    <row r="112" spans="1:13" x14ac:dyDescent="0.3">
      <c r="A112" s="202" t="s">
        <v>1302</v>
      </c>
      <c r="B112" s="213" t="s">
        <v>2</v>
      </c>
      <c r="C112" s="213" t="s">
        <v>3</v>
      </c>
      <c r="D112" s="213" t="s">
        <v>4</v>
      </c>
      <c r="E112" s="213" t="s">
        <v>5</v>
      </c>
      <c r="F112" s="213" t="s">
        <v>6</v>
      </c>
      <c r="G112" s="213" t="s">
        <v>7</v>
      </c>
      <c r="H112" s="213" t="s">
        <v>8</v>
      </c>
      <c r="I112" s="213" t="s">
        <v>9</v>
      </c>
      <c r="J112" s="213" t="s">
        <v>514</v>
      </c>
      <c r="K112" s="213" t="s">
        <v>515</v>
      </c>
      <c r="L112" s="213" t="s">
        <v>904</v>
      </c>
      <c r="M112" s="213" t="s">
        <v>1046</v>
      </c>
    </row>
    <row r="113" spans="1:13" x14ac:dyDescent="0.3">
      <c r="A113" s="466" t="str">
        <f>A107</f>
        <v>Scenario 1 - Base Case (BAU)</v>
      </c>
      <c r="B113" s="778">
        <f>'Muswellbrook FFF Ratios'!D234</f>
        <v>0</v>
      </c>
      <c r="C113" s="778">
        <f>'Muswellbrook FFF Ratios'!E234</f>
        <v>0.99370124897617762</v>
      </c>
      <c r="D113" s="325">
        <f>'Muswellbrook FFF Ratios'!F234</f>
        <v>1.0673975727330196</v>
      </c>
      <c r="E113" s="325">
        <f>'Muswellbrook FFF Ratios'!G234</f>
        <v>1.7178832309325391</v>
      </c>
      <c r="F113" s="325">
        <f>'Muswellbrook FFF Ratios'!H234</f>
        <v>1.0104694978281377</v>
      </c>
      <c r="G113" s="325">
        <f>'Muswellbrook FFF Ratios'!I234</f>
        <v>1.0075306198855547</v>
      </c>
      <c r="H113" s="325">
        <f>'Muswellbrook FFF Ratios'!J234</f>
        <v>1.0147675493667618</v>
      </c>
      <c r="I113" s="325">
        <f>'Muswellbrook FFF Ratios'!K234</f>
        <v>1.0035478443809174</v>
      </c>
      <c r="J113" s="325">
        <f>'Muswellbrook FFF Ratios'!L234</f>
        <v>1.0039839656613063</v>
      </c>
      <c r="K113" s="325">
        <f>'Muswellbrook FFF Ratios'!M234</f>
        <v>1.0087825493138745</v>
      </c>
      <c r="L113" s="325">
        <f>'Muswellbrook FFF Ratios'!N234</f>
        <v>1.0042280819063754</v>
      </c>
      <c r="M113" s="325">
        <f>'Muswellbrook FFF Ratios'!O234</f>
        <v>1.005213236758292</v>
      </c>
    </row>
    <row r="114" spans="1:13" x14ac:dyDescent="0.3">
      <c r="A114" s="466" t="str">
        <f>A108</f>
        <v>Scenario 2 - SRV with proactive response</v>
      </c>
      <c r="B114" s="778">
        <f>'Muswellbrook FFF Ratios'!D553</f>
        <v>0</v>
      </c>
      <c r="C114" s="778">
        <f>'Muswellbrook FFF Ratios'!E553</f>
        <v>0.99370124897617762</v>
      </c>
      <c r="D114" s="325">
        <f>'Muswellbrook FFF Ratios'!F553</f>
        <v>0.99303931837438397</v>
      </c>
      <c r="E114" s="325">
        <f>'Muswellbrook FFF Ratios'!G553</f>
        <v>1.6803934749060947</v>
      </c>
      <c r="F114" s="325">
        <f>'Muswellbrook FFF Ratios'!H553</f>
        <v>1.0921016235379826</v>
      </c>
      <c r="G114" s="325">
        <f>'Muswellbrook FFF Ratios'!I553</f>
        <v>1.0150188029249823</v>
      </c>
      <c r="H114" s="325">
        <f>'Muswellbrook FFF Ratios'!J553</f>
        <v>1.0025295073449241</v>
      </c>
      <c r="I114" s="325">
        <f>'Muswellbrook FFF Ratios'!K553</f>
        <v>0.99824486627778619</v>
      </c>
      <c r="J114" s="325">
        <f>'Muswellbrook FFF Ratios'!L553</f>
        <v>1.0484348397600545</v>
      </c>
      <c r="K114" s="325">
        <f>'Muswellbrook FFF Ratios'!M553</f>
        <v>1.0005890737846779</v>
      </c>
      <c r="L114" s="325">
        <f>'Muswellbrook FFF Ratios'!N553</f>
        <v>1.016106314468552</v>
      </c>
      <c r="M114" s="325">
        <f>'Muswellbrook FFF Ratios'!O553</f>
        <v>1.0057512310938483</v>
      </c>
    </row>
    <row r="115" spans="1:13" x14ac:dyDescent="0.3">
      <c r="A115" s="466" t="str">
        <f>A109</f>
        <v>Scenario 3 - SRV with Mine revenue reduction</v>
      </c>
      <c r="B115" s="778">
        <f>'Muswellbrook FFF Ratios'!D873</f>
        <v>0</v>
      </c>
      <c r="C115" s="778">
        <f>'Muswellbrook FFF Ratios'!E873</f>
        <v>0.99370124897617762</v>
      </c>
      <c r="D115" s="778">
        <f>'Muswellbrook FFF Ratios'!F873</f>
        <v>0.99303931837438397</v>
      </c>
      <c r="E115" s="778">
        <f>'Muswellbrook FFF Ratios'!G873</f>
        <v>1.6803934749060947</v>
      </c>
      <c r="F115" s="778">
        <f>'Muswellbrook FFF Ratios'!H873</f>
        <v>1.0921016235379826</v>
      </c>
      <c r="G115" s="778">
        <f>'Muswellbrook FFF Ratios'!I873</f>
        <v>1.0150188029249823</v>
      </c>
      <c r="H115" s="778">
        <f>'Muswellbrook FFF Ratios'!J873</f>
        <v>1.0025295073449241</v>
      </c>
      <c r="I115" s="778">
        <f>'Muswellbrook FFF Ratios'!K873</f>
        <v>0.99824486627778619</v>
      </c>
      <c r="J115" s="778">
        <f>'Muswellbrook FFF Ratios'!L873</f>
        <v>1.0484348397600545</v>
      </c>
      <c r="K115" s="778">
        <f>'Muswellbrook FFF Ratios'!M873</f>
        <v>1.0005890737846779</v>
      </c>
      <c r="L115" s="778">
        <f>'Muswellbrook FFF Ratios'!N873</f>
        <v>1.016106314468552</v>
      </c>
      <c r="M115" s="778">
        <f>'Muswellbrook FFF Ratios'!O873</f>
        <v>1.0057512310938483</v>
      </c>
    </row>
    <row r="116" spans="1:13" x14ac:dyDescent="0.3">
      <c r="A116" s="935" t="s">
        <v>390</v>
      </c>
      <c r="B116" s="936">
        <v>1</v>
      </c>
      <c r="C116" s="937">
        <f>B116</f>
        <v>1</v>
      </c>
      <c r="D116" s="937">
        <f t="shared" ref="D116:M116" si="16">C116</f>
        <v>1</v>
      </c>
      <c r="E116" s="937">
        <f t="shared" si="16"/>
        <v>1</v>
      </c>
      <c r="F116" s="937">
        <f t="shared" si="16"/>
        <v>1</v>
      </c>
      <c r="G116" s="937">
        <f t="shared" si="16"/>
        <v>1</v>
      </c>
      <c r="H116" s="937">
        <f t="shared" si="16"/>
        <v>1</v>
      </c>
      <c r="I116" s="937">
        <f t="shared" si="16"/>
        <v>1</v>
      </c>
      <c r="J116" s="937">
        <f t="shared" si="16"/>
        <v>1</v>
      </c>
      <c r="K116" s="937">
        <f t="shared" si="16"/>
        <v>1</v>
      </c>
      <c r="L116" s="937">
        <f t="shared" si="16"/>
        <v>1</v>
      </c>
      <c r="M116" s="937">
        <f t="shared" si="16"/>
        <v>1</v>
      </c>
    </row>
    <row r="118" spans="1:13" x14ac:dyDescent="0.3">
      <c r="A118" s="202" t="s">
        <v>1303</v>
      </c>
      <c r="B118" s="213" t="s">
        <v>2</v>
      </c>
      <c r="C118" s="213" t="s">
        <v>3</v>
      </c>
      <c r="D118" s="213" t="s">
        <v>4</v>
      </c>
      <c r="E118" s="213" t="s">
        <v>5</v>
      </c>
      <c r="F118" s="213" t="s">
        <v>6</v>
      </c>
      <c r="G118" s="213" t="s">
        <v>7</v>
      </c>
      <c r="H118" s="213" t="s">
        <v>8</v>
      </c>
      <c r="I118" s="213" t="s">
        <v>9</v>
      </c>
      <c r="J118" s="213" t="s">
        <v>514</v>
      </c>
      <c r="K118" s="213" t="s">
        <v>515</v>
      </c>
      <c r="L118" s="213" t="s">
        <v>904</v>
      </c>
      <c r="M118" s="213" t="s">
        <v>1046</v>
      </c>
    </row>
    <row r="119" spans="1:13" x14ac:dyDescent="0.3">
      <c r="A119" s="466" t="str">
        <f>A113</f>
        <v>Scenario 1 - Base Case (BAU)</v>
      </c>
      <c r="B119" s="778">
        <f>'Muswellbrook FFF Ratios'!D239</f>
        <v>2.0921636390210323E-2</v>
      </c>
      <c r="C119" s="778">
        <f>'Muswellbrook FFF Ratios'!E239</f>
        <v>2.1202333570640202E-2</v>
      </c>
      <c r="D119" s="778">
        <f>'Muswellbrook FFF Ratios'!F239</f>
        <v>2.1308459510721522E-2</v>
      </c>
      <c r="E119" s="778">
        <f>'Muswellbrook FFF Ratios'!G239</f>
        <v>2.0300319896555834E-2</v>
      </c>
      <c r="F119" s="778">
        <f>'Muswellbrook FFF Ratios'!H239</f>
        <v>9.4234301255619549E-3</v>
      </c>
      <c r="G119" s="778">
        <f>'Muswellbrook FFF Ratios'!I239</f>
        <v>9.2626657543320601E-3</v>
      </c>
      <c r="H119" s="778">
        <f>'Muswellbrook FFF Ratios'!J239</f>
        <v>9.1441558722497231E-3</v>
      </c>
      <c r="I119" s="778">
        <f>'Muswellbrook FFF Ratios'!K239</f>
        <v>8.9060321589522259E-3</v>
      </c>
      <c r="J119" s="778">
        <f>'Muswellbrook FFF Ratios'!L239</f>
        <v>8.8474109302820077E-3</v>
      </c>
      <c r="K119" s="778">
        <f>'Muswellbrook FFF Ratios'!M239</f>
        <v>8.7799463957723249E-3</v>
      </c>
      <c r="L119" s="778">
        <f>'Muswellbrook FFF Ratios'!N239</f>
        <v>8.6275377018121512E-3</v>
      </c>
      <c r="M119" s="778">
        <f>'Muswellbrook FFF Ratios'!O239</f>
        <v>8.5523479924291511E-3</v>
      </c>
    </row>
    <row r="120" spans="1:13" x14ac:dyDescent="0.3">
      <c r="A120" s="466" t="str">
        <f t="shared" ref="A120:A121" si="17">A114</f>
        <v>Scenario 2 - SRV with proactive response</v>
      </c>
      <c r="B120" s="778">
        <f>'Muswellbrook FFF Ratios'!D558</f>
        <v>2.0921636390210323E-2</v>
      </c>
      <c r="C120" s="778">
        <f>'Muswellbrook FFF Ratios'!E558</f>
        <v>2.1202333570640202E-2</v>
      </c>
      <c r="D120" s="778">
        <f>'Muswellbrook FFF Ratios'!F558</f>
        <v>2.1308459510721522E-2</v>
      </c>
      <c r="E120" s="778">
        <f>'Muswellbrook FFF Ratios'!G558</f>
        <v>2.1412691594808034E-2</v>
      </c>
      <c r="F120" s="778">
        <f>'Muswellbrook FFF Ratios'!H558</f>
        <v>1.1170667618858909E-2</v>
      </c>
      <c r="G120" s="778">
        <f>'Muswellbrook FFF Ratios'!I558</f>
        <v>9.7385412168629407E-3</v>
      </c>
      <c r="H120" s="778">
        <f>'Muswellbrook FFF Ratios'!J558</f>
        <v>9.4868742052211137E-3</v>
      </c>
      <c r="I120" s="778">
        <f>'Muswellbrook FFF Ratios'!K558</f>
        <v>9.4434408038928212E-3</v>
      </c>
      <c r="J120" s="778">
        <f>'Muswellbrook FFF Ratios'!L558</f>
        <v>9.4743307091066081E-3</v>
      </c>
      <c r="K120" s="778">
        <f>'Muswellbrook FFF Ratios'!M558</f>
        <v>8.6013078119878215E-3</v>
      </c>
      <c r="L120" s="778">
        <f>'Muswellbrook FFF Ratios'!N558</f>
        <v>8.5904340231987182E-3</v>
      </c>
      <c r="M120" s="778">
        <f>'Muswellbrook FFF Ratios'!O558</f>
        <v>8.2857881105872933E-3</v>
      </c>
    </row>
    <row r="121" spans="1:13" x14ac:dyDescent="0.3">
      <c r="A121" s="466" t="str">
        <f t="shared" si="17"/>
        <v>Scenario 3 - SRV with Mine revenue reduction</v>
      </c>
      <c r="B121" s="778">
        <f>'Muswellbrook FFF Ratios'!D878</f>
        <v>2.0921636390210323E-2</v>
      </c>
      <c r="C121" s="778">
        <f>'Muswellbrook FFF Ratios'!E878</f>
        <v>2.1202333570640202E-2</v>
      </c>
      <c r="D121" s="778">
        <f>'Muswellbrook FFF Ratios'!F878</f>
        <v>2.1308459510721522E-2</v>
      </c>
      <c r="E121" s="778">
        <f>'Muswellbrook FFF Ratios'!G878</f>
        <v>2.1412691594808034E-2</v>
      </c>
      <c r="F121" s="778">
        <f>'Muswellbrook FFF Ratios'!H878</f>
        <v>1.1170667618858909E-2</v>
      </c>
      <c r="G121" s="778">
        <f>'Muswellbrook FFF Ratios'!I878</f>
        <v>9.7385412168629407E-3</v>
      </c>
      <c r="H121" s="778">
        <f>'Muswellbrook FFF Ratios'!J878</f>
        <v>9.4868742052211137E-3</v>
      </c>
      <c r="I121" s="778">
        <f>'Muswellbrook FFF Ratios'!K878</f>
        <v>9.4434408038928212E-3</v>
      </c>
      <c r="J121" s="778">
        <f>'Muswellbrook FFF Ratios'!L878</f>
        <v>9.4743307091066081E-3</v>
      </c>
      <c r="K121" s="778">
        <f>'Muswellbrook FFF Ratios'!M878</f>
        <v>8.6013078119878215E-3</v>
      </c>
      <c r="L121" s="778">
        <f>'Muswellbrook FFF Ratios'!N878</f>
        <v>8.5904340231987182E-3</v>
      </c>
      <c r="M121" s="778">
        <f>'Muswellbrook FFF Ratios'!O878</f>
        <v>8.2857881105872933E-3</v>
      </c>
    </row>
    <row r="122" spans="1:13" x14ac:dyDescent="0.3">
      <c r="A122" s="935" t="s">
        <v>390</v>
      </c>
      <c r="B122" s="936">
        <v>0.02</v>
      </c>
      <c r="C122" s="937">
        <f>B122</f>
        <v>0.02</v>
      </c>
      <c r="D122" s="937">
        <v>0.02</v>
      </c>
      <c r="E122" s="937">
        <f t="shared" ref="E122:M122" si="18">D122</f>
        <v>0.02</v>
      </c>
      <c r="F122" s="937">
        <f t="shared" si="18"/>
        <v>0.02</v>
      </c>
      <c r="G122" s="937">
        <f t="shared" si="18"/>
        <v>0.02</v>
      </c>
      <c r="H122" s="937">
        <f t="shared" si="18"/>
        <v>0.02</v>
      </c>
      <c r="I122" s="937">
        <f t="shared" si="18"/>
        <v>0.02</v>
      </c>
      <c r="J122" s="937">
        <f t="shared" si="18"/>
        <v>0.02</v>
      </c>
      <c r="K122" s="937">
        <f t="shared" si="18"/>
        <v>0.02</v>
      </c>
      <c r="L122" s="937">
        <f t="shared" si="18"/>
        <v>0.02</v>
      </c>
      <c r="M122" s="937">
        <f t="shared" si="18"/>
        <v>0.02</v>
      </c>
    </row>
    <row r="124" spans="1:13" x14ac:dyDescent="0.3">
      <c r="A124" s="202" t="s">
        <v>1304</v>
      </c>
      <c r="B124" s="213" t="s">
        <v>2</v>
      </c>
      <c r="C124" s="213" t="s">
        <v>3</v>
      </c>
      <c r="D124" s="213" t="s">
        <v>4</v>
      </c>
      <c r="E124" s="213" t="s">
        <v>5</v>
      </c>
      <c r="F124" s="213" t="s">
        <v>6</v>
      </c>
      <c r="G124" s="213" t="s">
        <v>7</v>
      </c>
      <c r="H124" s="213" t="s">
        <v>8</v>
      </c>
      <c r="I124" s="213" t="s">
        <v>9</v>
      </c>
      <c r="J124" s="213" t="s">
        <v>514</v>
      </c>
      <c r="K124" s="213" t="s">
        <v>515</v>
      </c>
      <c r="L124" s="213" t="s">
        <v>904</v>
      </c>
      <c r="M124" s="213" t="s">
        <v>1046</v>
      </c>
    </row>
    <row r="125" spans="1:13" x14ac:dyDescent="0.3">
      <c r="A125" s="466" t="str">
        <f>A119</f>
        <v>Scenario 1 - Base Case (BAU)</v>
      </c>
      <c r="B125" s="778">
        <f>'Muswellbrook FFF Ratios'!D238</f>
        <v>0.82606451612903231</v>
      </c>
      <c r="C125" s="778">
        <f>'Muswellbrook FFF Ratios'!E238</f>
        <v>1</v>
      </c>
      <c r="D125" s="778">
        <f>'Muswellbrook FFF Ratios'!F238</f>
        <v>1</v>
      </c>
      <c r="E125" s="778">
        <f>'Muswellbrook FFF Ratios'!G238</f>
        <v>1</v>
      </c>
      <c r="F125" s="778">
        <f>'Muswellbrook FFF Ratios'!H238</f>
        <v>1</v>
      </c>
      <c r="G125" s="778">
        <f>'Muswellbrook FFF Ratios'!I238</f>
        <v>1</v>
      </c>
      <c r="H125" s="778">
        <f>'Muswellbrook FFF Ratios'!J238</f>
        <v>1</v>
      </c>
      <c r="I125" s="778">
        <f>'Muswellbrook FFF Ratios'!K238</f>
        <v>1</v>
      </c>
      <c r="J125" s="778">
        <f>'Muswellbrook FFF Ratios'!L238</f>
        <v>1</v>
      </c>
      <c r="K125" s="778">
        <f>'Muswellbrook FFF Ratios'!M238</f>
        <v>1</v>
      </c>
      <c r="L125" s="778">
        <f>'Muswellbrook FFF Ratios'!N238</f>
        <v>1</v>
      </c>
      <c r="M125" s="778">
        <f>'Muswellbrook FFF Ratios'!O238</f>
        <v>1</v>
      </c>
    </row>
    <row r="126" spans="1:13" x14ac:dyDescent="0.3">
      <c r="A126" s="466" t="str">
        <f t="shared" ref="A126:A127" si="19">A120</f>
        <v>Scenario 2 - SRV with proactive response</v>
      </c>
      <c r="B126" s="778">
        <f>'Muswellbrook FFF Ratios'!D557</f>
        <v>0.82606451612903231</v>
      </c>
      <c r="C126" s="778">
        <f>'Muswellbrook FFF Ratios'!E557</f>
        <v>1</v>
      </c>
      <c r="D126" s="778">
        <f>'Muswellbrook FFF Ratios'!F557</f>
        <v>1</v>
      </c>
      <c r="E126" s="778">
        <f>'Muswellbrook FFF Ratios'!G557</f>
        <v>1</v>
      </c>
      <c r="F126" s="778">
        <f>'Muswellbrook FFF Ratios'!H557</f>
        <v>1</v>
      </c>
      <c r="G126" s="778">
        <f>'Muswellbrook FFF Ratios'!I557</f>
        <v>1</v>
      </c>
      <c r="H126" s="778">
        <f>'Muswellbrook FFF Ratios'!J557</f>
        <v>1</v>
      </c>
      <c r="I126" s="778">
        <f>'Muswellbrook FFF Ratios'!K557</f>
        <v>1</v>
      </c>
      <c r="J126" s="778">
        <f>'Muswellbrook FFF Ratios'!L557</f>
        <v>1</v>
      </c>
      <c r="K126" s="778">
        <f>'Muswellbrook FFF Ratios'!M557</f>
        <v>1</v>
      </c>
      <c r="L126" s="778">
        <f>'Muswellbrook FFF Ratios'!N557</f>
        <v>1</v>
      </c>
      <c r="M126" s="778">
        <f>'Muswellbrook FFF Ratios'!O557</f>
        <v>1</v>
      </c>
    </row>
    <row r="127" spans="1:13" x14ac:dyDescent="0.3">
      <c r="A127" s="466" t="str">
        <f t="shared" si="19"/>
        <v>Scenario 3 - SRV with Mine revenue reduction</v>
      </c>
      <c r="B127" s="778">
        <f>'Muswellbrook FFF Ratios'!D877</f>
        <v>0.82606451612903231</v>
      </c>
      <c r="C127" s="778">
        <f>'Muswellbrook FFF Ratios'!E877</f>
        <v>1</v>
      </c>
      <c r="D127" s="778">
        <f>'Muswellbrook FFF Ratios'!F877</f>
        <v>1</v>
      </c>
      <c r="E127" s="778">
        <f>'Muswellbrook FFF Ratios'!G877</f>
        <v>1</v>
      </c>
      <c r="F127" s="778">
        <f>'Muswellbrook FFF Ratios'!H877</f>
        <v>1</v>
      </c>
      <c r="G127" s="778">
        <f>'Muswellbrook FFF Ratios'!I877</f>
        <v>1</v>
      </c>
      <c r="H127" s="778">
        <f>'Muswellbrook FFF Ratios'!J877</f>
        <v>1</v>
      </c>
      <c r="I127" s="778">
        <f>'Muswellbrook FFF Ratios'!K877</f>
        <v>1</v>
      </c>
      <c r="J127" s="778">
        <f>'Muswellbrook FFF Ratios'!L877</f>
        <v>1</v>
      </c>
      <c r="K127" s="778">
        <f>'Muswellbrook FFF Ratios'!M877</f>
        <v>1</v>
      </c>
      <c r="L127" s="778">
        <f>'Muswellbrook FFF Ratios'!N877</f>
        <v>1</v>
      </c>
      <c r="M127" s="778">
        <f>'Muswellbrook FFF Ratios'!O877</f>
        <v>1</v>
      </c>
    </row>
    <row r="128" spans="1:13" x14ac:dyDescent="0.3">
      <c r="A128" s="935" t="s">
        <v>390</v>
      </c>
      <c r="B128" s="936">
        <v>1</v>
      </c>
      <c r="C128" s="937">
        <f>B128</f>
        <v>1</v>
      </c>
      <c r="D128" s="937">
        <f t="shared" ref="D128:M128" si="20">C128</f>
        <v>1</v>
      </c>
      <c r="E128" s="937">
        <f t="shared" si="20"/>
        <v>1</v>
      </c>
      <c r="F128" s="937">
        <f t="shared" si="20"/>
        <v>1</v>
      </c>
      <c r="G128" s="937">
        <f t="shared" si="20"/>
        <v>1</v>
      </c>
      <c r="H128" s="937">
        <f t="shared" si="20"/>
        <v>1</v>
      </c>
      <c r="I128" s="937">
        <f t="shared" si="20"/>
        <v>1</v>
      </c>
      <c r="J128" s="937">
        <f t="shared" si="20"/>
        <v>1</v>
      </c>
      <c r="K128" s="937">
        <f t="shared" si="20"/>
        <v>1</v>
      </c>
      <c r="L128" s="937">
        <f t="shared" si="20"/>
        <v>1</v>
      </c>
      <c r="M128" s="937">
        <f t="shared" si="20"/>
        <v>1</v>
      </c>
    </row>
    <row r="130" spans="1:13" x14ac:dyDescent="0.3">
      <c r="A130" s="202" t="s">
        <v>1305</v>
      </c>
      <c r="B130" s="213" t="s">
        <v>2</v>
      </c>
      <c r="C130" s="213" t="s">
        <v>3</v>
      </c>
      <c r="D130" s="213" t="s">
        <v>4</v>
      </c>
      <c r="E130" s="213" t="s">
        <v>5</v>
      </c>
      <c r="F130" s="213" t="s">
        <v>6</v>
      </c>
      <c r="G130" s="213" t="s">
        <v>7</v>
      </c>
      <c r="H130" s="213" t="s">
        <v>8</v>
      </c>
      <c r="I130" s="213" t="s">
        <v>9</v>
      </c>
      <c r="J130" s="213" t="s">
        <v>514</v>
      </c>
      <c r="K130" s="213" t="s">
        <v>515</v>
      </c>
      <c r="L130" s="213" t="s">
        <v>904</v>
      </c>
      <c r="M130" s="213" t="s">
        <v>1046</v>
      </c>
    </row>
    <row r="131" spans="1:13" x14ac:dyDescent="0.3">
      <c r="A131" s="466" t="str">
        <f>A125</f>
        <v>Scenario 1 - Base Case (BAU)</v>
      </c>
      <c r="B131" s="778">
        <f>'Muswellbrook FFF Ratios'!D215</f>
        <v>2.2962573786197732E-2</v>
      </c>
      <c r="C131" s="778">
        <f>'Muswellbrook FFF Ratios'!E215</f>
        <v>3.9223696230032572E-2</v>
      </c>
      <c r="D131" s="778">
        <f>'Muswellbrook FFF Ratios'!F215</f>
        <v>3.8369149477125108E-2</v>
      </c>
      <c r="E131" s="778">
        <f>'Muswellbrook FFF Ratios'!G215</f>
        <v>3.7319006412328229E-2</v>
      </c>
      <c r="F131" s="778">
        <f>'Muswellbrook FFF Ratios'!H215</f>
        <v>3.6164090325945267E-2</v>
      </c>
      <c r="G131" s="778">
        <f>'Muswellbrook FFF Ratios'!I215</f>
        <v>3.5333629366345383E-2</v>
      </c>
      <c r="H131" s="778">
        <f>'Muswellbrook FFF Ratios'!J215</f>
        <v>3.4363986466925026E-2</v>
      </c>
      <c r="I131" s="778">
        <f>'Muswellbrook FFF Ratios'!K215</f>
        <v>3.3151188896415905E-2</v>
      </c>
      <c r="J131" s="778">
        <f>'Muswellbrook FFF Ratios'!L215</f>
        <v>3.2213222812726226E-2</v>
      </c>
      <c r="K131" s="778">
        <f>'Muswellbrook FFF Ratios'!M215</f>
        <v>3.1366356420996493E-2</v>
      </c>
      <c r="L131" s="778">
        <f>'Muswellbrook FFF Ratios'!N215</f>
        <v>3.0538796244066965E-2</v>
      </c>
      <c r="M131" s="778">
        <f>'Muswellbrook FFF Ratios'!O215</f>
        <v>2.9725822739763489E-2</v>
      </c>
    </row>
    <row r="132" spans="1:13" x14ac:dyDescent="0.3">
      <c r="A132" s="466" t="str">
        <f t="shared" ref="A132:A133" si="21">A126</f>
        <v>Scenario 2 - SRV with proactive response</v>
      </c>
      <c r="B132" s="778">
        <f>'Muswellbrook FFF Ratios'!D534</f>
        <v>2.2962573786197732E-2</v>
      </c>
      <c r="C132" s="778">
        <f>'Muswellbrook FFF Ratios'!E534</f>
        <v>3.9223696230032572E-2</v>
      </c>
      <c r="D132" s="778">
        <f>'Muswellbrook FFF Ratios'!F534</f>
        <v>3.8076369828871845E-2</v>
      </c>
      <c r="E132" s="778">
        <f>'Muswellbrook FFF Ratios'!G534</f>
        <v>3.7032739602238116E-2</v>
      </c>
      <c r="F132" s="778">
        <f>'Muswellbrook FFF Ratios'!H534</f>
        <v>4.5330279044231592E-2</v>
      </c>
      <c r="G132" s="778">
        <f>'Muswellbrook FFF Ratios'!I534</f>
        <v>5.364960348143543E-2</v>
      </c>
      <c r="H132" s="778">
        <f>'Muswellbrook FFF Ratios'!J534</f>
        <v>5.1753436907500679E-2</v>
      </c>
      <c r="I132" s="778">
        <f>'Muswellbrook FFF Ratios'!K534</f>
        <v>4.9658161893166547E-2</v>
      </c>
      <c r="J132" s="778">
        <f>'Muswellbrook FFF Ratios'!L534</f>
        <v>4.7648845780548857E-2</v>
      </c>
      <c r="K132" s="778">
        <f>'Muswellbrook FFF Ratios'!M534</f>
        <v>4.5719792914586041E-2</v>
      </c>
      <c r="L132" s="778">
        <f>'Muswellbrook FFF Ratios'!N534</f>
        <v>4.3814259082204314E-2</v>
      </c>
      <c r="M132" s="778">
        <f>'Muswellbrook FFF Ratios'!O534</f>
        <v>4.1950628173654046E-2</v>
      </c>
    </row>
    <row r="133" spans="1:13" x14ac:dyDescent="0.3">
      <c r="A133" s="466" t="str">
        <f t="shared" si="21"/>
        <v>Scenario 3 - SRV with Mine revenue reduction</v>
      </c>
      <c r="B133" s="778">
        <f>'Muswellbrook FFF Ratios'!D854</f>
        <v>2.2962573786197732E-2</v>
      </c>
      <c r="C133" s="778">
        <f>'Muswellbrook FFF Ratios'!E854</f>
        <v>3.9223696230032572E-2</v>
      </c>
      <c r="D133" s="778">
        <f>'Muswellbrook FFF Ratios'!F854</f>
        <v>3.7543251746993113E-2</v>
      </c>
      <c r="E133" s="778">
        <f>'Muswellbrook FFF Ratios'!G854</f>
        <v>3.6947275471534986E-2</v>
      </c>
      <c r="F133" s="778">
        <f>'Muswellbrook FFF Ratios'!H854</f>
        <v>4.494410972330834E-2</v>
      </c>
      <c r="G133" s="778">
        <f>'Muswellbrook FFF Ratios'!I854</f>
        <v>5.3197028103014729E-2</v>
      </c>
      <c r="H133" s="778">
        <f>'Muswellbrook FFF Ratios'!J854</f>
        <v>5.1898314928200288E-2</v>
      </c>
      <c r="I133" s="778">
        <f>'Muswellbrook FFF Ratios'!K854</f>
        <v>4.9838035576278722E-2</v>
      </c>
      <c r="J133" s="778">
        <f>'Muswellbrook FFF Ratios'!L854</f>
        <v>4.8237839576247728E-2</v>
      </c>
      <c r="K133" s="778">
        <f>'Muswellbrook FFF Ratios'!M854</f>
        <v>4.6265941260137257E-2</v>
      </c>
      <c r="L133" s="778">
        <f>'Muswellbrook FFF Ratios'!N854</f>
        <v>4.5565672990928244E-2</v>
      </c>
      <c r="M133" s="778">
        <f>'Muswellbrook FFF Ratios'!O854</f>
        <v>4.5588234629798781E-2</v>
      </c>
    </row>
    <row r="134" spans="1:13" x14ac:dyDescent="0.3">
      <c r="A134" s="935" t="s">
        <v>390</v>
      </c>
      <c r="B134" s="936">
        <v>0.2</v>
      </c>
      <c r="C134" s="937">
        <f>B134</f>
        <v>0.2</v>
      </c>
      <c r="D134" s="937">
        <v>0.2</v>
      </c>
      <c r="E134" s="937">
        <f t="shared" ref="E134:M134" si="22">D134</f>
        <v>0.2</v>
      </c>
      <c r="F134" s="937">
        <f t="shared" si="22"/>
        <v>0.2</v>
      </c>
      <c r="G134" s="937">
        <f t="shared" si="22"/>
        <v>0.2</v>
      </c>
      <c r="H134" s="937">
        <f t="shared" si="22"/>
        <v>0.2</v>
      </c>
      <c r="I134" s="937">
        <f t="shared" si="22"/>
        <v>0.2</v>
      </c>
      <c r="J134" s="937">
        <f t="shared" si="22"/>
        <v>0.2</v>
      </c>
      <c r="K134" s="937">
        <f t="shared" si="22"/>
        <v>0.2</v>
      </c>
      <c r="L134" s="937">
        <f t="shared" si="22"/>
        <v>0.2</v>
      </c>
      <c r="M134" s="937">
        <f t="shared" si="22"/>
        <v>0.2</v>
      </c>
    </row>
    <row r="136" spans="1:13" x14ac:dyDescent="0.3">
      <c r="A136" s="202" t="s">
        <v>1306</v>
      </c>
      <c r="B136" s="213" t="s">
        <v>2</v>
      </c>
      <c r="C136" s="213" t="s">
        <v>3</v>
      </c>
      <c r="D136" s="213" t="s">
        <v>4</v>
      </c>
      <c r="E136" s="213" t="s">
        <v>5</v>
      </c>
      <c r="F136" s="213" t="s">
        <v>6</v>
      </c>
      <c r="G136" s="213" t="s">
        <v>7</v>
      </c>
      <c r="H136" s="213" t="s">
        <v>8</v>
      </c>
      <c r="I136" s="213" t="s">
        <v>9</v>
      </c>
      <c r="J136" s="213" t="s">
        <v>514</v>
      </c>
      <c r="K136" s="213" t="s">
        <v>515</v>
      </c>
      <c r="L136" s="213" t="s">
        <v>904</v>
      </c>
      <c r="M136" s="213" t="s">
        <v>1046</v>
      </c>
    </row>
    <row r="137" spans="1:13" x14ac:dyDescent="0.3">
      <c r="A137" s="466" t="str">
        <f>A131</f>
        <v>Scenario 1 - Base Case (BAU)</v>
      </c>
      <c r="B137" s="547">
        <f>'Muswellbrook FFF Ratios'!D222</f>
        <v>1948.3505592524425</v>
      </c>
      <c r="C137" s="547">
        <f>'Muswellbrook FFF Ratios'!E222</f>
        <v>2093.0326906360388</v>
      </c>
      <c r="D137" s="547">
        <f>'Muswellbrook FFF Ratios'!F222</f>
        <v>2032.6667745911852</v>
      </c>
      <c r="E137" s="547">
        <f>'Muswellbrook FFF Ratios'!G222</f>
        <v>2021.5595042229556</v>
      </c>
      <c r="F137" s="547">
        <f>'Muswellbrook FFF Ratios'!H222</f>
        <v>2004.3045718564874</v>
      </c>
      <c r="G137" s="547">
        <f>'Muswellbrook FFF Ratios'!I222</f>
        <v>1999.96379708564</v>
      </c>
      <c r="H137" s="547">
        <f>'Muswellbrook FFF Ratios'!J222</f>
        <v>1978.5851857434325</v>
      </c>
      <c r="I137" s="547">
        <f>'Muswellbrook FFF Ratios'!K222</f>
        <v>1957.4985528890484</v>
      </c>
      <c r="J137" s="547">
        <f>'Muswellbrook FFF Ratios'!L222</f>
        <v>1937.2164338665013</v>
      </c>
      <c r="K137" s="547">
        <f>'Muswellbrook FFF Ratios'!M222</f>
        <v>1917.3781726862455</v>
      </c>
      <c r="L137" s="547">
        <f>'Muswellbrook FFF Ratios'!N222</f>
        <v>1900.3046476239467</v>
      </c>
      <c r="M137" s="547">
        <f>'Muswellbrook FFF Ratios'!O222</f>
        <v>1880.975396063626</v>
      </c>
    </row>
    <row r="138" spans="1:13" x14ac:dyDescent="0.3">
      <c r="A138" s="466" t="str">
        <f t="shared" ref="A138:A139" si="23">A132</f>
        <v>Scenario 2 - SRV with proactive response</v>
      </c>
      <c r="B138" s="547">
        <f>'Muswellbrook FFF Ratios'!D541</f>
        <v>1948.3505592524425</v>
      </c>
      <c r="C138" s="547">
        <f>'Muswellbrook FFF Ratios'!E541</f>
        <v>2093.0326906360388</v>
      </c>
      <c r="D138" s="547">
        <f>'Muswellbrook FFF Ratios'!F541</f>
        <v>2032.6667745911852</v>
      </c>
      <c r="E138" s="547">
        <f>'Muswellbrook FFF Ratios'!G541</f>
        <v>2006.9281086090677</v>
      </c>
      <c r="F138" s="547">
        <f>'Muswellbrook FFF Ratios'!H541</f>
        <v>2028.9586911233114</v>
      </c>
      <c r="G138" s="547">
        <f>'Muswellbrook FFF Ratios'!I541</f>
        <v>2092.9887724471214</v>
      </c>
      <c r="H138" s="547">
        <f>'Muswellbrook FFF Ratios'!J541</f>
        <v>2068.7845016372289</v>
      </c>
      <c r="I138" s="547">
        <f>'Muswellbrook FFF Ratios'!K541</f>
        <v>2044.998415029022</v>
      </c>
      <c r="J138" s="547">
        <f>'Muswellbrook FFF Ratios'!L541</f>
        <v>2021.620772420388</v>
      </c>
      <c r="K138" s="547">
        <f>'Muswellbrook FFF Ratios'!M541</f>
        <v>1998.6421057549014</v>
      </c>
      <c r="L138" s="547">
        <f>'Muswellbrook FFF Ratios'!N541</f>
        <v>1978.6506498615445</v>
      </c>
      <c r="M138" s="547">
        <f>'Muswellbrook FFF Ratios'!O541</f>
        <v>1956.4133865185797</v>
      </c>
    </row>
    <row r="139" spans="1:13" x14ac:dyDescent="0.3">
      <c r="A139" s="466" t="str">
        <f t="shared" si="23"/>
        <v>Scenario 3 - SRV with Mine revenue reduction</v>
      </c>
      <c r="B139" s="547">
        <f>'Muswellbrook FFF Ratios'!D861</f>
        <v>1948.3505592524425</v>
      </c>
      <c r="C139" s="547">
        <f>'Muswellbrook FFF Ratios'!E861</f>
        <v>2093.0326906360388</v>
      </c>
      <c r="D139" s="547">
        <f>'Muswellbrook FFF Ratios'!F861</f>
        <v>2032.6667745911852</v>
      </c>
      <c r="E139" s="547">
        <f>'Muswellbrook FFF Ratios'!G861</f>
        <v>2006.9281086090677</v>
      </c>
      <c r="F139" s="547">
        <f>'Muswellbrook FFF Ratios'!H861</f>
        <v>2028.9586911233114</v>
      </c>
      <c r="G139" s="547">
        <f>'Muswellbrook FFF Ratios'!I861</f>
        <v>2092.9887724471214</v>
      </c>
      <c r="H139" s="547">
        <f>'Muswellbrook FFF Ratios'!J861</f>
        <v>2068.7845016372289</v>
      </c>
      <c r="I139" s="547">
        <f>'Muswellbrook FFF Ratios'!K861</f>
        <v>2044.998415029022</v>
      </c>
      <c r="J139" s="547">
        <f>'Muswellbrook FFF Ratios'!L861</f>
        <v>2021.620772420388</v>
      </c>
      <c r="K139" s="547">
        <f>'Muswellbrook FFF Ratios'!M861</f>
        <v>1998.6421057549014</v>
      </c>
      <c r="L139" s="547">
        <f>'Muswellbrook FFF Ratios'!N861</f>
        <v>1978.6506498615445</v>
      </c>
      <c r="M139" s="547">
        <f>'Muswellbrook FFF Ratios'!O861</f>
        <v>1956.4133865185797</v>
      </c>
    </row>
    <row r="142" spans="1:13" x14ac:dyDescent="0.3">
      <c r="A142" s="202" t="s">
        <v>342</v>
      </c>
    </row>
    <row r="143" spans="1:13" x14ac:dyDescent="0.3">
      <c r="A143" s="466" t="str">
        <f>A137</f>
        <v>Scenario 1 - Base Case (BAU)</v>
      </c>
    </row>
    <row r="144" spans="1:13" x14ac:dyDescent="0.3">
      <c r="A144" s="466" t="str">
        <f t="shared" ref="A144:A145" si="24">A138</f>
        <v>Scenario 2 - SRV with proactive response</v>
      </c>
    </row>
    <row r="145" spans="1:13" x14ac:dyDescent="0.3">
      <c r="A145" s="466" t="str">
        <f t="shared" si="24"/>
        <v>Scenario 3 - SRV with Mine revenue reduction</v>
      </c>
    </row>
    <row r="147" spans="1:13" x14ac:dyDescent="0.3">
      <c r="A147" s="202" t="s">
        <v>1623</v>
      </c>
    </row>
    <row r="148" spans="1:13" x14ac:dyDescent="0.3">
      <c r="A148" s="466" t="s">
        <v>1059</v>
      </c>
      <c r="C148" s="778">
        <f>'GF &amp; FF  Inc Exp Statement'!F11/'GF &amp; FF  Inc Exp Statement'!F21</f>
        <v>0.35116687535731056</v>
      </c>
      <c r="D148" s="778">
        <f>'GF &amp; FF  Inc Exp Statement'!G11/'GF &amp; FF  Inc Exp Statement'!G21</f>
        <v>0.35656604742185061</v>
      </c>
      <c r="E148" s="778">
        <f>'GF &amp; FF  Inc Exp Statement'!H11/'GF &amp; FF  Inc Exp Statement'!H21</f>
        <v>0.35947223661842376</v>
      </c>
      <c r="F148" s="778">
        <f>'GF &amp; FF  Inc Exp Statement'!I11/'GF &amp; FF  Inc Exp Statement'!I21</f>
        <v>0.3644131334959464</v>
      </c>
      <c r="G148" s="778">
        <f>'GF &amp; FF  Inc Exp Statement'!J11/'GF &amp; FF  Inc Exp Statement'!J21</f>
        <v>0.36671373928258505</v>
      </c>
      <c r="H148" s="778">
        <f>'GF &amp; FF  Inc Exp Statement'!K11/'GF &amp; FF  Inc Exp Statement'!K21</f>
        <v>0.3699731731666675</v>
      </c>
      <c r="I148" s="778">
        <f>'GF &amp; FF  Inc Exp Statement'!L11/'GF &amp; FF  Inc Exp Statement'!L21</f>
        <v>0.37081605267017337</v>
      </c>
      <c r="J148" s="778">
        <f>'GF &amp; FF  Inc Exp Statement'!M11/'GF &amp; FF  Inc Exp Statement'!M21</f>
        <v>0.37163401607359386</v>
      </c>
      <c r="K148" s="778">
        <f>'GF &amp; FF  Inc Exp Statement'!N11/'GF &amp; FF  Inc Exp Statement'!N21</f>
        <v>0.37234249053368756</v>
      </c>
      <c r="L148" s="778">
        <f>'GF &amp; FF  Inc Exp Statement'!O11/'GF &amp; FF  Inc Exp Statement'!O21</f>
        <v>0.37309151165152588</v>
      </c>
      <c r="M148" s="778">
        <f>'GF &amp; FF  Inc Exp Statement'!P11/'GF &amp; FF  Inc Exp Statement'!P21</f>
        <v>0.37384167093466791</v>
      </c>
    </row>
    <row r="149" spans="1:13" x14ac:dyDescent="0.3">
      <c r="A149" s="466" t="s">
        <v>1262</v>
      </c>
      <c r="C149" s="778">
        <f>'GF &amp; FF  Inc Exp Statement'!F84/'GF &amp; FF  Inc Exp Statement'!F94</f>
        <v>0.35116687535731056</v>
      </c>
      <c r="D149" s="778">
        <f>'GF &amp; FF  Inc Exp Statement'!G84/'GF &amp; FF  Inc Exp Statement'!G94</f>
        <v>0.36104440623104556</v>
      </c>
      <c r="E149" s="778">
        <f>'GF &amp; FF  Inc Exp Statement'!H84/'GF &amp; FF  Inc Exp Statement'!H94</f>
        <v>0.37008452411267434</v>
      </c>
      <c r="F149" s="778">
        <f>'GF &amp; FF  Inc Exp Statement'!I84/'GF &amp; FF  Inc Exp Statement'!I94</f>
        <v>0.35238012718598061</v>
      </c>
      <c r="G149" s="778">
        <f>'GF &amp; FF  Inc Exp Statement'!J84/'GF &amp; FF  Inc Exp Statement'!J94</f>
        <v>0.3845108574015742</v>
      </c>
      <c r="H149" s="778">
        <f>'GF &amp; FF  Inc Exp Statement'!K84/'GF &amp; FF  Inc Exp Statement'!K94</f>
        <v>0.38664981562763895</v>
      </c>
      <c r="I149" s="778">
        <f>'GF &amp; FF  Inc Exp Statement'!L84/'GF &amp; FF  Inc Exp Statement'!L94</f>
        <v>0.38713024199286167</v>
      </c>
      <c r="J149" s="778">
        <f>'GF &amp; FF  Inc Exp Statement'!M84/'GF &amp; FF  Inc Exp Statement'!M94</f>
        <v>0.38786293668787608</v>
      </c>
      <c r="K149" s="778">
        <f>'GF &amp; FF  Inc Exp Statement'!N84/'GF &amp; FF  Inc Exp Statement'!N94</f>
        <v>0.38884706638620958</v>
      </c>
      <c r="L149" s="778">
        <f>'GF &amp; FF  Inc Exp Statement'!O84/'GF &amp; FF  Inc Exp Statement'!O94</f>
        <v>0.38966323562200433</v>
      </c>
      <c r="M149" s="778">
        <f>'GF &amp; FF  Inc Exp Statement'!P84/'GF &amp; FF  Inc Exp Statement'!P94</f>
        <v>0.39045288687107815</v>
      </c>
    </row>
    <row r="150" spans="1:13" x14ac:dyDescent="0.3">
      <c r="A150" s="466" t="s">
        <v>1324</v>
      </c>
      <c r="C150" s="778">
        <f>'GF &amp; FF  Inc Exp Statement'!F153/'GF &amp; FF  Inc Exp Statement'!F163</f>
        <v>0.35116687535731056</v>
      </c>
      <c r="D150" s="778">
        <f>'GF &amp; FF  Inc Exp Statement'!G153/'GF &amp; FF  Inc Exp Statement'!G163</f>
        <v>0.36921454435205836</v>
      </c>
      <c r="E150" s="778">
        <f>'GF &amp; FF  Inc Exp Statement'!H153/'GF &amp; FF  Inc Exp Statement'!H163</f>
        <v>0.37141205727078269</v>
      </c>
      <c r="F150" s="778">
        <f>'GF &amp; FF  Inc Exp Statement'!I153/'GF &amp; FF  Inc Exp Statement'!I163</f>
        <v>0.35707921779973739</v>
      </c>
      <c r="G150" s="778">
        <f>'GF &amp; FF  Inc Exp Statement'!J153/'GF &amp; FF  Inc Exp Statement'!J163</f>
        <v>0.3892742045139877</v>
      </c>
      <c r="H150" s="778">
        <f>'GF &amp; FF  Inc Exp Statement'!K153/'GF &amp; FF  Inc Exp Statement'!K163</f>
        <v>0.38400079151779215</v>
      </c>
      <c r="I150" s="778">
        <f>'GF &amp; FF  Inc Exp Statement'!L153/'GF &amp; FF  Inc Exp Statement'!L163</f>
        <v>0.38483632417487673</v>
      </c>
      <c r="J150" s="778">
        <f>'GF &amp; FF  Inc Exp Statement'!M153/'GF &amp; FF  Inc Exp Statement'!M163</f>
        <v>0.3807542154866938</v>
      </c>
      <c r="K150" s="778">
        <f>'GF &amp; FF  Inc Exp Statement'!N153/'GF &amp; FF  Inc Exp Statement'!N163</f>
        <v>0.38164594398631929</v>
      </c>
      <c r="L150" s="778">
        <f>'GF &amp; FF  Inc Exp Statement'!O153/'GF &amp; FF  Inc Exp Statement'!O163</f>
        <v>0.36686072126140212</v>
      </c>
      <c r="M150" s="778">
        <f>'GF &amp; FF  Inc Exp Statement'!P153/'GF &amp; FF  Inc Exp Statement'!P163</f>
        <v>0.34284323687623253</v>
      </c>
    </row>
    <row r="152" spans="1:13" x14ac:dyDescent="0.3">
      <c r="A152" s="202" t="s">
        <v>1624</v>
      </c>
    </row>
    <row r="153" spans="1:13" x14ac:dyDescent="0.3">
      <c r="A153" s="466" t="s">
        <v>1059</v>
      </c>
      <c r="C153" s="778">
        <f>('GF &amp; FF  Bal Sheet'!F26+'GF &amp; FF  Bal Sheet'!F32+'Muswellbrook FFF Ratios'!E175)/'GF &amp; FF  Inc Exp Statement'!F21</f>
        <v>1.0295092337256231</v>
      </c>
      <c r="D153" s="778">
        <f>('GF &amp; FF  Bal Sheet'!G26+'GF &amp; FF  Bal Sheet'!G32+'Muswellbrook FFF Ratios'!F175)/'GF &amp; FF  Inc Exp Statement'!G21</f>
        <v>0.97610736546421628</v>
      </c>
      <c r="E153" s="778">
        <f>('GF &amp; FF  Bal Sheet'!H26+'GF &amp; FF  Bal Sheet'!H32+'Muswellbrook FFF Ratios'!G175)/'GF &amp; FF  Inc Exp Statement'!H21</f>
        <v>0.93004889641840149</v>
      </c>
      <c r="F153" s="778">
        <f>('GF &amp; FF  Bal Sheet'!I26+'GF &amp; FF  Bal Sheet'!I32+'Muswellbrook FFF Ratios'!H175)/'GF &amp; FF  Inc Exp Statement'!I21</f>
        <v>0.7947236769590944</v>
      </c>
      <c r="G153" s="778">
        <f>('GF &amp; FF  Bal Sheet'!J26+'GF &amp; FF  Bal Sheet'!J32+'Muswellbrook FFF Ratios'!I175)/'GF &amp; FF  Inc Exp Statement'!J21</f>
        <v>0.76727074461784306</v>
      </c>
      <c r="H153" s="778">
        <f>('GF &amp; FF  Bal Sheet'!K26+'GF &amp; FF  Bal Sheet'!K32+'Muswellbrook FFF Ratios'!J175)/'GF &amp; FF  Inc Exp Statement'!K21</f>
        <v>0.74402583264534372</v>
      </c>
      <c r="I153" s="778">
        <f>('GF &amp; FF  Bal Sheet'!L26+'GF &amp; FF  Bal Sheet'!L32+'Muswellbrook FFF Ratios'!K175)/'GF &amp; FF  Inc Exp Statement'!L21</f>
        <v>0.71498334562412102</v>
      </c>
      <c r="J153" s="778">
        <f>('GF &amp; FF  Bal Sheet'!M26+'GF &amp; FF  Bal Sheet'!M32+'Muswellbrook FFF Ratios'!L175)/'GF &amp; FF  Inc Exp Statement'!M21</f>
        <v>0.6938439961409949</v>
      </c>
      <c r="K153" s="778">
        <f>('GF &amp; FF  Bal Sheet'!N26+'GF &amp; FF  Bal Sheet'!N32+'Muswellbrook FFF Ratios'!M175)/'GF &amp; FF  Inc Exp Statement'!N21</f>
        <v>0.67475214889141599</v>
      </c>
      <c r="L153" s="778">
        <f>('GF &amp; FF  Bal Sheet'!O26+'GF &amp; FF  Bal Sheet'!O32+'Muswellbrook FFF Ratios'!N175)/'GF &amp; FF  Inc Exp Statement'!O21</f>
        <v>0.65540442062849846</v>
      </c>
      <c r="M153" s="778">
        <f>('GF &amp; FF  Bal Sheet'!P26+'GF &amp; FF  Bal Sheet'!P32+'Muswellbrook FFF Ratios'!O175)/'GF &amp; FF  Inc Exp Statement'!P21</f>
        <v>0.63705051167097504</v>
      </c>
    </row>
    <row r="154" spans="1:13" x14ac:dyDescent="0.3">
      <c r="A154" s="466" t="s">
        <v>1262</v>
      </c>
      <c r="C154" s="778">
        <f>('GF &amp; FF  Bal Sheet'!F72+'GF &amp; FF  Bal Sheet'!F78+'Muswellbrook FFF Ratios'!E494)/'GF &amp; FF  Inc Exp Statement'!F94</f>
        <v>1.0295092337256231</v>
      </c>
      <c r="D154" s="778">
        <f>('GF &amp; FF  Bal Sheet'!G72+'GF &amp; FF  Bal Sheet'!G78+'Muswellbrook FFF Ratios'!F494)/'GF &amp; FF  Inc Exp Statement'!G94</f>
        <v>0.96931356945557967</v>
      </c>
      <c r="E154" s="778">
        <f>('GF &amp; FF  Bal Sheet'!H72+'GF &amp; FF  Bal Sheet'!H78+'Muswellbrook FFF Ratios'!G494)/'GF &amp; FF  Inc Exp Statement'!H94</f>
        <v>1.171438396284729</v>
      </c>
      <c r="F154" s="778">
        <f>('GF &amp; FF  Bal Sheet'!I72+'GF &amp; FF  Bal Sheet'!I78+'Muswellbrook FFF Ratios'!H494)/'GF &amp; FF  Inc Exp Statement'!I94</f>
        <v>1.1673789183147452</v>
      </c>
      <c r="G154" s="778">
        <f>('GF &amp; FF  Bal Sheet'!J72+'GF &amp; FF  Bal Sheet'!J78+'Muswellbrook FFF Ratios'!I494)/'GF &amp; FF  Inc Exp Statement'!J94</f>
        <v>1.1823145856832638</v>
      </c>
      <c r="H154" s="778">
        <f>('GF &amp; FF  Bal Sheet'!K72+'GF &amp; FF  Bal Sheet'!K78+'Muswellbrook FFF Ratios'!J494)/'GF &amp; FF  Inc Exp Statement'!K94</f>
        <v>1.1369690247164552</v>
      </c>
      <c r="I154" s="778">
        <f>('GF &amp; FF  Bal Sheet'!L72+'GF &amp; FF  Bal Sheet'!L78+'Muswellbrook FFF Ratios'!K494)/'GF &amp; FF  Inc Exp Statement'!L94</f>
        <v>1.0890340867976636</v>
      </c>
      <c r="J154" s="778">
        <f>('GF &amp; FF  Bal Sheet'!M72+'GF &amp; FF  Bal Sheet'!M78+'Muswellbrook FFF Ratios'!L494)/'GF &amp; FF  Inc Exp Statement'!M94</f>
        <v>1.0488211765517395</v>
      </c>
      <c r="K154" s="778">
        <f>('GF &amp; FF  Bal Sheet'!N72+'GF &amp; FF  Bal Sheet'!N78+'Muswellbrook FFF Ratios'!M494)/'GF &amp; FF  Inc Exp Statement'!N94</f>
        <v>1.0044466123837719</v>
      </c>
      <c r="L154" s="778">
        <f>('GF &amp; FF  Bal Sheet'!O72+'GF &amp; FF  Bal Sheet'!O78+'Muswellbrook FFF Ratios'!N494)/'GF &amp; FF  Inc Exp Statement'!O94</f>
        <v>0.96730057707569972</v>
      </c>
      <c r="M154" s="778">
        <f>('GF &amp; FF  Bal Sheet'!P72+'GF &amp; FF  Bal Sheet'!P78+'Muswellbrook FFF Ratios'!O494)/'GF &amp; FF  Inc Exp Statement'!P94</f>
        <v>0.92834921041596652</v>
      </c>
    </row>
    <row r="155" spans="1:13" x14ac:dyDescent="0.3">
      <c r="A155" s="466" t="s">
        <v>1324</v>
      </c>
      <c r="C155" s="778">
        <f>('GF &amp; FF  Bal Sheet'!F118+'GF &amp; FF  Bal Sheet'!F124+'Muswellbrook FFF Ratios'!E814)/'GF &amp; FF  Inc Exp Statement'!F163</f>
        <v>1.0295092337256231</v>
      </c>
      <c r="D155" s="778">
        <f>('GF &amp; FF  Bal Sheet'!G118+'GF &amp; FF  Bal Sheet'!G124+'Muswellbrook FFF Ratios'!F814)/'GF &amp; FF  Inc Exp Statement'!G163</f>
        <v>0.95691924061292821</v>
      </c>
      <c r="E155" s="778">
        <f>('GF &amp; FF  Bal Sheet'!H118+'GF &amp; FF  Bal Sheet'!H124+'Muswellbrook FFF Ratios'!G814)/'GF &amp; FF  Inc Exp Statement'!H163</f>
        <v>1.1689696153557343</v>
      </c>
      <c r="F155" s="778">
        <f>('GF &amp; FF  Bal Sheet'!I118+'GF &amp; FF  Bal Sheet'!I124+'Muswellbrook FFF Ratios'!H814)/'GF &amp; FF  Inc Exp Statement'!I163</f>
        <v>1.1589084875141671</v>
      </c>
      <c r="G155" s="778">
        <f>('GF &amp; FF  Bal Sheet'!J118+'GF &amp; FF  Bal Sheet'!J124+'Muswellbrook FFF Ratios'!I814)/'GF &amp; FF  Inc Exp Statement'!J163</f>
        <v>1.1731645058883498</v>
      </c>
      <c r="H155" s="778">
        <f>('GF &amp; FF  Bal Sheet'!K118+'GF &amp; FF  Bal Sheet'!K124+'Muswellbrook FFF Ratios'!J814)/'GF &amp; FF  Inc Exp Statement'!K163</f>
        <v>1.1403973356419885</v>
      </c>
      <c r="I155" s="778">
        <f>('GF &amp; FF  Bal Sheet'!L118+'GF &amp; FF  Bal Sheet'!L124+'Muswellbrook FFF Ratios'!K814)/'GF &amp; FF  Inc Exp Statement'!L163</f>
        <v>1.0941905026287673</v>
      </c>
      <c r="J155" s="778">
        <f>('GF &amp; FF  Bal Sheet'!M118+'GF &amp; FF  Bal Sheet'!M124+'Muswellbrook FFF Ratios'!L814)/'GF &amp; FF  Inc Exp Statement'!M163</f>
        <v>1.0579581738586032</v>
      </c>
      <c r="K155" s="778">
        <f>('GF &amp; FF  Bal Sheet'!N118+'GF &amp; FF  Bal Sheet'!N124+'Muswellbrook FFF Ratios'!M814)/'GF &amp; FF  Inc Exp Statement'!N163</f>
        <v>1.0069382054374072</v>
      </c>
      <c r="L155" s="778">
        <f>('GF &amp; FF  Bal Sheet'!O118+'GF &amp; FF  Bal Sheet'!O124+'Muswellbrook FFF Ratios'!N814)/'GF &amp; FF  Inc Exp Statement'!O163</f>
        <v>0.98851053195948035</v>
      </c>
      <c r="M155" s="778">
        <f>('GF &amp; FF  Bal Sheet'!P118+'GF &amp; FF  Bal Sheet'!P124+'Muswellbrook FFF Ratios'!O814)/'GF &amp; FF  Inc Exp Statement'!P163</f>
        <v>0.98181664613387021</v>
      </c>
    </row>
    <row r="157" spans="1:13" x14ac:dyDescent="0.3">
      <c r="A157" s="202" t="s">
        <v>1625</v>
      </c>
    </row>
    <row r="158" spans="1:13" x14ac:dyDescent="0.3">
      <c r="A158" s="466" t="s">
        <v>1059</v>
      </c>
      <c r="C158" s="778">
        <f>'GF &amp; FF  Inc Exp Statement'!F53/'GF &amp; FF  Inc Exp Statement'!F27</f>
        <v>0</v>
      </c>
      <c r="D158" s="778">
        <f>'GF &amp; FF  Inc Exp Statement'!G53/'GF &amp; FF  Inc Exp Statement'!G27</f>
        <v>1.0800831162427471</v>
      </c>
      <c r="E158" s="778">
        <f>'GF &amp; FF  Inc Exp Statement'!H53/'GF &amp; FF  Inc Exp Statement'!H27</f>
        <v>1.6124806031804579</v>
      </c>
      <c r="F158" s="778">
        <f>'GF &amp; FF  Inc Exp Statement'!I53/'GF &amp; FF  Inc Exp Statement'!I27</f>
        <v>1.044389241823553</v>
      </c>
      <c r="G158" s="778">
        <f>'GF &amp; FF  Inc Exp Statement'!J53/'GF &amp; FF  Inc Exp Statement'!J27</f>
        <v>1.0368009333501451</v>
      </c>
      <c r="H158" s="778">
        <f>'GF &amp; FF  Inc Exp Statement'!K53/'GF &amp; FF  Inc Exp Statement'!K27</f>
        <v>1.0335568092367018</v>
      </c>
      <c r="I158" s="778">
        <f>'GF &amp; FF  Inc Exp Statement'!L53/'GF &amp; FF  Inc Exp Statement'!L27</f>
        <v>1.0257112324617834</v>
      </c>
      <c r="J158" s="778">
        <f>'GF &amp; FF  Inc Exp Statement'!M53/'GF &amp; FF  Inc Exp Statement'!M27</f>
        <v>1.0214745173996627</v>
      </c>
      <c r="K158" s="778">
        <f>'GF &amp; FF  Inc Exp Statement'!N53/'GF &amp; FF  Inc Exp Statement'!N27</f>
        <v>1.0208616011486193</v>
      </c>
      <c r="L158" s="778">
        <f>'GF &amp; FF  Inc Exp Statement'!O53/'GF &amp; FF  Inc Exp Statement'!O27</f>
        <v>1.0128283922740853</v>
      </c>
      <c r="M158" s="778">
        <f>'GF &amp; FF  Inc Exp Statement'!P53/'GF &amp; FF  Inc Exp Statement'!P27</f>
        <v>1.0119887468058149</v>
      </c>
    </row>
    <row r="159" spans="1:13" x14ac:dyDescent="0.3">
      <c r="A159" s="466" t="s">
        <v>1262</v>
      </c>
      <c r="C159" s="778">
        <f>'GF &amp; FF  Inc Exp Statement'!F128/'GF &amp; FF  Inc Exp Statement'!F102</f>
        <v>0</v>
      </c>
      <c r="D159" s="778">
        <f>'GF &amp; FF  Inc Exp Statement'!G128/'GF &amp; FF  Inc Exp Statement'!G102</f>
        <v>1.0265600851882475</v>
      </c>
      <c r="E159" s="778">
        <f>'GF &amp; FF  Inc Exp Statement'!H128/'GF &amp; FF  Inc Exp Statement'!H102</f>
        <v>1.5811407536937989</v>
      </c>
      <c r="F159" s="778">
        <f>'GF &amp; FF  Inc Exp Statement'!I128/'GF &amp; FF  Inc Exp Statement'!I102</f>
        <v>1.1071863438142471</v>
      </c>
      <c r="G159" s="778">
        <f>'GF &amp; FF  Inc Exp Statement'!J128/'GF &amp; FF  Inc Exp Statement'!J102</f>
        <v>1.0331194286224237</v>
      </c>
      <c r="H159" s="778">
        <f>'GF &amp; FF  Inc Exp Statement'!K128/'GF &amp; FF  Inc Exp Statement'!K102</f>
        <v>1.0152268179088195</v>
      </c>
      <c r="I159" s="778">
        <f>'GF &amp; FF  Inc Exp Statement'!L128/'GF &amp; FF  Inc Exp Statement'!L102</f>
        <v>1.0098542767828771</v>
      </c>
      <c r="J159" s="778">
        <f>'GF &amp; FF  Inc Exp Statement'!M128/'GF &amp; FF  Inc Exp Statement'!M102</f>
        <v>1.0542584430362578</v>
      </c>
      <c r="K159" s="778">
        <f>'GF &amp; FF  Inc Exp Statement'!N128/'GF &amp; FF  Inc Exp Statement'!N102</f>
        <v>1.0133795142038839</v>
      </c>
      <c r="L159" s="778">
        <f>'GF &amp; FF  Inc Exp Statement'!O128/'GF &amp; FF  Inc Exp Statement'!O102</f>
        <v>1.0190153242260473</v>
      </c>
      <c r="M159" s="778">
        <f>'GF &amp; FF  Inc Exp Statement'!P128/'GF &amp; FF  Inc Exp Statement'!P102</f>
        <v>1.013872940773511</v>
      </c>
    </row>
    <row r="160" spans="1:13" x14ac:dyDescent="0.3">
      <c r="A160" s="466" t="s">
        <v>1324</v>
      </c>
      <c r="C160" s="778">
        <f>'GF &amp; FF  Inc Exp Statement'!F197/'GF &amp; FF  Inc Exp Statement'!F171</f>
        <v>0</v>
      </c>
      <c r="D160" s="778">
        <f>'GF &amp; FF  Inc Exp Statement'!G197/'GF &amp; FF  Inc Exp Statement'!G171</f>
        <v>1.0265600851882475</v>
      </c>
      <c r="E160" s="778">
        <f>'GF &amp; FF  Inc Exp Statement'!H197/'GF &amp; FF  Inc Exp Statement'!H171</f>
        <v>1.5811407536937989</v>
      </c>
      <c r="F160" s="778">
        <f>'GF &amp; FF  Inc Exp Statement'!I197/'GF &amp; FF  Inc Exp Statement'!I171</f>
        <v>1.1071863438142471</v>
      </c>
      <c r="G160" s="778">
        <f>'GF &amp; FF  Inc Exp Statement'!J197/'GF &amp; FF  Inc Exp Statement'!J171</f>
        <v>1.0331194286224237</v>
      </c>
      <c r="H160" s="778">
        <f>'GF &amp; FF  Inc Exp Statement'!K197/'GF &amp; FF  Inc Exp Statement'!K171</f>
        <v>1.0280798216535341</v>
      </c>
      <c r="I160" s="778">
        <f>'GF &amp; FF  Inc Exp Statement'!L197/'GF &amp; FF  Inc Exp Statement'!L171</f>
        <v>1.0230647981332728</v>
      </c>
      <c r="J160" s="778">
        <f>'GF &amp; FF  Inc Exp Statement'!M197/'GF &amp; FF  Inc Exp Statement'!M171</f>
        <v>1.0180742381423791</v>
      </c>
      <c r="K160" s="778">
        <f>'GF &amp; FF  Inc Exp Statement'!N197/'GF &amp; FF  Inc Exp Statement'!N171</f>
        <v>1.0131080223465625</v>
      </c>
      <c r="L160" s="778">
        <f>'GF &amp; FF  Inc Exp Statement'!O197/'GF &amp; FF  Inc Exp Statement'!O171</f>
        <v>1.0081660319936527</v>
      </c>
      <c r="M160" s="778">
        <f>'GF &amp; FF  Inc Exp Statement'!P197/'GF &amp; FF  Inc Exp Statement'!P171</f>
        <v>1.0032481489107568</v>
      </c>
    </row>
  </sheetData>
  <mergeCells count="1">
    <mergeCell ref="N1:U1"/>
  </mergeCell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42"/>
  <sheetViews>
    <sheetView topLeftCell="A8" workbookViewId="0">
      <selection activeCell="L33" sqref="L33"/>
    </sheetView>
  </sheetViews>
  <sheetFormatPr defaultColWidth="9.109375" defaultRowHeight="13.2" x14ac:dyDescent="0.25"/>
  <cols>
    <col min="1" max="2" width="9.109375" style="75"/>
    <col min="3" max="3" width="17.44140625" style="75" customWidth="1"/>
    <col min="4" max="4" width="10.6640625" style="75" bestFit="1" customWidth="1"/>
    <col min="5" max="5" width="10.33203125" style="75" bestFit="1" customWidth="1"/>
    <col min="6" max="6" width="14" style="75" bestFit="1" customWidth="1"/>
    <col min="7" max="7" width="10.44140625" style="75" bestFit="1" customWidth="1"/>
    <col min="8" max="8" width="11.88671875" style="75" customWidth="1"/>
    <col min="9" max="9" width="10.6640625" style="75" bestFit="1" customWidth="1"/>
    <col min="10" max="10" width="11.44140625" style="75" customWidth="1"/>
    <col min="11" max="11" width="10.6640625" style="75" bestFit="1" customWidth="1"/>
    <col min="12" max="12" width="11" style="75" customWidth="1"/>
    <col min="13" max="13" width="10.6640625" style="75" bestFit="1" customWidth="1"/>
    <col min="14" max="14" width="11.33203125" style="75" customWidth="1"/>
    <col min="15" max="15" width="10.6640625" style="75" bestFit="1" customWidth="1"/>
    <col min="16" max="16" width="11.44140625" style="75" customWidth="1"/>
    <col min="17" max="17" width="10.6640625" style="75" bestFit="1" customWidth="1"/>
    <col min="18" max="18" width="11.5546875" style="75" customWidth="1"/>
    <col min="19" max="19" width="10.6640625" style="75" bestFit="1" customWidth="1"/>
    <col min="20" max="20" width="11.88671875" style="75" customWidth="1"/>
    <col min="21" max="21" width="10.6640625" style="75" bestFit="1" customWidth="1"/>
    <col min="22" max="22" width="11.44140625" style="75" customWidth="1"/>
    <col min="23" max="23" width="10.6640625" style="75" bestFit="1" customWidth="1"/>
    <col min="24" max="24" width="11.33203125" style="75" customWidth="1"/>
    <col min="25" max="25" width="10.6640625" style="75" bestFit="1" customWidth="1"/>
    <col min="26" max="26" width="11.5546875" style="75" customWidth="1"/>
    <col min="27" max="16384" width="9.109375" style="75"/>
  </cols>
  <sheetData>
    <row r="1" spans="1:26" ht="12.75" x14ac:dyDescent="0.2">
      <c r="A1" s="74" t="s">
        <v>343</v>
      </c>
    </row>
    <row r="5" spans="1:26" ht="12.75" x14ac:dyDescent="0.2">
      <c r="D5" s="76" t="s">
        <v>132</v>
      </c>
      <c r="E5" s="77" t="s">
        <v>363</v>
      </c>
      <c r="F5" s="77" t="s">
        <v>132</v>
      </c>
      <c r="G5" s="74" t="s">
        <v>132</v>
      </c>
      <c r="H5" s="74"/>
      <c r="I5" s="74" t="s">
        <v>132</v>
      </c>
      <c r="J5" s="74"/>
      <c r="K5" s="74" t="s">
        <v>132</v>
      </c>
      <c r="L5" s="74"/>
      <c r="M5" s="74" t="s">
        <v>132</v>
      </c>
      <c r="N5" s="74"/>
      <c r="O5" s="74" t="s">
        <v>132</v>
      </c>
      <c r="P5" s="74"/>
      <c r="Q5" s="74" t="s">
        <v>132</v>
      </c>
      <c r="R5" s="74"/>
      <c r="S5" s="74" t="s">
        <v>132</v>
      </c>
      <c r="T5" s="74"/>
      <c r="U5" s="74" t="s">
        <v>132</v>
      </c>
      <c r="V5" s="74"/>
      <c r="W5" s="74" t="s">
        <v>132</v>
      </c>
      <c r="X5" s="74"/>
      <c r="Y5" s="74" t="s">
        <v>132</v>
      </c>
      <c r="Z5" s="74"/>
    </row>
    <row r="6" spans="1:26" ht="12.75" x14ac:dyDescent="0.2">
      <c r="D6" s="76" t="s">
        <v>344</v>
      </c>
      <c r="E6" s="77" t="s">
        <v>70</v>
      </c>
      <c r="F6" s="77" t="s">
        <v>71</v>
      </c>
      <c r="G6" s="74" t="s">
        <v>345</v>
      </c>
      <c r="H6" s="74" t="s">
        <v>346</v>
      </c>
      <c r="I6" s="74" t="s">
        <v>345</v>
      </c>
      <c r="J6" s="74" t="s">
        <v>346</v>
      </c>
      <c r="K6" s="74" t="s">
        <v>345</v>
      </c>
      <c r="L6" s="74" t="s">
        <v>346</v>
      </c>
      <c r="M6" s="74" t="s">
        <v>345</v>
      </c>
      <c r="N6" s="74" t="s">
        <v>346</v>
      </c>
      <c r="O6" s="74" t="s">
        <v>345</v>
      </c>
      <c r="P6" s="74" t="s">
        <v>346</v>
      </c>
      <c r="Q6" s="74" t="s">
        <v>345</v>
      </c>
      <c r="R6" s="74" t="s">
        <v>346</v>
      </c>
      <c r="S6" s="74" t="s">
        <v>345</v>
      </c>
      <c r="T6" s="74" t="s">
        <v>346</v>
      </c>
      <c r="U6" s="74" t="s">
        <v>345</v>
      </c>
      <c r="V6" s="74" t="s">
        <v>346</v>
      </c>
      <c r="W6" s="74" t="s">
        <v>345</v>
      </c>
      <c r="X6" s="74" t="s">
        <v>346</v>
      </c>
      <c r="Y6" s="74" t="s">
        <v>345</v>
      </c>
      <c r="Z6" s="74" t="s">
        <v>346</v>
      </c>
    </row>
    <row r="7" spans="1:26" ht="12.75" x14ac:dyDescent="0.2">
      <c r="D7" s="76" t="s">
        <v>346</v>
      </c>
      <c r="E7" s="77" t="s">
        <v>347</v>
      </c>
      <c r="F7" s="77" t="s">
        <v>346</v>
      </c>
    </row>
    <row r="8" spans="1:26" ht="14.25" x14ac:dyDescent="0.2">
      <c r="A8" s="78" t="s">
        <v>348</v>
      </c>
      <c r="D8" s="79" t="s">
        <v>68</v>
      </c>
      <c r="E8" s="79" t="s">
        <v>68</v>
      </c>
      <c r="F8" s="80" t="s">
        <v>68</v>
      </c>
      <c r="G8" s="81" t="s">
        <v>0</v>
      </c>
      <c r="H8" s="81" t="str">
        <f>+G8</f>
        <v>2013/14</v>
      </c>
      <c r="I8" s="81" t="s">
        <v>1</v>
      </c>
      <c r="J8" s="81" t="str">
        <f>+I8</f>
        <v>2014/15</v>
      </c>
      <c r="K8" s="81" t="s">
        <v>2</v>
      </c>
      <c r="L8" s="81" t="str">
        <f>+K8</f>
        <v>2015/16</v>
      </c>
      <c r="M8" s="81" t="s">
        <v>3</v>
      </c>
      <c r="N8" s="81" t="str">
        <f>+M8</f>
        <v>2016/17</v>
      </c>
      <c r="O8" s="81" t="s">
        <v>4</v>
      </c>
      <c r="P8" s="81" t="str">
        <f>+O8</f>
        <v>2017/18</v>
      </c>
      <c r="Q8" s="81" t="s">
        <v>5</v>
      </c>
      <c r="R8" s="81" t="str">
        <f>+Q8</f>
        <v>2018/19</v>
      </c>
      <c r="S8" s="81" t="s">
        <v>6</v>
      </c>
      <c r="T8" s="81" t="str">
        <f>+S8</f>
        <v>2019/20</v>
      </c>
      <c r="U8" s="81" t="s">
        <v>7</v>
      </c>
      <c r="V8" s="81" t="str">
        <f>+U8</f>
        <v>2020/21</v>
      </c>
      <c r="W8" s="81" t="s">
        <v>8</v>
      </c>
      <c r="X8" s="81" t="str">
        <f>+W8</f>
        <v>2021/22</v>
      </c>
      <c r="Y8" s="81" t="s">
        <v>9</v>
      </c>
      <c r="Z8" s="81" t="str">
        <f>+Y8</f>
        <v>2022/23</v>
      </c>
    </row>
    <row r="9" spans="1:26" ht="12.75" x14ac:dyDescent="0.2">
      <c r="A9" s="82" t="s">
        <v>174</v>
      </c>
      <c r="D9" s="83">
        <v>2603213.75</v>
      </c>
      <c r="E9" s="84">
        <f>78000-654000</f>
        <v>-576000</v>
      </c>
      <c r="F9" s="83">
        <f>+D9+E9</f>
        <v>2027213.75</v>
      </c>
      <c r="G9" s="54">
        <v>-200847</v>
      </c>
      <c r="H9" s="83">
        <f>+F9+G9</f>
        <v>1826366.75</v>
      </c>
      <c r="I9" s="54">
        <v>-337209</v>
      </c>
      <c r="J9" s="83">
        <f>+H9+I9</f>
        <v>1489157.75</v>
      </c>
      <c r="K9" s="54">
        <v>-70696</v>
      </c>
      <c r="L9" s="83">
        <f>+J9+K9</f>
        <v>1418461.75</v>
      </c>
      <c r="M9" s="54">
        <v>-53191</v>
      </c>
      <c r="N9" s="83">
        <f>+L9+M9</f>
        <v>1365270.75</v>
      </c>
      <c r="O9" s="54">
        <v>-34652</v>
      </c>
      <c r="P9" s="83">
        <f>+N9+O9</f>
        <v>1330618.75</v>
      </c>
      <c r="Q9" s="54">
        <v>-15038</v>
      </c>
      <c r="R9" s="83">
        <f>+P9+Q9</f>
        <v>1315580.75</v>
      </c>
      <c r="S9" s="54">
        <v>0</v>
      </c>
      <c r="T9" s="83">
        <f>+R9+S9</f>
        <v>1315580.75</v>
      </c>
      <c r="U9" s="54">
        <v>17753</v>
      </c>
      <c r="V9" s="83">
        <f>+T9+U9</f>
        <v>1333333.75</v>
      </c>
      <c r="W9" s="54">
        <v>40863</v>
      </c>
      <c r="X9" s="83">
        <f>+V9+W9</f>
        <v>1374196.75</v>
      </c>
      <c r="Y9" s="54">
        <v>65233</v>
      </c>
      <c r="Z9" s="83">
        <f>+X9+Y9</f>
        <v>1439429.75</v>
      </c>
    </row>
    <row r="10" spans="1:26" ht="12.75" x14ac:dyDescent="0.2">
      <c r="A10" s="82" t="s">
        <v>187</v>
      </c>
      <c r="D10" s="83">
        <v>1525000</v>
      </c>
      <c r="E10" s="84">
        <f>889000-1023000</f>
        <v>-134000</v>
      </c>
      <c r="F10" s="83">
        <f t="shared" ref="F10:F36" si="0">+D10+E10</f>
        <v>1391000</v>
      </c>
      <c r="G10" s="54">
        <v>0</v>
      </c>
      <c r="H10" s="83">
        <f t="shared" ref="H10:H12" si="1">+F10+G10</f>
        <v>1391000</v>
      </c>
      <c r="I10" s="54">
        <v>0</v>
      </c>
      <c r="J10" s="83">
        <f t="shared" ref="J10:J12" si="2">+H10+I10</f>
        <v>1391000</v>
      </c>
      <c r="K10" s="54">
        <v>0</v>
      </c>
      <c r="L10" s="83">
        <f t="shared" ref="L10:L12" si="3">+J10+K10</f>
        <v>1391000</v>
      </c>
      <c r="M10" s="54">
        <v>0</v>
      </c>
      <c r="N10" s="83">
        <f t="shared" ref="N10:N12" si="4">+L10+M10</f>
        <v>1391000</v>
      </c>
      <c r="O10" s="54">
        <v>0</v>
      </c>
      <c r="P10" s="83">
        <f t="shared" ref="P10:P12" si="5">+N10+O10</f>
        <v>1391000</v>
      </c>
      <c r="Q10" s="54">
        <v>0</v>
      </c>
      <c r="R10" s="83">
        <f t="shared" ref="R10:R12" si="6">+P10+Q10</f>
        <v>1391000</v>
      </c>
      <c r="S10" s="54">
        <v>0</v>
      </c>
      <c r="T10" s="83">
        <f t="shared" ref="T10:T12" si="7">+R10+S10</f>
        <v>1391000</v>
      </c>
      <c r="U10" s="54">
        <v>0</v>
      </c>
      <c r="V10" s="83">
        <f t="shared" ref="V10:V12" si="8">+T10+U10</f>
        <v>1391000</v>
      </c>
      <c r="W10" s="54">
        <v>0</v>
      </c>
      <c r="X10" s="83">
        <f t="shared" ref="X10:X12" si="9">+V10+W10</f>
        <v>1391000</v>
      </c>
      <c r="Y10" s="54">
        <v>0</v>
      </c>
      <c r="Z10" s="83">
        <f t="shared" ref="Z10:Z12" si="10">+X10+Y10</f>
        <v>1391000</v>
      </c>
    </row>
    <row r="11" spans="1:26" s="194" customFormat="1" ht="12.75" x14ac:dyDescent="0.2">
      <c r="A11" s="195" t="s">
        <v>489</v>
      </c>
      <c r="D11" s="196">
        <v>4000</v>
      </c>
      <c r="E11" s="197">
        <v>33000</v>
      </c>
      <c r="F11" s="196">
        <f t="shared" si="0"/>
        <v>37000</v>
      </c>
      <c r="G11" s="175"/>
      <c r="H11" s="196">
        <f t="shared" si="1"/>
        <v>37000</v>
      </c>
      <c r="I11" s="175"/>
      <c r="J11" s="196">
        <f t="shared" si="2"/>
        <v>37000</v>
      </c>
      <c r="K11" s="175"/>
      <c r="L11" s="196">
        <f t="shared" si="3"/>
        <v>37000</v>
      </c>
      <c r="M11" s="175"/>
      <c r="N11" s="196">
        <f t="shared" si="4"/>
        <v>37000</v>
      </c>
      <c r="O11" s="175"/>
      <c r="P11" s="196">
        <f t="shared" si="5"/>
        <v>37000</v>
      </c>
      <c r="Q11" s="175"/>
      <c r="R11" s="196">
        <f t="shared" si="6"/>
        <v>37000</v>
      </c>
      <c r="S11" s="175"/>
      <c r="T11" s="196">
        <f t="shared" si="7"/>
        <v>37000</v>
      </c>
      <c r="U11" s="175"/>
      <c r="V11" s="196">
        <f t="shared" si="8"/>
        <v>37000</v>
      </c>
      <c r="W11" s="175"/>
      <c r="X11" s="196">
        <f t="shared" si="9"/>
        <v>37000</v>
      </c>
      <c r="Y11" s="175"/>
      <c r="Z11" s="196">
        <f t="shared" si="10"/>
        <v>37000</v>
      </c>
    </row>
    <row r="12" spans="1:26" ht="12.75" x14ac:dyDescent="0.2">
      <c r="A12" s="82" t="s">
        <v>244</v>
      </c>
      <c r="D12" s="83">
        <v>10836175.319999998</v>
      </c>
      <c r="E12" s="84">
        <f>2016000-1460000</f>
        <v>556000</v>
      </c>
      <c r="F12" s="83">
        <f t="shared" si="0"/>
        <v>11392175.319999998</v>
      </c>
      <c r="G12" s="54">
        <v>-864652</v>
      </c>
      <c r="H12" s="83">
        <f t="shared" si="1"/>
        <v>10527523.319999998</v>
      </c>
      <c r="I12" s="54">
        <v>-767024</v>
      </c>
      <c r="J12" s="83">
        <f t="shared" si="2"/>
        <v>9760499.3199999984</v>
      </c>
      <c r="K12" s="54">
        <v>-389377</v>
      </c>
      <c r="L12" s="83">
        <f t="shared" si="3"/>
        <v>9371122.3199999984</v>
      </c>
      <c r="M12" s="54">
        <v>-526286</v>
      </c>
      <c r="N12" s="83">
        <f t="shared" si="4"/>
        <v>8844836.3199999984</v>
      </c>
      <c r="O12" s="54">
        <v>-681509</v>
      </c>
      <c r="P12" s="83">
        <f t="shared" si="5"/>
        <v>8163327.3199999984</v>
      </c>
      <c r="Q12" s="54">
        <v>-611808</v>
      </c>
      <c r="R12" s="83">
        <f t="shared" si="6"/>
        <v>7551519.3199999984</v>
      </c>
      <c r="S12" s="54">
        <v>-314932</v>
      </c>
      <c r="T12" s="83">
        <f t="shared" si="7"/>
        <v>7236587.3199999984</v>
      </c>
      <c r="U12" s="54">
        <v>-1819192</v>
      </c>
      <c r="V12" s="83">
        <f t="shared" si="8"/>
        <v>5417395.3199999984</v>
      </c>
      <c r="W12" s="54">
        <v>-87191</v>
      </c>
      <c r="X12" s="83">
        <f t="shared" si="9"/>
        <v>5330204.3199999984</v>
      </c>
      <c r="Y12" s="54">
        <v>-555977</v>
      </c>
      <c r="Z12" s="83">
        <f t="shared" si="10"/>
        <v>4774227.3199999984</v>
      </c>
    </row>
    <row r="13" spans="1:26" s="74" customFormat="1" ht="12.75" x14ac:dyDescent="0.2">
      <c r="A13" s="78" t="s">
        <v>349</v>
      </c>
      <c r="D13" s="85">
        <f t="shared" ref="D13:Z13" si="11">SUM(D8:D12)</f>
        <v>14968389.069999998</v>
      </c>
      <c r="E13" s="85">
        <f t="shared" si="11"/>
        <v>-121000</v>
      </c>
      <c r="F13" s="85">
        <f t="shared" si="11"/>
        <v>14847389.069999998</v>
      </c>
      <c r="G13" s="86">
        <v>-1065499</v>
      </c>
      <c r="H13" s="85">
        <f t="shared" si="11"/>
        <v>13781890.069999998</v>
      </c>
      <c r="I13" s="86">
        <v>-1104233</v>
      </c>
      <c r="J13" s="85">
        <f t="shared" si="11"/>
        <v>12677657.069999998</v>
      </c>
      <c r="K13" s="86">
        <v>-460073</v>
      </c>
      <c r="L13" s="85">
        <f t="shared" si="11"/>
        <v>12217584.069999998</v>
      </c>
      <c r="M13" s="86">
        <v>-579477</v>
      </c>
      <c r="N13" s="85">
        <f t="shared" si="11"/>
        <v>11638107.069999998</v>
      </c>
      <c r="O13" s="86">
        <v>-716161</v>
      </c>
      <c r="P13" s="85">
        <f t="shared" si="11"/>
        <v>10921946.069999998</v>
      </c>
      <c r="Q13" s="86">
        <v>-626846</v>
      </c>
      <c r="R13" s="85">
        <f t="shared" si="11"/>
        <v>10295100.069999998</v>
      </c>
      <c r="S13" s="86">
        <v>-314932</v>
      </c>
      <c r="T13" s="85">
        <f t="shared" si="11"/>
        <v>9980168.0699999984</v>
      </c>
      <c r="U13" s="86">
        <v>-1801439</v>
      </c>
      <c r="V13" s="85">
        <f t="shared" si="11"/>
        <v>8178729.0699999984</v>
      </c>
      <c r="W13" s="86">
        <v>-46328</v>
      </c>
      <c r="X13" s="85">
        <f t="shared" si="11"/>
        <v>8132401.0699999984</v>
      </c>
      <c r="Y13" s="86">
        <v>-490744</v>
      </c>
      <c r="Z13" s="85">
        <f t="shared" si="11"/>
        <v>7641657.0699999984</v>
      </c>
    </row>
    <row r="14" spans="1:26" ht="12.75" x14ac:dyDescent="0.2">
      <c r="A14" s="87" t="s">
        <v>350</v>
      </c>
      <c r="D14" s="83"/>
      <c r="E14" s="88"/>
      <c r="F14" s="83">
        <f t="shared" si="0"/>
        <v>0</v>
      </c>
      <c r="G14" s="54"/>
      <c r="I14" s="54"/>
      <c r="K14" s="54"/>
      <c r="M14" s="54"/>
      <c r="O14" s="54"/>
      <c r="Q14" s="54"/>
      <c r="S14" s="54"/>
      <c r="U14" s="54"/>
      <c r="W14" s="54"/>
      <c r="Y14" s="54"/>
    </row>
    <row r="15" spans="1:26" ht="12.75" x14ac:dyDescent="0.2">
      <c r="A15" s="89"/>
      <c r="D15" s="83"/>
      <c r="E15" s="88"/>
      <c r="F15" s="83">
        <f t="shared" si="0"/>
        <v>0</v>
      </c>
      <c r="G15" s="54"/>
      <c r="I15" s="54"/>
      <c r="K15" s="54"/>
      <c r="M15" s="54"/>
      <c r="O15" s="54"/>
      <c r="Q15" s="54"/>
      <c r="S15" s="54"/>
      <c r="U15" s="54"/>
      <c r="W15" s="54"/>
      <c r="Y15" s="54"/>
    </row>
    <row r="16" spans="1:26" ht="14.25" x14ac:dyDescent="0.2">
      <c r="A16" s="78" t="s">
        <v>351</v>
      </c>
      <c r="D16" s="83"/>
      <c r="E16" s="88"/>
      <c r="F16" s="83">
        <f t="shared" si="0"/>
        <v>0</v>
      </c>
      <c r="G16" s="54"/>
      <c r="I16" s="54"/>
      <c r="K16" s="54"/>
      <c r="M16" s="54"/>
      <c r="O16" s="54"/>
      <c r="Q16" s="54"/>
      <c r="S16" s="54"/>
      <c r="U16" s="54"/>
      <c r="W16" s="54"/>
      <c r="Y16" s="54"/>
    </row>
    <row r="17" spans="1:26" ht="12.75" x14ac:dyDescent="0.2">
      <c r="A17" s="82" t="s">
        <v>248</v>
      </c>
      <c r="D17" s="83">
        <v>1526688.58</v>
      </c>
      <c r="E17" s="84">
        <v>-120000</v>
      </c>
      <c r="F17" s="83">
        <f t="shared" si="0"/>
        <v>1406688.58</v>
      </c>
      <c r="G17" s="54">
        <v>0</v>
      </c>
      <c r="H17" s="83">
        <f t="shared" ref="H17:H29" si="12">+F17+G17</f>
        <v>1406688.58</v>
      </c>
      <c r="I17" s="54">
        <v>0</v>
      </c>
      <c r="J17" s="83">
        <f t="shared" ref="J17:J29" si="13">+H17+I17</f>
        <v>1406688.58</v>
      </c>
      <c r="K17" s="54">
        <v>0</v>
      </c>
      <c r="L17" s="83">
        <f t="shared" ref="L17:L29" si="14">+J17+K17</f>
        <v>1406688.58</v>
      </c>
      <c r="M17" s="54">
        <v>0</v>
      </c>
      <c r="N17" s="83">
        <f t="shared" ref="N17:N29" si="15">+L17+M17</f>
        <v>1406688.58</v>
      </c>
      <c r="O17" s="54">
        <v>0</v>
      </c>
      <c r="P17" s="83">
        <f t="shared" ref="P17:P29" si="16">+N17+O17</f>
        <v>1406688.58</v>
      </c>
      <c r="Q17" s="54">
        <v>0</v>
      </c>
      <c r="R17" s="83">
        <f t="shared" ref="R17:R29" si="17">+P17+Q17</f>
        <v>1406688.58</v>
      </c>
      <c r="S17" s="54">
        <v>0</v>
      </c>
      <c r="T17" s="83">
        <f t="shared" ref="T17:T29" si="18">+R17+S17</f>
        <v>1406688.58</v>
      </c>
      <c r="U17" s="54">
        <v>0</v>
      </c>
      <c r="V17" s="83">
        <f t="shared" ref="V17:V29" si="19">+T17+U17</f>
        <v>1406688.58</v>
      </c>
      <c r="W17" s="54">
        <v>0</v>
      </c>
      <c r="X17" s="83">
        <f t="shared" ref="X17:X29" si="20">+V17+W17</f>
        <v>1406688.58</v>
      </c>
      <c r="Y17" s="54">
        <v>0</v>
      </c>
      <c r="Z17" s="83">
        <f t="shared" ref="Z17:Z29" si="21">+X17+Y17</f>
        <v>1406688.58</v>
      </c>
    </row>
    <row r="18" spans="1:26" ht="12.75" x14ac:dyDescent="0.2">
      <c r="A18" s="82" t="s">
        <v>249</v>
      </c>
      <c r="D18" s="83">
        <v>1323000</v>
      </c>
      <c r="E18" s="84">
        <v>-82000</v>
      </c>
      <c r="F18" s="83">
        <f t="shared" si="0"/>
        <v>1241000</v>
      </c>
      <c r="G18" s="54">
        <v>0</v>
      </c>
      <c r="H18" s="83">
        <f t="shared" si="12"/>
        <v>1241000</v>
      </c>
      <c r="I18" s="54">
        <v>0</v>
      </c>
      <c r="J18" s="83">
        <f t="shared" si="13"/>
        <v>1241000</v>
      </c>
      <c r="K18" s="54">
        <v>0</v>
      </c>
      <c r="L18" s="83">
        <f t="shared" si="14"/>
        <v>1241000</v>
      </c>
      <c r="M18" s="54">
        <v>0</v>
      </c>
      <c r="N18" s="83">
        <f t="shared" si="15"/>
        <v>1241000</v>
      </c>
      <c r="O18" s="54">
        <v>0</v>
      </c>
      <c r="P18" s="83">
        <f t="shared" si="16"/>
        <v>1241000</v>
      </c>
      <c r="Q18" s="54">
        <v>0</v>
      </c>
      <c r="R18" s="83">
        <f t="shared" si="17"/>
        <v>1241000</v>
      </c>
      <c r="S18" s="54">
        <v>0</v>
      </c>
      <c r="T18" s="83">
        <f t="shared" si="18"/>
        <v>1241000</v>
      </c>
      <c r="U18" s="54">
        <v>0</v>
      </c>
      <c r="V18" s="83">
        <f t="shared" si="19"/>
        <v>1241000</v>
      </c>
      <c r="W18" s="54">
        <v>0</v>
      </c>
      <c r="X18" s="83">
        <f t="shared" si="20"/>
        <v>1241000</v>
      </c>
      <c r="Y18" s="54">
        <v>0</v>
      </c>
      <c r="Z18" s="83">
        <f t="shared" si="21"/>
        <v>1241000</v>
      </c>
    </row>
    <row r="19" spans="1:26" ht="12.75" x14ac:dyDescent="0.2">
      <c r="A19" s="82" t="s">
        <v>352</v>
      </c>
      <c r="D19" s="83">
        <v>5116418.53</v>
      </c>
      <c r="E19" s="84">
        <v>-77000</v>
      </c>
      <c r="F19" s="83">
        <f t="shared" si="0"/>
        <v>5039418.53</v>
      </c>
      <c r="G19" s="54">
        <v>0</v>
      </c>
      <c r="H19" s="83">
        <f t="shared" si="12"/>
        <v>5039418.53</v>
      </c>
      <c r="I19" s="54">
        <v>0</v>
      </c>
      <c r="J19" s="83">
        <f t="shared" si="13"/>
        <v>5039418.53</v>
      </c>
      <c r="K19" s="54">
        <v>0</v>
      </c>
      <c r="L19" s="83">
        <f t="shared" si="14"/>
        <v>5039418.53</v>
      </c>
      <c r="M19" s="54">
        <v>0</v>
      </c>
      <c r="N19" s="83">
        <f t="shared" si="15"/>
        <v>5039418.53</v>
      </c>
      <c r="O19" s="54">
        <v>0</v>
      </c>
      <c r="P19" s="83">
        <f t="shared" si="16"/>
        <v>5039418.53</v>
      </c>
      <c r="Q19" s="54">
        <v>0</v>
      </c>
      <c r="R19" s="83">
        <f t="shared" si="17"/>
        <v>5039418.53</v>
      </c>
      <c r="S19" s="54">
        <v>0</v>
      </c>
      <c r="T19" s="83">
        <f t="shared" si="18"/>
        <v>5039418.53</v>
      </c>
      <c r="U19" s="54">
        <v>0</v>
      </c>
      <c r="V19" s="83">
        <f t="shared" si="19"/>
        <v>5039418.53</v>
      </c>
      <c r="W19" s="54">
        <v>0</v>
      </c>
      <c r="X19" s="83">
        <f t="shared" si="20"/>
        <v>5039418.53</v>
      </c>
      <c r="Y19" s="54">
        <v>0</v>
      </c>
      <c r="Z19" s="83">
        <f t="shared" si="21"/>
        <v>5039418.53</v>
      </c>
    </row>
    <row r="20" spans="1:26" ht="12.75" x14ac:dyDescent="0.2">
      <c r="A20" s="82" t="s">
        <v>353</v>
      </c>
      <c r="D20" s="83">
        <v>94223</v>
      </c>
      <c r="E20" s="84">
        <v>0</v>
      </c>
      <c r="F20" s="83">
        <f t="shared" si="0"/>
        <v>94223</v>
      </c>
      <c r="G20" s="54">
        <v>-94223</v>
      </c>
      <c r="H20" s="83">
        <f t="shared" si="12"/>
        <v>0</v>
      </c>
      <c r="I20" s="54">
        <v>0</v>
      </c>
      <c r="J20" s="83">
        <f t="shared" si="13"/>
        <v>0</v>
      </c>
      <c r="K20" s="54">
        <v>0</v>
      </c>
      <c r="L20" s="83">
        <f t="shared" si="14"/>
        <v>0</v>
      </c>
      <c r="M20" s="54">
        <v>0</v>
      </c>
      <c r="N20" s="83">
        <f t="shared" si="15"/>
        <v>0</v>
      </c>
      <c r="O20" s="54">
        <v>0</v>
      </c>
      <c r="P20" s="83">
        <f t="shared" si="16"/>
        <v>0</v>
      </c>
      <c r="Q20" s="54">
        <v>0</v>
      </c>
      <c r="R20" s="83">
        <f t="shared" si="17"/>
        <v>0</v>
      </c>
      <c r="S20" s="54">
        <v>0</v>
      </c>
      <c r="T20" s="83">
        <f t="shared" si="18"/>
        <v>0</v>
      </c>
      <c r="U20" s="54">
        <v>0</v>
      </c>
      <c r="V20" s="83">
        <f t="shared" si="19"/>
        <v>0</v>
      </c>
      <c r="W20" s="54">
        <v>0</v>
      </c>
      <c r="X20" s="83">
        <f t="shared" si="20"/>
        <v>0</v>
      </c>
      <c r="Y20" s="54">
        <v>0</v>
      </c>
      <c r="Z20" s="83">
        <f t="shared" si="21"/>
        <v>0</v>
      </c>
    </row>
    <row r="21" spans="1:26" ht="12.75" x14ac:dyDescent="0.2">
      <c r="A21" s="82" t="s">
        <v>354</v>
      </c>
      <c r="D21" s="83">
        <v>270000</v>
      </c>
      <c r="E21" s="84">
        <v>0</v>
      </c>
      <c r="F21" s="83">
        <f t="shared" si="0"/>
        <v>270000</v>
      </c>
      <c r="G21" s="54">
        <v>-100000</v>
      </c>
      <c r="H21" s="83">
        <f t="shared" si="12"/>
        <v>170000</v>
      </c>
      <c r="I21" s="54">
        <v>0</v>
      </c>
      <c r="J21" s="83">
        <f t="shared" si="13"/>
        <v>170000</v>
      </c>
      <c r="K21" s="54">
        <v>0</v>
      </c>
      <c r="L21" s="83">
        <f t="shared" si="14"/>
        <v>170000</v>
      </c>
      <c r="M21" s="54">
        <v>0</v>
      </c>
      <c r="N21" s="83">
        <f t="shared" si="15"/>
        <v>170000</v>
      </c>
      <c r="O21" s="54">
        <v>0</v>
      </c>
      <c r="P21" s="83">
        <f t="shared" si="16"/>
        <v>170000</v>
      </c>
      <c r="Q21" s="54">
        <v>0</v>
      </c>
      <c r="R21" s="83">
        <f t="shared" si="17"/>
        <v>170000</v>
      </c>
      <c r="S21" s="54">
        <v>0</v>
      </c>
      <c r="T21" s="83">
        <f t="shared" si="18"/>
        <v>170000</v>
      </c>
      <c r="U21" s="54">
        <v>0</v>
      </c>
      <c r="V21" s="83">
        <f t="shared" si="19"/>
        <v>170000</v>
      </c>
      <c r="W21" s="54">
        <v>0</v>
      </c>
      <c r="X21" s="83">
        <f t="shared" si="20"/>
        <v>170000</v>
      </c>
      <c r="Y21" s="54">
        <v>0</v>
      </c>
      <c r="Z21" s="83">
        <f t="shared" si="21"/>
        <v>170000</v>
      </c>
    </row>
    <row r="22" spans="1:26" ht="12.75" x14ac:dyDescent="0.2">
      <c r="A22" s="82" t="s">
        <v>355</v>
      </c>
      <c r="D22" s="83">
        <v>150000</v>
      </c>
      <c r="E22" s="84">
        <v>0</v>
      </c>
      <c r="F22" s="83">
        <f t="shared" si="0"/>
        <v>150000</v>
      </c>
      <c r="G22" s="54">
        <v>-150000</v>
      </c>
      <c r="H22" s="83">
        <f t="shared" si="12"/>
        <v>0</v>
      </c>
      <c r="I22" s="54">
        <v>0</v>
      </c>
      <c r="J22" s="83">
        <f t="shared" si="13"/>
        <v>0</v>
      </c>
      <c r="K22" s="54">
        <v>0</v>
      </c>
      <c r="L22" s="83">
        <f t="shared" si="14"/>
        <v>0</v>
      </c>
      <c r="M22" s="54">
        <v>0</v>
      </c>
      <c r="N22" s="83">
        <f t="shared" si="15"/>
        <v>0</v>
      </c>
      <c r="O22" s="54">
        <v>0</v>
      </c>
      <c r="P22" s="83">
        <f t="shared" si="16"/>
        <v>0</v>
      </c>
      <c r="Q22" s="54">
        <v>0</v>
      </c>
      <c r="R22" s="83">
        <f t="shared" si="17"/>
        <v>0</v>
      </c>
      <c r="S22" s="54">
        <v>0</v>
      </c>
      <c r="T22" s="83">
        <f t="shared" si="18"/>
        <v>0</v>
      </c>
      <c r="U22" s="54">
        <v>0</v>
      </c>
      <c r="V22" s="83">
        <f t="shared" si="19"/>
        <v>0</v>
      </c>
      <c r="W22" s="54">
        <v>0</v>
      </c>
      <c r="X22" s="83">
        <f t="shared" si="20"/>
        <v>0</v>
      </c>
      <c r="Y22" s="54">
        <v>0</v>
      </c>
      <c r="Z22" s="83">
        <f t="shared" si="21"/>
        <v>0</v>
      </c>
    </row>
    <row r="23" spans="1:26" ht="12.75" x14ac:dyDescent="0.2">
      <c r="A23" s="82" t="s">
        <v>223</v>
      </c>
      <c r="D23" s="83">
        <v>20000</v>
      </c>
      <c r="E23" s="84">
        <v>300000</v>
      </c>
      <c r="F23" s="83">
        <f t="shared" si="0"/>
        <v>320000</v>
      </c>
      <c r="G23" s="54">
        <v>200000</v>
      </c>
      <c r="H23" s="83">
        <f t="shared" si="12"/>
        <v>520000</v>
      </c>
      <c r="I23" s="54">
        <v>-520000</v>
      </c>
      <c r="J23" s="83">
        <f t="shared" si="13"/>
        <v>0</v>
      </c>
      <c r="K23" s="54">
        <v>0</v>
      </c>
      <c r="L23" s="83">
        <f t="shared" si="14"/>
        <v>0</v>
      </c>
      <c r="M23" s="54">
        <v>0</v>
      </c>
      <c r="N23" s="83">
        <f t="shared" si="15"/>
        <v>0</v>
      </c>
      <c r="O23" s="54">
        <v>0</v>
      </c>
      <c r="P23" s="83">
        <f t="shared" si="16"/>
        <v>0</v>
      </c>
      <c r="Q23" s="54">
        <v>0</v>
      </c>
      <c r="R23" s="83">
        <f t="shared" si="17"/>
        <v>0</v>
      </c>
      <c r="S23" s="54">
        <v>0</v>
      </c>
      <c r="T23" s="83">
        <f t="shared" si="18"/>
        <v>0</v>
      </c>
      <c r="U23" s="54">
        <v>0</v>
      </c>
      <c r="V23" s="83">
        <f t="shared" si="19"/>
        <v>0</v>
      </c>
      <c r="W23" s="54">
        <v>0</v>
      </c>
      <c r="X23" s="83">
        <f t="shared" si="20"/>
        <v>0</v>
      </c>
      <c r="Y23" s="54">
        <v>0</v>
      </c>
      <c r="Z23" s="83">
        <f t="shared" si="21"/>
        <v>0</v>
      </c>
    </row>
    <row r="24" spans="1:26" ht="12.75" x14ac:dyDescent="0.2">
      <c r="A24" s="82" t="s">
        <v>129</v>
      </c>
      <c r="D24" s="83">
        <v>430000</v>
      </c>
      <c r="E24" s="84">
        <f>556000-290000</f>
        <v>266000</v>
      </c>
      <c r="F24" s="83">
        <f t="shared" si="0"/>
        <v>696000</v>
      </c>
      <c r="G24" s="54">
        <v>0</v>
      </c>
      <c r="H24" s="83">
        <f t="shared" si="12"/>
        <v>696000</v>
      </c>
      <c r="I24" s="54">
        <v>0</v>
      </c>
      <c r="J24" s="83">
        <f t="shared" si="13"/>
        <v>696000</v>
      </c>
      <c r="K24" s="54">
        <v>0</v>
      </c>
      <c r="L24" s="83">
        <f t="shared" si="14"/>
        <v>696000</v>
      </c>
      <c r="M24" s="54">
        <v>0</v>
      </c>
      <c r="N24" s="83">
        <f t="shared" si="15"/>
        <v>696000</v>
      </c>
      <c r="O24" s="54">
        <v>0</v>
      </c>
      <c r="P24" s="83">
        <f t="shared" si="16"/>
        <v>696000</v>
      </c>
      <c r="Q24" s="54">
        <v>0</v>
      </c>
      <c r="R24" s="83">
        <f t="shared" si="17"/>
        <v>696000</v>
      </c>
      <c r="S24" s="54">
        <v>0</v>
      </c>
      <c r="T24" s="83">
        <f t="shared" si="18"/>
        <v>696000</v>
      </c>
      <c r="U24" s="54">
        <v>0</v>
      </c>
      <c r="V24" s="83">
        <f t="shared" si="19"/>
        <v>696000</v>
      </c>
      <c r="W24" s="54">
        <v>0</v>
      </c>
      <c r="X24" s="83">
        <f t="shared" si="20"/>
        <v>696000</v>
      </c>
      <c r="Y24" s="54">
        <v>0</v>
      </c>
      <c r="Z24" s="83">
        <f t="shared" si="21"/>
        <v>696000</v>
      </c>
    </row>
    <row r="25" spans="1:26" ht="12.75" x14ac:dyDescent="0.2">
      <c r="A25" s="82" t="s">
        <v>245</v>
      </c>
      <c r="D25" s="83">
        <v>4599655.7300000004</v>
      </c>
      <c r="E25" s="84">
        <v>-64000</v>
      </c>
      <c r="F25" s="83">
        <f t="shared" si="0"/>
        <v>4535655.7300000004</v>
      </c>
      <c r="G25" s="54">
        <v>-225000</v>
      </c>
      <c r="H25" s="83">
        <f t="shared" si="12"/>
        <v>4310655.7300000004</v>
      </c>
      <c r="I25" s="54">
        <v>0</v>
      </c>
      <c r="J25" s="83">
        <f t="shared" si="13"/>
        <v>4310655.7300000004</v>
      </c>
      <c r="K25" s="54">
        <v>0</v>
      </c>
      <c r="L25" s="83">
        <f t="shared" si="14"/>
        <v>4310655.7300000004</v>
      </c>
      <c r="M25" s="54">
        <v>0</v>
      </c>
      <c r="N25" s="83">
        <f t="shared" si="15"/>
        <v>4310655.7300000004</v>
      </c>
      <c r="O25" s="54">
        <v>0</v>
      </c>
      <c r="P25" s="83">
        <f t="shared" si="16"/>
        <v>4310655.7300000004</v>
      </c>
      <c r="Q25" s="54">
        <v>0</v>
      </c>
      <c r="R25" s="83">
        <f t="shared" si="17"/>
        <v>4310655.7300000004</v>
      </c>
      <c r="S25" s="54">
        <v>0</v>
      </c>
      <c r="T25" s="83">
        <f t="shared" si="18"/>
        <v>4310655.7300000004</v>
      </c>
      <c r="U25" s="54">
        <v>0</v>
      </c>
      <c r="V25" s="83">
        <f t="shared" si="19"/>
        <v>4310655.7300000004</v>
      </c>
      <c r="W25" s="54">
        <v>0</v>
      </c>
      <c r="X25" s="83">
        <f t="shared" si="20"/>
        <v>4310655.7300000004</v>
      </c>
      <c r="Y25" s="54">
        <v>0</v>
      </c>
      <c r="Z25" s="83">
        <f t="shared" si="21"/>
        <v>4310655.7300000004</v>
      </c>
    </row>
    <row r="26" spans="1:26" ht="12.75" x14ac:dyDescent="0.2">
      <c r="A26" s="82" t="s">
        <v>356</v>
      </c>
      <c r="D26" s="83">
        <v>29000</v>
      </c>
      <c r="E26" s="84">
        <v>0</v>
      </c>
      <c r="F26" s="83">
        <f t="shared" si="0"/>
        <v>29000</v>
      </c>
      <c r="G26" s="54">
        <v>0</v>
      </c>
      <c r="H26" s="83">
        <f t="shared" si="12"/>
        <v>29000</v>
      </c>
      <c r="I26" s="54">
        <v>0</v>
      </c>
      <c r="J26" s="83">
        <f t="shared" si="13"/>
        <v>29000</v>
      </c>
      <c r="K26" s="54">
        <v>0</v>
      </c>
      <c r="L26" s="83">
        <f t="shared" si="14"/>
        <v>29000</v>
      </c>
      <c r="M26" s="54">
        <v>0</v>
      </c>
      <c r="N26" s="83">
        <f t="shared" si="15"/>
        <v>29000</v>
      </c>
      <c r="O26" s="54">
        <v>0</v>
      </c>
      <c r="P26" s="83">
        <f t="shared" si="16"/>
        <v>29000</v>
      </c>
      <c r="Q26" s="54">
        <v>0</v>
      </c>
      <c r="R26" s="83">
        <f t="shared" si="17"/>
        <v>29000</v>
      </c>
      <c r="S26" s="54">
        <v>0</v>
      </c>
      <c r="T26" s="83">
        <f t="shared" si="18"/>
        <v>29000</v>
      </c>
      <c r="U26" s="54">
        <v>0</v>
      </c>
      <c r="V26" s="83">
        <f t="shared" si="19"/>
        <v>29000</v>
      </c>
      <c r="W26" s="54">
        <v>0</v>
      </c>
      <c r="X26" s="83">
        <f t="shared" si="20"/>
        <v>29000</v>
      </c>
      <c r="Y26" s="54">
        <v>0</v>
      </c>
      <c r="Z26" s="83">
        <f t="shared" si="21"/>
        <v>29000</v>
      </c>
    </row>
    <row r="27" spans="1:26" ht="12.75" x14ac:dyDescent="0.2">
      <c r="A27" s="82" t="s">
        <v>230</v>
      </c>
      <c r="D27" s="83">
        <v>32000</v>
      </c>
      <c r="E27" s="84">
        <v>31000</v>
      </c>
      <c r="F27" s="83">
        <f t="shared" si="0"/>
        <v>63000</v>
      </c>
      <c r="G27" s="54">
        <v>0</v>
      </c>
      <c r="H27" s="83">
        <f t="shared" si="12"/>
        <v>63000</v>
      </c>
      <c r="I27" s="54">
        <v>0</v>
      </c>
      <c r="J27" s="83">
        <f t="shared" si="13"/>
        <v>63000</v>
      </c>
      <c r="K27" s="54">
        <v>0</v>
      </c>
      <c r="L27" s="83">
        <f t="shared" si="14"/>
        <v>63000</v>
      </c>
      <c r="M27" s="54">
        <v>0</v>
      </c>
      <c r="N27" s="83">
        <f t="shared" si="15"/>
        <v>63000</v>
      </c>
      <c r="O27" s="54">
        <v>0</v>
      </c>
      <c r="P27" s="83">
        <f t="shared" si="16"/>
        <v>63000</v>
      </c>
      <c r="Q27" s="54">
        <v>0</v>
      </c>
      <c r="R27" s="83">
        <f t="shared" si="17"/>
        <v>63000</v>
      </c>
      <c r="S27" s="54">
        <v>0</v>
      </c>
      <c r="T27" s="83">
        <f t="shared" si="18"/>
        <v>63000</v>
      </c>
      <c r="U27" s="54">
        <v>0</v>
      </c>
      <c r="V27" s="83">
        <f t="shared" si="19"/>
        <v>63000</v>
      </c>
      <c r="W27" s="54">
        <v>0</v>
      </c>
      <c r="X27" s="83">
        <f t="shared" si="20"/>
        <v>63000</v>
      </c>
      <c r="Y27" s="54">
        <v>0</v>
      </c>
      <c r="Z27" s="83">
        <f t="shared" si="21"/>
        <v>63000</v>
      </c>
    </row>
    <row r="28" spans="1:26" s="194" customFormat="1" ht="12.75" x14ac:dyDescent="0.2">
      <c r="A28" s="195" t="s">
        <v>490</v>
      </c>
      <c r="D28" s="196">
        <v>514000</v>
      </c>
      <c r="E28" s="197">
        <v>4000</v>
      </c>
      <c r="F28" s="196">
        <f t="shared" si="0"/>
        <v>518000</v>
      </c>
      <c r="G28" s="175"/>
      <c r="H28" s="196">
        <f t="shared" si="12"/>
        <v>518000</v>
      </c>
      <c r="I28" s="175">
        <v>1</v>
      </c>
      <c r="J28" s="196">
        <f t="shared" ref="J28" si="22">+H28+I28</f>
        <v>518001</v>
      </c>
      <c r="K28" s="175">
        <v>1</v>
      </c>
      <c r="L28" s="196">
        <f t="shared" ref="L28" si="23">+J28+K28</f>
        <v>518002</v>
      </c>
      <c r="M28" s="175">
        <v>1</v>
      </c>
      <c r="N28" s="196">
        <f t="shared" ref="N28" si="24">+L28+M28</f>
        <v>518003</v>
      </c>
      <c r="O28" s="175">
        <v>1</v>
      </c>
      <c r="P28" s="196">
        <f t="shared" ref="P28" si="25">+N28+O28</f>
        <v>518004</v>
      </c>
      <c r="Q28" s="175">
        <v>1</v>
      </c>
      <c r="R28" s="196">
        <f t="shared" ref="R28" si="26">+P28+Q28</f>
        <v>518005</v>
      </c>
      <c r="S28" s="175">
        <v>1</v>
      </c>
      <c r="T28" s="196">
        <f t="shared" ref="T28" si="27">+R28+S28</f>
        <v>518006</v>
      </c>
      <c r="U28" s="175">
        <v>1</v>
      </c>
      <c r="V28" s="196">
        <f t="shared" ref="V28" si="28">+T28+U28</f>
        <v>518007</v>
      </c>
      <c r="W28" s="175">
        <v>1</v>
      </c>
      <c r="X28" s="196">
        <f t="shared" ref="X28" si="29">+V28+W28</f>
        <v>518008</v>
      </c>
      <c r="Y28" s="175">
        <v>1</v>
      </c>
      <c r="Z28" s="196">
        <f t="shared" ref="Z28" si="30">+X28+Y28</f>
        <v>518009</v>
      </c>
    </row>
    <row r="29" spans="1:26" ht="12.75" x14ac:dyDescent="0.2">
      <c r="A29" s="82" t="s">
        <v>357</v>
      </c>
      <c r="D29" s="83">
        <v>0</v>
      </c>
      <c r="E29" s="84">
        <v>0</v>
      </c>
      <c r="F29" s="83">
        <f t="shared" si="0"/>
        <v>0</v>
      </c>
      <c r="G29" s="54">
        <v>50000</v>
      </c>
      <c r="H29" s="83">
        <f t="shared" si="12"/>
        <v>50000</v>
      </c>
      <c r="I29" s="54">
        <v>50000</v>
      </c>
      <c r="J29" s="83">
        <f t="shared" si="13"/>
        <v>100000</v>
      </c>
      <c r="K29" s="54">
        <v>-100000</v>
      </c>
      <c r="L29" s="83">
        <f t="shared" si="14"/>
        <v>0</v>
      </c>
      <c r="M29" s="54">
        <v>55000</v>
      </c>
      <c r="N29" s="83">
        <f t="shared" si="15"/>
        <v>55000</v>
      </c>
      <c r="O29" s="54">
        <v>55000</v>
      </c>
      <c r="P29" s="83">
        <f t="shared" si="16"/>
        <v>110000</v>
      </c>
      <c r="Q29" s="54">
        <v>55000</v>
      </c>
      <c r="R29" s="83">
        <f t="shared" si="17"/>
        <v>165000</v>
      </c>
      <c r="S29" s="54">
        <v>-165000</v>
      </c>
      <c r="T29" s="83">
        <f t="shared" si="18"/>
        <v>0</v>
      </c>
      <c r="U29" s="54">
        <v>60000</v>
      </c>
      <c r="V29" s="83">
        <f t="shared" si="19"/>
        <v>60000</v>
      </c>
      <c r="W29" s="54">
        <v>60000</v>
      </c>
      <c r="X29" s="83">
        <f t="shared" si="20"/>
        <v>120000</v>
      </c>
      <c r="Y29" s="54">
        <v>60000</v>
      </c>
      <c r="Z29" s="83">
        <f t="shared" si="21"/>
        <v>180000</v>
      </c>
    </row>
    <row r="30" spans="1:26" s="74" customFormat="1" ht="12.75" x14ac:dyDescent="0.2">
      <c r="A30" s="78" t="s">
        <v>358</v>
      </c>
      <c r="D30" s="85">
        <f t="shared" ref="D30:Z30" si="31">SUM(D17:D29)</f>
        <v>14104985.84</v>
      </c>
      <c r="E30" s="85">
        <f t="shared" si="31"/>
        <v>258000</v>
      </c>
      <c r="F30" s="85">
        <f t="shared" si="31"/>
        <v>14362985.84</v>
      </c>
      <c r="G30" s="86">
        <v>-319223</v>
      </c>
      <c r="H30" s="85">
        <f t="shared" si="31"/>
        <v>14043762.84</v>
      </c>
      <c r="I30" s="86">
        <v>-470000</v>
      </c>
      <c r="J30" s="85">
        <f t="shared" si="31"/>
        <v>13573763.84</v>
      </c>
      <c r="K30" s="86">
        <v>-100000</v>
      </c>
      <c r="L30" s="85">
        <f t="shared" si="31"/>
        <v>13473764.84</v>
      </c>
      <c r="M30" s="86">
        <v>55000</v>
      </c>
      <c r="N30" s="85">
        <f t="shared" si="31"/>
        <v>13528765.84</v>
      </c>
      <c r="O30" s="86">
        <v>55000</v>
      </c>
      <c r="P30" s="85">
        <f t="shared" si="31"/>
        <v>13583766.84</v>
      </c>
      <c r="Q30" s="86">
        <v>55000</v>
      </c>
      <c r="R30" s="85">
        <f t="shared" si="31"/>
        <v>13638767.84</v>
      </c>
      <c r="S30" s="86">
        <v>-165000</v>
      </c>
      <c r="T30" s="85">
        <f t="shared" si="31"/>
        <v>13473768.84</v>
      </c>
      <c r="U30" s="86">
        <v>60000</v>
      </c>
      <c r="V30" s="85">
        <f t="shared" si="31"/>
        <v>13533769.84</v>
      </c>
      <c r="W30" s="86">
        <v>60000</v>
      </c>
      <c r="X30" s="85">
        <f t="shared" si="31"/>
        <v>13593770.84</v>
      </c>
      <c r="Y30" s="86">
        <v>60000</v>
      </c>
      <c r="Z30" s="85">
        <f t="shared" si="31"/>
        <v>13653771.84</v>
      </c>
    </row>
    <row r="31" spans="1:26" ht="12.75" x14ac:dyDescent="0.2">
      <c r="A31" s="87" t="s">
        <v>359</v>
      </c>
      <c r="D31" s="83"/>
      <c r="E31" s="88"/>
      <c r="F31" s="83">
        <f t="shared" si="0"/>
        <v>0</v>
      </c>
      <c r="G31" s="54"/>
      <c r="I31" s="54"/>
      <c r="K31" s="54"/>
      <c r="M31" s="54"/>
      <c r="O31" s="54"/>
      <c r="Q31" s="54"/>
      <c r="S31" s="54"/>
      <c r="U31" s="54"/>
      <c r="W31" s="54"/>
      <c r="Y31" s="54"/>
    </row>
    <row r="32" spans="1:26" s="194" customFormat="1" ht="12.75" x14ac:dyDescent="0.2">
      <c r="A32" s="198"/>
      <c r="D32" s="196"/>
      <c r="E32" s="199"/>
      <c r="F32" s="196"/>
      <c r="G32" s="175"/>
      <c r="I32" s="175"/>
      <c r="K32" s="175"/>
      <c r="M32" s="175"/>
      <c r="O32" s="175"/>
      <c r="Q32" s="175"/>
      <c r="S32" s="175"/>
      <c r="U32" s="175"/>
      <c r="W32" s="175"/>
      <c r="Y32" s="175"/>
    </row>
    <row r="33" spans="1:26" s="194" customFormat="1" ht="12.75" x14ac:dyDescent="0.2">
      <c r="A33" s="198"/>
      <c r="D33" s="196"/>
      <c r="E33" s="199"/>
      <c r="F33" s="196"/>
      <c r="G33" s="175"/>
      <c r="I33" s="175"/>
      <c r="K33" s="175"/>
      <c r="M33" s="175"/>
      <c r="O33" s="175"/>
      <c r="Q33" s="175"/>
      <c r="S33" s="175"/>
      <c r="U33" s="175"/>
      <c r="W33" s="175"/>
      <c r="Y33" s="175"/>
    </row>
    <row r="34" spans="1:26" ht="12.75" x14ac:dyDescent="0.2">
      <c r="A34" s="89"/>
      <c r="D34" s="83"/>
      <c r="E34" s="88"/>
      <c r="F34" s="83">
        <f t="shared" si="0"/>
        <v>0</v>
      </c>
      <c r="G34" s="54"/>
      <c r="I34" s="54"/>
      <c r="K34" s="54"/>
      <c r="M34" s="54"/>
      <c r="O34" s="54"/>
      <c r="Q34" s="54"/>
      <c r="S34" s="54"/>
      <c r="U34" s="54"/>
      <c r="W34" s="54"/>
      <c r="Y34" s="54"/>
    </row>
    <row r="35" spans="1:26" ht="12.75" x14ac:dyDescent="0.2">
      <c r="A35" s="78" t="s">
        <v>360</v>
      </c>
      <c r="D35" s="90">
        <v>1132000</v>
      </c>
      <c r="E35" s="91">
        <v>0</v>
      </c>
      <c r="F35" s="83">
        <v>996000</v>
      </c>
      <c r="G35" s="54"/>
      <c r="H35" s="286">
        <f>H39-H13-H30</f>
        <v>-27770244.909999996</v>
      </c>
      <c r="I35" s="54"/>
      <c r="J35" s="286">
        <f>J39-J13-J30</f>
        <v>-26232018.909999996</v>
      </c>
      <c r="K35" s="54"/>
      <c r="L35" s="286">
        <f>L39-L13-L30</f>
        <v>-25672328.965999998</v>
      </c>
      <c r="M35" s="54"/>
      <c r="N35" s="286">
        <f>N39-N13-N30</f>
        <v>-25147818.434039999</v>
      </c>
      <c r="O35" s="54"/>
      <c r="P35" s="286">
        <f>P39-P13-P30</f>
        <v>-24492275.451354999</v>
      </c>
      <c r="Q35" s="54"/>
      <c r="R35" s="286">
        <f>R39-R13-R30</f>
        <v>-23920326.207459696</v>
      </c>
      <c r="S35" s="54"/>
      <c r="T35" s="286">
        <f>T39-T13-T30</f>
        <v>-23440366.129146941</v>
      </c>
      <c r="U35" s="54"/>
      <c r="V35" s="286">
        <f>V39-V13-V30</f>
        <v>-21698955.073333241</v>
      </c>
      <c r="W35" s="54"/>
      <c r="X35" s="286">
        <f>X39-X13-X30</f>
        <v>-21712581.885287426</v>
      </c>
      <c r="Y35" s="54"/>
      <c r="Z35" s="286">
        <f>Z39-Z13-Z30</f>
        <v>-21281430.486108784</v>
      </c>
    </row>
    <row r="36" spans="1:26" ht="12.75" x14ac:dyDescent="0.2">
      <c r="A36" s="89" t="s">
        <v>361</v>
      </c>
      <c r="D36" s="83"/>
      <c r="E36" s="88"/>
      <c r="F36" s="83">
        <f t="shared" si="0"/>
        <v>0</v>
      </c>
      <c r="G36" s="54"/>
      <c r="I36" s="54"/>
      <c r="K36" s="54"/>
      <c r="M36" s="54"/>
      <c r="O36" s="54"/>
      <c r="Q36" s="54"/>
      <c r="S36" s="54"/>
      <c r="U36" s="54"/>
      <c r="W36" s="54"/>
      <c r="Y36" s="54"/>
    </row>
    <row r="37" spans="1:26" s="74" customFormat="1" ht="13.5" thickBot="1" x14ac:dyDescent="0.25">
      <c r="A37" s="78" t="s">
        <v>362</v>
      </c>
      <c r="D37" s="92">
        <f>+D13+D30+D35</f>
        <v>30205374.909999996</v>
      </c>
      <c r="E37" s="92">
        <f>+E13+E30+E35</f>
        <v>137000</v>
      </c>
      <c r="F37" s="92">
        <f>+F13+F30+F35</f>
        <v>30206374.909999996</v>
      </c>
      <c r="G37" s="93">
        <v>-1384722</v>
      </c>
      <c r="H37" s="92">
        <f>+H13+H30+H35</f>
        <v>55408</v>
      </c>
      <c r="I37" s="93">
        <v>-1574233</v>
      </c>
      <c r="J37" s="92">
        <f t="shared" ref="J37:Z37" si="32">+J13+J30+J35</f>
        <v>19402</v>
      </c>
      <c r="K37" s="93">
        <v>-560073</v>
      </c>
      <c r="L37" s="92">
        <f t="shared" si="32"/>
        <v>19019.943999998271</v>
      </c>
      <c r="M37" s="93">
        <v>-524477</v>
      </c>
      <c r="N37" s="92">
        <f t="shared" si="32"/>
        <v>19054.475959997624</v>
      </c>
      <c r="O37" s="93">
        <v>-661161</v>
      </c>
      <c r="P37" s="92">
        <f t="shared" si="32"/>
        <v>13437.458644997329</v>
      </c>
      <c r="Q37" s="93">
        <v>-571846</v>
      </c>
      <c r="R37" s="92">
        <f t="shared" si="32"/>
        <v>13541.702540300786</v>
      </c>
      <c r="S37" s="93">
        <v>-479932</v>
      </c>
      <c r="T37" s="92">
        <f t="shared" si="32"/>
        <v>13570.780853055418</v>
      </c>
      <c r="U37" s="93">
        <v>-1741439</v>
      </c>
      <c r="V37" s="92">
        <f t="shared" si="32"/>
        <v>13543.836666755378</v>
      </c>
      <c r="W37" s="93">
        <v>13672</v>
      </c>
      <c r="X37" s="92">
        <f t="shared" si="32"/>
        <v>13590.024712570012</v>
      </c>
      <c r="Y37" s="93">
        <v>-430744</v>
      </c>
      <c r="Z37" s="92">
        <f t="shared" si="32"/>
        <v>13998.423891212791</v>
      </c>
    </row>
    <row r="39" spans="1:26" s="194" customFormat="1" ht="12.75" x14ac:dyDescent="0.2">
      <c r="A39" s="194" t="s">
        <v>492</v>
      </c>
      <c r="F39" s="285">
        <f>'GF &amp; FF   Cash Flow'!C52</f>
        <v>0</v>
      </c>
      <c r="H39" s="285">
        <f>'GF &amp; FF   Cash Flow'!D52</f>
        <v>55408</v>
      </c>
      <c r="J39" s="285">
        <f>'GF &amp; FF   Cash Flow'!E52</f>
        <v>19402</v>
      </c>
      <c r="L39" s="285">
        <f>'GF &amp; FF   Cash Flow'!F52</f>
        <v>19019.944000000007</v>
      </c>
      <c r="N39" s="285">
        <f>'GF &amp; FF   Cash Flow'!G52</f>
        <v>19054.475960000007</v>
      </c>
      <c r="P39" s="285">
        <f>'GF &amp; FF   Cash Flow'!H52</f>
        <v>13437.458644999995</v>
      </c>
      <c r="R39" s="285">
        <f>'GF &amp; FF   Cash Flow'!I52</f>
        <v>13541.702540299995</v>
      </c>
      <c r="T39" s="285">
        <f>'GF &amp; FF   Cash Flow'!J52</f>
        <v>13570.780853059003</v>
      </c>
      <c r="V39" s="285">
        <f>'GF &amp; FF   Cash Flow'!K52</f>
        <v>13543.836666756215</v>
      </c>
      <c r="X39" s="285">
        <f>'GF &amp; FF   Cash Flow'!L52</f>
        <v>13590.024712570688</v>
      </c>
      <c r="Z39" s="285">
        <f>'GF &amp; FF   Cash Flow'!M52</f>
        <v>13998.423891213944</v>
      </c>
    </row>
    <row r="41" spans="1:26" ht="15.75" x14ac:dyDescent="0.25">
      <c r="A41" s="287" t="s">
        <v>494</v>
      </c>
      <c r="B41" s="287" t="s">
        <v>493</v>
      </c>
    </row>
    <row r="42" spans="1:26" ht="15" x14ac:dyDescent="0.2">
      <c r="B42" s="287" t="s">
        <v>495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9"/>
  <sheetViews>
    <sheetView zoomScale="80" zoomScaleNormal="80" workbookViewId="0">
      <selection activeCell="J32" sqref="J32"/>
    </sheetView>
  </sheetViews>
  <sheetFormatPr defaultRowHeight="14.4" outlineLevelCol="1" x14ac:dyDescent="0.3"/>
  <cols>
    <col min="1" max="1" width="16.44140625" bestFit="1" customWidth="1"/>
    <col min="2" max="2" width="14.44140625" bestFit="1" customWidth="1"/>
    <col min="3" max="3" width="5.109375" bestFit="1" customWidth="1"/>
    <col min="4" max="4" width="24.33203125" bestFit="1" customWidth="1"/>
    <col min="5" max="5" width="9.88671875" bestFit="1" customWidth="1"/>
    <col min="6" max="6" width="30" bestFit="1" customWidth="1"/>
    <col min="7" max="7" width="8" bestFit="1" customWidth="1"/>
    <col min="8" max="8" width="22.109375" bestFit="1" customWidth="1"/>
    <col min="9" max="9" width="5.6640625" bestFit="1" customWidth="1"/>
    <col min="10" max="10" width="40.109375" bestFit="1" customWidth="1"/>
    <col min="11" max="11" width="13.44140625" bestFit="1" customWidth="1"/>
    <col min="12" max="12" width="10.6640625" bestFit="1" customWidth="1"/>
    <col min="13" max="13" width="8.109375" bestFit="1" customWidth="1"/>
    <col min="14" max="14" width="9.5546875" bestFit="1" customWidth="1"/>
    <col min="15" max="15" width="10.5546875" bestFit="1" customWidth="1"/>
    <col min="16" max="16" width="55" bestFit="1" customWidth="1"/>
    <col min="17" max="17" width="12.109375" hidden="1" customWidth="1" outlineLevel="1"/>
    <col min="18" max="18" width="14.5546875" hidden="1" customWidth="1" outlineLevel="1"/>
    <col min="19" max="29" width="10.33203125" hidden="1" customWidth="1" outlineLevel="1"/>
    <col min="30" max="30" width="32.33203125" hidden="1" customWidth="1" outlineLevel="1"/>
    <col min="31" max="31" width="15.109375" bestFit="1" customWidth="1" collapsed="1"/>
    <col min="32" max="32" width="16.44140625" bestFit="1" customWidth="1"/>
    <col min="33" max="33" width="9.44140625" bestFit="1" customWidth="1"/>
    <col min="34" max="34" width="12" bestFit="1" customWidth="1"/>
    <col min="35" max="35" width="11.33203125" bestFit="1" customWidth="1"/>
    <col min="36" max="37" width="13.5546875" bestFit="1" customWidth="1"/>
    <col min="38" max="38" width="10" bestFit="1" customWidth="1"/>
    <col min="39" max="39" width="13.5546875" bestFit="1" customWidth="1"/>
    <col min="40" max="40" width="12.33203125" bestFit="1" customWidth="1"/>
    <col min="41" max="41" width="17.44140625" bestFit="1" customWidth="1"/>
    <col min="42" max="42" width="13" bestFit="1" customWidth="1"/>
    <col min="43" max="43" width="11.5546875" bestFit="1" customWidth="1"/>
    <col min="44" max="44" width="21" bestFit="1" customWidth="1"/>
    <col min="45" max="45" width="14.5546875" bestFit="1" customWidth="1"/>
    <col min="46" max="46" width="20.109375" bestFit="1" customWidth="1"/>
    <col min="47" max="47" width="21.5546875" bestFit="1" customWidth="1"/>
    <col min="48" max="48" width="13.88671875" bestFit="1" customWidth="1"/>
    <col min="49" max="49" width="13.5546875" bestFit="1" customWidth="1"/>
    <col min="50" max="50" width="19.109375" bestFit="1" customWidth="1"/>
    <col min="51" max="51" width="21.44140625" bestFit="1" customWidth="1"/>
    <col min="52" max="52" width="17.44140625" bestFit="1" customWidth="1"/>
    <col min="53" max="53" width="14.33203125" bestFit="1" customWidth="1"/>
    <col min="54" max="54" width="15.5546875" bestFit="1" customWidth="1"/>
    <col min="55" max="55" width="24.109375" bestFit="1" customWidth="1"/>
    <col min="56" max="56" width="22" bestFit="1" customWidth="1"/>
    <col min="57" max="57" width="17.88671875" bestFit="1" customWidth="1"/>
    <col min="58" max="58" width="15.109375" bestFit="1" customWidth="1"/>
    <col min="59" max="59" width="18" bestFit="1" customWidth="1"/>
    <col min="60" max="60" width="20.5546875" bestFit="1" customWidth="1"/>
    <col min="61" max="64" width="8.44140625" bestFit="1" customWidth="1"/>
    <col min="65" max="65" width="28.88671875" bestFit="1" customWidth="1"/>
  </cols>
  <sheetData>
    <row r="1" spans="1:65" x14ac:dyDescent="0.25">
      <c r="A1" s="99" t="s">
        <v>116</v>
      </c>
      <c r="B1" s="99" t="s">
        <v>365</v>
      </c>
      <c r="C1" s="99" t="s">
        <v>117</v>
      </c>
      <c r="D1" s="99" t="s">
        <v>118</v>
      </c>
      <c r="E1" s="99" t="s">
        <v>119</v>
      </c>
      <c r="F1" s="99" t="s">
        <v>120</v>
      </c>
      <c r="G1" s="99" t="s">
        <v>121</v>
      </c>
      <c r="H1" s="99" t="s">
        <v>122</v>
      </c>
      <c r="I1" s="99" t="s">
        <v>123</v>
      </c>
      <c r="J1" s="99" t="s">
        <v>124</v>
      </c>
      <c r="K1" s="100" t="s">
        <v>366</v>
      </c>
      <c r="L1" s="100" t="s">
        <v>367</v>
      </c>
      <c r="M1" s="99" t="s">
        <v>125</v>
      </c>
      <c r="N1" s="99" t="s">
        <v>126</v>
      </c>
      <c r="O1" s="99" t="s">
        <v>127</v>
      </c>
      <c r="P1" s="99" t="s">
        <v>128</v>
      </c>
      <c r="Q1" s="95" t="s">
        <v>387</v>
      </c>
      <c r="R1" s="101" t="s">
        <v>368</v>
      </c>
      <c r="S1" s="101" t="s">
        <v>369</v>
      </c>
      <c r="T1" s="101" t="s">
        <v>370</v>
      </c>
      <c r="U1" s="101" t="s">
        <v>371</v>
      </c>
      <c r="V1" s="101" t="s">
        <v>372</v>
      </c>
      <c r="W1" s="101" t="s">
        <v>373</v>
      </c>
      <c r="X1" s="101" t="s">
        <v>374</v>
      </c>
      <c r="Y1" s="101" t="s">
        <v>375</v>
      </c>
      <c r="Z1" s="101" t="s">
        <v>376</v>
      </c>
      <c r="AA1" s="101" t="s">
        <v>377</v>
      </c>
      <c r="AB1" s="101" t="s">
        <v>378</v>
      </c>
      <c r="AC1" s="101" t="s">
        <v>379</v>
      </c>
      <c r="AD1" s="101" t="s">
        <v>380</v>
      </c>
      <c r="AE1" s="101" t="s">
        <v>381</v>
      </c>
      <c r="AF1" s="101" t="s">
        <v>382</v>
      </c>
      <c r="AG1" s="101" t="s">
        <v>132</v>
      </c>
      <c r="AH1" s="99" t="s">
        <v>133</v>
      </c>
      <c r="AI1" s="99" t="s">
        <v>134</v>
      </c>
      <c r="AJ1" s="99" t="s">
        <v>135</v>
      </c>
      <c r="AK1" s="99" t="s">
        <v>130</v>
      </c>
      <c r="AL1" s="99" t="s">
        <v>136</v>
      </c>
      <c r="AM1" s="99" t="s">
        <v>131</v>
      </c>
      <c r="AN1" s="99" t="s">
        <v>137</v>
      </c>
      <c r="AO1" s="99" t="s">
        <v>138</v>
      </c>
      <c r="AP1" s="99" t="s">
        <v>139</v>
      </c>
      <c r="AQ1" s="99" t="s">
        <v>140</v>
      </c>
      <c r="AR1" s="99" t="s">
        <v>141</v>
      </c>
      <c r="AS1" s="99" t="s">
        <v>142</v>
      </c>
      <c r="AT1" s="99" t="s">
        <v>143</v>
      </c>
      <c r="AU1" s="99" t="s">
        <v>144</v>
      </c>
      <c r="AV1" s="99" t="s">
        <v>145</v>
      </c>
      <c r="AW1" s="99" t="s">
        <v>146</v>
      </c>
      <c r="AX1" s="99" t="s">
        <v>147</v>
      </c>
      <c r="AY1" s="99" t="s">
        <v>148</v>
      </c>
      <c r="AZ1" s="99" t="s">
        <v>149</v>
      </c>
      <c r="BA1" s="99" t="s">
        <v>150</v>
      </c>
      <c r="BB1" s="99" t="s">
        <v>151</v>
      </c>
      <c r="BC1" s="99" t="s">
        <v>152</v>
      </c>
      <c r="BD1" s="99" t="s">
        <v>153</v>
      </c>
      <c r="BE1" s="99" t="s">
        <v>154</v>
      </c>
      <c r="BF1" s="99" t="s">
        <v>155</v>
      </c>
      <c r="BG1" s="99" t="s">
        <v>156</v>
      </c>
      <c r="BH1" s="99" t="s">
        <v>157</v>
      </c>
      <c r="BI1" s="99" t="s">
        <v>158</v>
      </c>
      <c r="BJ1" s="99" t="s">
        <v>159</v>
      </c>
      <c r="BK1" s="99" t="s">
        <v>160</v>
      </c>
      <c r="BL1" s="99" t="s">
        <v>161</v>
      </c>
      <c r="BM1" s="99" t="s">
        <v>162</v>
      </c>
    </row>
    <row r="2" spans="1:65" x14ac:dyDescent="0.25">
      <c r="A2" s="102" t="s">
        <v>231</v>
      </c>
      <c r="B2" s="103" t="s">
        <v>270</v>
      </c>
      <c r="C2" s="103" t="s">
        <v>260</v>
      </c>
      <c r="D2" s="51" t="s">
        <v>183</v>
      </c>
      <c r="E2" s="51" t="s">
        <v>272</v>
      </c>
      <c r="F2" s="51" t="s">
        <v>273</v>
      </c>
      <c r="G2" s="51" t="s">
        <v>260</v>
      </c>
      <c r="H2" s="51" t="s">
        <v>261</v>
      </c>
      <c r="I2" s="51" t="s">
        <v>269</v>
      </c>
      <c r="J2" s="96" t="s">
        <v>296</v>
      </c>
      <c r="K2" s="104" t="s">
        <v>271</v>
      </c>
      <c r="L2" s="104" t="s">
        <v>217</v>
      </c>
      <c r="M2" s="97" t="s">
        <v>304</v>
      </c>
      <c r="N2" s="51" t="s">
        <v>284</v>
      </c>
      <c r="O2" s="103" t="s">
        <v>237</v>
      </c>
      <c r="P2" s="103" t="s">
        <v>238</v>
      </c>
      <c r="Q2" s="98">
        <v>3131249.46</v>
      </c>
      <c r="R2" s="105">
        <v>3120800</v>
      </c>
      <c r="S2" s="105">
        <v>3120800</v>
      </c>
      <c r="T2" s="105">
        <v>3198819.9999999995</v>
      </c>
      <c r="U2" s="105">
        <v>3278790.4999999991</v>
      </c>
      <c r="V2" s="105">
        <v>3360760.2624999988</v>
      </c>
      <c r="W2" s="105">
        <v>3444779.2690624986</v>
      </c>
      <c r="X2" s="105">
        <v>3530898.7507890607</v>
      </c>
      <c r="Y2" s="105">
        <v>3619171.2195587871</v>
      </c>
      <c r="Z2" s="105">
        <v>3709650.5000477564</v>
      </c>
      <c r="AA2" s="105">
        <v>3802391.76254895</v>
      </c>
      <c r="AB2" s="105">
        <v>3897451.5566126732</v>
      </c>
      <c r="AC2" s="105" t="s">
        <v>383</v>
      </c>
      <c r="AD2" s="105" t="s">
        <v>29</v>
      </c>
      <c r="AE2" s="105" t="s">
        <v>388</v>
      </c>
      <c r="AF2" s="105"/>
      <c r="AG2" s="105">
        <v>0</v>
      </c>
      <c r="AH2" s="103" t="s">
        <v>178</v>
      </c>
      <c r="AI2" s="106">
        <v>0</v>
      </c>
      <c r="AJ2" s="106">
        <v>2087499.63</v>
      </c>
      <c r="AK2" s="106">
        <v>3120800</v>
      </c>
      <c r="AL2" s="106">
        <v>0</v>
      </c>
      <c r="AM2" s="106">
        <v>1033300.37</v>
      </c>
      <c r="AN2" s="106">
        <v>0</v>
      </c>
      <c r="AO2" s="106">
        <v>2087499.63</v>
      </c>
      <c r="AP2" s="103">
        <v>66.888999999999996</v>
      </c>
      <c r="AQ2" s="103">
        <v>26030010</v>
      </c>
      <c r="AR2" s="103" t="s">
        <v>177</v>
      </c>
      <c r="AS2" s="103">
        <v>0</v>
      </c>
      <c r="AT2" s="103">
        <v>0</v>
      </c>
      <c r="AU2" s="103">
        <v>0</v>
      </c>
      <c r="AV2" s="103">
        <v>0</v>
      </c>
      <c r="AW2" s="103">
        <v>0</v>
      </c>
      <c r="AX2" s="103" t="s">
        <v>180</v>
      </c>
      <c r="AY2" s="103">
        <v>0</v>
      </c>
      <c r="AZ2" s="103">
        <v>0</v>
      </c>
      <c r="BA2" s="103" t="s">
        <v>237</v>
      </c>
      <c r="BB2" s="103"/>
      <c r="BC2" s="103" t="s">
        <v>167</v>
      </c>
      <c r="BD2" s="103">
        <v>0</v>
      </c>
      <c r="BE2" s="103"/>
      <c r="BF2" s="103"/>
      <c r="BG2" s="103"/>
      <c r="BH2" s="103"/>
      <c r="BI2" s="103">
        <v>1</v>
      </c>
      <c r="BJ2" s="103">
        <v>1</v>
      </c>
      <c r="BK2" s="103">
        <v>4</v>
      </c>
      <c r="BL2" s="103">
        <v>11</v>
      </c>
      <c r="BM2" s="103" t="s">
        <v>179</v>
      </c>
    </row>
    <row r="3" spans="1:65" x14ac:dyDescent="0.25">
      <c r="A3" s="102" t="s">
        <v>214</v>
      </c>
      <c r="B3" s="103" t="s">
        <v>270</v>
      </c>
      <c r="C3" s="103" t="s">
        <v>260</v>
      </c>
      <c r="D3" s="51" t="s">
        <v>183</v>
      </c>
      <c r="E3" s="51" t="s">
        <v>272</v>
      </c>
      <c r="F3" s="51" t="s">
        <v>273</v>
      </c>
      <c r="G3" s="51" t="s">
        <v>260</v>
      </c>
      <c r="H3" s="51" t="s">
        <v>261</v>
      </c>
      <c r="I3" s="51" t="s">
        <v>288</v>
      </c>
      <c r="J3" s="96" t="s">
        <v>190</v>
      </c>
      <c r="K3" s="104" t="s">
        <v>271</v>
      </c>
      <c r="L3" s="104" t="s">
        <v>217</v>
      </c>
      <c r="M3" s="97" t="s">
        <v>295</v>
      </c>
      <c r="N3" s="51" t="s">
        <v>284</v>
      </c>
      <c r="O3" s="103" t="s">
        <v>215</v>
      </c>
      <c r="P3" s="103" t="s">
        <v>216</v>
      </c>
      <c r="Q3" s="98">
        <v>485767.64</v>
      </c>
      <c r="R3" s="105">
        <v>590000</v>
      </c>
      <c r="S3" s="105">
        <v>590000</v>
      </c>
      <c r="T3" s="105">
        <v>604750</v>
      </c>
      <c r="U3" s="105">
        <v>619868.75</v>
      </c>
      <c r="V3" s="105">
        <v>635365.46875</v>
      </c>
      <c r="W3" s="105">
        <v>651249.60546875</v>
      </c>
      <c r="X3" s="105">
        <v>667530.84560546873</v>
      </c>
      <c r="Y3" s="105">
        <v>684219.11674560537</v>
      </c>
      <c r="Z3" s="105">
        <v>701324.59466424549</v>
      </c>
      <c r="AA3" s="105">
        <v>718857.70953085157</v>
      </c>
      <c r="AB3" s="105">
        <v>736829.15226912277</v>
      </c>
      <c r="AC3" s="105" t="s">
        <v>383</v>
      </c>
      <c r="AD3" s="105" t="s">
        <v>29</v>
      </c>
      <c r="AE3" s="105">
        <v>0</v>
      </c>
      <c r="AF3" s="105"/>
      <c r="AG3" s="105">
        <v>0</v>
      </c>
      <c r="AH3" s="103" t="s">
        <v>178</v>
      </c>
      <c r="AI3" s="106">
        <v>0</v>
      </c>
      <c r="AJ3" s="106">
        <v>350329.33</v>
      </c>
      <c r="AK3" s="106">
        <v>590000</v>
      </c>
      <c r="AL3" s="106">
        <v>0</v>
      </c>
      <c r="AM3" s="106">
        <v>239670.67</v>
      </c>
      <c r="AN3" s="106">
        <v>0</v>
      </c>
      <c r="AO3" s="106">
        <v>350329.33</v>
      </c>
      <c r="AP3" s="103">
        <v>59.377000000000002</v>
      </c>
      <c r="AQ3" s="103">
        <v>13000000</v>
      </c>
      <c r="AR3" s="103" t="s">
        <v>185</v>
      </c>
      <c r="AS3" s="103">
        <v>40</v>
      </c>
      <c r="AT3" s="103">
        <v>0</v>
      </c>
      <c r="AU3" s="103">
        <v>0</v>
      </c>
      <c r="AV3" s="103">
        <v>0</v>
      </c>
      <c r="AW3" s="103">
        <v>0</v>
      </c>
      <c r="AX3" s="103" t="s">
        <v>180</v>
      </c>
      <c r="AY3" s="103">
        <v>0</v>
      </c>
      <c r="AZ3" s="103">
        <v>6</v>
      </c>
      <c r="BA3" s="103" t="s">
        <v>215</v>
      </c>
      <c r="BB3" s="103"/>
      <c r="BC3" s="103" t="s">
        <v>167</v>
      </c>
      <c r="BD3" s="103">
        <v>0</v>
      </c>
      <c r="BE3" s="103"/>
      <c r="BF3" s="103"/>
      <c r="BG3" s="103"/>
      <c r="BH3" s="103"/>
      <c r="BI3" s="103">
        <v>1</v>
      </c>
      <c r="BJ3" s="103">
        <v>1</v>
      </c>
      <c r="BK3" s="103">
        <v>4</v>
      </c>
      <c r="BL3" s="103">
        <v>11</v>
      </c>
      <c r="BM3" s="103" t="s">
        <v>179</v>
      </c>
    </row>
    <row r="4" spans="1:65" x14ac:dyDescent="0.25">
      <c r="A4" s="102" t="s">
        <v>202</v>
      </c>
      <c r="B4" s="103" t="s">
        <v>274</v>
      </c>
      <c r="C4" s="103" t="s">
        <v>260</v>
      </c>
      <c r="D4" s="51" t="s">
        <v>183</v>
      </c>
      <c r="E4" s="51" t="s">
        <v>275</v>
      </c>
      <c r="F4" s="51" t="s">
        <v>276</v>
      </c>
      <c r="G4" s="51" t="s">
        <v>260</v>
      </c>
      <c r="H4" s="51" t="s">
        <v>261</v>
      </c>
      <c r="I4" s="51" t="s">
        <v>268</v>
      </c>
      <c r="J4" s="96" t="s">
        <v>287</v>
      </c>
      <c r="K4" s="104" t="s">
        <v>286</v>
      </c>
      <c r="L4" s="104" t="s">
        <v>226</v>
      </c>
      <c r="M4" s="97" t="s">
        <v>300</v>
      </c>
      <c r="N4" s="51" t="s">
        <v>284</v>
      </c>
      <c r="O4" s="103" t="s">
        <v>224</v>
      </c>
      <c r="P4" s="103" t="s">
        <v>225</v>
      </c>
      <c r="Q4" s="107">
        <v>103700.92</v>
      </c>
      <c r="R4" s="105">
        <v>83600</v>
      </c>
      <c r="S4" s="105">
        <v>83600</v>
      </c>
      <c r="T4" s="105">
        <v>85689.999999999985</v>
      </c>
      <c r="U4" s="105">
        <v>87832.249999999971</v>
      </c>
      <c r="V4" s="105">
        <v>90028.056249999965</v>
      </c>
      <c r="W4" s="105">
        <v>92278.75765624996</v>
      </c>
      <c r="X4" s="105">
        <v>94585.726597656205</v>
      </c>
      <c r="Y4" s="105">
        <v>96950.369762597606</v>
      </c>
      <c r="Z4" s="105">
        <v>99374.129006662537</v>
      </c>
      <c r="AA4" s="105">
        <v>101858.4822318291</v>
      </c>
      <c r="AB4" s="105">
        <v>104404.94428762482</v>
      </c>
      <c r="AC4" s="105" t="s">
        <v>383</v>
      </c>
      <c r="AD4" s="105" t="s">
        <v>29</v>
      </c>
      <c r="AE4" s="105" t="s">
        <v>388</v>
      </c>
      <c r="AF4" s="105"/>
      <c r="AG4" s="105">
        <v>0</v>
      </c>
      <c r="AH4" s="103" t="s">
        <v>171</v>
      </c>
      <c r="AI4" s="106">
        <v>0</v>
      </c>
      <c r="AJ4" s="106">
        <v>69133.95</v>
      </c>
      <c r="AK4" s="106">
        <v>83600</v>
      </c>
      <c r="AL4" s="106">
        <v>0</v>
      </c>
      <c r="AM4" s="106">
        <v>14466.05</v>
      </c>
      <c r="AN4" s="106">
        <v>0</v>
      </c>
      <c r="AO4" s="106">
        <v>69133.95</v>
      </c>
      <c r="AP4" s="103">
        <v>82.695999999999998</v>
      </c>
      <c r="AQ4" s="103">
        <v>27040001</v>
      </c>
      <c r="AR4" s="103" t="s">
        <v>177</v>
      </c>
      <c r="AS4" s="103">
        <v>6</v>
      </c>
      <c r="AT4" s="103">
        <v>0</v>
      </c>
      <c r="AU4" s="103">
        <v>0</v>
      </c>
      <c r="AV4" s="103">
        <v>0</v>
      </c>
      <c r="AW4" s="103">
        <v>0</v>
      </c>
      <c r="AX4" s="103" t="s">
        <v>180</v>
      </c>
      <c r="AY4" s="103">
        <v>0</v>
      </c>
      <c r="AZ4" s="103">
        <v>5</v>
      </c>
      <c r="BA4" s="103" t="s">
        <v>224</v>
      </c>
      <c r="BB4" s="103">
        <v>0</v>
      </c>
      <c r="BC4" s="103" t="s">
        <v>184</v>
      </c>
      <c r="BD4" s="103"/>
      <c r="BE4" s="103"/>
      <c r="BF4" s="103"/>
      <c r="BG4" s="103"/>
      <c r="BH4" s="103"/>
      <c r="BI4" s="103">
        <v>1</v>
      </c>
      <c r="BJ4" s="103">
        <v>1</v>
      </c>
      <c r="BK4" s="103">
        <v>4</v>
      </c>
      <c r="BL4" s="103">
        <v>8</v>
      </c>
      <c r="BM4" s="103" t="s">
        <v>172</v>
      </c>
    </row>
    <row r="5" spans="1:65" x14ac:dyDescent="0.25">
      <c r="A5" s="102" t="s">
        <v>205</v>
      </c>
      <c r="B5" s="103" t="s">
        <v>255</v>
      </c>
      <c r="C5" s="103" t="s">
        <v>256</v>
      </c>
      <c r="D5" s="51" t="s">
        <v>163</v>
      </c>
      <c r="E5" s="51" t="s">
        <v>257</v>
      </c>
      <c r="F5" s="51" t="s">
        <v>258</v>
      </c>
      <c r="G5" s="51" t="s">
        <v>260</v>
      </c>
      <c r="H5" s="51" t="s">
        <v>261</v>
      </c>
      <c r="I5" s="51" t="s">
        <v>254</v>
      </c>
      <c r="J5" s="96" t="s">
        <v>191</v>
      </c>
      <c r="K5" s="104" t="s">
        <v>290</v>
      </c>
      <c r="L5" s="104" t="s">
        <v>229</v>
      </c>
      <c r="M5" s="97" t="s">
        <v>301</v>
      </c>
      <c r="N5" s="51" t="s">
        <v>284</v>
      </c>
      <c r="O5" s="103" t="s">
        <v>227</v>
      </c>
      <c r="P5" s="103" t="s">
        <v>228</v>
      </c>
      <c r="Q5" s="98">
        <v>53587.41</v>
      </c>
      <c r="R5" s="105">
        <v>28300</v>
      </c>
      <c r="S5" s="105">
        <v>28300</v>
      </c>
      <c r="T5" s="105">
        <v>29007.499999999996</v>
      </c>
      <c r="U5" s="105">
        <v>29732.687499999993</v>
      </c>
      <c r="V5" s="105">
        <v>30476.00468749999</v>
      </c>
      <c r="W5" s="105">
        <v>31237.904804687489</v>
      </c>
      <c r="X5" s="105">
        <v>32018.852424804674</v>
      </c>
      <c r="Y5" s="105">
        <v>32819.32373542479</v>
      </c>
      <c r="Z5" s="105">
        <v>33639.806828810404</v>
      </c>
      <c r="AA5" s="105">
        <v>34480.80199953066</v>
      </c>
      <c r="AB5" s="105">
        <v>35342.822049518923</v>
      </c>
      <c r="AC5" s="105" t="s">
        <v>383</v>
      </c>
      <c r="AD5" s="105" t="s">
        <v>29</v>
      </c>
      <c r="AE5" s="105">
        <v>0</v>
      </c>
      <c r="AF5" s="105"/>
      <c r="AG5" s="105">
        <v>0</v>
      </c>
      <c r="AH5" s="103" t="s">
        <v>164</v>
      </c>
      <c r="AI5" s="106">
        <v>0</v>
      </c>
      <c r="AJ5" s="106">
        <v>33281.78</v>
      </c>
      <c r="AK5" s="106">
        <v>28300</v>
      </c>
      <c r="AL5" s="106">
        <v>0</v>
      </c>
      <c r="AM5" s="106">
        <v>-4981.78</v>
      </c>
      <c r="AN5" s="106">
        <v>0</v>
      </c>
      <c r="AO5" s="106">
        <v>33281.78</v>
      </c>
      <c r="AP5" s="103">
        <v>117.60299999999999</v>
      </c>
      <c r="AQ5" s="103">
        <v>28045001</v>
      </c>
      <c r="AR5" s="103" t="s">
        <v>177</v>
      </c>
      <c r="AS5" s="103">
        <v>184</v>
      </c>
      <c r="AT5" s="103">
        <v>0</v>
      </c>
      <c r="AU5" s="103">
        <v>0</v>
      </c>
      <c r="AV5" s="103">
        <v>0</v>
      </c>
      <c r="AW5" s="103">
        <v>0</v>
      </c>
      <c r="AX5" s="103" t="s">
        <v>180</v>
      </c>
      <c r="AY5" s="103">
        <v>0</v>
      </c>
      <c r="AZ5" s="103">
        <v>6</v>
      </c>
      <c r="BA5" s="103" t="s">
        <v>227</v>
      </c>
      <c r="BB5" s="103"/>
      <c r="BC5" s="103" t="s">
        <v>168</v>
      </c>
      <c r="BD5" s="103">
        <v>0</v>
      </c>
      <c r="BE5" s="103"/>
      <c r="BF5" s="103"/>
      <c r="BG5" s="103"/>
      <c r="BH5" s="103"/>
      <c r="BI5" s="103">
        <v>1</v>
      </c>
      <c r="BJ5" s="103">
        <v>1</v>
      </c>
      <c r="BK5" s="103">
        <v>4</v>
      </c>
      <c r="BL5" s="103">
        <v>9</v>
      </c>
      <c r="BM5" s="103" t="s">
        <v>166</v>
      </c>
    </row>
    <row r="6" spans="1:65" x14ac:dyDescent="0.25">
      <c r="A6" s="102" t="s">
        <v>205</v>
      </c>
      <c r="B6" s="103" t="s">
        <v>255</v>
      </c>
      <c r="C6" s="103" t="s">
        <v>256</v>
      </c>
      <c r="D6" s="51" t="s">
        <v>163</v>
      </c>
      <c r="E6" s="51" t="s">
        <v>257</v>
      </c>
      <c r="F6" s="51" t="s">
        <v>258</v>
      </c>
      <c r="G6" s="51" t="s">
        <v>260</v>
      </c>
      <c r="H6" s="51" t="s">
        <v>261</v>
      </c>
      <c r="I6" s="51" t="s">
        <v>254</v>
      </c>
      <c r="J6" s="96" t="s">
        <v>191</v>
      </c>
      <c r="K6" s="104" t="s">
        <v>290</v>
      </c>
      <c r="L6" s="104" t="s">
        <v>229</v>
      </c>
      <c r="M6" s="97" t="s">
        <v>384</v>
      </c>
      <c r="N6" s="51" t="s">
        <v>284</v>
      </c>
      <c r="O6" s="103" t="s">
        <v>246</v>
      </c>
      <c r="P6" s="103" t="s">
        <v>247</v>
      </c>
      <c r="Q6" s="98">
        <v>127210.98</v>
      </c>
      <c r="R6" s="105">
        <v>66200</v>
      </c>
      <c r="S6" s="105">
        <v>66200</v>
      </c>
      <c r="T6" s="105">
        <v>67855</v>
      </c>
      <c r="U6" s="105">
        <v>69551.375</v>
      </c>
      <c r="V6" s="105">
        <v>71290.159374999988</v>
      </c>
      <c r="W6" s="105">
        <v>73072.413359374987</v>
      </c>
      <c r="X6" s="105">
        <v>74899.223693359352</v>
      </c>
      <c r="Y6" s="105">
        <v>76771.704285693326</v>
      </c>
      <c r="Z6" s="105">
        <v>78690.996892835654</v>
      </c>
      <c r="AA6" s="105">
        <v>80658.271815156535</v>
      </c>
      <c r="AB6" s="105">
        <v>82674.728610535443</v>
      </c>
      <c r="AC6" s="105" t="s">
        <v>383</v>
      </c>
      <c r="AD6" s="105" t="s">
        <v>29</v>
      </c>
      <c r="AE6" s="105" t="s">
        <v>388</v>
      </c>
      <c r="AF6" s="105"/>
      <c r="AG6" s="105">
        <v>0</v>
      </c>
      <c r="AH6" s="103" t="s">
        <v>164</v>
      </c>
      <c r="AI6" s="106">
        <v>0</v>
      </c>
      <c r="AJ6" s="106">
        <v>82494.929999999993</v>
      </c>
      <c r="AK6" s="106">
        <v>66200</v>
      </c>
      <c r="AL6" s="106">
        <v>0</v>
      </c>
      <c r="AM6" s="106">
        <v>-16294.93</v>
      </c>
      <c r="AN6" s="106">
        <v>0</v>
      </c>
      <c r="AO6" s="106">
        <v>82494.929999999993</v>
      </c>
      <c r="AP6" s="103">
        <v>124.614</v>
      </c>
      <c r="AQ6" s="103">
        <v>28390000</v>
      </c>
      <c r="AR6" s="103" t="s">
        <v>175</v>
      </c>
      <c r="AS6" s="103">
        <v>184</v>
      </c>
      <c r="AT6" s="103">
        <v>0</v>
      </c>
      <c r="AU6" s="103">
        <v>0</v>
      </c>
      <c r="AV6" s="103">
        <v>0</v>
      </c>
      <c r="AW6" s="103">
        <v>0</v>
      </c>
      <c r="AX6" s="103" t="s">
        <v>180</v>
      </c>
      <c r="AY6" s="103">
        <v>0</v>
      </c>
      <c r="AZ6" s="103">
        <v>6</v>
      </c>
      <c r="BA6" s="103" t="s">
        <v>246</v>
      </c>
      <c r="BB6" s="103"/>
      <c r="BC6" s="103" t="s">
        <v>168</v>
      </c>
      <c r="BD6" s="103">
        <v>0</v>
      </c>
      <c r="BE6" s="103"/>
      <c r="BF6" s="103"/>
      <c r="BG6" s="103"/>
      <c r="BH6" s="103"/>
      <c r="BI6" s="103">
        <v>1</v>
      </c>
      <c r="BJ6" s="103">
        <v>1</v>
      </c>
      <c r="BK6" s="103">
        <v>4</v>
      </c>
      <c r="BL6" s="103">
        <v>9</v>
      </c>
      <c r="BM6" s="103" t="s">
        <v>166</v>
      </c>
    </row>
    <row r="7" spans="1:65" x14ac:dyDescent="0.25">
      <c r="A7" s="102" t="s">
        <v>232</v>
      </c>
      <c r="B7" s="103" t="s">
        <v>255</v>
      </c>
      <c r="C7" s="103" t="s">
        <v>256</v>
      </c>
      <c r="D7" s="51" t="s">
        <v>163</v>
      </c>
      <c r="E7" s="51" t="s">
        <v>257</v>
      </c>
      <c r="F7" s="51" t="s">
        <v>258</v>
      </c>
      <c r="G7" s="51" t="s">
        <v>260</v>
      </c>
      <c r="H7" s="51" t="s">
        <v>261</v>
      </c>
      <c r="I7" s="51" t="s">
        <v>266</v>
      </c>
      <c r="J7" s="96" t="s">
        <v>299</v>
      </c>
      <c r="K7" s="104" t="s">
        <v>290</v>
      </c>
      <c r="L7" s="104" t="s">
        <v>229</v>
      </c>
      <c r="M7" s="97" t="s">
        <v>302</v>
      </c>
      <c r="N7" s="51" t="s">
        <v>284</v>
      </c>
      <c r="O7" s="103" t="s">
        <v>233</v>
      </c>
      <c r="P7" s="103" t="s">
        <v>234</v>
      </c>
      <c r="Q7" s="98">
        <v>2454.36</v>
      </c>
      <c r="R7" s="105">
        <v>2500</v>
      </c>
      <c r="S7" s="105">
        <v>2500</v>
      </c>
      <c r="T7" s="105">
        <v>2562.5</v>
      </c>
      <c r="U7" s="105">
        <v>2626.5624999999995</v>
      </c>
      <c r="V7" s="105">
        <v>2692.2265624999991</v>
      </c>
      <c r="W7" s="105">
        <v>2759.5322265624986</v>
      </c>
      <c r="X7" s="105">
        <v>2828.520532226561</v>
      </c>
      <c r="Y7" s="105">
        <v>2899.233545532225</v>
      </c>
      <c r="Z7" s="105">
        <v>2971.7143841705301</v>
      </c>
      <c r="AA7" s="105">
        <v>3046.0072437747931</v>
      </c>
      <c r="AB7" s="105">
        <v>3122.1574248691627</v>
      </c>
      <c r="AC7" s="105" t="s">
        <v>383</v>
      </c>
      <c r="AD7" s="105" t="s">
        <v>29</v>
      </c>
      <c r="AE7" s="105">
        <v>0</v>
      </c>
      <c r="AF7" s="105"/>
      <c r="AG7" s="105">
        <v>0</v>
      </c>
      <c r="AH7" s="103" t="s">
        <v>164</v>
      </c>
      <c r="AI7" s="106">
        <v>0</v>
      </c>
      <c r="AJ7" s="106">
        <v>1636.24</v>
      </c>
      <c r="AK7" s="106">
        <v>2500</v>
      </c>
      <c r="AL7" s="106">
        <v>0</v>
      </c>
      <c r="AM7" s="106">
        <v>863.76</v>
      </c>
      <c r="AN7" s="106">
        <v>0</v>
      </c>
      <c r="AO7" s="106">
        <v>1636.24</v>
      </c>
      <c r="AP7" s="103">
        <v>65.448999999999998</v>
      </c>
      <c r="AQ7" s="103">
        <v>28400010</v>
      </c>
      <c r="AR7" s="103" t="s">
        <v>165</v>
      </c>
      <c r="AS7" s="103">
        <v>184</v>
      </c>
      <c r="AT7" s="103">
        <v>0</v>
      </c>
      <c r="AU7" s="103">
        <v>0</v>
      </c>
      <c r="AV7" s="103">
        <v>0</v>
      </c>
      <c r="AW7" s="103">
        <v>0</v>
      </c>
      <c r="AX7" s="103" t="s">
        <v>180</v>
      </c>
      <c r="AY7" s="103">
        <v>0</v>
      </c>
      <c r="AZ7" s="103">
        <v>6</v>
      </c>
      <c r="BA7" s="103" t="s">
        <v>233</v>
      </c>
      <c r="BB7" s="103"/>
      <c r="BC7" s="103" t="s">
        <v>168</v>
      </c>
      <c r="BD7" s="103">
        <v>0</v>
      </c>
      <c r="BE7" s="103"/>
      <c r="BF7" s="103"/>
      <c r="BG7" s="103"/>
      <c r="BH7" s="103"/>
      <c r="BI7" s="103">
        <v>1</v>
      </c>
      <c r="BJ7" s="103">
        <v>1</v>
      </c>
      <c r="BK7" s="103">
        <v>4</v>
      </c>
      <c r="BL7" s="103">
        <v>9</v>
      </c>
      <c r="BM7" s="103" t="s">
        <v>166</v>
      </c>
    </row>
    <row r="8" spans="1:65" x14ac:dyDescent="0.25">
      <c r="A8" s="102" t="s">
        <v>219</v>
      </c>
      <c r="B8" s="103" t="s">
        <v>262</v>
      </c>
      <c r="C8" s="103" t="s">
        <v>256</v>
      </c>
      <c r="D8" s="51" t="s">
        <v>163</v>
      </c>
      <c r="E8" s="51" t="s">
        <v>264</v>
      </c>
      <c r="F8" s="51" t="s">
        <v>265</v>
      </c>
      <c r="G8" s="51" t="s">
        <v>260</v>
      </c>
      <c r="H8" s="51" t="s">
        <v>261</v>
      </c>
      <c r="I8" s="51" t="s">
        <v>266</v>
      </c>
      <c r="J8" s="96" t="s">
        <v>190</v>
      </c>
      <c r="K8" s="104" t="s">
        <v>263</v>
      </c>
      <c r="L8" s="104" t="s">
        <v>222</v>
      </c>
      <c r="M8" s="97" t="s">
        <v>298</v>
      </c>
      <c r="N8" s="51" t="s">
        <v>284</v>
      </c>
      <c r="O8" s="103" t="s">
        <v>220</v>
      </c>
      <c r="P8" s="103" t="s">
        <v>221</v>
      </c>
      <c r="Q8" s="98">
        <v>136663.4</v>
      </c>
      <c r="R8" s="105">
        <v>216000</v>
      </c>
      <c r="S8" s="105">
        <v>216000</v>
      </c>
      <c r="T8" s="105">
        <v>221399.99999999997</v>
      </c>
      <c r="U8" s="105">
        <v>226934.99999999994</v>
      </c>
      <c r="V8" s="105">
        <v>232608.37499999991</v>
      </c>
      <c r="W8" s="105">
        <v>238423.58437499989</v>
      </c>
      <c r="X8" s="105">
        <v>244384.17398437485</v>
      </c>
      <c r="Y8" s="105">
        <v>250493.7783339842</v>
      </c>
      <c r="Z8" s="105">
        <v>256756.12279233377</v>
      </c>
      <c r="AA8" s="105">
        <v>263175.02586214209</v>
      </c>
      <c r="AB8" s="105">
        <v>269754.40150869562</v>
      </c>
      <c r="AC8" s="105" t="s">
        <v>383</v>
      </c>
      <c r="AD8" s="105" t="s">
        <v>29</v>
      </c>
      <c r="AE8" s="105">
        <v>0</v>
      </c>
      <c r="AF8" s="105"/>
      <c r="AG8" s="105">
        <v>0</v>
      </c>
      <c r="AH8" s="103" t="s">
        <v>178</v>
      </c>
      <c r="AI8" s="106">
        <v>0</v>
      </c>
      <c r="AJ8" s="106">
        <v>84288.16</v>
      </c>
      <c r="AK8" s="106">
        <v>216000</v>
      </c>
      <c r="AL8" s="106">
        <v>0</v>
      </c>
      <c r="AM8" s="106">
        <v>131711.84</v>
      </c>
      <c r="AN8" s="106">
        <v>0</v>
      </c>
      <c r="AO8" s="106">
        <v>84288.16</v>
      </c>
      <c r="AP8" s="103">
        <v>39.021999999999998</v>
      </c>
      <c r="AQ8" s="103">
        <v>25050100</v>
      </c>
      <c r="AR8" s="103" t="s">
        <v>186</v>
      </c>
      <c r="AS8" s="103">
        <v>0</v>
      </c>
      <c r="AT8" s="103">
        <v>0</v>
      </c>
      <c r="AU8" s="103">
        <v>0</v>
      </c>
      <c r="AV8" s="103">
        <v>0</v>
      </c>
      <c r="AW8" s="103">
        <v>0</v>
      </c>
      <c r="AX8" s="103" t="s">
        <v>180</v>
      </c>
      <c r="AY8" s="103">
        <v>0</v>
      </c>
      <c r="AZ8" s="103">
        <v>0</v>
      </c>
      <c r="BA8" s="103" t="s">
        <v>220</v>
      </c>
      <c r="BB8" s="103"/>
      <c r="BC8" s="103" t="s">
        <v>167</v>
      </c>
      <c r="BD8" s="103">
        <v>0</v>
      </c>
      <c r="BE8" s="103"/>
      <c r="BF8" s="103"/>
      <c r="BG8" s="103"/>
      <c r="BH8" s="103"/>
      <c r="BI8" s="103">
        <v>1</v>
      </c>
      <c r="BJ8" s="103">
        <v>1</v>
      </c>
      <c r="BK8" s="103">
        <v>4</v>
      </c>
      <c r="BL8" s="103">
        <v>11</v>
      </c>
      <c r="BM8" s="103" t="s">
        <v>179</v>
      </c>
    </row>
    <row r="9" spans="1:65" x14ac:dyDescent="0.25">
      <c r="A9" s="102" t="s">
        <v>194</v>
      </c>
      <c r="B9" s="103" t="s">
        <v>277</v>
      </c>
      <c r="C9" s="103" t="s">
        <v>253</v>
      </c>
      <c r="D9" s="51" t="s">
        <v>169</v>
      </c>
      <c r="E9" s="51" t="s">
        <v>278</v>
      </c>
      <c r="F9" s="51" t="s">
        <v>279</v>
      </c>
      <c r="G9" s="173" t="s">
        <v>260</v>
      </c>
      <c r="H9" s="51" t="s">
        <v>261</v>
      </c>
      <c r="I9" s="51"/>
      <c r="J9" s="96" t="s">
        <v>281</v>
      </c>
      <c r="K9" s="104"/>
      <c r="L9" s="104" t="s">
        <v>197</v>
      </c>
      <c r="M9" s="97" t="s">
        <v>385</v>
      </c>
      <c r="N9" s="51" t="s">
        <v>284</v>
      </c>
      <c r="O9" s="103" t="s">
        <v>239</v>
      </c>
      <c r="P9" s="103" t="s">
        <v>240</v>
      </c>
      <c r="Q9" s="107">
        <v>133352.93</v>
      </c>
      <c r="R9" s="105">
        <v>134300</v>
      </c>
      <c r="S9" s="105">
        <v>134300</v>
      </c>
      <c r="T9" s="105">
        <v>137657.5</v>
      </c>
      <c r="U9" s="105">
        <v>141098.9375</v>
      </c>
      <c r="V9" s="105">
        <v>144626.41093749998</v>
      </c>
      <c r="W9" s="105">
        <v>148242.07121093746</v>
      </c>
      <c r="X9" s="105">
        <v>151948.12299121087</v>
      </c>
      <c r="Y9" s="105">
        <v>155746.82606599113</v>
      </c>
      <c r="Z9" s="105">
        <v>159640.4967176409</v>
      </c>
      <c r="AA9" s="105">
        <v>163631.5091355819</v>
      </c>
      <c r="AB9" s="105">
        <v>167722.29686397142</v>
      </c>
      <c r="AC9" s="105" t="s">
        <v>383</v>
      </c>
      <c r="AD9" s="105" t="s">
        <v>29</v>
      </c>
      <c r="AE9" s="105" t="s">
        <v>388</v>
      </c>
      <c r="AF9" s="105"/>
      <c r="AG9" s="105">
        <v>0</v>
      </c>
      <c r="AH9" s="103" t="s">
        <v>164</v>
      </c>
      <c r="AI9" s="106">
        <v>0</v>
      </c>
      <c r="AJ9" s="106">
        <v>88901.95</v>
      </c>
      <c r="AK9" s="106">
        <v>134300</v>
      </c>
      <c r="AL9" s="106">
        <v>0</v>
      </c>
      <c r="AM9" s="106">
        <v>45398.05</v>
      </c>
      <c r="AN9" s="106">
        <v>0</v>
      </c>
      <c r="AO9" s="106">
        <v>88901.95</v>
      </c>
      <c r="AP9" s="103">
        <v>66.195999999999998</v>
      </c>
      <c r="AQ9" s="103">
        <v>28390000</v>
      </c>
      <c r="AR9" s="103" t="s">
        <v>175</v>
      </c>
      <c r="AS9" s="103">
        <v>0</v>
      </c>
      <c r="AT9" s="103">
        <v>0</v>
      </c>
      <c r="AU9" s="103">
        <v>0</v>
      </c>
      <c r="AV9" s="103">
        <v>0</v>
      </c>
      <c r="AW9" s="103">
        <v>0</v>
      </c>
      <c r="AX9" s="103" t="s">
        <v>180</v>
      </c>
      <c r="AY9" s="103">
        <v>0</v>
      </c>
      <c r="AZ9" s="103">
        <v>0</v>
      </c>
      <c r="BA9" s="103" t="s">
        <v>239</v>
      </c>
      <c r="BB9" s="103"/>
      <c r="BC9" s="103" t="s">
        <v>168</v>
      </c>
      <c r="BD9" s="103">
        <v>0</v>
      </c>
      <c r="BE9" s="103"/>
      <c r="BF9" s="103"/>
      <c r="BG9" s="103"/>
      <c r="BH9" s="103"/>
      <c r="BI9" s="103">
        <v>1</v>
      </c>
      <c r="BJ9" s="103">
        <v>1</v>
      </c>
      <c r="BK9" s="103">
        <v>4</v>
      </c>
      <c r="BL9" s="103">
        <v>9</v>
      </c>
      <c r="BM9" s="103" t="s">
        <v>166</v>
      </c>
    </row>
    <row r="10" spans="1:65" x14ac:dyDescent="0.25">
      <c r="A10" s="102" t="s">
        <v>193</v>
      </c>
      <c r="B10" s="103" t="s">
        <v>277</v>
      </c>
      <c r="C10" s="103" t="s">
        <v>253</v>
      </c>
      <c r="D10" s="51" t="s">
        <v>169</v>
      </c>
      <c r="E10" s="51" t="s">
        <v>278</v>
      </c>
      <c r="F10" s="51" t="s">
        <v>279</v>
      </c>
      <c r="G10" s="51" t="s">
        <v>260</v>
      </c>
      <c r="H10" s="51" t="s">
        <v>261</v>
      </c>
      <c r="I10" s="51" t="s">
        <v>282</v>
      </c>
      <c r="J10" s="96" t="s">
        <v>283</v>
      </c>
      <c r="K10" s="104" t="s">
        <v>280</v>
      </c>
      <c r="L10" s="104" t="s">
        <v>197</v>
      </c>
      <c r="M10" s="97" t="s">
        <v>266</v>
      </c>
      <c r="N10" s="51" t="s">
        <v>284</v>
      </c>
      <c r="O10" s="103" t="s">
        <v>195</v>
      </c>
      <c r="P10" s="103" t="s">
        <v>196</v>
      </c>
      <c r="Q10" s="107">
        <v>1507.08</v>
      </c>
      <c r="R10" s="105">
        <v>1500</v>
      </c>
      <c r="S10" s="105">
        <v>1500</v>
      </c>
      <c r="T10" s="105">
        <v>1537.4999999999998</v>
      </c>
      <c r="U10" s="105">
        <v>1575.9374999999995</v>
      </c>
      <c r="V10" s="105">
        <v>1615.3359374999993</v>
      </c>
      <c r="W10" s="105">
        <v>1655.7193359374992</v>
      </c>
      <c r="X10" s="105">
        <v>1697.1123193359365</v>
      </c>
      <c r="Y10" s="105">
        <v>1739.5401273193347</v>
      </c>
      <c r="Z10" s="105">
        <v>1783.028630502318</v>
      </c>
      <c r="AA10" s="105">
        <v>1827.6043462648759</v>
      </c>
      <c r="AB10" s="105">
        <v>1873.2944549214976</v>
      </c>
      <c r="AC10" s="105" t="s">
        <v>383</v>
      </c>
      <c r="AD10" s="105" t="s">
        <v>29</v>
      </c>
      <c r="AE10" s="105" t="s">
        <v>388</v>
      </c>
      <c r="AF10" s="105"/>
      <c r="AG10" s="105">
        <v>0</v>
      </c>
      <c r="AH10" s="103" t="s">
        <v>164</v>
      </c>
      <c r="AI10" s="106">
        <v>0</v>
      </c>
      <c r="AJ10" s="106">
        <v>1004.72</v>
      </c>
      <c r="AK10" s="106">
        <v>1500</v>
      </c>
      <c r="AL10" s="106">
        <v>0</v>
      </c>
      <c r="AM10" s="106">
        <v>495.28</v>
      </c>
      <c r="AN10" s="106">
        <v>0</v>
      </c>
      <c r="AO10" s="106">
        <v>1004.72</v>
      </c>
      <c r="AP10" s="103">
        <v>66.980999999999995</v>
      </c>
      <c r="AQ10" s="103">
        <v>24055010</v>
      </c>
      <c r="AR10" s="103" t="s">
        <v>192</v>
      </c>
      <c r="AS10" s="103">
        <v>34</v>
      </c>
      <c r="AT10" s="103">
        <v>0</v>
      </c>
      <c r="AU10" s="103">
        <v>0</v>
      </c>
      <c r="AV10" s="103">
        <v>0</v>
      </c>
      <c r="AW10" s="103">
        <v>0</v>
      </c>
      <c r="AX10" s="103" t="s">
        <v>180</v>
      </c>
      <c r="AY10" s="103">
        <v>0</v>
      </c>
      <c r="AZ10" s="103">
        <v>2</v>
      </c>
      <c r="BA10" s="103" t="s">
        <v>195</v>
      </c>
      <c r="BB10" s="103"/>
      <c r="BC10" s="103" t="s">
        <v>168</v>
      </c>
      <c r="BD10" s="103">
        <v>0</v>
      </c>
      <c r="BE10" s="103"/>
      <c r="BF10" s="103"/>
      <c r="BG10" s="103"/>
      <c r="BH10" s="103"/>
      <c r="BI10" s="103">
        <v>1</v>
      </c>
      <c r="BJ10" s="103">
        <v>1</v>
      </c>
      <c r="BK10" s="103">
        <v>4</v>
      </c>
      <c r="BL10" s="103">
        <v>9</v>
      </c>
      <c r="BM10" s="103" t="s">
        <v>166</v>
      </c>
    </row>
    <row r="11" spans="1:65" x14ac:dyDescent="0.25">
      <c r="A11" s="102" t="s">
        <v>193</v>
      </c>
      <c r="B11" s="103" t="s">
        <v>277</v>
      </c>
      <c r="C11" s="103" t="s">
        <v>253</v>
      </c>
      <c r="D11" s="51" t="s">
        <v>169</v>
      </c>
      <c r="E11" s="51" t="s">
        <v>278</v>
      </c>
      <c r="F11" s="51" t="s">
        <v>279</v>
      </c>
      <c r="G11" s="51" t="s">
        <v>260</v>
      </c>
      <c r="H11" s="51" t="s">
        <v>261</v>
      </c>
      <c r="I11" s="51" t="s">
        <v>282</v>
      </c>
      <c r="J11" s="96" t="s">
        <v>283</v>
      </c>
      <c r="K11" s="104" t="s">
        <v>280</v>
      </c>
      <c r="L11" s="104" t="s">
        <v>197</v>
      </c>
      <c r="M11" s="97" t="s">
        <v>259</v>
      </c>
      <c r="N11" s="51" t="s">
        <v>284</v>
      </c>
      <c r="O11" s="103" t="s">
        <v>198</v>
      </c>
      <c r="P11" s="103" t="s">
        <v>199</v>
      </c>
      <c r="Q11" s="107">
        <v>3300</v>
      </c>
      <c r="R11" s="105">
        <v>3300</v>
      </c>
      <c r="S11" s="105">
        <v>3300</v>
      </c>
      <c r="T11" s="105">
        <v>3382.4999999999995</v>
      </c>
      <c r="U11" s="105">
        <v>3467.0624999999991</v>
      </c>
      <c r="V11" s="105">
        <v>3553.7390624999989</v>
      </c>
      <c r="W11" s="105">
        <v>3642.5825390624987</v>
      </c>
      <c r="X11" s="105">
        <v>3733.6471025390606</v>
      </c>
      <c r="Y11" s="105">
        <v>3826.9882801025369</v>
      </c>
      <c r="Z11" s="105">
        <v>3922.6629871051</v>
      </c>
      <c r="AA11" s="105">
        <v>4020.7295617827272</v>
      </c>
      <c r="AB11" s="105">
        <v>4121.2478008272947</v>
      </c>
      <c r="AC11" s="105" t="s">
        <v>383</v>
      </c>
      <c r="AD11" s="105" t="s">
        <v>29</v>
      </c>
      <c r="AE11" s="105" t="s">
        <v>388</v>
      </c>
      <c r="AF11" s="105"/>
      <c r="AG11" s="105">
        <v>0</v>
      </c>
      <c r="AH11" s="103" t="s">
        <v>164</v>
      </c>
      <c r="AI11" s="106">
        <v>0</v>
      </c>
      <c r="AJ11" s="106">
        <v>2200</v>
      </c>
      <c r="AK11" s="106">
        <v>3300</v>
      </c>
      <c r="AL11" s="106">
        <v>0</v>
      </c>
      <c r="AM11" s="106">
        <v>1100</v>
      </c>
      <c r="AN11" s="106">
        <v>0</v>
      </c>
      <c r="AO11" s="106">
        <v>2200</v>
      </c>
      <c r="AP11" s="103">
        <v>66.665999999999997</v>
      </c>
      <c r="AQ11" s="103">
        <v>26002010</v>
      </c>
      <c r="AR11" s="103" t="s">
        <v>192</v>
      </c>
      <c r="AS11" s="103">
        <v>34</v>
      </c>
      <c r="AT11" s="103">
        <v>0</v>
      </c>
      <c r="AU11" s="103">
        <v>0</v>
      </c>
      <c r="AV11" s="103">
        <v>0</v>
      </c>
      <c r="AW11" s="103">
        <v>0</v>
      </c>
      <c r="AX11" s="103" t="s">
        <v>180</v>
      </c>
      <c r="AY11" s="103">
        <v>0</v>
      </c>
      <c r="AZ11" s="103">
        <v>2</v>
      </c>
      <c r="BA11" s="103" t="s">
        <v>198</v>
      </c>
      <c r="BB11" s="103"/>
      <c r="BC11" s="103" t="s">
        <v>168</v>
      </c>
      <c r="BD11" s="103">
        <v>0</v>
      </c>
      <c r="BE11" s="103"/>
      <c r="BF11" s="103"/>
      <c r="BG11" s="103"/>
      <c r="BH11" s="103"/>
      <c r="BI11" s="103">
        <v>1</v>
      </c>
      <c r="BJ11" s="103">
        <v>1</v>
      </c>
      <c r="BK11" s="103">
        <v>4</v>
      </c>
      <c r="BL11" s="103">
        <v>9</v>
      </c>
      <c r="BM11" s="103" t="s">
        <v>166</v>
      </c>
    </row>
    <row r="12" spans="1:65" x14ac:dyDescent="0.25">
      <c r="A12" s="102" t="s">
        <v>193</v>
      </c>
      <c r="B12" s="103" t="s">
        <v>277</v>
      </c>
      <c r="C12" s="103" t="s">
        <v>253</v>
      </c>
      <c r="D12" s="51" t="s">
        <v>169</v>
      </c>
      <c r="E12" s="51" t="s">
        <v>278</v>
      </c>
      <c r="F12" s="51" t="s">
        <v>279</v>
      </c>
      <c r="G12" s="51" t="s">
        <v>260</v>
      </c>
      <c r="H12" s="51" t="s">
        <v>261</v>
      </c>
      <c r="I12" s="51" t="s">
        <v>282</v>
      </c>
      <c r="J12" s="96" t="s">
        <v>283</v>
      </c>
      <c r="K12" s="104" t="s">
        <v>280</v>
      </c>
      <c r="L12" s="104" t="s">
        <v>197</v>
      </c>
      <c r="M12" s="97" t="s">
        <v>285</v>
      </c>
      <c r="N12" s="51" t="s">
        <v>284</v>
      </c>
      <c r="O12" s="103" t="s">
        <v>200</v>
      </c>
      <c r="P12" s="103" t="s">
        <v>201</v>
      </c>
      <c r="Q12" s="107">
        <v>21000.46</v>
      </c>
      <c r="R12" s="105">
        <v>21000</v>
      </c>
      <c r="S12" s="105">
        <v>21000</v>
      </c>
      <c r="T12" s="105">
        <v>21524.999999999996</v>
      </c>
      <c r="U12" s="105">
        <v>22063.124999999993</v>
      </c>
      <c r="V12" s="105">
        <v>22614.703124999989</v>
      </c>
      <c r="W12" s="105">
        <v>23180.070703124988</v>
      </c>
      <c r="X12" s="105">
        <v>23759.572470703111</v>
      </c>
      <c r="Y12" s="105">
        <v>24353.561782470686</v>
      </c>
      <c r="Z12" s="105">
        <v>24962.400827032452</v>
      </c>
      <c r="AA12" s="105">
        <v>25586.460847708262</v>
      </c>
      <c r="AB12" s="105">
        <v>26226.122368900968</v>
      </c>
      <c r="AC12" s="105" t="s">
        <v>383</v>
      </c>
      <c r="AD12" s="105" t="s">
        <v>29</v>
      </c>
      <c r="AE12" s="105" t="s">
        <v>388</v>
      </c>
      <c r="AF12" s="105"/>
      <c r="AG12" s="105">
        <v>0</v>
      </c>
      <c r="AH12" s="103" t="s">
        <v>164</v>
      </c>
      <c r="AI12" s="106">
        <v>0</v>
      </c>
      <c r="AJ12" s="106">
        <v>14000.31</v>
      </c>
      <c r="AK12" s="106">
        <v>21000</v>
      </c>
      <c r="AL12" s="106">
        <v>0</v>
      </c>
      <c r="AM12" s="106">
        <v>6999.69</v>
      </c>
      <c r="AN12" s="106">
        <v>0</v>
      </c>
      <c r="AO12" s="106">
        <v>14000.31</v>
      </c>
      <c r="AP12" s="103">
        <v>66.668000000000006</v>
      </c>
      <c r="AQ12" s="103">
        <v>28501010</v>
      </c>
      <c r="AR12" s="103" t="s">
        <v>192</v>
      </c>
      <c r="AS12" s="103">
        <v>34</v>
      </c>
      <c r="AT12" s="103">
        <v>0</v>
      </c>
      <c r="AU12" s="103">
        <v>0</v>
      </c>
      <c r="AV12" s="103">
        <v>0</v>
      </c>
      <c r="AW12" s="103">
        <v>0</v>
      </c>
      <c r="AX12" s="103" t="s">
        <v>180</v>
      </c>
      <c r="AY12" s="103">
        <v>0</v>
      </c>
      <c r="AZ12" s="103">
        <v>2</v>
      </c>
      <c r="BA12" s="103" t="s">
        <v>200</v>
      </c>
      <c r="BB12" s="103"/>
      <c r="BC12" s="103" t="s">
        <v>168</v>
      </c>
      <c r="BD12" s="103">
        <v>0</v>
      </c>
      <c r="BE12" s="103"/>
      <c r="BF12" s="103"/>
      <c r="BG12" s="103"/>
      <c r="BH12" s="103"/>
      <c r="BI12" s="103">
        <v>1</v>
      </c>
      <c r="BJ12" s="103">
        <v>1</v>
      </c>
      <c r="BK12" s="103">
        <v>4</v>
      </c>
      <c r="BL12" s="103">
        <v>9</v>
      </c>
      <c r="BM12" s="103" t="s">
        <v>166</v>
      </c>
    </row>
    <row r="13" spans="1:65" x14ac:dyDescent="0.25">
      <c r="A13" s="102" t="s">
        <v>193</v>
      </c>
      <c r="B13" s="103" t="s">
        <v>277</v>
      </c>
      <c r="C13" s="103" t="s">
        <v>253</v>
      </c>
      <c r="D13" s="51" t="s">
        <v>169</v>
      </c>
      <c r="E13" s="51" t="s">
        <v>278</v>
      </c>
      <c r="F13" s="51" t="s">
        <v>279</v>
      </c>
      <c r="G13" s="51" t="s">
        <v>260</v>
      </c>
      <c r="H13" s="51" t="s">
        <v>261</v>
      </c>
      <c r="I13" s="51" t="s">
        <v>282</v>
      </c>
      <c r="J13" s="96" t="s">
        <v>283</v>
      </c>
      <c r="K13" s="104" t="s">
        <v>280</v>
      </c>
      <c r="L13" s="104" t="s">
        <v>197</v>
      </c>
      <c r="M13" s="97" t="s">
        <v>289</v>
      </c>
      <c r="N13" s="51" t="s">
        <v>284</v>
      </c>
      <c r="O13" s="103" t="s">
        <v>203</v>
      </c>
      <c r="P13" s="103" t="s">
        <v>204</v>
      </c>
      <c r="Q13" s="107">
        <v>42443.16</v>
      </c>
      <c r="R13" s="105">
        <v>42500</v>
      </c>
      <c r="S13" s="105">
        <v>42500</v>
      </c>
      <c r="T13" s="105">
        <v>43562.499999999993</v>
      </c>
      <c r="U13" s="105">
        <v>44651.562499999985</v>
      </c>
      <c r="V13" s="105">
        <v>45767.851562499978</v>
      </c>
      <c r="W13" s="105">
        <v>46912.047851562471</v>
      </c>
      <c r="X13" s="105">
        <v>48084.84904785153</v>
      </c>
      <c r="Y13" s="105">
        <v>49286.970274047817</v>
      </c>
      <c r="Z13" s="105">
        <v>50519.144530899008</v>
      </c>
      <c r="AA13" s="105">
        <v>51782.123144171477</v>
      </c>
      <c r="AB13" s="105">
        <v>53076.676222775757</v>
      </c>
      <c r="AC13" s="105" t="s">
        <v>383</v>
      </c>
      <c r="AD13" s="105" t="s">
        <v>29</v>
      </c>
      <c r="AE13" s="105" t="s">
        <v>388</v>
      </c>
      <c r="AF13" s="105"/>
      <c r="AG13" s="105">
        <v>0</v>
      </c>
      <c r="AH13" s="103" t="s">
        <v>164</v>
      </c>
      <c r="AI13" s="106">
        <v>0</v>
      </c>
      <c r="AJ13" s="106">
        <v>28295.439999999999</v>
      </c>
      <c r="AK13" s="106">
        <v>42500</v>
      </c>
      <c r="AL13" s="106">
        <v>0</v>
      </c>
      <c r="AM13" s="106">
        <v>14204.56</v>
      </c>
      <c r="AN13" s="106">
        <v>0</v>
      </c>
      <c r="AO13" s="106">
        <v>28295.439999999999</v>
      </c>
      <c r="AP13" s="103">
        <v>66.576999999999998</v>
      </c>
      <c r="AQ13" s="103">
        <v>27031010</v>
      </c>
      <c r="AR13" s="103" t="s">
        <v>192</v>
      </c>
      <c r="AS13" s="103">
        <v>34</v>
      </c>
      <c r="AT13" s="103">
        <v>0</v>
      </c>
      <c r="AU13" s="103">
        <v>0</v>
      </c>
      <c r="AV13" s="103">
        <v>0</v>
      </c>
      <c r="AW13" s="103">
        <v>0</v>
      </c>
      <c r="AX13" s="103" t="s">
        <v>180</v>
      </c>
      <c r="AY13" s="103">
        <v>0</v>
      </c>
      <c r="AZ13" s="103">
        <v>2</v>
      </c>
      <c r="BA13" s="103" t="s">
        <v>203</v>
      </c>
      <c r="BB13" s="103"/>
      <c r="BC13" s="103" t="s">
        <v>173</v>
      </c>
      <c r="BD13" s="103">
        <v>0</v>
      </c>
      <c r="BE13" s="103"/>
      <c r="BF13" s="103"/>
      <c r="BG13" s="103"/>
      <c r="BH13" s="103"/>
      <c r="BI13" s="103">
        <v>1</v>
      </c>
      <c r="BJ13" s="103">
        <v>1</v>
      </c>
      <c r="BK13" s="103">
        <v>4</v>
      </c>
      <c r="BL13" s="103">
        <v>9</v>
      </c>
      <c r="BM13" s="103" t="s">
        <v>166</v>
      </c>
    </row>
    <row r="14" spans="1:65" x14ac:dyDescent="0.25">
      <c r="A14" s="102" t="s">
        <v>193</v>
      </c>
      <c r="B14" s="103" t="s">
        <v>277</v>
      </c>
      <c r="C14" s="103" t="s">
        <v>253</v>
      </c>
      <c r="D14" s="51" t="s">
        <v>169</v>
      </c>
      <c r="E14" s="51" t="s">
        <v>278</v>
      </c>
      <c r="F14" s="51" t="s">
        <v>279</v>
      </c>
      <c r="G14" s="51" t="s">
        <v>260</v>
      </c>
      <c r="H14" s="51" t="s">
        <v>261</v>
      </c>
      <c r="I14" s="51" t="s">
        <v>282</v>
      </c>
      <c r="J14" s="96" t="s">
        <v>283</v>
      </c>
      <c r="K14" s="104" t="s">
        <v>280</v>
      </c>
      <c r="L14" s="104" t="s">
        <v>197</v>
      </c>
      <c r="M14" s="97" t="s">
        <v>291</v>
      </c>
      <c r="N14" s="51" t="s">
        <v>284</v>
      </c>
      <c r="O14" s="103" t="s">
        <v>206</v>
      </c>
      <c r="P14" s="103" t="s">
        <v>207</v>
      </c>
      <c r="Q14" s="107">
        <v>3477.9</v>
      </c>
      <c r="R14" s="105">
        <v>3500</v>
      </c>
      <c r="S14" s="105">
        <v>3500</v>
      </c>
      <c r="T14" s="105">
        <v>3587.4999999999995</v>
      </c>
      <c r="U14" s="105">
        <v>3677.1874999999991</v>
      </c>
      <c r="V14" s="105">
        <v>3769.1171874999986</v>
      </c>
      <c r="W14" s="105">
        <v>3863.3451171874981</v>
      </c>
      <c r="X14" s="105">
        <v>3959.9287451171854</v>
      </c>
      <c r="Y14" s="105">
        <v>4058.9269637451148</v>
      </c>
      <c r="Z14" s="105">
        <v>4160.400137838742</v>
      </c>
      <c r="AA14" s="105">
        <v>4264.4101412847103</v>
      </c>
      <c r="AB14" s="105">
        <v>4371.0203948168273</v>
      </c>
      <c r="AC14" s="105" t="s">
        <v>383</v>
      </c>
      <c r="AD14" s="105" t="s">
        <v>29</v>
      </c>
      <c r="AE14" s="105" t="s">
        <v>388</v>
      </c>
      <c r="AF14" s="105"/>
      <c r="AG14" s="105">
        <v>0</v>
      </c>
      <c r="AH14" s="103" t="s">
        <v>164</v>
      </c>
      <c r="AI14" s="106">
        <v>0</v>
      </c>
      <c r="AJ14" s="106">
        <v>2318.6</v>
      </c>
      <c r="AK14" s="106">
        <v>3500</v>
      </c>
      <c r="AL14" s="106">
        <v>0</v>
      </c>
      <c r="AM14" s="106">
        <v>1181.4000000000001</v>
      </c>
      <c r="AN14" s="106">
        <v>0</v>
      </c>
      <c r="AO14" s="106">
        <v>2318.6</v>
      </c>
      <c r="AP14" s="103">
        <v>66.245000000000005</v>
      </c>
      <c r="AQ14" s="103">
        <v>28345010</v>
      </c>
      <c r="AR14" s="103" t="s">
        <v>192</v>
      </c>
      <c r="AS14" s="103">
        <v>34</v>
      </c>
      <c r="AT14" s="103">
        <v>0</v>
      </c>
      <c r="AU14" s="103">
        <v>0</v>
      </c>
      <c r="AV14" s="103">
        <v>0</v>
      </c>
      <c r="AW14" s="103">
        <v>0</v>
      </c>
      <c r="AX14" s="103" t="s">
        <v>180</v>
      </c>
      <c r="AY14" s="103">
        <v>0</v>
      </c>
      <c r="AZ14" s="103">
        <v>2</v>
      </c>
      <c r="BA14" s="103" t="s">
        <v>206</v>
      </c>
      <c r="BB14" s="103"/>
      <c r="BC14" s="103" t="s">
        <v>168</v>
      </c>
      <c r="BD14" s="103">
        <v>0</v>
      </c>
      <c r="BE14" s="103"/>
      <c r="BF14" s="103"/>
      <c r="BG14" s="103"/>
      <c r="BH14" s="103"/>
      <c r="BI14" s="103">
        <v>1</v>
      </c>
      <c r="BJ14" s="103">
        <v>1</v>
      </c>
      <c r="BK14" s="103">
        <v>4</v>
      </c>
      <c r="BL14" s="103">
        <v>9</v>
      </c>
      <c r="BM14" s="103" t="s">
        <v>166</v>
      </c>
    </row>
    <row r="15" spans="1:65" x14ac:dyDescent="0.25">
      <c r="A15" s="102" t="s">
        <v>193</v>
      </c>
      <c r="B15" s="103" t="s">
        <v>277</v>
      </c>
      <c r="C15" s="103" t="s">
        <v>253</v>
      </c>
      <c r="D15" s="51" t="s">
        <v>169</v>
      </c>
      <c r="E15" s="51" t="s">
        <v>278</v>
      </c>
      <c r="F15" s="51" t="s">
        <v>279</v>
      </c>
      <c r="G15" s="51" t="s">
        <v>260</v>
      </c>
      <c r="H15" s="51" t="s">
        <v>261</v>
      </c>
      <c r="I15" s="51" t="s">
        <v>282</v>
      </c>
      <c r="J15" s="96" t="s">
        <v>283</v>
      </c>
      <c r="K15" s="104" t="s">
        <v>280</v>
      </c>
      <c r="L15" s="104" t="s">
        <v>197</v>
      </c>
      <c r="M15" s="97" t="s">
        <v>292</v>
      </c>
      <c r="N15" s="51" t="s">
        <v>284</v>
      </c>
      <c r="O15" s="103" t="s">
        <v>208</v>
      </c>
      <c r="P15" s="103" t="s">
        <v>209</v>
      </c>
      <c r="Q15" s="107">
        <v>13717.67</v>
      </c>
      <c r="R15" s="105">
        <v>13700</v>
      </c>
      <c r="S15" s="105">
        <v>13700</v>
      </c>
      <c r="T15" s="105">
        <v>14042.499999999998</v>
      </c>
      <c r="U15" s="105">
        <v>14393.562499999996</v>
      </c>
      <c r="V15" s="105">
        <v>14753.401562499996</v>
      </c>
      <c r="W15" s="105">
        <v>15122.236601562494</v>
      </c>
      <c r="X15" s="105">
        <v>15500.292516601556</v>
      </c>
      <c r="Y15" s="105">
        <v>15887.799829516593</v>
      </c>
      <c r="Z15" s="105">
        <v>16284.994825254505</v>
      </c>
      <c r="AA15" s="105">
        <v>16692.119695885867</v>
      </c>
      <c r="AB15" s="105">
        <v>17109.422688283012</v>
      </c>
      <c r="AC15" s="105" t="s">
        <v>383</v>
      </c>
      <c r="AD15" s="105" t="s">
        <v>29</v>
      </c>
      <c r="AE15" s="105" t="s">
        <v>388</v>
      </c>
      <c r="AF15" s="105"/>
      <c r="AG15" s="105">
        <v>0</v>
      </c>
      <c r="AH15" s="103" t="s">
        <v>164</v>
      </c>
      <c r="AI15" s="106">
        <v>0</v>
      </c>
      <c r="AJ15" s="106">
        <v>9145.11</v>
      </c>
      <c r="AK15" s="106">
        <v>13700</v>
      </c>
      <c r="AL15" s="106">
        <v>0</v>
      </c>
      <c r="AM15" s="106">
        <v>4554.8900000000003</v>
      </c>
      <c r="AN15" s="106">
        <v>0</v>
      </c>
      <c r="AO15" s="106">
        <v>9145.11</v>
      </c>
      <c r="AP15" s="103">
        <v>66.751999999999995</v>
      </c>
      <c r="AQ15" s="103">
        <v>24060010</v>
      </c>
      <c r="AR15" s="103" t="s">
        <v>192</v>
      </c>
      <c r="AS15" s="103">
        <v>34</v>
      </c>
      <c r="AT15" s="103">
        <v>0</v>
      </c>
      <c r="AU15" s="103">
        <v>0</v>
      </c>
      <c r="AV15" s="103">
        <v>0</v>
      </c>
      <c r="AW15" s="103">
        <v>0</v>
      </c>
      <c r="AX15" s="103" t="s">
        <v>180</v>
      </c>
      <c r="AY15" s="103">
        <v>0</v>
      </c>
      <c r="AZ15" s="103">
        <v>2</v>
      </c>
      <c r="BA15" s="103" t="s">
        <v>208</v>
      </c>
      <c r="BB15" s="103"/>
      <c r="BC15" s="103" t="s">
        <v>168</v>
      </c>
      <c r="BD15" s="103">
        <v>0</v>
      </c>
      <c r="BE15" s="103"/>
      <c r="BF15" s="103"/>
      <c r="BG15" s="103"/>
      <c r="BH15" s="103"/>
      <c r="BI15" s="103">
        <v>1</v>
      </c>
      <c r="BJ15" s="103">
        <v>1</v>
      </c>
      <c r="BK15" s="103">
        <v>4</v>
      </c>
      <c r="BL15" s="103">
        <v>9</v>
      </c>
      <c r="BM15" s="103" t="s">
        <v>166</v>
      </c>
    </row>
    <row r="16" spans="1:65" x14ac:dyDescent="0.25">
      <c r="A16" s="102" t="s">
        <v>193</v>
      </c>
      <c r="B16" s="103" t="s">
        <v>277</v>
      </c>
      <c r="C16" s="103" t="s">
        <v>253</v>
      </c>
      <c r="D16" s="51" t="s">
        <v>169</v>
      </c>
      <c r="E16" s="51" t="s">
        <v>278</v>
      </c>
      <c r="F16" s="51" t="s">
        <v>279</v>
      </c>
      <c r="G16" s="51" t="s">
        <v>260</v>
      </c>
      <c r="H16" s="51" t="s">
        <v>261</v>
      </c>
      <c r="I16" s="51" t="s">
        <v>282</v>
      </c>
      <c r="J16" s="96" t="s">
        <v>283</v>
      </c>
      <c r="K16" s="104" t="s">
        <v>280</v>
      </c>
      <c r="L16" s="104" t="s">
        <v>197</v>
      </c>
      <c r="M16" s="97" t="s">
        <v>293</v>
      </c>
      <c r="N16" s="51" t="s">
        <v>284</v>
      </c>
      <c r="O16" s="103" t="s">
        <v>210</v>
      </c>
      <c r="P16" s="103" t="s">
        <v>211</v>
      </c>
      <c r="Q16" s="107">
        <v>9408.0400000000009</v>
      </c>
      <c r="R16" s="105">
        <v>10100</v>
      </c>
      <c r="S16" s="105">
        <v>10100</v>
      </c>
      <c r="T16" s="105">
        <v>10352.5</v>
      </c>
      <c r="U16" s="105">
        <v>10611.312499999998</v>
      </c>
      <c r="V16" s="105">
        <v>10876.595312499998</v>
      </c>
      <c r="W16" s="105">
        <v>11148.510195312498</v>
      </c>
      <c r="X16" s="105">
        <v>11427.22295019531</v>
      </c>
      <c r="Y16" s="105">
        <v>11712.903523950192</v>
      </c>
      <c r="Z16" s="105">
        <v>12005.726112048946</v>
      </c>
      <c r="AA16" s="105">
        <v>12305.869264850167</v>
      </c>
      <c r="AB16" s="105">
        <v>12613.51599647142</v>
      </c>
      <c r="AC16" s="105" t="s">
        <v>383</v>
      </c>
      <c r="AD16" s="105" t="s">
        <v>29</v>
      </c>
      <c r="AE16" s="105" t="s">
        <v>388</v>
      </c>
      <c r="AF16" s="105"/>
      <c r="AG16" s="105">
        <v>0</v>
      </c>
      <c r="AH16" s="103" t="s">
        <v>164</v>
      </c>
      <c r="AI16" s="106">
        <v>0</v>
      </c>
      <c r="AJ16" s="106">
        <v>6272.03</v>
      </c>
      <c r="AK16" s="106">
        <v>10100</v>
      </c>
      <c r="AL16" s="106">
        <v>0</v>
      </c>
      <c r="AM16" s="106">
        <v>3827.97</v>
      </c>
      <c r="AN16" s="106">
        <v>0</v>
      </c>
      <c r="AO16" s="106">
        <v>6272.03</v>
      </c>
      <c r="AP16" s="103">
        <v>62.098999999999997</v>
      </c>
      <c r="AQ16" s="103">
        <v>24035010</v>
      </c>
      <c r="AR16" s="103" t="s">
        <v>192</v>
      </c>
      <c r="AS16" s="103">
        <v>34</v>
      </c>
      <c r="AT16" s="103">
        <v>0</v>
      </c>
      <c r="AU16" s="103">
        <v>0</v>
      </c>
      <c r="AV16" s="103">
        <v>0</v>
      </c>
      <c r="AW16" s="103">
        <v>0</v>
      </c>
      <c r="AX16" s="103" t="s">
        <v>180</v>
      </c>
      <c r="AY16" s="103">
        <v>0</v>
      </c>
      <c r="AZ16" s="103">
        <v>2</v>
      </c>
      <c r="BA16" s="103" t="s">
        <v>210</v>
      </c>
      <c r="BB16" s="103"/>
      <c r="BC16" s="103" t="s">
        <v>168</v>
      </c>
      <c r="BD16" s="103">
        <v>0</v>
      </c>
      <c r="BE16" s="103"/>
      <c r="BF16" s="103"/>
      <c r="BG16" s="103"/>
      <c r="BH16" s="103"/>
      <c r="BI16" s="103">
        <v>1</v>
      </c>
      <c r="BJ16" s="103">
        <v>1</v>
      </c>
      <c r="BK16" s="103">
        <v>4</v>
      </c>
      <c r="BL16" s="103">
        <v>9</v>
      </c>
      <c r="BM16" s="103" t="s">
        <v>166</v>
      </c>
    </row>
    <row r="17" spans="1:65" x14ac:dyDescent="0.25">
      <c r="A17" s="102" t="s">
        <v>193</v>
      </c>
      <c r="B17" s="103" t="s">
        <v>277</v>
      </c>
      <c r="C17" s="103" t="s">
        <v>253</v>
      </c>
      <c r="D17" s="51" t="s">
        <v>169</v>
      </c>
      <c r="E17" s="51" t="s">
        <v>278</v>
      </c>
      <c r="F17" s="51" t="s">
        <v>279</v>
      </c>
      <c r="G17" s="51" t="s">
        <v>260</v>
      </c>
      <c r="H17" s="51" t="s">
        <v>261</v>
      </c>
      <c r="I17" s="51" t="s">
        <v>282</v>
      </c>
      <c r="J17" s="96" t="s">
        <v>283</v>
      </c>
      <c r="K17" s="104" t="s">
        <v>280</v>
      </c>
      <c r="L17" s="104" t="s">
        <v>197</v>
      </c>
      <c r="M17" s="97" t="s">
        <v>294</v>
      </c>
      <c r="N17" s="51" t="s">
        <v>284</v>
      </c>
      <c r="O17" s="103" t="s">
        <v>212</v>
      </c>
      <c r="P17" s="103" t="s">
        <v>213</v>
      </c>
      <c r="Q17" s="107">
        <v>61401.64</v>
      </c>
      <c r="R17" s="105">
        <v>62500</v>
      </c>
      <c r="S17" s="105">
        <v>62500</v>
      </c>
      <c r="T17" s="105">
        <v>64062.499999999993</v>
      </c>
      <c r="U17" s="105">
        <v>65664.062499999985</v>
      </c>
      <c r="V17" s="105">
        <v>67305.664062499985</v>
      </c>
      <c r="W17" s="105">
        <v>68988.305664062485</v>
      </c>
      <c r="X17" s="105">
        <v>70713.013305664048</v>
      </c>
      <c r="Y17" s="105">
        <v>72480.83863830565</v>
      </c>
      <c r="Z17" s="105">
        <v>74292.859604263285</v>
      </c>
      <c r="AA17" s="105">
        <v>76150.181094369866</v>
      </c>
      <c r="AB17" s="105">
        <v>78053.935621729106</v>
      </c>
      <c r="AC17" s="105" t="s">
        <v>383</v>
      </c>
      <c r="AD17" s="105" t="s">
        <v>29</v>
      </c>
      <c r="AE17" s="105" t="s">
        <v>388</v>
      </c>
      <c r="AF17" s="105"/>
      <c r="AG17" s="105">
        <v>0</v>
      </c>
      <c r="AH17" s="103" t="s">
        <v>164</v>
      </c>
      <c r="AI17" s="106">
        <v>0</v>
      </c>
      <c r="AJ17" s="106">
        <v>40934.43</v>
      </c>
      <c r="AK17" s="106">
        <v>62500</v>
      </c>
      <c r="AL17" s="106">
        <v>0</v>
      </c>
      <c r="AM17" s="106">
        <v>21565.57</v>
      </c>
      <c r="AN17" s="106">
        <v>0</v>
      </c>
      <c r="AO17" s="106">
        <v>40934.43</v>
      </c>
      <c r="AP17" s="103">
        <v>65.495000000000005</v>
      </c>
      <c r="AQ17" s="103">
        <v>20064004</v>
      </c>
      <c r="AR17" s="103" t="s">
        <v>192</v>
      </c>
      <c r="AS17" s="103">
        <v>34</v>
      </c>
      <c r="AT17" s="103">
        <v>0</v>
      </c>
      <c r="AU17" s="103">
        <v>0</v>
      </c>
      <c r="AV17" s="103">
        <v>0</v>
      </c>
      <c r="AW17" s="103">
        <v>0</v>
      </c>
      <c r="AX17" s="103" t="s">
        <v>180</v>
      </c>
      <c r="AY17" s="103">
        <v>0</v>
      </c>
      <c r="AZ17" s="103">
        <v>2</v>
      </c>
      <c r="BA17" s="103" t="s">
        <v>212</v>
      </c>
      <c r="BB17" s="103"/>
      <c r="BC17" s="103" t="s">
        <v>168</v>
      </c>
      <c r="BD17" s="103">
        <v>0</v>
      </c>
      <c r="BE17" s="103"/>
      <c r="BF17" s="103"/>
      <c r="BG17" s="103"/>
      <c r="BH17" s="103"/>
      <c r="BI17" s="103">
        <v>1</v>
      </c>
      <c r="BJ17" s="103">
        <v>1</v>
      </c>
      <c r="BK17" s="103">
        <v>4</v>
      </c>
      <c r="BL17" s="103">
        <v>9</v>
      </c>
      <c r="BM17" s="103" t="s">
        <v>166</v>
      </c>
    </row>
    <row r="18" spans="1:65" x14ac:dyDescent="0.25">
      <c r="A18" s="102" t="s">
        <v>193</v>
      </c>
      <c r="B18" s="103" t="s">
        <v>277</v>
      </c>
      <c r="C18" s="103" t="s">
        <v>253</v>
      </c>
      <c r="D18" s="51" t="s">
        <v>169</v>
      </c>
      <c r="E18" s="51" t="s">
        <v>278</v>
      </c>
      <c r="F18" s="51" t="s">
        <v>279</v>
      </c>
      <c r="G18" s="51" t="s">
        <v>260</v>
      </c>
      <c r="H18" s="51" t="s">
        <v>261</v>
      </c>
      <c r="I18" s="51" t="s">
        <v>282</v>
      </c>
      <c r="J18" s="96" t="s">
        <v>283</v>
      </c>
      <c r="K18" s="104" t="s">
        <v>280</v>
      </c>
      <c r="L18" s="104" t="s">
        <v>197</v>
      </c>
      <c r="M18" s="97" t="s">
        <v>303</v>
      </c>
      <c r="N18" s="51" t="s">
        <v>284</v>
      </c>
      <c r="O18" s="103" t="s">
        <v>235</v>
      </c>
      <c r="P18" s="103" t="s">
        <v>236</v>
      </c>
      <c r="Q18" s="98">
        <v>8728.0499999999993</v>
      </c>
      <c r="R18" s="105">
        <v>8700</v>
      </c>
      <c r="S18" s="105">
        <v>8700</v>
      </c>
      <c r="T18" s="105">
        <v>8917.5</v>
      </c>
      <c r="U18" s="105">
        <v>9140.4375</v>
      </c>
      <c r="V18" s="105">
        <v>9368.9484374999993</v>
      </c>
      <c r="W18" s="105">
        <v>9603.1721484374975</v>
      </c>
      <c r="X18" s="105">
        <v>9843.2514521484336</v>
      </c>
      <c r="Y18" s="105">
        <v>10089.332738452144</v>
      </c>
      <c r="Z18" s="105">
        <v>10341.566056913447</v>
      </c>
      <c r="AA18" s="105">
        <v>10600.105208336283</v>
      </c>
      <c r="AB18" s="105">
        <v>10865.107838544689</v>
      </c>
      <c r="AC18" s="105" t="s">
        <v>383</v>
      </c>
      <c r="AD18" s="105" t="s">
        <v>29</v>
      </c>
      <c r="AE18" s="105">
        <v>0</v>
      </c>
      <c r="AF18" s="105"/>
      <c r="AG18" s="105">
        <v>0</v>
      </c>
      <c r="AH18" s="103" t="s">
        <v>164</v>
      </c>
      <c r="AI18" s="106">
        <v>0</v>
      </c>
      <c r="AJ18" s="106">
        <v>5818.7</v>
      </c>
      <c r="AK18" s="106">
        <v>8700</v>
      </c>
      <c r="AL18" s="106">
        <v>0</v>
      </c>
      <c r="AM18" s="106">
        <v>2881.3</v>
      </c>
      <c r="AN18" s="106">
        <v>0</v>
      </c>
      <c r="AO18" s="106">
        <v>5818.7</v>
      </c>
      <c r="AP18" s="103">
        <v>66.881</v>
      </c>
      <c r="AQ18" s="103">
        <v>33050010</v>
      </c>
      <c r="AR18" s="103" t="s">
        <v>192</v>
      </c>
      <c r="AS18" s="103">
        <v>34</v>
      </c>
      <c r="AT18" s="103">
        <v>0</v>
      </c>
      <c r="AU18" s="103">
        <v>0</v>
      </c>
      <c r="AV18" s="103">
        <v>0</v>
      </c>
      <c r="AW18" s="103">
        <v>0</v>
      </c>
      <c r="AX18" s="103" t="s">
        <v>180</v>
      </c>
      <c r="AY18" s="103">
        <v>0</v>
      </c>
      <c r="AZ18" s="103">
        <v>2</v>
      </c>
      <c r="BA18" s="103" t="s">
        <v>235</v>
      </c>
      <c r="BB18" s="103"/>
      <c r="BC18" s="103" t="s">
        <v>168</v>
      </c>
      <c r="BD18" s="103">
        <v>0</v>
      </c>
      <c r="BE18" s="103"/>
      <c r="BF18" s="103"/>
      <c r="BG18" s="103"/>
      <c r="BH18" s="103"/>
      <c r="BI18" s="103">
        <v>1</v>
      </c>
      <c r="BJ18" s="103">
        <v>1</v>
      </c>
      <c r="BK18" s="103">
        <v>4</v>
      </c>
      <c r="BL18" s="103">
        <v>9</v>
      </c>
      <c r="BM18" s="103" t="s">
        <v>166</v>
      </c>
    </row>
    <row r="19" spans="1:65" x14ac:dyDescent="0.25">
      <c r="A19" s="102" t="s">
        <v>218</v>
      </c>
      <c r="B19" s="103" t="s">
        <v>250</v>
      </c>
      <c r="C19" s="103" t="s">
        <v>251</v>
      </c>
      <c r="D19" s="51" t="s">
        <v>170</v>
      </c>
      <c r="E19" s="51" t="s">
        <v>252</v>
      </c>
      <c r="F19" s="51" t="s">
        <v>176</v>
      </c>
      <c r="G19" s="51" t="s">
        <v>260</v>
      </c>
      <c r="H19" s="51" t="s">
        <v>261</v>
      </c>
      <c r="I19" s="51" t="s">
        <v>282</v>
      </c>
      <c r="J19" s="96" t="s">
        <v>297</v>
      </c>
      <c r="K19" s="104" t="s">
        <v>267</v>
      </c>
      <c r="L19" s="104" t="s">
        <v>243</v>
      </c>
      <c r="M19" s="97" t="s">
        <v>386</v>
      </c>
      <c r="N19" s="51" t="s">
        <v>284</v>
      </c>
      <c r="O19" s="103" t="s">
        <v>241</v>
      </c>
      <c r="P19" s="103" t="s">
        <v>242</v>
      </c>
      <c r="Q19" s="98">
        <v>87194.99</v>
      </c>
      <c r="R19" s="105">
        <v>89400</v>
      </c>
      <c r="S19" s="105">
        <v>89400</v>
      </c>
      <c r="T19" s="105">
        <v>91634.999999999985</v>
      </c>
      <c r="U19" s="105">
        <v>93925.874999999971</v>
      </c>
      <c r="V19" s="105">
        <v>96274.021874999962</v>
      </c>
      <c r="W19" s="105">
        <v>98680.872421874956</v>
      </c>
      <c r="X19" s="105">
        <v>101147.89423242182</v>
      </c>
      <c r="Y19" s="105">
        <v>103676.59158823236</v>
      </c>
      <c r="Z19" s="105">
        <v>106268.50637793816</v>
      </c>
      <c r="AA19" s="105">
        <v>108925.2190373866</v>
      </c>
      <c r="AB19" s="105">
        <v>111648.34951332126</v>
      </c>
      <c r="AC19" s="105" t="s">
        <v>383</v>
      </c>
      <c r="AD19" s="105" t="s">
        <v>29</v>
      </c>
      <c r="AE19" s="105">
        <v>0</v>
      </c>
      <c r="AF19" s="105"/>
      <c r="AG19" s="105">
        <v>0</v>
      </c>
      <c r="AH19" s="103" t="s">
        <v>181</v>
      </c>
      <c r="AI19" s="106">
        <v>0</v>
      </c>
      <c r="AJ19" s="106">
        <v>58129.99</v>
      </c>
      <c r="AK19" s="106">
        <v>89400</v>
      </c>
      <c r="AL19" s="106">
        <v>0</v>
      </c>
      <c r="AM19" s="106">
        <v>31270.01</v>
      </c>
      <c r="AN19" s="106">
        <v>0</v>
      </c>
      <c r="AO19" s="106">
        <v>58129.99</v>
      </c>
      <c r="AP19" s="103">
        <v>65.022000000000006</v>
      </c>
      <c r="AQ19" s="103">
        <v>20011004</v>
      </c>
      <c r="AR19" s="103" t="s">
        <v>175</v>
      </c>
      <c r="AS19" s="103">
        <v>15</v>
      </c>
      <c r="AT19" s="103">
        <v>0</v>
      </c>
      <c r="AU19" s="103">
        <v>0</v>
      </c>
      <c r="AV19" s="103">
        <v>0</v>
      </c>
      <c r="AW19" s="103">
        <v>0</v>
      </c>
      <c r="AX19" s="103" t="s">
        <v>180</v>
      </c>
      <c r="AY19" s="103">
        <v>0</v>
      </c>
      <c r="AZ19" s="103">
        <v>1</v>
      </c>
      <c r="BA19" s="103" t="s">
        <v>241</v>
      </c>
      <c r="BB19" s="103"/>
      <c r="BC19" s="103" t="s">
        <v>188</v>
      </c>
      <c r="BD19" s="103">
        <v>0</v>
      </c>
      <c r="BE19" s="103"/>
      <c r="BF19" s="103"/>
      <c r="BG19" s="103"/>
      <c r="BH19" s="103"/>
      <c r="BI19" s="103">
        <v>1</v>
      </c>
      <c r="BJ19" s="103">
        <v>1</v>
      </c>
      <c r="BK19" s="103">
        <v>1</v>
      </c>
      <c r="BL19" s="103">
        <v>6</v>
      </c>
      <c r="BM19" s="103" t="s">
        <v>182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topLeftCell="A2" workbookViewId="0">
      <selection activeCell="C21" sqref="C21"/>
    </sheetView>
  </sheetViews>
  <sheetFormatPr defaultColWidth="9.109375" defaultRowHeight="13.2" x14ac:dyDescent="0.25"/>
  <cols>
    <col min="1" max="1" width="38.44140625" style="110" customWidth="1"/>
    <col min="2" max="2" width="10.109375" style="110" customWidth="1"/>
    <col min="3" max="3" width="10.33203125" style="110" customWidth="1"/>
    <col min="4" max="6" width="12.88671875" style="110" customWidth="1"/>
    <col min="7" max="7" width="39.33203125" style="110" customWidth="1"/>
    <col min="8" max="8" width="11" style="110" bestFit="1" customWidth="1"/>
    <col min="9" max="9" width="9.109375" style="110"/>
    <col min="10" max="11" width="12.5546875" style="110" customWidth="1"/>
    <col min="12" max="16384" width="9.109375" style="110"/>
  </cols>
  <sheetData>
    <row r="1" spans="1:11" ht="18" x14ac:dyDescent="0.25">
      <c r="A1" s="313" t="s">
        <v>1317</v>
      </c>
    </row>
    <row r="3" spans="1:11" ht="12.75" x14ac:dyDescent="0.2">
      <c r="A3" s="311" t="s">
        <v>905</v>
      </c>
    </row>
    <row r="4" spans="1:11" ht="12.75" x14ac:dyDescent="0.2">
      <c r="H4" s="312" t="s">
        <v>7</v>
      </c>
    </row>
    <row r="5" spans="1:11" ht="52.5" customHeight="1" x14ac:dyDescent="0.25">
      <c r="A5" s="420" t="s">
        <v>1106</v>
      </c>
      <c r="B5" s="419" t="str">
        <f>'Scenarios &amp; Version Control'!A5</f>
        <v>Scenario 1 - Base Case (BAU)</v>
      </c>
      <c r="C5" s="419"/>
      <c r="D5" s="419" t="str">
        <f>'Scenarios &amp; Version Control'!A7</f>
        <v>Scenario 2 - SRV with proactive response</v>
      </c>
      <c r="E5" s="419" t="str">
        <f>'Scenarios &amp; Version Control'!A11</f>
        <v>Scenario 3 - SRV with Mine revenue reduction</v>
      </c>
      <c r="G5" s="420" t="s">
        <v>907</v>
      </c>
      <c r="H5" s="419" t="str">
        <f>B5</f>
        <v>Scenario 1 - Base Case (BAU)</v>
      </c>
      <c r="I5" s="419"/>
      <c r="J5" s="419" t="str">
        <f>D5:D5</f>
        <v>Scenario 2 - SRV with proactive response</v>
      </c>
      <c r="K5" s="419" t="str">
        <f>E5</f>
        <v>Scenario 3 - SRV with Mine revenue reduction</v>
      </c>
    </row>
    <row r="6" spans="1:11" ht="12.75" x14ac:dyDescent="0.2">
      <c r="A6" s="413" t="s">
        <v>404</v>
      </c>
      <c r="B6" s="414">
        <v>1.4999999999999999E-2</v>
      </c>
      <c r="C6" s="415" t="s">
        <v>585</v>
      </c>
      <c r="D6" s="414">
        <f>B6</f>
        <v>1.4999999999999999E-2</v>
      </c>
      <c r="E6" s="414">
        <f>B6</f>
        <v>1.4999999999999999E-2</v>
      </c>
      <c r="G6" s="413" t="s">
        <v>404</v>
      </c>
      <c r="H6" s="414">
        <v>2.5000000000000001E-2</v>
      </c>
      <c r="I6" s="415" t="s">
        <v>585</v>
      </c>
      <c r="J6" s="414">
        <f>H6</f>
        <v>2.5000000000000001E-2</v>
      </c>
      <c r="K6" s="414">
        <f>H6</f>
        <v>2.5000000000000001E-2</v>
      </c>
    </row>
    <row r="7" spans="1:11" ht="12.75" x14ac:dyDescent="0.2">
      <c r="A7" s="415" t="s">
        <v>1109</v>
      </c>
      <c r="B7" s="414"/>
      <c r="C7" s="415"/>
      <c r="D7" s="414"/>
      <c r="E7" s="414"/>
      <c r="G7" s="415" t="s">
        <v>1109</v>
      </c>
      <c r="H7" s="414"/>
      <c r="I7" s="415"/>
      <c r="J7" s="414"/>
      <c r="K7" s="414"/>
    </row>
    <row r="8" spans="1:11" ht="23.25" customHeight="1" x14ac:dyDescent="0.2">
      <c r="A8" s="415" t="s">
        <v>1313</v>
      </c>
      <c r="B8" s="414">
        <v>1.4999999999999999E-2</v>
      </c>
      <c r="C8" s="416"/>
      <c r="D8" s="414">
        <v>0</v>
      </c>
      <c r="E8" s="414">
        <v>0</v>
      </c>
      <c r="F8" s="814"/>
      <c r="G8" s="415" t="s">
        <v>1313</v>
      </c>
      <c r="H8" s="414">
        <v>2.5000000000000001E-2</v>
      </c>
      <c r="I8" s="416"/>
      <c r="J8" s="414">
        <v>0</v>
      </c>
      <c r="K8" s="414">
        <v>0</v>
      </c>
    </row>
    <row r="9" spans="1:11" ht="12.75" x14ac:dyDescent="0.2">
      <c r="A9" s="413" t="s">
        <v>405</v>
      </c>
      <c r="B9" s="414">
        <v>0.03</v>
      </c>
      <c r="C9" s="415"/>
      <c r="D9" s="414">
        <f>B9</f>
        <v>0.03</v>
      </c>
      <c r="E9" s="414">
        <f>B9</f>
        <v>0.03</v>
      </c>
      <c r="F9" s="814"/>
      <c r="G9" s="413" t="s">
        <v>405</v>
      </c>
      <c r="H9" s="414">
        <v>0.03</v>
      </c>
      <c r="I9" s="415"/>
      <c r="J9" s="414">
        <f>H9</f>
        <v>0.03</v>
      </c>
      <c r="K9" s="414">
        <f>H9</f>
        <v>0.03</v>
      </c>
    </row>
    <row r="10" spans="1:11" ht="12.75" x14ac:dyDescent="0.2">
      <c r="A10" s="413" t="s">
        <v>406</v>
      </c>
      <c r="B10" s="414">
        <v>0.01</v>
      </c>
      <c r="C10" s="415"/>
      <c r="D10" s="414">
        <f t="shared" ref="D10:D17" si="0">B10</f>
        <v>0.01</v>
      </c>
      <c r="E10" s="414">
        <f t="shared" ref="E10:E17" si="1">B10</f>
        <v>0.01</v>
      </c>
      <c r="F10" s="814"/>
      <c r="G10" s="413" t="s">
        <v>406</v>
      </c>
      <c r="H10" s="414">
        <v>2.5000000000000001E-2</v>
      </c>
      <c r="I10" s="415"/>
      <c r="J10" s="414">
        <f t="shared" ref="J10:J17" si="2">H10</f>
        <v>2.5000000000000001E-2</v>
      </c>
      <c r="K10" s="414">
        <f t="shared" ref="K10:K17" si="3">H10</f>
        <v>2.5000000000000001E-2</v>
      </c>
    </row>
    <row r="11" spans="1:11" ht="12.75" x14ac:dyDescent="0.2">
      <c r="A11" s="413"/>
      <c r="B11" s="414"/>
      <c r="C11" s="415"/>
      <c r="D11" s="414"/>
      <c r="E11" s="414"/>
      <c r="F11" s="814"/>
      <c r="G11" s="413"/>
      <c r="H11" s="414"/>
      <c r="I11" s="415"/>
      <c r="J11" s="414"/>
      <c r="K11" s="414"/>
    </row>
    <row r="12" spans="1:11" ht="12.75" x14ac:dyDescent="0.2">
      <c r="A12" s="413" t="s">
        <v>407</v>
      </c>
      <c r="B12" s="414">
        <v>2.4E-2</v>
      </c>
      <c r="C12" s="415"/>
      <c r="D12" s="414">
        <f t="shared" si="0"/>
        <v>2.4E-2</v>
      </c>
      <c r="E12" s="414">
        <f t="shared" si="1"/>
        <v>2.4E-2</v>
      </c>
      <c r="F12" s="814"/>
      <c r="G12" s="413" t="s">
        <v>407</v>
      </c>
      <c r="H12" s="414">
        <v>0.02</v>
      </c>
      <c r="I12" s="415"/>
      <c r="J12" s="414">
        <f t="shared" si="2"/>
        <v>0.02</v>
      </c>
      <c r="K12" s="414">
        <f t="shared" si="3"/>
        <v>0.02</v>
      </c>
    </row>
    <row r="13" spans="1:11" ht="12.75" x14ac:dyDescent="0.2">
      <c r="A13" s="413" t="s">
        <v>408</v>
      </c>
      <c r="B13" s="414">
        <v>0.02</v>
      </c>
      <c r="C13" s="415"/>
      <c r="D13" s="414">
        <f t="shared" si="0"/>
        <v>0.02</v>
      </c>
      <c r="E13" s="414">
        <f t="shared" si="1"/>
        <v>0.02</v>
      </c>
      <c r="F13" s="814"/>
      <c r="G13" s="413" t="s">
        <v>408</v>
      </c>
      <c r="H13" s="414">
        <v>0.02</v>
      </c>
      <c r="I13" s="415"/>
      <c r="J13" s="414">
        <f t="shared" si="2"/>
        <v>0.02</v>
      </c>
      <c r="K13" s="414">
        <f t="shared" si="3"/>
        <v>0.02</v>
      </c>
    </row>
    <row r="14" spans="1:11" ht="12.75" x14ac:dyDescent="0.2">
      <c r="A14" s="413" t="s">
        <v>28</v>
      </c>
      <c r="B14" s="414">
        <v>0.02</v>
      </c>
      <c r="C14" s="415"/>
      <c r="D14" s="414">
        <f t="shared" si="0"/>
        <v>0.02</v>
      </c>
      <c r="E14" s="414">
        <f t="shared" si="1"/>
        <v>0.02</v>
      </c>
      <c r="F14" s="814"/>
      <c r="G14" s="413" t="s">
        <v>28</v>
      </c>
      <c r="H14" s="414">
        <v>0.02</v>
      </c>
      <c r="I14" s="415"/>
      <c r="J14" s="414">
        <f t="shared" si="2"/>
        <v>0.02</v>
      </c>
      <c r="K14" s="414">
        <f t="shared" si="3"/>
        <v>0.02</v>
      </c>
    </row>
    <row r="15" spans="1:11" ht="12.75" x14ac:dyDescent="0.2">
      <c r="A15" s="413" t="s">
        <v>409</v>
      </c>
      <c r="B15" s="414">
        <v>0.03</v>
      </c>
      <c r="C15" s="415"/>
      <c r="D15" s="414">
        <f t="shared" si="0"/>
        <v>0.03</v>
      </c>
      <c r="E15" s="414">
        <f t="shared" si="1"/>
        <v>0.03</v>
      </c>
      <c r="F15" s="814"/>
      <c r="G15" s="413" t="s">
        <v>409</v>
      </c>
      <c r="H15" s="414">
        <v>0.02</v>
      </c>
      <c r="I15" s="415"/>
      <c r="J15" s="414">
        <f t="shared" si="2"/>
        <v>0.02</v>
      </c>
      <c r="K15" s="414">
        <f t="shared" si="3"/>
        <v>0.02</v>
      </c>
    </row>
    <row r="16" spans="1:11" ht="12.75" x14ac:dyDescent="0.2">
      <c r="A16" s="415" t="s">
        <v>584</v>
      </c>
      <c r="B16" s="414">
        <v>0.02</v>
      </c>
      <c r="C16" s="415"/>
      <c r="D16" s="414">
        <f t="shared" si="0"/>
        <v>0.02</v>
      </c>
      <c r="E16" s="414">
        <f t="shared" si="1"/>
        <v>0.02</v>
      </c>
      <c r="F16" s="814"/>
      <c r="G16" s="415" t="s">
        <v>584</v>
      </c>
      <c r="H16" s="414">
        <v>2.5000000000000001E-2</v>
      </c>
      <c r="I16" s="415"/>
      <c r="J16" s="414">
        <f t="shared" si="2"/>
        <v>2.5000000000000001E-2</v>
      </c>
      <c r="K16" s="414">
        <f t="shared" si="3"/>
        <v>2.5000000000000001E-2</v>
      </c>
    </row>
    <row r="17" spans="1:11" ht="12.75" x14ac:dyDescent="0.2">
      <c r="A17" s="417" t="s">
        <v>412</v>
      </c>
      <c r="B17" s="418">
        <v>2.5000000000000001E-2</v>
      </c>
      <c r="C17" s="417"/>
      <c r="D17" s="414">
        <f t="shared" si="0"/>
        <v>2.5000000000000001E-2</v>
      </c>
      <c r="E17" s="414">
        <f t="shared" si="1"/>
        <v>2.5000000000000001E-2</v>
      </c>
      <c r="F17" s="814"/>
      <c r="G17" s="417" t="s">
        <v>412</v>
      </c>
      <c r="H17" s="418">
        <v>0.04</v>
      </c>
      <c r="I17" s="417"/>
      <c r="J17" s="414">
        <f t="shared" si="2"/>
        <v>0.04</v>
      </c>
      <c r="K17" s="414">
        <f t="shared" si="3"/>
        <v>0.04</v>
      </c>
    </row>
    <row r="18" spans="1:11" ht="12.75" x14ac:dyDescent="0.2">
      <c r="A18" s="815" t="s">
        <v>1108</v>
      </c>
      <c r="B18" s="418"/>
      <c r="C18" s="417"/>
      <c r="D18" s="414"/>
      <c r="E18" s="414"/>
      <c r="F18" s="814"/>
      <c r="G18" s="815" t="s">
        <v>1108</v>
      </c>
      <c r="H18" s="418">
        <v>0.04</v>
      </c>
      <c r="I18" s="417"/>
      <c r="J18" s="414">
        <f t="shared" ref="J18:J19" si="4">H18</f>
        <v>0.04</v>
      </c>
      <c r="K18" s="414">
        <f t="shared" ref="K18:K19" si="5">H18</f>
        <v>0.04</v>
      </c>
    </row>
    <row r="19" spans="1:11" ht="12.75" x14ac:dyDescent="0.2">
      <c r="A19" s="417"/>
      <c r="B19" s="418"/>
      <c r="C19" s="417"/>
      <c r="D19" s="414"/>
      <c r="E19" s="414"/>
      <c r="F19" s="814"/>
      <c r="G19" s="417"/>
      <c r="H19" s="414"/>
      <c r="I19" s="417"/>
      <c r="J19" s="414">
        <f t="shared" si="4"/>
        <v>0</v>
      </c>
      <c r="K19" s="414">
        <f t="shared" si="5"/>
        <v>0</v>
      </c>
    </row>
    <row r="22" spans="1:11" ht="64.5" x14ac:dyDescent="0.25">
      <c r="A22" s="420" t="s">
        <v>1107</v>
      </c>
      <c r="B22" s="419" t="str">
        <f>B5</f>
        <v>Scenario 1 - Base Case (BAU)</v>
      </c>
      <c r="C22" s="419"/>
      <c r="D22" s="419" t="str">
        <f t="shared" ref="D22:E22" si="6">D5</f>
        <v>Scenario 2 - SRV with proactive response</v>
      </c>
      <c r="E22" s="419" t="str">
        <f t="shared" si="6"/>
        <v>Scenario 3 - SRV with Mine revenue reduction</v>
      </c>
    </row>
    <row r="23" spans="1:11" ht="12.75" x14ac:dyDescent="0.2">
      <c r="A23" s="413" t="s">
        <v>404</v>
      </c>
      <c r="B23" s="414">
        <v>2.5000000000000001E-2</v>
      </c>
      <c r="C23" s="415" t="s">
        <v>585</v>
      </c>
      <c r="D23" s="414">
        <f>B23</f>
        <v>2.5000000000000001E-2</v>
      </c>
      <c r="E23" s="414">
        <f>B23</f>
        <v>2.5000000000000001E-2</v>
      </c>
    </row>
    <row r="24" spans="1:11" ht="12.75" x14ac:dyDescent="0.2">
      <c r="A24" s="415" t="s">
        <v>1109</v>
      </c>
      <c r="B24" s="414"/>
      <c r="C24" s="415"/>
      <c r="D24" s="414"/>
      <c r="E24" s="414"/>
    </row>
    <row r="25" spans="1:11" ht="12.75" x14ac:dyDescent="0.2">
      <c r="A25" s="415" t="s">
        <v>1313</v>
      </c>
      <c r="B25" s="414">
        <v>2.5000000000000001E-2</v>
      </c>
      <c r="C25" s="416"/>
      <c r="D25" s="414">
        <f t="shared" ref="D25:D36" si="7">B25</f>
        <v>2.5000000000000001E-2</v>
      </c>
      <c r="E25" s="414">
        <f t="shared" ref="E25:E36" si="8">B25</f>
        <v>2.5000000000000001E-2</v>
      </c>
    </row>
    <row r="26" spans="1:11" ht="12.75" x14ac:dyDescent="0.2">
      <c r="A26" s="413" t="s">
        <v>405</v>
      </c>
      <c r="B26" s="414">
        <v>0.03</v>
      </c>
      <c r="C26" s="415"/>
      <c r="D26" s="414">
        <f t="shared" si="7"/>
        <v>0.03</v>
      </c>
      <c r="E26" s="414">
        <f t="shared" si="8"/>
        <v>0.03</v>
      </c>
    </row>
    <row r="27" spans="1:11" ht="12.75" x14ac:dyDescent="0.2">
      <c r="A27" s="413" t="s">
        <v>406</v>
      </c>
      <c r="B27" s="414">
        <v>2.5000000000000001E-2</v>
      </c>
      <c r="C27" s="415"/>
      <c r="D27" s="414">
        <f t="shared" si="7"/>
        <v>2.5000000000000001E-2</v>
      </c>
      <c r="E27" s="414">
        <f t="shared" si="8"/>
        <v>2.5000000000000001E-2</v>
      </c>
    </row>
    <row r="28" spans="1:11" ht="12.75" x14ac:dyDescent="0.2">
      <c r="A28" s="413"/>
      <c r="B28" s="414"/>
      <c r="C28" s="415"/>
      <c r="D28" s="414">
        <f t="shared" si="7"/>
        <v>0</v>
      </c>
      <c r="E28" s="414">
        <f t="shared" si="8"/>
        <v>0</v>
      </c>
    </row>
    <row r="29" spans="1:11" ht="12.75" x14ac:dyDescent="0.2">
      <c r="A29" s="413" t="s">
        <v>407</v>
      </c>
      <c r="B29" s="414">
        <v>0.02</v>
      </c>
      <c r="C29" s="415"/>
      <c r="D29" s="414">
        <f t="shared" si="7"/>
        <v>0.02</v>
      </c>
      <c r="E29" s="414">
        <f t="shared" si="8"/>
        <v>0.02</v>
      </c>
    </row>
    <row r="30" spans="1:11" x14ac:dyDescent="0.25">
      <c r="A30" s="413" t="s">
        <v>408</v>
      </c>
      <c r="B30" s="414">
        <v>0.02</v>
      </c>
      <c r="C30" s="415"/>
      <c r="D30" s="414">
        <f t="shared" si="7"/>
        <v>0.02</v>
      </c>
      <c r="E30" s="414">
        <f t="shared" si="8"/>
        <v>0.02</v>
      </c>
    </row>
    <row r="31" spans="1:11" x14ac:dyDescent="0.25">
      <c r="A31" s="413" t="s">
        <v>28</v>
      </c>
      <c r="B31" s="414">
        <v>0.02</v>
      </c>
      <c r="C31" s="415"/>
      <c r="D31" s="414">
        <f t="shared" si="7"/>
        <v>0.02</v>
      </c>
      <c r="E31" s="414">
        <f t="shared" si="8"/>
        <v>0.02</v>
      </c>
    </row>
    <row r="32" spans="1:11" x14ac:dyDescent="0.25">
      <c r="A32" s="413" t="s">
        <v>409</v>
      </c>
      <c r="B32" s="414">
        <v>0.02</v>
      </c>
      <c r="C32" s="415"/>
      <c r="D32" s="414">
        <f t="shared" si="7"/>
        <v>0.02</v>
      </c>
      <c r="E32" s="414">
        <f t="shared" si="8"/>
        <v>0.02</v>
      </c>
    </row>
    <row r="33" spans="1:13" x14ac:dyDescent="0.25">
      <c r="A33" s="415" t="s">
        <v>584</v>
      </c>
      <c r="B33" s="414">
        <v>2.5000000000000001E-2</v>
      </c>
      <c r="C33" s="415"/>
      <c r="D33" s="414">
        <f t="shared" si="7"/>
        <v>2.5000000000000001E-2</v>
      </c>
      <c r="E33" s="414">
        <f t="shared" si="8"/>
        <v>2.5000000000000001E-2</v>
      </c>
    </row>
    <row r="34" spans="1:13" x14ac:dyDescent="0.25">
      <c r="A34" s="417" t="s">
        <v>412</v>
      </c>
      <c r="B34" s="418">
        <v>0.04</v>
      </c>
      <c r="C34" s="417"/>
      <c r="D34" s="414">
        <f t="shared" si="7"/>
        <v>0.04</v>
      </c>
      <c r="E34" s="414">
        <f t="shared" si="8"/>
        <v>0.04</v>
      </c>
    </row>
    <row r="35" spans="1:13" x14ac:dyDescent="0.25">
      <c r="A35" s="815" t="s">
        <v>1108</v>
      </c>
      <c r="B35" s="418">
        <v>0.04</v>
      </c>
      <c r="C35" s="417"/>
      <c r="D35" s="414">
        <f t="shared" si="7"/>
        <v>0.04</v>
      </c>
      <c r="E35" s="414">
        <f t="shared" si="8"/>
        <v>0.04</v>
      </c>
      <c r="F35" s="293"/>
    </row>
    <row r="36" spans="1:13" x14ac:dyDescent="0.25">
      <c r="A36" s="417"/>
      <c r="B36" s="418"/>
      <c r="C36" s="417"/>
      <c r="D36" s="414">
        <f t="shared" si="7"/>
        <v>0</v>
      </c>
      <c r="E36" s="414">
        <f t="shared" si="8"/>
        <v>0</v>
      </c>
      <c r="F36" s="293"/>
    </row>
    <row r="37" spans="1:13" x14ac:dyDescent="0.25">
      <c r="A37" s="312"/>
    </row>
    <row r="38" spans="1:13" x14ac:dyDescent="0.25">
      <c r="A38" s="548" t="s">
        <v>1013</v>
      </c>
      <c r="C38" s="312" t="s">
        <v>2</v>
      </c>
      <c r="D38" s="312" t="s">
        <v>3</v>
      </c>
      <c r="E38" s="312" t="s">
        <v>4</v>
      </c>
      <c r="F38" s="312" t="s">
        <v>5</v>
      </c>
      <c r="G38" s="312" t="s">
        <v>6</v>
      </c>
      <c r="H38" s="312" t="s">
        <v>7</v>
      </c>
      <c r="I38" s="312" t="s">
        <v>8</v>
      </c>
      <c r="J38" s="312" t="s">
        <v>9</v>
      </c>
      <c r="K38" s="312" t="s">
        <v>514</v>
      </c>
      <c r="L38" s="312" t="s">
        <v>515</v>
      </c>
      <c r="M38" s="312" t="s">
        <v>904</v>
      </c>
    </row>
    <row r="39" spans="1:13" x14ac:dyDescent="0.25">
      <c r="A39" s="311" t="s">
        <v>408</v>
      </c>
      <c r="B39" s="312"/>
      <c r="C39" s="312">
        <f>0</f>
        <v>0</v>
      </c>
      <c r="D39" s="312">
        <f>0</f>
        <v>0</v>
      </c>
      <c r="E39" s="549">
        <f>B13</f>
        <v>0.02</v>
      </c>
      <c r="F39" s="551">
        <f>$B13+E39*(1+$B13)</f>
        <v>4.0400000000000005E-2</v>
      </c>
      <c r="G39" s="551">
        <f>$B13+F39*(1+$B13)</f>
        <v>6.1208000000000012E-2</v>
      </c>
      <c r="H39" s="550">
        <f t="shared" ref="H39:M39" si="9">$H13+G39*(1+$H13)</f>
        <v>8.2432160000000018E-2</v>
      </c>
      <c r="I39" s="550">
        <f t="shared" si="9"/>
        <v>0.10408080320000003</v>
      </c>
      <c r="J39" s="550">
        <f t="shared" si="9"/>
        <v>0.12616241926400004</v>
      </c>
      <c r="K39" s="550">
        <f t="shared" si="9"/>
        <v>0.14868566764928004</v>
      </c>
      <c r="L39" s="550">
        <f t="shared" si="9"/>
        <v>0.17165938100226563</v>
      </c>
      <c r="M39" s="550">
        <f t="shared" si="9"/>
        <v>0.19509256862231095</v>
      </c>
    </row>
    <row r="40" spans="1:13" x14ac:dyDescent="0.25">
      <c r="A40" s="311"/>
      <c r="B40" s="111"/>
      <c r="C40" s="111"/>
      <c r="D40" s="111"/>
      <c r="E40" s="111"/>
      <c r="F40" s="111"/>
      <c r="H40" s="111"/>
    </row>
    <row r="41" spans="1:13" x14ac:dyDescent="0.25">
      <c r="A41" s="311"/>
      <c r="B41" s="111"/>
      <c r="C41" s="111"/>
      <c r="D41" s="111"/>
      <c r="E41" s="111"/>
      <c r="F41" s="111"/>
      <c r="H41" s="111"/>
    </row>
    <row r="43" spans="1:13" x14ac:dyDescent="0.25">
      <c r="A43" s="312"/>
    </row>
    <row r="44" spans="1:13" x14ac:dyDescent="0.25">
      <c r="A44" s="311"/>
    </row>
    <row r="45" spans="1:13" x14ac:dyDescent="0.25">
      <c r="A45" s="311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H386"/>
  <sheetViews>
    <sheetView showOutlineSymbols="0" topLeftCell="A135" zoomScaleNormal="100" workbookViewId="0">
      <selection activeCell="H147" sqref="A1:H147"/>
    </sheetView>
  </sheetViews>
  <sheetFormatPr defaultRowHeight="13.2" outlineLevelRow="1" outlineLevelCol="2" x14ac:dyDescent="0.25"/>
  <cols>
    <col min="1" max="1" width="21" style="1226" customWidth="1"/>
    <col min="2" max="2" width="24.6640625" style="1226" customWidth="1"/>
    <col min="3" max="3" width="16.6640625" style="1226" customWidth="1"/>
    <col min="4" max="4" width="15.5546875" style="1130" customWidth="1" outlineLevel="2"/>
    <col min="5" max="5" width="16.6640625" style="1226" customWidth="1"/>
    <col min="6" max="6" width="16.33203125" style="1226" customWidth="1"/>
    <col min="7" max="7" width="17.44140625" style="1226" bestFit="1" customWidth="1"/>
    <col min="8" max="8" width="16.6640625" style="1226" bestFit="1" customWidth="1"/>
    <col min="9" max="9" width="14.88671875" style="1226" customWidth="1"/>
    <col min="10" max="256" width="9.109375" style="1226"/>
    <col min="257" max="257" width="21" style="1226" customWidth="1"/>
    <col min="258" max="258" width="24.6640625" style="1226" customWidth="1"/>
    <col min="259" max="259" width="16.6640625" style="1226" customWidth="1"/>
    <col min="260" max="260" width="15.5546875" style="1226" customWidth="1"/>
    <col min="261" max="261" width="16.6640625" style="1226" customWidth="1"/>
    <col min="262" max="262" width="16.33203125" style="1226" customWidth="1"/>
    <col min="263" max="263" width="17.44140625" style="1226" bestFit="1" customWidth="1"/>
    <col min="264" max="264" width="16.6640625" style="1226" bestFit="1" customWidth="1"/>
    <col min="265" max="512" width="9.109375" style="1226"/>
    <col min="513" max="513" width="21" style="1226" customWidth="1"/>
    <col min="514" max="514" width="24.6640625" style="1226" customWidth="1"/>
    <col min="515" max="515" width="16.6640625" style="1226" customWidth="1"/>
    <col min="516" max="516" width="15.5546875" style="1226" customWidth="1"/>
    <col min="517" max="517" width="16.6640625" style="1226" customWidth="1"/>
    <col min="518" max="518" width="16.33203125" style="1226" customWidth="1"/>
    <col min="519" max="519" width="17.44140625" style="1226" bestFit="1" customWidth="1"/>
    <col min="520" max="520" width="16.6640625" style="1226" bestFit="1" customWidth="1"/>
    <col min="521" max="768" width="9.109375" style="1226"/>
    <col min="769" max="769" width="21" style="1226" customWidth="1"/>
    <col min="770" max="770" width="24.6640625" style="1226" customWidth="1"/>
    <col min="771" max="771" width="16.6640625" style="1226" customWidth="1"/>
    <col min="772" max="772" width="15.5546875" style="1226" customWidth="1"/>
    <col min="773" max="773" width="16.6640625" style="1226" customWidth="1"/>
    <col min="774" max="774" width="16.33203125" style="1226" customWidth="1"/>
    <col min="775" max="775" width="17.44140625" style="1226" bestFit="1" customWidth="1"/>
    <col min="776" max="776" width="16.6640625" style="1226" bestFit="1" customWidth="1"/>
    <col min="777" max="1024" width="9.109375" style="1226"/>
    <col min="1025" max="1025" width="21" style="1226" customWidth="1"/>
    <col min="1026" max="1026" width="24.6640625" style="1226" customWidth="1"/>
    <col min="1027" max="1027" width="16.6640625" style="1226" customWidth="1"/>
    <col min="1028" max="1028" width="15.5546875" style="1226" customWidth="1"/>
    <col min="1029" max="1029" width="16.6640625" style="1226" customWidth="1"/>
    <col min="1030" max="1030" width="16.33203125" style="1226" customWidth="1"/>
    <col min="1031" max="1031" width="17.44140625" style="1226" bestFit="1" customWidth="1"/>
    <col min="1032" max="1032" width="16.6640625" style="1226" bestFit="1" customWidth="1"/>
    <col min="1033" max="1280" width="9.109375" style="1226"/>
    <col min="1281" max="1281" width="21" style="1226" customWidth="1"/>
    <col min="1282" max="1282" width="24.6640625" style="1226" customWidth="1"/>
    <col min="1283" max="1283" width="16.6640625" style="1226" customWidth="1"/>
    <col min="1284" max="1284" width="15.5546875" style="1226" customWidth="1"/>
    <col min="1285" max="1285" width="16.6640625" style="1226" customWidth="1"/>
    <col min="1286" max="1286" width="16.33203125" style="1226" customWidth="1"/>
    <col min="1287" max="1287" width="17.44140625" style="1226" bestFit="1" customWidth="1"/>
    <col min="1288" max="1288" width="16.6640625" style="1226" bestFit="1" customWidth="1"/>
    <col min="1289" max="1536" width="9.109375" style="1226"/>
    <col min="1537" max="1537" width="21" style="1226" customWidth="1"/>
    <col min="1538" max="1538" width="24.6640625" style="1226" customWidth="1"/>
    <col min="1539" max="1539" width="16.6640625" style="1226" customWidth="1"/>
    <col min="1540" max="1540" width="15.5546875" style="1226" customWidth="1"/>
    <col min="1541" max="1541" width="16.6640625" style="1226" customWidth="1"/>
    <col min="1542" max="1542" width="16.33203125" style="1226" customWidth="1"/>
    <col min="1543" max="1543" width="17.44140625" style="1226" bestFit="1" customWidth="1"/>
    <col min="1544" max="1544" width="16.6640625" style="1226" bestFit="1" customWidth="1"/>
    <col min="1545" max="1792" width="9.109375" style="1226"/>
    <col min="1793" max="1793" width="21" style="1226" customWidth="1"/>
    <col min="1794" max="1794" width="24.6640625" style="1226" customWidth="1"/>
    <col min="1795" max="1795" width="16.6640625" style="1226" customWidth="1"/>
    <col min="1796" max="1796" width="15.5546875" style="1226" customWidth="1"/>
    <col min="1797" max="1797" width="16.6640625" style="1226" customWidth="1"/>
    <col min="1798" max="1798" width="16.33203125" style="1226" customWidth="1"/>
    <col min="1799" max="1799" width="17.44140625" style="1226" bestFit="1" customWidth="1"/>
    <col min="1800" max="1800" width="16.6640625" style="1226" bestFit="1" customWidth="1"/>
    <col min="1801" max="2048" width="9.109375" style="1226"/>
    <col min="2049" max="2049" width="21" style="1226" customWidth="1"/>
    <col min="2050" max="2050" width="24.6640625" style="1226" customWidth="1"/>
    <col min="2051" max="2051" width="16.6640625" style="1226" customWidth="1"/>
    <col min="2052" max="2052" width="15.5546875" style="1226" customWidth="1"/>
    <col min="2053" max="2053" width="16.6640625" style="1226" customWidth="1"/>
    <col min="2054" max="2054" width="16.33203125" style="1226" customWidth="1"/>
    <col min="2055" max="2055" width="17.44140625" style="1226" bestFit="1" customWidth="1"/>
    <col min="2056" max="2056" width="16.6640625" style="1226" bestFit="1" customWidth="1"/>
    <col min="2057" max="2304" width="9.109375" style="1226"/>
    <col min="2305" max="2305" width="21" style="1226" customWidth="1"/>
    <col min="2306" max="2306" width="24.6640625" style="1226" customWidth="1"/>
    <col min="2307" max="2307" width="16.6640625" style="1226" customWidth="1"/>
    <col min="2308" max="2308" width="15.5546875" style="1226" customWidth="1"/>
    <col min="2309" max="2309" width="16.6640625" style="1226" customWidth="1"/>
    <col min="2310" max="2310" width="16.33203125" style="1226" customWidth="1"/>
    <col min="2311" max="2311" width="17.44140625" style="1226" bestFit="1" customWidth="1"/>
    <col min="2312" max="2312" width="16.6640625" style="1226" bestFit="1" customWidth="1"/>
    <col min="2313" max="2560" width="9.109375" style="1226"/>
    <col min="2561" max="2561" width="21" style="1226" customWidth="1"/>
    <col min="2562" max="2562" width="24.6640625" style="1226" customWidth="1"/>
    <col min="2563" max="2563" width="16.6640625" style="1226" customWidth="1"/>
    <col min="2564" max="2564" width="15.5546875" style="1226" customWidth="1"/>
    <col min="2565" max="2565" width="16.6640625" style="1226" customWidth="1"/>
    <col min="2566" max="2566" width="16.33203125" style="1226" customWidth="1"/>
    <col min="2567" max="2567" width="17.44140625" style="1226" bestFit="1" customWidth="1"/>
    <col min="2568" max="2568" width="16.6640625" style="1226" bestFit="1" customWidth="1"/>
    <col min="2569" max="2816" width="9.109375" style="1226"/>
    <col min="2817" max="2817" width="21" style="1226" customWidth="1"/>
    <col min="2818" max="2818" width="24.6640625" style="1226" customWidth="1"/>
    <col min="2819" max="2819" width="16.6640625" style="1226" customWidth="1"/>
    <col min="2820" max="2820" width="15.5546875" style="1226" customWidth="1"/>
    <col min="2821" max="2821" width="16.6640625" style="1226" customWidth="1"/>
    <col min="2822" max="2822" width="16.33203125" style="1226" customWidth="1"/>
    <col min="2823" max="2823" width="17.44140625" style="1226" bestFit="1" customWidth="1"/>
    <col min="2824" max="2824" width="16.6640625" style="1226" bestFit="1" customWidth="1"/>
    <col min="2825" max="3072" width="9.109375" style="1226"/>
    <col min="3073" max="3073" width="21" style="1226" customWidth="1"/>
    <col min="3074" max="3074" width="24.6640625" style="1226" customWidth="1"/>
    <col min="3075" max="3075" width="16.6640625" style="1226" customWidth="1"/>
    <col min="3076" max="3076" width="15.5546875" style="1226" customWidth="1"/>
    <col min="3077" max="3077" width="16.6640625" style="1226" customWidth="1"/>
    <col min="3078" max="3078" width="16.33203125" style="1226" customWidth="1"/>
    <col min="3079" max="3079" width="17.44140625" style="1226" bestFit="1" customWidth="1"/>
    <col min="3080" max="3080" width="16.6640625" style="1226" bestFit="1" customWidth="1"/>
    <col min="3081" max="3328" width="9.109375" style="1226"/>
    <col min="3329" max="3329" width="21" style="1226" customWidth="1"/>
    <col min="3330" max="3330" width="24.6640625" style="1226" customWidth="1"/>
    <col min="3331" max="3331" width="16.6640625" style="1226" customWidth="1"/>
    <col min="3332" max="3332" width="15.5546875" style="1226" customWidth="1"/>
    <col min="3333" max="3333" width="16.6640625" style="1226" customWidth="1"/>
    <col min="3334" max="3334" width="16.33203125" style="1226" customWidth="1"/>
    <col min="3335" max="3335" width="17.44140625" style="1226" bestFit="1" customWidth="1"/>
    <col min="3336" max="3336" width="16.6640625" style="1226" bestFit="1" customWidth="1"/>
    <col min="3337" max="3584" width="9.109375" style="1226"/>
    <col min="3585" max="3585" width="21" style="1226" customWidth="1"/>
    <col min="3586" max="3586" width="24.6640625" style="1226" customWidth="1"/>
    <col min="3587" max="3587" width="16.6640625" style="1226" customWidth="1"/>
    <col min="3588" max="3588" width="15.5546875" style="1226" customWidth="1"/>
    <col min="3589" max="3589" width="16.6640625" style="1226" customWidth="1"/>
    <col min="3590" max="3590" width="16.33203125" style="1226" customWidth="1"/>
    <col min="3591" max="3591" width="17.44140625" style="1226" bestFit="1" customWidth="1"/>
    <col min="3592" max="3592" width="16.6640625" style="1226" bestFit="1" customWidth="1"/>
    <col min="3593" max="3840" width="9.109375" style="1226"/>
    <col min="3841" max="3841" width="21" style="1226" customWidth="1"/>
    <col min="3842" max="3842" width="24.6640625" style="1226" customWidth="1"/>
    <col min="3843" max="3843" width="16.6640625" style="1226" customWidth="1"/>
    <col min="3844" max="3844" width="15.5546875" style="1226" customWidth="1"/>
    <col min="3845" max="3845" width="16.6640625" style="1226" customWidth="1"/>
    <col min="3846" max="3846" width="16.33203125" style="1226" customWidth="1"/>
    <col min="3847" max="3847" width="17.44140625" style="1226" bestFit="1" customWidth="1"/>
    <col min="3848" max="3848" width="16.6640625" style="1226" bestFit="1" customWidth="1"/>
    <col min="3849" max="4096" width="9.109375" style="1226"/>
    <col min="4097" max="4097" width="21" style="1226" customWidth="1"/>
    <col min="4098" max="4098" width="24.6640625" style="1226" customWidth="1"/>
    <col min="4099" max="4099" width="16.6640625" style="1226" customWidth="1"/>
    <col min="4100" max="4100" width="15.5546875" style="1226" customWidth="1"/>
    <col min="4101" max="4101" width="16.6640625" style="1226" customWidth="1"/>
    <col min="4102" max="4102" width="16.33203125" style="1226" customWidth="1"/>
    <col min="4103" max="4103" width="17.44140625" style="1226" bestFit="1" customWidth="1"/>
    <col min="4104" max="4104" width="16.6640625" style="1226" bestFit="1" customWidth="1"/>
    <col min="4105" max="4352" width="9.109375" style="1226"/>
    <col min="4353" max="4353" width="21" style="1226" customWidth="1"/>
    <col min="4354" max="4354" width="24.6640625" style="1226" customWidth="1"/>
    <col min="4355" max="4355" width="16.6640625" style="1226" customWidth="1"/>
    <col min="4356" max="4356" width="15.5546875" style="1226" customWidth="1"/>
    <col min="4357" max="4357" width="16.6640625" style="1226" customWidth="1"/>
    <col min="4358" max="4358" width="16.33203125" style="1226" customWidth="1"/>
    <col min="4359" max="4359" width="17.44140625" style="1226" bestFit="1" customWidth="1"/>
    <col min="4360" max="4360" width="16.6640625" style="1226" bestFit="1" customWidth="1"/>
    <col min="4361" max="4608" width="9.109375" style="1226"/>
    <col min="4609" max="4609" width="21" style="1226" customWidth="1"/>
    <col min="4610" max="4610" width="24.6640625" style="1226" customWidth="1"/>
    <col min="4611" max="4611" width="16.6640625" style="1226" customWidth="1"/>
    <col min="4612" max="4612" width="15.5546875" style="1226" customWidth="1"/>
    <col min="4613" max="4613" width="16.6640625" style="1226" customWidth="1"/>
    <col min="4614" max="4614" width="16.33203125" style="1226" customWidth="1"/>
    <col min="4615" max="4615" width="17.44140625" style="1226" bestFit="1" customWidth="1"/>
    <col min="4616" max="4616" width="16.6640625" style="1226" bestFit="1" customWidth="1"/>
    <col min="4617" max="4864" width="9.109375" style="1226"/>
    <col min="4865" max="4865" width="21" style="1226" customWidth="1"/>
    <col min="4866" max="4866" width="24.6640625" style="1226" customWidth="1"/>
    <col min="4867" max="4867" width="16.6640625" style="1226" customWidth="1"/>
    <col min="4868" max="4868" width="15.5546875" style="1226" customWidth="1"/>
    <col min="4869" max="4869" width="16.6640625" style="1226" customWidth="1"/>
    <col min="4870" max="4870" width="16.33203125" style="1226" customWidth="1"/>
    <col min="4871" max="4871" width="17.44140625" style="1226" bestFit="1" customWidth="1"/>
    <col min="4872" max="4872" width="16.6640625" style="1226" bestFit="1" customWidth="1"/>
    <col min="4873" max="5120" width="9.109375" style="1226"/>
    <col min="5121" max="5121" width="21" style="1226" customWidth="1"/>
    <col min="5122" max="5122" width="24.6640625" style="1226" customWidth="1"/>
    <col min="5123" max="5123" width="16.6640625" style="1226" customWidth="1"/>
    <col min="5124" max="5124" width="15.5546875" style="1226" customWidth="1"/>
    <col min="5125" max="5125" width="16.6640625" style="1226" customWidth="1"/>
    <col min="5126" max="5126" width="16.33203125" style="1226" customWidth="1"/>
    <col min="5127" max="5127" width="17.44140625" style="1226" bestFit="1" customWidth="1"/>
    <col min="5128" max="5128" width="16.6640625" style="1226" bestFit="1" customWidth="1"/>
    <col min="5129" max="5376" width="9.109375" style="1226"/>
    <col min="5377" max="5377" width="21" style="1226" customWidth="1"/>
    <col min="5378" max="5378" width="24.6640625" style="1226" customWidth="1"/>
    <col min="5379" max="5379" width="16.6640625" style="1226" customWidth="1"/>
    <col min="5380" max="5380" width="15.5546875" style="1226" customWidth="1"/>
    <col min="5381" max="5381" width="16.6640625" style="1226" customWidth="1"/>
    <col min="5382" max="5382" width="16.33203125" style="1226" customWidth="1"/>
    <col min="5383" max="5383" width="17.44140625" style="1226" bestFit="1" customWidth="1"/>
    <col min="5384" max="5384" width="16.6640625" style="1226" bestFit="1" customWidth="1"/>
    <col min="5385" max="5632" width="9.109375" style="1226"/>
    <col min="5633" max="5633" width="21" style="1226" customWidth="1"/>
    <col min="5634" max="5634" width="24.6640625" style="1226" customWidth="1"/>
    <col min="5635" max="5635" width="16.6640625" style="1226" customWidth="1"/>
    <col min="5636" max="5636" width="15.5546875" style="1226" customWidth="1"/>
    <col min="5637" max="5637" width="16.6640625" style="1226" customWidth="1"/>
    <col min="5638" max="5638" width="16.33203125" style="1226" customWidth="1"/>
    <col min="5639" max="5639" width="17.44140625" style="1226" bestFit="1" customWidth="1"/>
    <col min="5640" max="5640" width="16.6640625" style="1226" bestFit="1" customWidth="1"/>
    <col min="5641" max="5888" width="9.109375" style="1226"/>
    <col min="5889" max="5889" width="21" style="1226" customWidth="1"/>
    <col min="5890" max="5890" width="24.6640625" style="1226" customWidth="1"/>
    <col min="5891" max="5891" width="16.6640625" style="1226" customWidth="1"/>
    <col min="5892" max="5892" width="15.5546875" style="1226" customWidth="1"/>
    <col min="5893" max="5893" width="16.6640625" style="1226" customWidth="1"/>
    <col min="5894" max="5894" width="16.33203125" style="1226" customWidth="1"/>
    <col min="5895" max="5895" width="17.44140625" style="1226" bestFit="1" customWidth="1"/>
    <col min="5896" max="5896" width="16.6640625" style="1226" bestFit="1" customWidth="1"/>
    <col min="5897" max="6144" width="9.109375" style="1226"/>
    <col min="6145" max="6145" width="21" style="1226" customWidth="1"/>
    <col min="6146" max="6146" width="24.6640625" style="1226" customWidth="1"/>
    <col min="6147" max="6147" width="16.6640625" style="1226" customWidth="1"/>
    <col min="6148" max="6148" width="15.5546875" style="1226" customWidth="1"/>
    <col min="6149" max="6149" width="16.6640625" style="1226" customWidth="1"/>
    <col min="6150" max="6150" width="16.33203125" style="1226" customWidth="1"/>
    <col min="6151" max="6151" width="17.44140625" style="1226" bestFit="1" customWidth="1"/>
    <col min="6152" max="6152" width="16.6640625" style="1226" bestFit="1" customWidth="1"/>
    <col min="6153" max="6400" width="9.109375" style="1226"/>
    <col min="6401" max="6401" width="21" style="1226" customWidth="1"/>
    <col min="6402" max="6402" width="24.6640625" style="1226" customWidth="1"/>
    <col min="6403" max="6403" width="16.6640625" style="1226" customWidth="1"/>
    <col min="6404" max="6404" width="15.5546875" style="1226" customWidth="1"/>
    <col min="6405" max="6405" width="16.6640625" style="1226" customWidth="1"/>
    <col min="6406" max="6406" width="16.33203125" style="1226" customWidth="1"/>
    <col min="6407" max="6407" width="17.44140625" style="1226" bestFit="1" customWidth="1"/>
    <col min="6408" max="6408" width="16.6640625" style="1226" bestFit="1" customWidth="1"/>
    <col min="6409" max="6656" width="9.109375" style="1226"/>
    <col min="6657" max="6657" width="21" style="1226" customWidth="1"/>
    <col min="6658" max="6658" width="24.6640625" style="1226" customWidth="1"/>
    <col min="6659" max="6659" width="16.6640625" style="1226" customWidth="1"/>
    <col min="6660" max="6660" width="15.5546875" style="1226" customWidth="1"/>
    <col min="6661" max="6661" width="16.6640625" style="1226" customWidth="1"/>
    <col min="6662" max="6662" width="16.33203125" style="1226" customWidth="1"/>
    <col min="6663" max="6663" width="17.44140625" style="1226" bestFit="1" customWidth="1"/>
    <col min="6664" max="6664" width="16.6640625" style="1226" bestFit="1" customWidth="1"/>
    <col min="6665" max="6912" width="9.109375" style="1226"/>
    <col min="6913" max="6913" width="21" style="1226" customWidth="1"/>
    <col min="6914" max="6914" width="24.6640625" style="1226" customWidth="1"/>
    <col min="6915" max="6915" width="16.6640625" style="1226" customWidth="1"/>
    <col min="6916" max="6916" width="15.5546875" style="1226" customWidth="1"/>
    <col min="6917" max="6917" width="16.6640625" style="1226" customWidth="1"/>
    <col min="6918" max="6918" width="16.33203125" style="1226" customWidth="1"/>
    <col min="6919" max="6919" width="17.44140625" style="1226" bestFit="1" customWidth="1"/>
    <col min="6920" max="6920" width="16.6640625" style="1226" bestFit="1" customWidth="1"/>
    <col min="6921" max="7168" width="9.109375" style="1226"/>
    <col min="7169" max="7169" width="21" style="1226" customWidth="1"/>
    <col min="7170" max="7170" width="24.6640625" style="1226" customWidth="1"/>
    <col min="7171" max="7171" width="16.6640625" style="1226" customWidth="1"/>
    <col min="7172" max="7172" width="15.5546875" style="1226" customWidth="1"/>
    <col min="7173" max="7173" width="16.6640625" style="1226" customWidth="1"/>
    <col min="7174" max="7174" width="16.33203125" style="1226" customWidth="1"/>
    <col min="7175" max="7175" width="17.44140625" style="1226" bestFit="1" customWidth="1"/>
    <col min="7176" max="7176" width="16.6640625" style="1226" bestFit="1" customWidth="1"/>
    <col min="7177" max="7424" width="9.109375" style="1226"/>
    <col min="7425" max="7425" width="21" style="1226" customWidth="1"/>
    <col min="7426" max="7426" width="24.6640625" style="1226" customWidth="1"/>
    <col min="7427" max="7427" width="16.6640625" style="1226" customWidth="1"/>
    <col min="7428" max="7428" width="15.5546875" style="1226" customWidth="1"/>
    <col min="7429" max="7429" width="16.6640625" style="1226" customWidth="1"/>
    <col min="7430" max="7430" width="16.33203125" style="1226" customWidth="1"/>
    <col min="7431" max="7431" width="17.44140625" style="1226" bestFit="1" customWidth="1"/>
    <col min="7432" max="7432" width="16.6640625" style="1226" bestFit="1" customWidth="1"/>
    <col min="7433" max="7680" width="9.109375" style="1226"/>
    <col min="7681" max="7681" width="21" style="1226" customWidth="1"/>
    <col min="7682" max="7682" width="24.6640625" style="1226" customWidth="1"/>
    <col min="7683" max="7683" width="16.6640625" style="1226" customWidth="1"/>
    <col min="7684" max="7684" width="15.5546875" style="1226" customWidth="1"/>
    <col min="7685" max="7685" width="16.6640625" style="1226" customWidth="1"/>
    <col min="7686" max="7686" width="16.33203125" style="1226" customWidth="1"/>
    <col min="7687" max="7687" width="17.44140625" style="1226" bestFit="1" customWidth="1"/>
    <col min="7688" max="7688" width="16.6640625" style="1226" bestFit="1" customWidth="1"/>
    <col min="7689" max="7936" width="9.109375" style="1226"/>
    <col min="7937" max="7937" width="21" style="1226" customWidth="1"/>
    <col min="7938" max="7938" width="24.6640625" style="1226" customWidth="1"/>
    <col min="7939" max="7939" width="16.6640625" style="1226" customWidth="1"/>
    <col min="7940" max="7940" width="15.5546875" style="1226" customWidth="1"/>
    <col min="7941" max="7941" width="16.6640625" style="1226" customWidth="1"/>
    <col min="7942" max="7942" width="16.33203125" style="1226" customWidth="1"/>
    <col min="7943" max="7943" width="17.44140625" style="1226" bestFit="1" customWidth="1"/>
    <col min="7944" max="7944" width="16.6640625" style="1226" bestFit="1" customWidth="1"/>
    <col min="7945" max="8192" width="9.109375" style="1226"/>
    <col min="8193" max="8193" width="21" style="1226" customWidth="1"/>
    <col min="8194" max="8194" width="24.6640625" style="1226" customWidth="1"/>
    <col min="8195" max="8195" width="16.6640625" style="1226" customWidth="1"/>
    <col min="8196" max="8196" width="15.5546875" style="1226" customWidth="1"/>
    <col min="8197" max="8197" width="16.6640625" style="1226" customWidth="1"/>
    <col min="8198" max="8198" width="16.33203125" style="1226" customWidth="1"/>
    <col min="8199" max="8199" width="17.44140625" style="1226" bestFit="1" customWidth="1"/>
    <col min="8200" max="8200" width="16.6640625" style="1226" bestFit="1" customWidth="1"/>
    <col min="8201" max="8448" width="9.109375" style="1226"/>
    <col min="8449" max="8449" width="21" style="1226" customWidth="1"/>
    <col min="8450" max="8450" width="24.6640625" style="1226" customWidth="1"/>
    <col min="8451" max="8451" width="16.6640625" style="1226" customWidth="1"/>
    <col min="8452" max="8452" width="15.5546875" style="1226" customWidth="1"/>
    <col min="8453" max="8453" width="16.6640625" style="1226" customWidth="1"/>
    <col min="8454" max="8454" width="16.33203125" style="1226" customWidth="1"/>
    <col min="8455" max="8455" width="17.44140625" style="1226" bestFit="1" customWidth="1"/>
    <col min="8456" max="8456" width="16.6640625" style="1226" bestFit="1" customWidth="1"/>
    <col min="8457" max="8704" width="9.109375" style="1226"/>
    <col min="8705" max="8705" width="21" style="1226" customWidth="1"/>
    <col min="8706" max="8706" width="24.6640625" style="1226" customWidth="1"/>
    <col min="8707" max="8707" width="16.6640625" style="1226" customWidth="1"/>
    <col min="8708" max="8708" width="15.5546875" style="1226" customWidth="1"/>
    <col min="8709" max="8709" width="16.6640625" style="1226" customWidth="1"/>
    <col min="8710" max="8710" width="16.33203125" style="1226" customWidth="1"/>
    <col min="8711" max="8711" width="17.44140625" style="1226" bestFit="1" customWidth="1"/>
    <col min="8712" max="8712" width="16.6640625" style="1226" bestFit="1" customWidth="1"/>
    <col min="8713" max="8960" width="9.109375" style="1226"/>
    <col min="8961" max="8961" width="21" style="1226" customWidth="1"/>
    <col min="8962" max="8962" width="24.6640625" style="1226" customWidth="1"/>
    <col min="8963" max="8963" width="16.6640625" style="1226" customWidth="1"/>
    <col min="8964" max="8964" width="15.5546875" style="1226" customWidth="1"/>
    <col min="8965" max="8965" width="16.6640625" style="1226" customWidth="1"/>
    <col min="8966" max="8966" width="16.33203125" style="1226" customWidth="1"/>
    <col min="8967" max="8967" width="17.44140625" style="1226" bestFit="1" customWidth="1"/>
    <col min="8968" max="8968" width="16.6640625" style="1226" bestFit="1" customWidth="1"/>
    <col min="8969" max="9216" width="9.109375" style="1226"/>
    <col min="9217" max="9217" width="21" style="1226" customWidth="1"/>
    <col min="9218" max="9218" width="24.6640625" style="1226" customWidth="1"/>
    <col min="9219" max="9219" width="16.6640625" style="1226" customWidth="1"/>
    <col min="9220" max="9220" width="15.5546875" style="1226" customWidth="1"/>
    <col min="9221" max="9221" width="16.6640625" style="1226" customWidth="1"/>
    <col min="9222" max="9222" width="16.33203125" style="1226" customWidth="1"/>
    <col min="9223" max="9223" width="17.44140625" style="1226" bestFit="1" customWidth="1"/>
    <col min="9224" max="9224" width="16.6640625" style="1226" bestFit="1" customWidth="1"/>
    <col min="9225" max="9472" width="9.109375" style="1226"/>
    <col min="9473" max="9473" width="21" style="1226" customWidth="1"/>
    <col min="9474" max="9474" width="24.6640625" style="1226" customWidth="1"/>
    <col min="9475" max="9475" width="16.6640625" style="1226" customWidth="1"/>
    <col min="9476" max="9476" width="15.5546875" style="1226" customWidth="1"/>
    <col min="9477" max="9477" width="16.6640625" style="1226" customWidth="1"/>
    <col min="9478" max="9478" width="16.33203125" style="1226" customWidth="1"/>
    <col min="9479" max="9479" width="17.44140625" style="1226" bestFit="1" customWidth="1"/>
    <col min="9480" max="9480" width="16.6640625" style="1226" bestFit="1" customWidth="1"/>
    <col min="9481" max="9728" width="9.109375" style="1226"/>
    <col min="9729" max="9729" width="21" style="1226" customWidth="1"/>
    <col min="9730" max="9730" width="24.6640625" style="1226" customWidth="1"/>
    <col min="9731" max="9731" width="16.6640625" style="1226" customWidth="1"/>
    <col min="9732" max="9732" width="15.5546875" style="1226" customWidth="1"/>
    <col min="9733" max="9733" width="16.6640625" style="1226" customWidth="1"/>
    <col min="9734" max="9734" width="16.33203125" style="1226" customWidth="1"/>
    <col min="9735" max="9735" width="17.44140625" style="1226" bestFit="1" customWidth="1"/>
    <col min="9736" max="9736" width="16.6640625" style="1226" bestFit="1" customWidth="1"/>
    <col min="9737" max="9984" width="9.109375" style="1226"/>
    <col min="9985" max="9985" width="21" style="1226" customWidth="1"/>
    <col min="9986" max="9986" width="24.6640625" style="1226" customWidth="1"/>
    <col min="9987" max="9987" width="16.6640625" style="1226" customWidth="1"/>
    <col min="9988" max="9988" width="15.5546875" style="1226" customWidth="1"/>
    <col min="9989" max="9989" width="16.6640625" style="1226" customWidth="1"/>
    <col min="9990" max="9990" width="16.33203125" style="1226" customWidth="1"/>
    <col min="9991" max="9991" width="17.44140625" style="1226" bestFit="1" customWidth="1"/>
    <col min="9992" max="9992" width="16.6640625" style="1226" bestFit="1" customWidth="1"/>
    <col min="9993" max="10240" width="9.109375" style="1226"/>
    <col min="10241" max="10241" width="21" style="1226" customWidth="1"/>
    <col min="10242" max="10242" width="24.6640625" style="1226" customWidth="1"/>
    <col min="10243" max="10243" width="16.6640625" style="1226" customWidth="1"/>
    <col min="10244" max="10244" width="15.5546875" style="1226" customWidth="1"/>
    <col min="10245" max="10245" width="16.6640625" style="1226" customWidth="1"/>
    <col min="10246" max="10246" width="16.33203125" style="1226" customWidth="1"/>
    <col min="10247" max="10247" width="17.44140625" style="1226" bestFit="1" customWidth="1"/>
    <col min="10248" max="10248" width="16.6640625" style="1226" bestFit="1" customWidth="1"/>
    <col min="10249" max="10496" width="9.109375" style="1226"/>
    <col min="10497" max="10497" width="21" style="1226" customWidth="1"/>
    <col min="10498" max="10498" width="24.6640625" style="1226" customWidth="1"/>
    <col min="10499" max="10499" width="16.6640625" style="1226" customWidth="1"/>
    <col min="10500" max="10500" width="15.5546875" style="1226" customWidth="1"/>
    <col min="10501" max="10501" width="16.6640625" style="1226" customWidth="1"/>
    <col min="10502" max="10502" width="16.33203125" style="1226" customWidth="1"/>
    <col min="10503" max="10503" width="17.44140625" style="1226" bestFit="1" customWidth="1"/>
    <col min="10504" max="10504" width="16.6640625" style="1226" bestFit="1" customWidth="1"/>
    <col min="10505" max="10752" width="9.109375" style="1226"/>
    <col min="10753" max="10753" width="21" style="1226" customWidth="1"/>
    <col min="10754" max="10754" width="24.6640625" style="1226" customWidth="1"/>
    <col min="10755" max="10755" width="16.6640625" style="1226" customWidth="1"/>
    <col min="10756" max="10756" width="15.5546875" style="1226" customWidth="1"/>
    <col min="10757" max="10757" width="16.6640625" style="1226" customWidth="1"/>
    <col min="10758" max="10758" width="16.33203125" style="1226" customWidth="1"/>
    <col min="10759" max="10759" width="17.44140625" style="1226" bestFit="1" customWidth="1"/>
    <col min="10760" max="10760" width="16.6640625" style="1226" bestFit="1" customWidth="1"/>
    <col min="10761" max="11008" width="9.109375" style="1226"/>
    <col min="11009" max="11009" width="21" style="1226" customWidth="1"/>
    <col min="11010" max="11010" width="24.6640625" style="1226" customWidth="1"/>
    <col min="11011" max="11011" width="16.6640625" style="1226" customWidth="1"/>
    <col min="11012" max="11012" width="15.5546875" style="1226" customWidth="1"/>
    <col min="11013" max="11013" width="16.6640625" style="1226" customWidth="1"/>
    <col min="11014" max="11014" width="16.33203125" style="1226" customWidth="1"/>
    <col min="11015" max="11015" width="17.44140625" style="1226" bestFit="1" customWidth="1"/>
    <col min="11016" max="11016" width="16.6640625" style="1226" bestFit="1" customWidth="1"/>
    <col min="11017" max="11264" width="9.109375" style="1226"/>
    <col min="11265" max="11265" width="21" style="1226" customWidth="1"/>
    <col min="11266" max="11266" width="24.6640625" style="1226" customWidth="1"/>
    <col min="11267" max="11267" width="16.6640625" style="1226" customWidth="1"/>
    <col min="11268" max="11268" width="15.5546875" style="1226" customWidth="1"/>
    <col min="11269" max="11269" width="16.6640625" style="1226" customWidth="1"/>
    <col min="11270" max="11270" width="16.33203125" style="1226" customWidth="1"/>
    <col min="11271" max="11271" width="17.44140625" style="1226" bestFit="1" customWidth="1"/>
    <col min="11272" max="11272" width="16.6640625" style="1226" bestFit="1" customWidth="1"/>
    <col min="11273" max="11520" width="9.109375" style="1226"/>
    <col min="11521" max="11521" width="21" style="1226" customWidth="1"/>
    <col min="11522" max="11522" width="24.6640625" style="1226" customWidth="1"/>
    <col min="11523" max="11523" width="16.6640625" style="1226" customWidth="1"/>
    <col min="11524" max="11524" width="15.5546875" style="1226" customWidth="1"/>
    <col min="11525" max="11525" width="16.6640625" style="1226" customWidth="1"/>
    <col min="11526" max="11526" width="16.33203125" style="1226" customWidth="1"/>
    <col min="11527" max="11527" width="17.44140625" style="1226" bestFit="1" customWidth="1"/>
    <col min="11528" max="11528" width="16.6640625" style="1226" bestFit="1" customWidth="1"/>
    <col min="11529" max="11776" width="9.109375" style="1226"/>
    <col min="11777" max="11777" width="21" style="1226" customWidth="1"/>
    <col min="11778" max="11778" width="24.6640625" style="1226" customWidth="1"/>
    <col min="11779" max="11779" width="16.6640625" style="1226" customWidth="1"/>
    <col min="11780" max="11780" width="15.5546875" style="1226" customWidth="1"/>
    <col min="11781" max="11781" width="16.6640625" style="1226" customWidth="1"/>
    <col min="11782" max="11782" width="16.33203125" style="1226" customWidth="1"/>
    <col min="11783" max="11783" width="17.44140625" style="1226" bestFit="1" customWidth="1"/>
    <col min="11784" max="11784" width="16.6640625" style="1226" bestFit="1" customWidth="1"/>
    <col min="11785" max="12032" width="9.109375" style="1226"/>
    <col min="12033" max="12033" width="21" style="1226" customWidth="1"/>
    <col min="12034" max="12034" width="24.6640625" style="1226" customWidth="1"/>
    <col min="12035" max="12035" width="16.6640625" style="1226" customWidth="1"/>
    <col min="12036" max="12036" width="15.5546875" style="1226" customWidth="1"/>
    <col min="12037" max="12037" width="16.6640625" style="1226" customWidth="1"/>
    <col min="12038" max="12038" width="16.33203125" style="1226" customWidth="1"/>
    <col min="12039" max="12039" width="17.44140625" style="1226" bestFit="1" customWidth="1"/>
    <col min="12040" max="12040" width="16.6640625" style="1226" bestFit="1" customWidth="1"/>
    <col min="12041" max="12288" width="9.109375" style="1226"/>
    <col min="12289" max="12289" width="21" style="1226" customWidth="1"/>
    <col min="12290" max="12290" width="24.6640625" style="1226" customWidth="1"/>
    <col min="12291" max="12291" width="16.6640625" style="1226" customWidth="1"/>
    <col min="12292" max="12292" width="15.5546875" style="1226" customWidth="1"/>
    <col min="12293" max="12293" width="16.6640625" style="1226" customWidth="1"/>
    <col min="12294" max="12294" width="16.33203125" style="1226" customWidth="1"/>
    <col min="12295" max="12295" width="17.44140625" style="1226" bestFit="1" customWidth="1"/>
    <col min="12296" max="12296" width="16.6640625" style="1226" bestFit="1" customWidth="1"/>
    <col min="12297" max="12544" width="9.109375" style="1226"/>
    <col min="12545" max="12545" width="21" style="1226" customWidth="1"/>
    <col min="12546" max="12546" width="24.6640625" style="1226" customWidth="1"/>
    <col min="12547" max="12547" width="16.6640625" style="1226" customWidth="1"/>
    <col min="12548" max="12548" width="15.5546875" style="1226" customWidth="1"/>
    <col min="12549" max="12549" width="16.6640625" style="1226" customWidth="1"/>
    <col min="12550" max="12550" width="16.33203125" style="1226" customWidth="1"/>
    <col min="12551" max="12551" width="17.44140625" style="1226" bestFit="1" customWidth="1"/>
    <col min="12552" max="12552" width="16.6640625" style="1226" bestFit="1" customWidth="1"/>
    <col min="12553" max="12800" width="9.109375" style="1226"/>
    <col min="12801" max="12801" width="21" style="1226" customWidth="1"/>
    <col min="12802" max="12802" width="24.6640625" style="1226" customWidth="1"/>
    <col min="12803" max="12803" width="16.6640625" style="1226" customWidth="1"/>
    <col min="12804" max="12804" width="15.5546875" style="1226" customWidth="1"/>
    <col min="12805" max="12805" width="16.6640625" style="1226" customWidth="1"/>
    <col min="12806" max="12806" width="16.33203125" style="1226" customWidth="1"/>
    <col min="12807" max="12807" width="17.44140625" style="1226" bestFit="1" customWidth="1"/>
    <col min="12808" max="12808" width="16.6640625" style="1226" bestFit="1" customWidth="1"/>
    <col min="12809" max="13056" width="9.109375" style="1226"/>
    <col min="13057" max="13057" width="21" style="1226" customWidth="1"/>
    <col min="13058" max="13058" width="24.6640625" style="1226" customWidth="1"/>
    <col min="13059" max="13059" width="16.6640625" style="1226" customWidth="1"/>
    <col min="13060" max="13060" width="15.5546875" style="1226" customWidth="1"/>
    <col min="13061" max="13061" width="16.6640625" style="1226" customWidth="1"/>
    <col min="13062" max="13062" width="16.33203125" style="1226" customWidth="1"/>
    <col min="13063" max="13063" width="17.44140625" style="1226" bestFit="1" customWidth="1"/>
    <col min="13064" max="13064" width="16.6640625" style="1226" bestFit="1" customWidth="1"/>
    <col min="13065" max="13312" width="9.109375" style="1226"/>
    <col min="13313" max="13313" width="21" style="1226" customWidth="1"/>
    <col min="13314" max="13314" width="24.6640625" style="1226" customWidth="1"/>
    <col min="13315" max="13315" width="16.6640625" style="1226" customWidth="1"/>
    <col min="13316" max="13316" width="15.5546875" style="1226" customWidth="1"/>
    <col min="13317" max="13317" width="16.6640625" style="1226" customWidth="1"/>
    <col min="13318" max="13318" width="16.33203125" style="1226" customWidth="1"/>
    <col min="13319" max="13319" width="17.44140625" style="1226" bestFit="1" customWidth="1"/>
    <col min="13320" max="13320" width="16.6640625" style="1226" bestFit="1" customWidth="1"/>
    <col min="13321" max="13568" width="9.109375" style="1226"/>
    <col min="13569" max="13569" width="21" style="1226" customWidth="1"/>
    <col min="13570" max="13570" width="24.6640625" style="1226" customWidth="1"/>
    <col min="13571" max="13571" width="16.6640625" style="1226" customWidth="1"/>
    <col min="13572" max="13572" width="15.5546875" style="1226" customWidth="1"/>
    <col min="13573" max="13573" width="16.6640625" style="1226" customWidth="1"/>
    <col min="13574" max="13574" width="16.33203125" style="1226" customWidth="1"/>
    <col min="13575" max="13575" width="17.44140625" style="1226" bestFit="1" customWidth="1"/>
    <col min="13576" max="13576" width="16.6640625" style="1226" bestFit="1" customWidth="1"/>
    <col min="13577" max="13824" width="9.109375" style="1226"/>
    <col min="13825" max="13825" width="21" style="1226" customWidth="1"/>
    <col min="13826" max="13826" width="24.6640625" style="1226" customWidth="1"/>
    <col min="13827" max="13827" width="16.6640625" style="1226" customWidth="1"/>
    <col min="13828" max="13828" width="15.5546875" style="1226" customWidth="1"/>
    <col min="13829" max="13829" width="16.6640625" style="1226" customWidth="1"/>
    <col min="13830" max="13830" width="16.33203125" style="1226" customWidth="1"/>
    <col min="13831" max="13831" width="17.44140625" style="1226" bestFit="1" customWidth="1"/>
    <col min="13832" max="13832" width="16.6640625" style="1226" bestFit="1" customWidth="1"/>
    <col min="13833" max="14080" width="9.109375" style="1226"/>
    <col min="14081" max="14081" width="21" style="1226" customWidth="1"/>
    <col min="14082" max="14082" width="24.6640625" style="1226" customWidth="1"/>
    <col min="14083" max="14083" width="16.6640625" style="1226" customWidth="1"/>
    <col min="14084" max="14084" width="15.5546875" style="1226" customWidth="1"/>
    <col min="14085" max="14085" width="16.6640625" style="1226" customWidth="1"/>
    <col min="14086" max="14086" width="16.33203125" style="1226" customWidth="1"/>
    <col min="14087" max="14087" width="17.44140625" style="1226" bestFit="1" customWidth="1"/>
    <col min="14088" max="14088" width="16.6640625" style="1226" bestFit="1" customWidth="1"/>
    <col min="14089" max="14336" width="9.109375" style="1226"/>
    <col min="14337" max="14337" width="21" style="1226" customWidth="1"/>
    <col min="14338" max="14338" width="24.6640625" style="1226" customWidth="1"/>
    <col min="14339" max="14339" width="16.6640625" style="1226" customWidth="1"/>
    <col min="14340" max="14340" width="15.5546875" style="1226" customWidth="1"/>
    <col min="14341" max="14341" width="16.6640625" style="1226" customWidth="1"/>
    <col min="14342" max="14342" width="16.33203125" style="1226" customWidth="1"/>
    <col min="14343" max="14343" width="17.44140625" style="1226" bestFit="1" customWidth="1"/>
    <col min="14344" max="14344" width="16.6640625" style="1226" bestFit="1" customWidth="1"/>
    <col min="14345" max="14592" width="9.109375" style="1226"/>
    <col min="14593" max="14593" width="21" style="1226" customWidth="1"/>
    <col min="14594" max="14594" width="24.6640625" style="1226" customWidth="1"/>
    <col min="14595" max="14595" width="16.6640625" style="1226" customWidth="1"/>
    <col min="14596" max="14596" width="15.5546875" style="1226" customWidth="1"/>
    <col min="14597" max="14597" width="16.6640625" style="1226" customWidth="1"/>
    <col min="14598" max="14598" width="16.33203125" style="1226" customWidth="1"/>
    <col min="14599" max="14599" width="17.44140625" style="1226" bestFit="1" customWidth="1"/>
    <col min="14600" max="14600" width="16.6640625" style="1226" bestFit="1" customWidth="1"/>
    <col min="14601" max="14848" width="9.109375" style="1226"/>
    <col min="14849" max="14849" width="21" style="1226" customWidth="1"/>
    <col min="14850" max="14850" width="24.6640625" style="1226" customWidth="1"/>
    <col min="14851" max="14851" width="16.6640625" style="1226" customWidth="1"/>
    <col min="14852" max="14852" width="15.5546875" style="1226" customWidth="1"/>
    <col min="14853" max="14853" width="16.6640625" style="1226" customWidth="1"/>
    <col min="14854" max="14854" width="16.33203125" style="1226" customWidth="1"/>
    <col min="14855" max="14855" width="17.44140625" style="1226" bestFit="1" customWidth="1"/>
    <col min="14856" max="14856" width="16.6640625" style="1226" bestFit="1" customWidth="1"/>
    <col min="14857" max="15104" width="9.109375" style="1226"/>
    <col min="15105" max="15105" width="21" style="1226" customWidth="1"/>
    <col min="15106" max="15106" width="24.6640625" style="1226" customWidth="1"/>
    <col min="15107" max="15107" width="16.6640625" style="1226" customWidth="1"/>
    <col min="15108" max="15108" width="15.5546875" style="1226" customWidth="1"/>
    <col min="15109" max="15109" width="16.6640625" style="1226" customWidth="1"/>
    <col min="15110" max="15110" width="16.33203125" style="1226" customWidth="1"/>
    <col min="15111" max="15111" width="17.44140625" style="1226" bestFit="1" customWidth="1"/>
    <col min="15112" max="15112" width="16.6640625" style="1226" bestFit="1" customWidth="1"/>
    <col min="15113" max="15360" width="9.109375" style="1226"/>
    <col min="15361" max="15361" width="21" style="1226" customWidth="1"/>
    <col min="15362" max="15362" width="24.6640625" style="1226" customWidth="1"/>
    <col min="15363" max="15363" width="16.6640625" style="1226" customWidth="1"/>
    <col min="15364" max="15364" width="15.5546875" style="1226" customWidth="1"/>
    <col min="15365" max="15365" width="16.6640625" style="1226" customWidth="1"/>
    <col min="15366" max="15366" width="16.33203125" style="1226" customWidth="1"/>
    <col min="15367" max="15367" width="17.44140625" style="1226" bestFit="1" customWidth="1"/>
    <col min="15368" max="15368" width="16.6640625" style="1226" bestFit="1" customWidth="1"/>
    <col min="15369" max="15616" width="9.109375" style="1226"/>
    <col min="15617" max="15617" width="21" style="1226" customWidth="1"/>
    <col min="15618" max="15618" width="24.6640625" style="1226" customWidth="1"/>
    <col min="15619" max="15619" width="16.6640625" style="1226" customWidth="1"/>
    <col min="15620" max="15620" width="15.5546875" style="1226" customWidth="1"/>
    <col min="15621" max="15621" width="16.6640625" style="1226" customWidth="1"/>
    <col min="15622" max="15622" width="16.33203125" style="1226" customWidth="1"/>
    <col min="15623" max="15623" width="17.44140625" style="1226" bestFit="1" customWidth="1"/>
    <col min="15624" max="15624" width="16.6640625" style="1226" bestFit="1" customWidth="1"/>
    <col min="15625" max="15872" width="9.109375" style="1226"/>
    <col min="15873" max="15873" width="21" style="1226" customWidth="1"/>
    <col min="15874" max="15874" width="24.6640625" style="1226" customWidth="1"/>
    <col min="15875" max="15875" width="16.6640625" style="1226" customWidth="1"/>
    <col min="15876" max="15876" width="15.5546875" style="1226" customWidth="1"/>
    <col min="15877" max="15877" width="16.6640625" style="1226" customWidth="1"/>
    <col min="15878" max="15878" width="16.33203125" style="1226" customWidth="1"/>
    <col min="15879" max="15879" width="17.44140625" style="1226" bestFit="1" customWidth="1"/>
    <col min="15880" max="15880" width="16.6640625" style="1226" bestFit="1" customWidth="1"/>
    <col min="15881" max="16128" width="9.109375" style="1226"/>
    <col min="16129" max="16129" width="21" style="1226" customWidth="1"/>
    <col min="16130" max="16130" width="24.6640625" style="1226" customWidth="1"/>
    <col min="16131" max="16131" width="16.6640625" style="1226" customWidth="1"/>
    <col min="16132" max="16132" width="15.5546875" style="1226" customWidth="1"/>
    <col min="16133" max="16133" width="16.6640625" style="1226" customWidth="1"/>
    <col min="16134" max="16134" width="16.33203125" style="1226" customWidth="1"/>
    <col min="16135" max="16135" width="17.44140625" style="1226" bestFit="1" customWidth="1"/>
    <col min="16136" max="16136" width="16.6640625" style="1226" bestFit="1" customWidth="1"/>
    <col min="16137" max="16384" width="9.109375" style="1226"/>
  </cols>
  <sheetData>
    <row r="1" spans="1:8" ht="12.75" x14ac:dyDescent="0.2">
      <c r="A1" s="1561" t="s">
        <v>1163</v>
      </c>
      <c r="B1" s="1561"/>
      <c r="C1" s="1561"/>
      <c r="D1" s="1561"/>
      <c r="E1" s="1561"/>
      <c r="F1" s="1561"/>
      <c r="G1" s="1561"/>
      <c r="H1" s="1561"/>
    </row>
    <row r="3" spans="1:8" ht="12.75" x14ac:dyDescent="0.2">
      <c r="A3" s="849" t="s">
        <v>1164</v>
      </c>
      <c r="B3" s="849" t="s">
        <v>1165</v>
      </c>
    </row>
    <row r="4" spans="1:8" ht="12.75" x14ac:dyDescent="0.2">
      <c r="A4" s="849" t="s">
        <v>1166</v>
      </c>
      <c r="B4" s="849" t="s">
        <v>1245</v>
      </c>
    </row>
    <row r="6" spans="1:8" ht="25.5" x14ac:dyDescent="0.2">
      <c r="C6" s="850" t="s">
        <v>1168</v>
      </c>
      <c r="D6" s="1304" t="s">
        <v>1633</v>
      </c>
      <c r="E6" s="850" t="s">
        <v>1170</v>
      </c>
      <c r="F6" s="851" t="s">
        <v>1172</v>
      </c>
      <c r="G6" s="851" t="s">
        <v>1173</v>
      </c>
      <c r="H6" s="851" t="s">
        <v>1174</v>
      </c>
    </row>
    <row r="7" spans="1:8" ht="12.75" x14ac:dyDescent="0.2">
      <c r="A7" s="849" t="s">
        <v>1175</v>
      </c>
      <c r="C7" s="851"/>
      <c r="D7" s="1301"/>
      <c r="E7" s="851"/>
      <c r="F7" s="851"/>
      <c r="G7" s="851"/>
      <c r="H7" s="851"/>
    </row>
    <row r="8" spans="1:8" ht="12.75" customHeight="1" x14ac:dyDescent="0.2">
      <c r="A8" s="852" t="s">
        <v>1176</v>
      </c>
      <c r="C8" s="853">
        <v>-20031815</v>
      </c>
      <c r="D8" s="1302">
        <v>-20038852</v>
      </c>
      <c r="E8" s="853">
        <f>-'Consol  Inc Exp Statement'!G13*1000</f>
        <v>-20614939.960000005</v>
      </c>
      <c r="F8" s="853">
        <f>-'Consol  Inc Exp Statement'!H13*1000</f>
        <v>-21403672.474999998</v>
      </c>
      <c r="G8" s="853">
        <f>-'Consol  Inc Exp Statement'!I13*1000</f>
        <v>-22200168.274999999</v>
      </c>
      <c r="H8" s="853">
        <f>-'Consol  Inc Exp Statement'!J13*1000</f>
        <v>-22777611.425000001</v>
      </c>
    </row>
    <row r="9" spans="1:8" ht="12.75" customHeight="1" x14ac:dyDescent="0.2">
      <c r="A9" s="852" t="s">
        <v>12</v>
      </c>
      <c r="C9" s="853">
        <v>-13528819</v>
      </c>
      <c r="D9" s="1302">
        <v>-13520926</v>
      </c>
      <c r="E9" s="853">
        <f>-'Consol  Inc Exp Statement'!G14*1000</f>
        <v>-14184400.000000002</v>
      </c>
      <c r="F9" s="853">
        <f>-'Consol  Inc Exp Statement'!H14*1000</f>
        <v>-14558772</v>
      </c>
      <c r="G9" s="853">
        <f>-'Consol  Inc Exp Statement'!I14*1000</f>
        <v>-14956826</v>
      </c>
      <c r="H9" s="853">
        <f>-'Consol  Inc Exp Statement'!J14*1000</f>
        <v>-15414074.199999999</v>
      </c>
    </row>
    <row r="10" spans="1:8" ht="12.75" customHeight="1" x14ac:dyDescent="0.2">
      <c r="A10" s="852" t="s">
        <v>1177</v>
      </c>
      <c r="C10" s="853">
        <v>-2254500</v>
      </c>
      <c r="D10" s="1302">
        <v>-2268000</v>
      </c>
      <c r="E10" s="853">
        <f>-'Consol  Inc Exp Statement'!G15*1000</f>
        <v>-2162209</v>
      </c>
      <c r="F10" s="853">
        <f>-'Consol  Inc Exp Statement'!H15*1000</f>
        <v>-1977563</v>
      </c>
      <c r="G10" s="853">
        <f>-'Consol  Inc Exp Statement'!I15*1000</f>
        <v>-1913963</v>
      </c>
      <c r="H10" s="853">
        <f>-'Consol  Inc Exp Statement'!J15*1000</f>
        <v>-1883648</v>
      </c>
    </row>
    <row r="11" spans="1:8" ht="12.75" customHeight="1" x14ac:dyDescent="0.2">
      <c r="A11" s="852" t="s">
        <v>1178</v>
      </c>
      <c r="C11" s="853">
        <v>-2424537</v>
      </c>
      <c r="D11" s="1302">
        <v>-3002744</v>
      </c>
      <c r="E11" s="853">
        <f>-'Consol  Inc Exp Statement'!G16*1000</f>
        <v>-2409788</v>
      </c>
      <c r="F11" s="853">
        <f>-'Consol  Inc Exp Statement'!H16*1000</f>
        <v>-2463804</v>
      </c>
      <c r="G11" s="853">
        <f>-'Consol  Inc Exp Statement'!I16*1000</f>
        <v>-2520379</v>
      </c>
      <c r="H11" s="853">
        <f>-'Consol  Inc Exp Statement'!J16*1000</f>
        <v>-2578016</v>
      </c>
    </row>
    <row r="12" spans="1:8" ht="12.75" customHeight="1" x14ac:dyDescent="0.2">
      <c r="A12" s="852" t="s">
        <v>1179</v>
      </c>
      <c r="C12" s="853">
        <v>-6250744</v>
      </c>
      <c r="D12" s="1302">
        <v>-6341904</v>
      </c>
      <c r="E12" s="853">
        <f>-'Consol  Inc Exp Statement'!G17*1000</f>
        <v>-5519889</v>
      </c>
      <c r="F12" s="853">
        <f>-'Consol  Inc Exp Statement'!H17*1000</f>
        <v>-5617730.9999999991</v>
      </c>
      <c r="G12" s="853">
        <f>-'Consol  Inc Exp Statement'!I17*1000</f>
        <v>-5715375</v>
      </c>
      <c r="H12" s="853">
        <f>-'Consol  Inc Exp Statement'!J17*1000</f>
        <v>-5814987.7599999998</v>
      </c>
    </row>
    <row r="13" spans="1:8" ht="12.75" customHeight="1" x14ac:dyDescent="0.2">
      <c r="A13" s="852" t="s">
        <v>1180</v>
      </c>
      <c r="C13" s="853">
        <v>-4783353</v>
      </c>
      <c r="D13" s="1302">
        <v>-6163353</v>
      </c>
      <c r="E13" s="853">
        <f>-'Consol  Inc Exp Statement'!G19*1000</f>
        <v>-5059852</v>
      </c>
      <c r="F13" s="853">
        <f>-'Consol  Inc Exp Statement'!H19*1000</f>
        <v>-5239623</v>
      </c>
      <c r="G13" s="853">
        <f>-'Consol  Inc Exp Statement'!I19*1000</f>
        <v>-5419178</v>
      </c>
      <c r="H13" s="853">
        <f>-'Consol  Inc Exp Statement'!J19*1000</f>
        <v>-5456519</v>
      </c>
    </row>
    <row r="14" spans="1:8" ht="12.75" x14ac:dyDescent="0.2">
      <c r="C14" s="854"/>
      <c r="D14" s="1145"/>
      <c r="E14" s="854"/>
      <c r="F14" s="854"/>
      <c r="G14" s="854"/>
      <c r="H14" s="854"/>
    </row>
    <row r="15" spans="1:8" ht="12.75" x14ac:dyDescent="0.2">
      <c r="A15" s="849" t="s">
        <v>1181</v>
      </c>
      <c r="C15" s="855">
        <f t="shared" ref="C15:H15" si="0">SUM(C8:C14)</f>
        <v>-49273768</v>
      </c>
      <c r="D15" s="1135">
        <f t="shared" si="0"/>
        <v>-51335779</v>
      </c>
      <c r="E15" s="855">
        <f t="shared" si="0"/>
        <v>-49951077.960000008</v>
      </c>
      <c r="F15" s="855">
        <f t="shared" si="0"/>
        <v>-51261165.474999994</v>
      </c>
      <c r="G15" s="855">
        <f t="shared" si="0"/>
        <v>-52725889.274999999</v>
      </c>
      <c r="H15" s="855">
        <f t="shared" si="0"/>
        <v>-53924856.384999998</v>
      </c>
    </row>
    <row r="16" spans="1:8" ht="12.75" x14ac:dyDescent="0.2">
      <c r="C16" s="853"/>
      <c r="D16" s="1134"/>
      <c r="E16" s="853"/>
      <c r="F16" s="853"/>
      <c r="G16" s="853"/>
      <c r="H16" s="853"/>
    </row>
    <row r="17" spans="1:8" ht="25.5" x14ac:dyDescent="0.2">
      <c r="C17" s="850" t="s">
        <v>1168</v>
      </c>
      <c r="D17" s="1304" t="s">
        <v>1633</v>
      </c>
      <c r="E17" s="850" t="s">
        <v>1170</v>
      </c>
      <c r="F17" s="851" t="s">
        <v>1172</v>
      </c>
      <c r="G17" s="851" t="s">
        <v>1173</v>
      </c>
      <c r="H17" s="851" t="s">
        <v>1174</v>
      </c>
    </row>
    <row r="18" spans="1:8" ht="12.75" x14ac:dyDescent="0.2">
      <c r="A18" s="849" t="s">
        <v>925</v>
      </c>
      <c r="C18" s="851"/>
      <c r="D18" s="1313"/>
      <c r="E18" s="851"/>
      <c r="F18" s="851"/>
      <c r="G18" s="851"/>
      <c r="H18" s="851"/>
    </row>
    <row r="19" spans="1:8" ht="12.75" customHeight="1" x14ac:dyDescent="0.2">
      <c r="A19" s="852" t="s">
        <v>1182</v>
      </c>
      <c r="C19" s="853">
        <v>13094137</v>
      </c>
      <c r="D19" s="1314">
        <v>13179528</v>
      </c>
      <c r="E19" s="853">
        <f>'Consol  Inc Exp Statement'!G25*1000</f>
        <v>13571739</v>
      </c>
      <c r="F19" s="853">
        <f>'Consol  Inc Exp Statement'!H25*1000</f>
        <v>14063326</v>
      </c>
      <c r="G19" s="853">
        <f>'Consol  Inc Exp Statement'!I25*1000</f>
        <v>14472804</v>
      </c>
      <c r="H19" s="853">
        <f>'Consol  Inc Exp Statement'!J25*1000</f>
        <v>14911101</v>
      </c>
    </row>
    <row r="20" spans="1:8" ht="12.75" customHeight="1" x14ac:dyDescent="0.2">
      <c r="A20" s="852" t="s">
        <v>27</v>
      </c>
      <c r="C20" s="853">
        <v>14214548</v>
      </c>
      <c r="D20" s="1314">
        <v>15735739</v>
      </c>
      <c r="E20" s="853">
        <f>'Consol  Inc Exp Statement'!G27*1000</f>
        <v>14424867</v>
      </c>
      <c r="F20" s="853">
        <f>'Consol  Inc Exp Statement'!H27*1000</f>
        <v>14704180</v>
      </c>
      <c r="G20" s="853">
        <f>'Consol  Inc Exp Statement'!I27*1000</f>
        <v>15065133</v>
      </c>
      <c r="H20" s="853">
        <f>'Consol  Inc Exp Statement'!J27*1000</f>
        <v>15440318.999999998</v>
      </c>
    </row>
    <row r="21" spans="1:8" ht="12.75" customHeight="1" x14ac:dyDescent="0.2">
      <c r="A21" s="852" t="s">
        <v>1183</v>
      </c>
      <c r="C21" s="853">
        <v>3204843</v>
      </c>
      <c r="D21" s="1314">
        <v>3321222</v>
      </c>
      <c r="E21" s="853">
        <f>'Consol  Inc Exp Statement'!G32*1000</f>
        <v>3307281</v>
      </c>
      <c r="F21" s="853">
        <f>'Consol  Inc Exp Statement'!H32*1000</f>
        <v>3375721</v>
      </c>
      <c r="G21" s="853">
        <f>'Consol  Inc Exp Statement'!I32*1000</f>
        <v>3453944.0000000005</v>
      </c>
      <c r="H21" s="853">
        <f>'Consol  Inc Exp Statement'!J32*1000</f>
        <v>3544669</v>
      </c>
    </row>
    <row r="22" spans="1:8" ht="12.75" customHeight="1" x14ac:dyDescent="0.2">
      <c r="A22" s="852" t="s">
        <v>926</v>
      </c>
      <c r="C22" s="853">
        <v>1715858</v>
      </c>
      <c r="D22" s="1314">
        <v>1715858</v>
      </c>
      <c r="E22" s="853">
        <f>'Consol  Inc Exp Statement'!G26*1000</f>
        <v>2126712</v>
      </c>
      <c r="F22" s="853">
        <f>'Consol  Inc Exp Statement'!H26*1000</f>
        <v>2428022</v>
      </c>
      <c r="G22" s="853">
        <f>'Consol  Inc Exp Statement'!I26*1000</f>
        <v>2404305.0000000005</v>
      </c>
      <c r="H22" s="853">
        <f>'Consol  Inc Exp Statement'!J26*1000</f>
        <v>2377384.9999999995</v>
      </c>
    </row>
    <row r="23" spans="1:8" ht="12.75" customHeight="1" x14ac:dyDescent="0.2">
      <c r="A23" s="852" t="s">
        <v>1077</v>
      </c>
      <c r="C23" s="853">
        <v>4783353</v>
      </c>
      <c r="D23" s="1314">
        <v>4785662</v>
      </c>
      <c r="E23" s="853">
        <f>'Consol  Inc Exp Statement'!G28*1000</f>
        <v>4997352</v>
      </c>
      <c r="F23" s="853">
        <f>'Consol  Inc Exp Statement'!H28*1000</f>
        <v>5174623.0000000009</v>
      </c>
      <c r="G23" s="853">
        <f>'Consol  Inc Exp Statement'!I28*1000</f>
        <v>5354178.0000000009</v>
      </c>
      <c r="H23" s="853">
        <f>'Consol  Inc Exp Statement'!J28*1000</f>
        <v>5535702</v>
      </c>
    </row>
    <row r="24" spans="1:8" ht="12.75" customHeight="1" x14ac:dyDescent="0.2">
      <c r="A24" s="852" t="s">
        <v>584</v>
      </c>
      <c r="C24" s="853">
        <v>11286985</v>
      </c>
      <c r="D24" s="1314">
        <v>10597294</v>
      </c>
      <c r="E24" s="853">
        <f>'Consol  Inc Exp Statement'!G29*1000</f>
        <v>10411565</v>
      </c>
      <c r="F24" s="853">
        <f>'Consol  Inc Exp Statement'!H29*1000</f>
        <v>10828181</v>
      </c>
      <c r="G24" s="853">
        <f>'Consol  Inc Exp Statement'!I29*1000</f>
        <v>11079703</v>
      </c>
      <c r="H24" s="853">
        <f>'Consol  Inc Exp Statement'!J29*1000</f>
        <v>11338606.000000002</v>
      </c>
    </row>
    <row r="25" spans="1:8" ht="12.75" x14ac:dyDescent="0.2">
      <c r="C25" s="854"/>
      <c r="D25" s="1145"/>
      <c r="E25" s="854"/>
      <c r="F25" s="854"/>
      <c r="G25" s="854"/>
      <c r="H25" s="854"/>
    </row>
    <row r="26" spans="1:8" ht="12.75" x14ac:dyDescent="0.2">
      <c r="A26" s="849" t="s">
        <v>1184</v>
      </c>
      <c r="C26" s="855">
        <f t="shared" ref="C26:H26" si="1">SUM(C19:C25)</f>
        <v>48299724</v>
      </c>
      <c r="D26" s="1135">
        <f t="shared" si="1"/>
        <v>49335303</v>
      </c>
      <c r="E26" s="855">
        <f t="shared" si="1"/>
        <v>48839516</v>
      </c>
      <c r="F26" s="855">
        <f t="shared" si="1"/>
        <v>50574053</v>
      </c>
      <c r="G26" s="855">
        <f t="shared" si="1"/>
        <v>51830067</v>
      </c>
      <c r="H26" s="855">
        <f t="shared" si="1"/>
        <v>53147782</v>
      </c>
    </row>
    <row r="27" spans="1:8" ht="12.75" x14ac:dyDescent="0.2">
      <c r="C27" s="854"/>
      <c r="D27" s="1145"/>
      <c r="E27" s="854"/>
      <c r="F27" s="854"/>
      <c r="G27" s="854"/>
      <c r="H27" s="854"/>
    </row>
    <row r="28" spans="1:8" ht="12.75" x14ac:dyDescent="0.2">
      <c r="A28" s="849" t="s">
        <v>1185</v>
      </c>
      <c r="C28" s="855">
        <f t="shared" ref="C28:H28" si="2">C15+C26</f>
        <v>-974044</v>
      </c>
      <c r="D28" s="1135">
        <f t="shared" si="2"/>
        <v>-2000476</v>
      </c>
      <c r="E28" s="855">
        <f t="shared" si="2"/>
        <v>-1111561.9600000083</v>
      </c>
      <c r="F28" s="855">
        <f t="shared" si="2"/>
        <v>-687112.47499999404</v>
      </c>
      <c r="G28" s="855">
        <f t="shared" si="2"/>
        <v>-895822.27499999851</v>
      </c>
      <c r="H28" s="855">
        <f t="shared" si="2"/>
        <v>-777074.38499999791</v>
      </c>
    </row>
    <row r="29" spans="1:8" ht="12.75" x14ac:dyDescent="0.2">
      <c r="A29" s="849"/>
      <c r="C29" s="855"/>
      <c r="D29" s="1135"/>
      <c r="E29" s="855"/>
      <c r="F29" s="855"/>
      <c r="G29" s="855"/>
      <c r="H29" s="855"/>
    </row>
    <row r="30" spans="1:8" ht="12.75" x14ac:dyDescent="0.2">
      <c r="C30" s="853"/>
      <c r="D30" s="1134"/>
      <c r="E30" s="853"/>
      <c r="F30" s="853"/>
      <c r="G30" s="853"/>
      <c r="H30" s="853"/>
    </row>
    <row r="31" spans="1:8" ht="12.75" x14ac:dyDescent="0.2">
      <c r="C31" s="853"/>
      <c r="D31" s="1134"/>
      <c r="E31" s="853"/>
      <c r="F31" s="853"/>
      <c r="G31" s="853"/>
      <c r="H31" s="853"/>
    </row>
    <row r="32" spans="1:8" ht="12.75" x14ac:dyDescent="0.2">
      <c r="A32" s="1561" t="s">
        <v>1163</v>
      </c>
      <c r="B32" s="1561"/>
      <c r="C32" s="1561"/>
      <c r="D32" s="1561"/>
      <c r="E32" s="1561"/>
      <c r="F32" s="1561"/>
      <c r="G32" s="1561"/>
      <c r="H32" s="1561"/>
    </row>
    <row r="33" spans="1:8" ht="12.75" x14ac:dyDescent="0.2">
      <c r="C33" s="853"/>
      <c r="D33" s="1134"/>
      <c r="E33" s="853"/>
      <c r="F33" s="853"/>
      <c r="G33" s="853"/>
      <c r="H33" s="853"/>
    </row>
    <row r="34" spans="1:8" ht="12.75" x14ac:dyDescent="0.2">
      <c r="A34" s="849" t="s">
        <v>1164</v>
      </c>
      <c r="B34" s="849" t="s">
        <v>1249</v>
      </c>
    </row>
    <row r="35" spans="1:8" ht="12.75" x14ac:dyDescent="0.2">
      <c r="A35" s="849" t="s">
        <v>1166</v>
      </c>
      <c r="B35" s="849" t="s">
        <v>1634</v>
      </c>
    </row>
    <row r="37" spans="1:8" ht="25.5" x14ac:dyDescent="0.2">
      <c r="C37" s="850" t="s">
        <v>1168</v>
      </c>
      <c r="D37" s="1304" t="s">
        <v>1633</v>
      </c>
      <c r="E37" s="850" t="s">
        <v>1170</v>
      </c>
      <c r="F37" s="851" t="s">
        <v>1172</v>
      </c>
      <c r="G37" s="851" t="s">
        <v>1173</v>
      </c>
      <c r="H37" s="851" t="s">
        <v>1174</v>
      </c>
    </row>
    <row r="38" spans="1:8" ht="12.75" x14ac:dyDescent="0.2">
      <c r="A38" s="849" t="s">
        <v>1175</v>
      </c>
      <c r="C38" s="851"/>
      <c r="D38" s="1133"/>
      <c r="E38" s="887">
        <f>(E39-D39)/D39</f>
        <v>5.6304998195541127E-2</v>
      </c>
      <c r="F38" s="887">
        <f>(F39-E39)/E39</f>
        <v>3.3539015243872768E-2</v>
      </c>
      <c r="G38" s="887">
        <f>(G39-F39)/F39</f>
        <v>4.2864734533570065E-2</v>
      </c>
      <c r="H38" s="887">
        <f>(H39-G39)/G39</f>
        <v>2.7375956760284086E-2</v>
      </c>
    </row>
    <row r="39" spans="1:8" ht="12.75" customHeight="1" x14ac:dyDescent="0.2">
      <c r="A39" s="1131" t="s">
        <v>1176</v>
      </c>
      <c r="B39" s="1130"/>
      <c r="C39" s="1134">
        <v>-14450315</v>
      </c>
      <c r="D39" s="1134">
        <v>-14450315</v>
      </c>
      <c r="E39" s="1134">
        <f>-'Gen Fund  Inc Exp Statement'!G12*1000</f>
        <v>-15263939.960000001</v>
      </c>
      <c r="F39" s="1134">
        <f>-'Gen Fund  Inc Exp Statement'!H12*1000</f>
        <v>-15775877.475</v>
      </c>
      <c r="G39" s="1134">
        <f>-'Gen Fund  Inc Exp Statement'!I12*1000</f>
        <v>-16452106.275000002</v>
      </c>
      <c r="H39" s="1134">
        <f>-'Gen Fund  Inc Exp Statement'!J12*1000</f>
        <v>-16902498.425000001</v>
      </c>
    </row>
    <row r="40" spans="1:8" ht="12.75" customHeight="1" x14ac:dyDescent="0.2">
      <c r="A40" s="852" t="s">
        <v>12</v>
      </c>
      <c r="C40" s="853">
        <v>-6434666</v>
      </c>
      <c r="D40" s="1134">
        <v>-6411773</v>
      </c>
      <c r="E40" s="1134">
        <f>-'Gen Fund  Inc Exp Statement'!G13*1000</f>
        <v>-6694225</v>
      </c>
      <c r="F40" s="1134">
        <f>-'Gen Fund  Inc Exp Statement'!H13*1000</f>
        <v>-6785000</v>
      </c>
      <c r="G40" s="1134">
        <f>-'Gen Fund  Inc Exp Statement'!I13*1000</f>
        <v>-6903593</v>
      </c>
      <c r="H40" s="1134">
        <f>-'Gen Fund  Inc Exp Statement'!J13*1000</f>
        <v>-7069659</v>
      </c>
    </row>
    <row r="41" spans="1:8" ht="12.75" customHeight="1" x14ac:dyDescent="0.2">
      <c r="A41" s="852" t="s">
        <v>1177</v>
      </c>
      <c r="C41" s="853">
        <v>-931500</v>
      </c>
      <c r="D41" s="1134">
        <v>-945000</v>
      </c>
      <c r="E41" s="1134">
        <f>-'Gen Fund  Inc Exp Statement'!G14*1000</f>
        <v>-938209</v>
      </c>
      <c r="F41" s="1134">
        <f>-'Gen Fund  Inc Exp Statement'!H14*1000</f>
        <v>-947193</v>
      </c>
      <c r="G41" s="1134">
        <f>-'Gen Fund  Inc Exp Statement'!I14*1000</f>
        <v>-956889</v>
      </c>
      <c r="H41" s="1134">
        <f>-'Gen Fund  Inc Exp Statement'!J14*1000</f>
        <v>-965433</v>
      </c>
    </row>
    <row r="42" spans="1:8" ht="12.75" customHeight="1" x14ac:dyDescent="0.2">
      <c r="A42" s="852" t="s">
        <v>1178</v>
      </c>
      <c r="C42" s="853">
        <v>-2424537</v>
      </c>
      <c r="D42" s="1134">
        <v>-3002744</v>
      </c>
      <c r="E42" s="1134">
        <f>-'Gen Fund  Inc Exp Statement'!G15*1000</f>
        <v>-2409788</v>
      </c>
      <c r="F42" s="1134">
        <f>-'Gen Fund  Inc Exp Statement'!H15*1000</f>
        <v>-2463804</v>
      </c>
      <c r="G42" s="1134">
        <f>-'Gen Fund  Inc Exp Statement'!I15*1000</f>
        <v>-2520379</v>
      </c>
      <c r="H42" s="1134">
        <f>-'Gen Fund  Inc Exp Statement'!J15*1000</f>
        <v>-2578016</v>
      </c>
    </row>
    <row r="43" spans="1:8" ht="12.75" customHeight="1" x14ac:dyDescent="0.2">
      <c r="A43" s="852" t="s">
        <v>1179</v>
      </c>
      <c r="C43" s="853">
        <v>-6174744</v>
      </c>
      <c r="D43" s="1134">
        <v>-6297941</v>
      </c>
      <c r="E43" s="1134">
        <f>-'Gen Fund  Inc Exp Statement'!G16*1000</f>
        <v>-5450889</v>
      </c>
      <c r="F43" s="1134">
        <f>-'Gen Fund  Inc Exp Statement'!H16*1000</f>
        <v>-5547351</v>
      </c>
      <c r="G43" s="1134">
        <f>-'Gen Fund  Inc Exp Statement'!I16*1000</f>
        <v>-5643589</v>
      </c>
      <c r="H43" s="1134">
        <f>-'Gen Fund  Inc Exp Statement'!J16*1000</f>
        <v>-5741765.7599999998</v>
      </c>
    </row>
    <row r="44" spans="1:8" ht="12.75" customHeight="1" x14ac:dyDescent="0.2">
      <c r="A44" s="852" t="s">
        <v>1180</v>
      </c>
      <c r="C44" s="853">
        <v>-4783353</v>
      </c>
      <c r="D44" s="1134">
        <v>-6163353</v>
      </c>
      <c r="E44" s="1134">
        <f>-'Gen Fund  Inc Exp Statement'!G18*1000</f>
        <v>-5059852</v>
      </c>
      <c r="F44" s="1134">
        <f>-'Gen Fund  Inc Exp Statement'!H18*1000</f>
        <v>-5239623</v>
      </c>
      <c r="G44" s="1134">
        <f>-'Gen Fund  Inc Exp Statement'!I18*1000</f>
        <v>-5419178</v>
      </c>
      <c r="H44" s="1134">
        <f>-'Gen Fund  Inc Exp Statement'!J18*1000</f>
        <v>-5456519</v>
      </c>
    </row>
    <row r="45" spans="1:8" ht="12.75" x14ac:dyDescent="0.2">
      <c r="C45" s="854"/>
      <c r="D45" s="1145"/>
      <c r="E45" s="854"/>
      <c r="F45" s="854"/>
      <c r="G45" s="854"/>
      <c r="H45" s="854"/>
    </row>
    <row r="46" spans="1:8" ht="12.75" x14ac:dyDescent="0.2">
      <c r="A46" s="849" t="s">
        <v>1181</v>
      </c>
      <c r="C46" s="855">
        <f t="shared" ref="C46:H46" si="3">SUM(C39:C45)</f>
        <v>-35199115</v>
      </c>
      <c r="D46" s="1135">
        <f t="shared" si="3"/>
        <v>-37271126</v>
      </c>
      <c r="E46" s="855">
        <f t="shared" si="3"/>
        <v>-35816902.960000001</v>
      </c>
      <c r="F46" s="855">
        <f t="shared" si="3"/>
        <v>-36758848.475000001</v>
      </c>
      <c r="G46" s="855">
        <f t="shared" si="3"/>
        <v>-37895734.275000006</v>
      </c>
      <c r="H46" s="855">
        <f t="shared" si="3"/>
        <v>-38713891.185000002</v>
      </c>
    </row>
    <row r="47" spans="1:8" ht="12.75" x14ac:dyDescent="0.2">
      <c r="C47" s="853"/>
      <c r="D47" s="1134"/>
      <c r="E47" s="853"/>
      <c r="F47" s="853"/>
      <c r="G47" s="853"/>
      <c r="H47" s="853"/>
    </row>
    <row r="48" spans="1:8" ht="25.5" x14ac:dyDescent="0.2">
      <c r="C48" s="850" t="s">
        <v>1168</v>
      </c>
      <c r="D48" s="1304" t="s">
        <v>1633</v>
      </c>
      <c r="E48" s="850" t="s">
        <v>1170</v>
      </c>
      <c r="F48" s="851" t="s">
        <v>1172</v>
      </c>
      <c r="G48" s="851" t="s">
        <v>1173</v>
      </c>
      <c r="H48" s="851" t="s">
        <v>1174</v>
      </c>
    </row>
    <row r="49" spans="1:8" ht="12.75" x14ac:dyDescent="0.2">
      <c r="A49" s="849" t="s">
        <v>925</v>
      </c>
      <c r="C49" s="851"/>
      <c r="D49" s="1133"/>
      <c r="E49" s="851"/>
      <c r="F49" s="851"/>
      <c r="G49" s="851"/>
      <c r="H49" s="851"/>
    </row>
    <row r="50" spans="1:8" ht="12.75" customHeight="1" x14ac:dyDescent="0.2">
      <c r="A50" s="852" t="s">
        <v>1182</v>
      </c>
      <c r="C50" s="853">
        <v>11231316</v>
      </c>
      <c r="D50" s="1134">
        <v>11226707</v>
      </c>
      <c r="E50" s="853">
        <f>'Gen Fund  Inc Exp Statement'!G24*1000</f>
        <v>11563034</v>
      </c>
      <c r="F50" s="853">
        <f>'Gen Fund  Inc Exp Statement'!H24*1000</f>
        <v>11981640</v>
      </c>
      <c r="G50" s="853">
        <f>'Gen Fund  Inc Exp Statement'!I24*1000</f>
        <v>12314493</v>
      </c>
      <c r="H50" s="853">
        <f>'Gen Fund  Inc Exp Statement'!J24*1000</f>
        <v>12673002</v>
      </c>
    </row>
    <row r="51" spans="1:8" ht="12.75" customHeight="1" x14ac:dyDescent="0.2">
      <c r="A51" s="852" t="s">
        <v>27</v>
      </c>
      <c r="C51" s="853">
        <v>10912698</v>
      </c>
      <c r="D51" s="1134">
        <v>12520239</v>
      </c>
      <c r="E51" s="853">
        <f>'Gen Fund  Inc Exp Statement'!G26*1000</f>
        <v>11347192</v>
      </c>
      <c r="F51" s="853">
        <f>'Gen Fund  Inc Exp Statement'!H26*1000</f>
        <v>11669807</v>
      </c>
      <c r="G51" s="853">
        <f>'Gen Fund  Inc Exp Statement'!I26*1000</f>
        <v>11941678</v>
      </c>
      <c r="H51" s="853">
        <f>'Gen Fund  Inc Exp Statement'!J26*1000</f>
        <v>12224179.999999998</v>
      </c>
    </row>
    <row r="52" spans="1:8" ht="12.75" customHeight="1" x14ac:dyDescent="0.2">
      <c r="A52" s="852" t="s">
        <v>1183</v>
      </c>
      <c r="C52" s="853">
        <v>2286850</v>
      </c>
      <c r="D52" s="1134">
        <v>2386879</v>
      </c>
      <c r="E52" s="853">
        <f>'Gen Fund  Inc Exp Statement'!G31*1000</f>
        <v>2395631</v>
      </c>
      <c r="F52" s="853">
        <f>'Gen Fund  Inc Exp Statement'!H31*1000</f>
        <v>2446074</v>
      </c>
      <c r="G52" s="853">
        <f>'Gen Fund  Inc Exp Statement'!I31*1000</f>
        <v>2498007</v>
      </c>
      <c r="H52" s="853">
        <f>'Gen Fund  Inc Exp Statement'!J31*1000</f>
        <v>2561640</v>
      </c>
    </row>
    <row r="53" spans="1:8" ht="12.75" customHeight="1" x14ac:dyDescent="0.2">
      <c r="A53" s="852" t="s">
        <v>926</v>
      </c>
      <c r="C53" s="853">
        <v>592127</v>
      </c>
      <c r="D53" s="1134">
        <v>592127</v>
      </c>
      <c r="E53" s="853">
        <f>'Gen Fund  Inc Exp Statement'!G25*1000</f>
        <v>588937</v>
      </c>
      <c r="F53" s="853">
        <f>'Gen Fund  Inc Exp Statement'!H25*1000</f>
        <v>586087</v>
      </c>
      <c r="G53" s="853">
        <f>'Gen Fund  Inc Exp Statement'!I25*1000</f>
        <v>583331</v>
      </c>
      <c r="H53" s="853">
        <f>'Gen Fund  Inc Exp Statement'!J25*1000</f>
        <v>580354</v>
      </c>
    </row>
    <row r="54" spans="1:8" ht="12.75" customHeight="1" x14ac:dyDescent="0.2">
      <c r="A54" s="852" t="s">
        <v>1077</v>
      </c>
      <c r="C54" s="853">
        <v>1763353</v>
      </c>
      <c r="D54" s="1134">
        <v>1765662</v>
      </c>
      <c r="E54" s="853">
        <f>'Gen Fund  Inc Exp Statement'!G27*1000</f>
        <v>1835177</v>
      </c>
      <c r="F54" s="853">
        <f>'Gen Fund  Inc Exp Statement'!H27*1000</f>
        <v>1869220</v>
      </c>
      <c r="G54" s="853">
        <f>'Gen Fund  Inc Exp Statement'!I27*1000</f>
        <v>1904465</v>
      </c>
      <c r="H54" s="853">
        <f>'Gen Fund  Inc Exp Statement'!J27*1000</f>
        <v>1940571</v>
      </c>
    </row>
    <row r="55" spans="1:8" ht="12.75" customHeight="1" x14ac:dyDescent="0.2">
      <c r="A55" s="852" t="s">
        <v>584</v>
      </c>
      <c r="C55" s="853">
        <v>8510646</v>
      </c>
      <c r="D55" s="1134">
        <v>7529701</v>
      </c>
      <c r="E55" s="853">
        <f>'Gen Fund  Inc Exp Statement'!G28*1000</f>
        <v>7355778</v>
      </c>
      <c r="F55" s="853">
        <f>'Gen Fund  Inc Exp Statement'!H28*1000</f>
        <v>7537786</v>
      </c>
      <c r="G55" s="853">
        <f>'Gen Fund  Inc Exp Statement'!I28*1000</f>
        <v>7724289</v>
      </c>
      <c r="H55" s="853">
        <f>'Gen Fund  Inc Exp Statement'!J28*1000</f>
        <v>7915435</v>
      </c>
    </row>
    <row r="56" spans="1:8" ht="12.75" x14ac:dyDescent="0.2">
      <c r="C56" s="854"/>
      <c r="D56" s="1145"/>
      <c r="E56" s="854"/>
      <c r="F56" s="854"/>
      <c r="G56" s="854"/>
      <c r="H56" s="854"/>
    </row>
    <row r="57" spans="1:8" ht="12.75" x14ac:dyDescent="0.2">
      <c r="A57" s="849" t="s">
        <v>1184</v>
      </c>
      <c r="C57" s="855">
        <f t="shared" ref="C57:H57" si="4">SUM(C50:C56)</f>
        <v>35296990</v>
      </c>
      <c r="D57" s="1135">
        <f t="shared" si="4"/>
        <v>36021315</v>
      </c>
      <c r="E57" s="855">
        <f t="shared" si="4"/>
        <v>35085749</v>
      </c>
      <c r="F57" s="855">
        <f t="shared" si="4"/>
        <v>36090614</v>
      </c>
      <c r="G57" s="855">
        <f t="shared" si="4"/>
        <v>36966263</v>
      </c>
      <c r="H57" s="855">
        <f t="shared" si="4"/>
        <v>37895182</v>
      </c>
    </row>
    <row r="58" spans="1:8" ht="12.75" x14ac:dyDescent="0.2">
      <c r="C58" s="854"/>
      <c r="D58" s="1145"/>
      <c r="E58" s="854"/>
      <c r="F58" s="854"/>
      <c r="G58" s="854"/>
      <c r="H58" s="854"/>
    </row>
    <row r="59" spans="1:8" ht="12.75" x14ac:dyDescent="0.2">
      <c r="A59" s="849" t="s">
        <v>1185</v>
      </c>
      <c r="C59" s="855">
        <f t="shared" ref="C59:H59" si="5">C46+C57</f>
        <v>97875</v>
      </c>
      <c r="D59" s="1135">
        <f t="shared" si="5"/>
        <v>-1249811</v>
      </c>
      <c r="E59" s="855">
        <f t="shared" si="5"/>
        <v>-731153.96000000089</v>
      </c>
      <c r="F59" s="855">
        <f t="shared" si="5"/>
        <v>-668234.47500000149</v>
      </c>
      <c r="G59" s="855">
        <f t="shared" si="5"/>
        <v>-929471.27500000596</v>
      </c>
      <c r="H59" s="855">
        <f t="shared" si="5"/>
        <v>-818709.18500000238</v>
      </c>
    </row>
    <row r="60" spans="1:8" ht="12.75" x14ac:dyDescent="0.2">
      <c r="A60" s="849"/>
      <c r="C60" s="855"/>
      <c r="D60" s="1135"/>
      <c r="E60" s="855"/>
      <c r="F60" s="855"/>
      <c r="G60" s="855"/>
      <c r="H60" s="855"/>
    </row>
    <row r="61" spans="1:8" ht="12.75" x14ac:dyDescent="0.2">
      <c r="A61" s="849"/>
      <c r="C61" s="855"/>
      <c r="D61" s="1135"/>
      <c r="E61" s="855"/>
      <c r="F61" s="855"/>
      <c r="G61" s="855"/>
      <c r="H61" s="855"/>
    </row>
    <row r="62" spans="1:8" ht="12.75" x14ac:dyDescent="0.2">
      <c r="A62" s="1561" t="s">
        <v>1163</v>
      </c>
      <c r="B62" s="1561"/>
      <c r="C62" s="1561"/>
      <c r="D62" s="1561"/>
      <c r="E62" s="1561"/>
      <c r="F62" s="1561"/>
      <c r="G62" s="1561"/>
      <c r="H62" s="1561"/>
    </row>
    <row r="63" spans="1:8" ht="12.75" x14ac:dyDescent="0.2">
      <c r="A63" s="849"/>
      <c r="C63" s="855"/>
      <c r="D63" s="1135"/>
      <c r="E63" s="855"/>
      <c r="F63" s="855"/>
      <c r="G63" s="855"/>
      <c r="H63" s="855"/>
    </row>
    <row r="64" spans="1:8" ht="12.75" x14ac:dyDescent="0.2">
      <c r="A64" s="849" t="s">
        <v>1164</v>
      </c>
      <c r="B64" s="849" t="s">
        <v>1189</v>
      </c>
    </row>
    <row r="65" spans="1:8" ht="12.75" x14ac:dyDescent="0.2">
      <c r="A65" s="849" t="s">
        <v>1166</v>
      </c>
      <c r="B65" s="849" t="s">
        <v>1635</v>
      </c>
    </row>
    <row r="66" spans="1:8" ht="12.75" x14ac:dyDescent="0.2">
      <c r="B66" s="852"/>
    </row>
    <row r="67" spans="1:8" ht="25.5" x14ac:dyDescent="0.2">
      <c r="C67" s="850" t="s">
        <v>1168</v>
      </c>
      <c r="D67" s="1304" t="s">
        <v>1633</v>
      </c>
      <c r="E67" s="850" t="s">
        <v>1170</v>
      </c>
      <c r="F67" s="851" t="s">
        <v>1172</v>
      </c>
      <c r="G67" s="851" t="s">
        <v>1173</v>
      </c>
      <c r="H67" s="851" t="s">
        <v>1174</v>
      </c>
    </row>
    <row r="68" spans="1:8" ht="12.75" x14ac:dyDescent="0.2">
      <c r="A68" s="849" t="s">
        <v>1175</v>
      </c>
      <c r="C68" s="851"/>
      <c r="D68" s="1133"/>
      <c r="E68" s="851"/>
      <c r="F68" s="851"/>
      <c r="G68" s="851"/>
      <c r="H68" s="851"/>
    </row>
    <row r="69" spans="1:8" ht="12.75" x14ac:dyDescent="0.2">
      <c r="A69" s="852" t="s">
        <v>12</v>
      </c>
      <c r="C69" s="853">
        <v>-3052303</v>
      </c>
      <c r="D69" s="1134">
        <v>-3062303</v>
      </c>
      <c r="E69" s="853">
        <f>-'Future Fund  Inc Exp Statement'!G12*1000</f>
        <v>-3203300</v>
      </c>
      <c r="F69" s="853">
        <f>-'Future Fund  Inc Exp Statement'!H12*1000</f>
        <v>-3283000</v>
      </c>
      <c r="G69" s="853">
        <f>-'Future Fund  Inc Exp Statement'!I12*1000</f>
        <v>-3348660</v>
      </c>
      <c r="H69" s="853">
        <f>-'Future Fund  Inc Exp Statement'!J12*1000</f>
        <v>-3415633.2</v>
      </c>
    </row>
    <row r="70" spans="1:8" ht="12.75" x14ac:dyDescent="0.2">
      <c r="A70" s="852"/>
      <c r="C70" s="853"/>
      <c r="D70" s="1134"/>
      <c r="E70" s="853"/>
      <c r="F70" s="853"/>
      <c r="G70" s="853"/>
      <c r="H70" s="853"/>
    </row>
    <row r="71" spans="1:8" ht="12.75" x14ac:dyDescent="0.2">
      <c r="C71" s="854"/>
      <c r="D71" s="1145"/>
      <c r="E71" s="854"/>
      <c r="F71" s="854"/>
      <c r="G71" s="854"/>
      <c r="H71" s="854"/>
    </row>
    <row r="72" spans="1:8" ht="12.75" x14ac:dyDescent="0.2">
      <c r="A72" s="849" t="s">
        <v>1181</v>
      </c>
      <c r="C72" s="855">
        <f t="shared" ref="C72:H72" si="6">SUM(C69:C71)</f>
        <v>-3052303</v>
      </c>
      <c r="D72" s="1135">
        <f t="shared" si="6"/>
        <v>-3062303</v>
      </c>
      <c r="E72" s="855">
        <f t="shared" si="6"/>
        <v>-3203300</v>
      </c>
      <c r="F72" s="855">
        <f t="shared" si="6"/>
        <v>-3283000</v>
      </c>
      <c r="G72" s="855">
        <f t="shared" si="6"/>
        <v>-3348660</v>
      </c>
      <c r="H72" s="855">
        <f t="shared" si="6"/>
        <v>-3415633.2</v>
      </c>
    </row>
    <row r="73" spans="1:8" ht="12.75" x14ac:dyDescent="0.2">
      <c r="B73" s="852"/>
      <c r="C73" s="853"/>
      <c r="D73" s="1134"/>
      <c r="E73" s="853"/>
      <c r="F73" s="1134"/>
      <c r="G73" s="1134"/>
      <c r="H73" s="1134"/>
    </row>
    <row r="74" spans="1:8" ht="25.5" x14ac:dyDescent="0.2">
      <c r="C74" s="850" t="s">
        <v>1168</v>
      </c>
      <c r="D74" s="1304" t="s">
        <v>1633</v>
      </c>
      <c r="E74" s="850" t="s">
        <v>1170</v>
      </c>
      <c r="F74" s="851" t="s">
        <v>1172</v>
      </c>
      <c r="G74" s="851" t="s">
        <v>1173</v>
      </c>
      <c r="H74" s="851" t="s">
        <v>1174</v>
      </c>
    </row>
    <row r="75" spans="1:8" ht="12.75" x14ac:dyDescent="0.2">
      <c r="A75" s="849" t="s">
        <v>925</v>
      </c>
      <c r="C75" s="851"/>
      <c r="D75" s="1133"/>
      <c r="E75" s="851"/>
      <c r="F75" s="851"/>
      <c r="G75" s="851"/>
      <c r="H75" s="851"/>
    </row>
    <row r="76" spans="1:8" ht="12.75" customHeight="1" x14ac:dyDescent="0.2">
      <c r="A76" s="852" t="s">
        <v>1182</v>
      </c>
      <c r="C76" s="853">
        <v>80000</v>
      </c>
      <c r="D76" s="1134">
        <v>80000</v>
      </c>
      <c r="E76" s="853">
        <f>'Future Fund  Inc Exp Statement'!G23*1000</f>
        <v>81424</v>
      </c>
      <c r="F76" s="853">
        <f>'Future Fund  Inc Exp Statement'!H23*1000</f>
        <v>83866</v>
      </c>
      <c r="G76" s="853">
        <f>'Future Fund  Inc Exp Statement'!I23*1000</f>
        <v>86382</v>
      </c>
      <c r="H76" s="853">
        <f>'Future Fund  Inc Exp Statement'!J23*1000</f>
        <v>88974</v>
      </c>
    </row>
    <row r="77" spans="1:8" ht="12.75" customHeight="1" x14ac:dyDescent="0.2">
      <c r="A77" s="852" t="s">
        <v>27</v>
      </c>
      <c r="C77" s="853">
        <v>577150</v>
      </c>
      <c r="D77" s="1134">
        <v>570800</v>
      </c>
      <c r="E77" s="853">
        <f>'Future Fund  Inc Exp Statement'!G25*1000</f>
        <v>563575</v>
      </c>
      <c r="F77" s="853">
        <f>'Future Fund  Inc Exp Statement'!H25*1000</f>
        <v>545531</v>
      </c>
      <c r="G77" s="853">
        <f>'Future Fund  Inc Exp Statement'!I25*1000</f>
        <v>556716</v>
      </c>
      <c r="H77" s="853">
        <f>'Future Fund  Inc Exp Statement'!J25*1000</f>
        <v>568158</v>
      </c>
    </row>
    <row r="78" spans="1:8" ht="12.75" customHeight="1" x14ac:dyDescent="0.2">
      <c r="A78" s="852" t="s">
        <v>1183</v>
      </c>
      <c r="C78" s="853">
        <v>359043</v>
      </c>
      <c r="D78" s="1134">
        <v>375393</v>
      </c>
      <c r="E78" s="853">
        <f>'Future Fund  Inc Exp Statement'!G30*1000</f>
        <v>379600</v>
      </c>
      <c r="F78" s="853">
        <f>'Future Fund  Inc Exp Statement'!H30*1000</f>
        <v>379696</v>
      </c>
      <c r="G78" s="853">
        <f>'Future Fund  Inc Exp Statement'!I30*1000</f>
        <v>387221</v>
      </c>
      <c r="H78" s="853">
        <f>'Future Fund  Inc Exp Statement'!J30*1000</f>
        <v>394903</v>
      </c>
    </row>
    <row r="79" spans="1:8" ht="12.75" customHeight="1" x14ac:dyDescent="0.2">
      <c r="A79" s="852" t="s">
        <v>926</v>
      </c>
      <c r="C79" s="853">
        <v>908235</v>
      </c>
      <c r="D79" s="1134">
        <v>908235</v>
      </c>
      <c r="E79" s="853">
        <f>'Future Fund  Inc Exp Statement'!G24*1000</f>
        <v>908235</v>
      </c>
      <c r="F79" s="853">
        <f>'Future Fund  Inc Exp Statement'!H24*1000</f>
        <v>908235</v>
      </c>
      <c r="G79" s="853">
        <f>'Future Fund  Inc Exp Statement'!I24*1000</f>
        <v>908235</v>
      </c>
      <c r="H79" s="853">
        <f>'Future Fund  Inc Exp Statement'!J24*1000</f>
        <v>908235</v>
      </c>
    </row>
    <row r="80" spans="1:8" ht="12.75" customHeight="1" x14ac:dyDescent="0.2">
      <c r="A80" s="852" t="s">
        <v>1077</v>
      </c>
      <c r="C80" s="853">
        <v>1000000</v>
      </c>
      <c r="D80" s="1134">
        <v>1000000</v>
      </c>
      <c r="E80" s="853">
        <f>'Future Fund  Inc Exp Statement'!G26*1000</f>
        <v>1100000</v>
      </c>
      <c r="F80" s="853">
        <f>'Future Fund  Inc Exp Statement'!H26*1000</f>
        <v>1200000</v>
      </c>
      <c r="G80" s="853">
        <f>'Future Fund  Inc Exp Statement'!I26*1000</f>
        <v>1300000</v>
      </c>
      <c r="H80" s="853">
        <f>'Future Fund  Inc Exp Statement'!J26*1000</f>
        <v>1400000</v>
      </c>
    </row>
    <row r="81" spans="1:8" ht="12.75" customHeight="1" x14ac:dyDescent="0.2">
      <c r="A81" s="852" t="s">
        <v>584</v>
      </c>
      <c r="C81" s="853">
        <v>0</v>
      </c>
      <c r="D81" s="1134">
        <v>291254</v>
      </c>
      <c r="E81" s="853">
        <f>'Future Fund  Inc Exp Statement'!G27*1000</f>
        <v>269687</v>
      </c>
      <c r="F81" s="853">
        <f>'Future Fund  Inc Exp Statement'!H27*1000</f>
        <v>275995</v>
      </c>
      <c r="G81" s="853">
        <f>'Future Fund  Inc Exp Statement'!I27*1000</f>
        <v>280655</v>
      </c>
      <c r="H81" s="853">
        <f>'Future Fund  Inc Exp Statement'!J27*1000</f>
        <v>289069</v>
      </c>
    </row>
    <row r="82" spans="1:8" ht="12.75" x14ac:dyDescent="0.2">
      <c r="C82" s="854"/>
      <c r="D82" s="1145"/>
      <c r="E82" s="854"/>
      <c r="F82" s="854"/>
      <c r="G82" s="854"/>
      <c r="H82" s="854"/>
    </row>
    <row r="83" spans="1:8" ht="12.75" x14ac:dyDescent="0.2">
      <c r="A83" s="849" t="s">
        <v>1184</v>
      </c>
      <c r="C83" s="855">
        <f t="shared" ref="C83:H83" si="7">SUM(C76:C82)</f>
        <v>2924428</v>
      </c>
      <c r="D83" s="1135">
        <f t="shared" si="7"/>
        <v>3225682</v>
      </c>
      <c r="E83" s="855">
        <f t="shared" si="7"/>
        <v>3302521</v>
      </c>
      <c r="F83" s="855">
        <f t="shared" si="7"/>
        <v>3393323</v>
      </c>
      <c r="G83" s="855">
        <f t="shared" si="7"/>
        <v>3519209</v>
      </c>
      <c r="H83" s="855">
        <f t="shared" si="7"/>
        <v>3649339</v>
      </c>
    </row>
    <row r="84" spans="1:8" ht="12.75" x14ac:dyDescent="0.2">
      <c r="C84" s="854"/>
      <c r="D84" s="1145"/>
      <c r="E84" s="854"/>
      <c r="F84" s="854"/>
      <c r="G84" s="854"/>
      <c r="H84" s="854"/>
    </row>
    <row r="85" spans="1:8" ht="12.75" x14ac:dyDescent="0.2">
      <c r="A85" s="849" t="s">
        <v>1185</v>
      </c>
      <c r="C85" s="855">
        <f t="shared" ref="C85:H85" si="8">C72+C83</f>
        <v>-127875</v>
      </c>
      <c r="D85" s="1135">
        <f t="shared" si="8"/>
        <v>163379</v>
      </c>
      <c r="E85" s="855">
        <f t="shared" si="8"/>
        <v>99221</v>
      </c>
      <c r="F85" s="855">
        <f t="shared" si="8"/>
        <v>110323</v>
      </c>
      <c r="G85" s="855">
        <f t="shared" si="8"/>
        <v>170549</v>
      </c>
      <c r="H85" s="855">
        <f t="shared" si="8"/>
        <v>233705.79999999981</v>
      </c>
    </row>
    <row r="88" spans="1:8" ht="12.75" x14ac:dyDescent="0.2">
      <c r="D88" s="1222"/>
    </row>
    <row r="89" spans="1:8" ht="12.75" x14ac:dyDescent="0.2">
      <c r="A89" s="1561" t="s">
        <v>1163</v>
      </c>
      <c r="B89" s="1561"/>
      <c r="C89" s="1561"/>
      <c r="D89" s="1561"/>
      <c r="E89" s="1561"/>
      <c r="F89" s="1561"/>
      <c r="G89" s="1561"/>
      <c r="H89" s="1561"/>
    </row>
    <row r="90" spans="1:8" ht="12.75" x14ac:dyDescent="0.2">
      <c r="A90" s="1222"/>
      <c r="B90" s="1222"/>
      <c r="C90" s="1222"/>
      <c r="D90" s="1144"/>
      <c r="E90" s="1222"/>
      <c r="F90" s="1222"/>
      <c r="G90" s="1222"/>
      <c r="H90" s="1222"/>
    </row>
    <row r="91" spans="1:8" ht="12.75" x14ac:dyDescent="0.2">
      <c r="A91" s="1132" t="s">
        <v>1164</v>
      </c>
      <c r="B91" s="1132" t="s">
        <v>1636</v>
      </c>
      <c r="C91" s="1222"/>
      <c r="D91" s="1144"/>
      <c r="E91" s="1222"/>
      <c r="F91" s="1222"/>
      <c r="G91" s="1222"/>
      <c r="H91" s="1222"/>
    </row>
    <row r="92" spans="1:8" ht="12.75" x14ac:dyDescent="0.2">
      <c r="A92" s="1132" t="s">
        <v>1367</v>
      </c>
      <c r="B92" s="1132" t="s">
        <v>1241</v>
      </c>
      <c r="C92" s="1222"/>
      <c r="D92" s="1144"/>
      <c r="E92" s="1222"/>
      <c r="F92" s="1222"/>
      <c r="G92" s="1222"/>
      <c r="H92" s="1222"/>
    </row>
    <row r="93" spans="1:8" ht="12.75" x14ac:dyDescent="0.2">
      <c r="A93" s="1132" t="s">
        <v>1166</v>
      </c>
      <c r="B93" s="1132" t="s">
        <v>1241</v>
      </c>
      <c r="C93" s="1222"/>
      <c r="D93" s="1144"/>
      <c r="E93" s="1222"/>
      <c r="F93" s="1222"/>
      <c r="G93" s="1222"/>
      <c r="H93" s="1222"/>
    </row>
    <row r="94" spans="1:8" ht="12.75" x14ac:dyDescent="0.2">
      <c r="A94" s="1131"/>
      <c r="C94" s="1134"/>
      <c r="D94" s="1134"/>
      <c r="E94" s="1134"/>
      <c r="F94" s="1134"/>
      <c r="G94" s="1134"/>
      <c r="H94" s="1134"/>
    </row>
    <row r="95" spans="1:8" ht="25.5" x14ac:dyDescent="0.2">
      <c r="A95" s="1222"/>
      <c r="B95" s="1222"/>
      <c r="C95" s="1136" t="s">
        <v>1168</v>
      </c>
      <c r="D95" s="1304" t="s">
        <v>1633</v>
      </c>
      <c r="E95" s="1136" t="s">
        <v>1170</v>
      </c>
      <c r="F95" s="1133" t="s">
        <v>1172</v>
      </c>
      <c r="G95" s="1133" t="s">
        <v>1173</v>
      </c>
      <c r="H95" s="1133" t="s">
        <v>1174</v>
      </c>
    </row>
    <row r="96" spans="1:8" ht="12.75" x14ac:dyDescent="0.2">
      <c r="A96" s="1132" t="s">
        <v>1175</v>
      </c>
      <c r="B96" s="1222"/>
      <c r="C96" s="1133"/>
      <c r="D96" s="1133"/>
      <c r="E96" s="1133"/>
      <c r="F96" s="1133"/>
      <c r="G96" s="1133"/>
      <c r="H96" s="1133"/>
    </row>
    <row r="97" spans="1:8" ht="12.75" x14ac:dyDescent="0.2">
      <c r="A97" s="1131" t="s">
        <v>1176</v>
      </c>
      <c r="B97" s="1222"/>
      <c r="C97" s="1134">
        <v>-1580000</v>
      </c>
      <c r="D97" s="1134">
        <v>-1580000</v>
      </c>
      <c r="E97" s="1134">
        <f>-'Water  Fund  Inc Exp Statement '!G11*1000</f>
        <v>-1485000</v>
      </c>
      <c r="F97" s="1134">
        <f>-'Water  Fund  Inc Exp Statement '!H11*1000</f>
        <v>-1498365</v>
      </c>
      <c r="G97" s="1134">
        <f>-'Water  Fund  Inc Exp Statement '!I11*1000</f>
        <v>-1511850</v>
      </c>
      <c r="H97" s="1134">
        <f>-'Water  Fund  Inc Exp Statement '!J11*1000</f>
        <v>-1525456</v>
      </c>
    </row>
    <row r="98" spans="1:8" ht="12.75" x14ac:dyDescent="0.2">
      <c r="A98" s="1131" t="s">
        <v>12</v>
      </c>
      <c r="B98" s="1222"/>
      <c r="C98" s="1134">
        <v>-3719150</v>
      </c>
      <c r="D98" s="1134">
        <v>-3719150</v>
      </c>
      <c r="E98" s="1134">
        <f>-'Water  Fund  Inc Exp Statement '!G12*1000</f>
        <v>-3922375</v>
      </c>
      <c r="F98" s="1134">
        <f>-'Water  Fund  Inc Exp Statement '!H12*1000</f>
        <v>-4115482</v>
      </c>
      <c r="G98" s="1134">
        <f>-'Water  Fund  Inc Exp Statement '!I12*1000</f>
        <v>-4318173</v>
      </c>
      <c r="H98" s="1134">
        <f>-'Water  Fund  Inc Exp Statement '!J12*1000</f>
        <v>-4530943</v>
      </c>
    </row>
    <row r="99" spans="1:8" ht="12.75" x14ac:dyDescent="0.2">
      <c r="A99" s="1131" t="s">
        <v>1177</v>
      </c>
      <c r="B99" s="1222"/>
      <c r="C99" s="1134">
        <v>-868000</v>
      </c>
      <c r="D99" s="1134">
        <v>-868000</v>
      </c>
      <c r="E99" s="1134">
        <f>-'Water  Fund  Inc Exp Statement '!G13*1000</f>
        <v>-819000</v>
      </c>
      <c r="F99" s="1134">
        <f>-'Water  Fund  Inc Exp Statement '!H13*1000</f>
        <v>-739620</v>
      </c>
      <c r="G99" s="1134">
        <f>-'Water  Fund  Inc Exp Statement '!I13*1000</f>
        <v>-740552</v>
      </c>
      <c r="H99" s="1134">
        <f>-'Water  Fund  Inc Exp Statement '!J13*1000</f>
        <v>-740897</v>
      </c>
    </row>
    <row r="100" spans="1:8" ht="12.75" x14ac:dyDescent="0.2">
      <c r="A100" s="1131" t="s">
        <v>1179</v>
      </c>
      <c r="B100" s="1222"/>
      <c r="C100" s="1134">
        <v>-38500</v>
      </c>
      <c r="D100" s="1134">
        <v>-38500</v>
      </c>
      <c r="E100" s="1134">
        <f>-'Water  Fund  Inc Exp Statement '!G15*1000</f>
        <v>-34500</v>
      </c>
      <c r="F100" s="1134">
        <f>-'Water  Fund  Inc Exp Statement '!H15*1000</f>
        <v>-35190</v>
      </c>
      <c r="G100" s="1134">
        <f>-'Water  Fund  Inc Exp Statement '!I15*1000</f>
        <v>-35893</v>
      </c>
      <c r="H100" s="1134">
        <f>-'Water  Fund  Inc Exp Statement '!J15*1000</f>
        <v>-36611</v>
      </c>
    </row>
    <row r="101" spans="1:8" ht="12.75" x14ac:dyDescent="0.2">
      <c r="A101" s="1222"/>
      <c r="B101" s="1222"/>
      <c r="C101" s="1145"/>
      <c r="D101" s="1145"/>
      <c r="E101" s="1145"/>
      <c r="F101" s="1145"/>
      <c r="G101" s="1145"/>
      <c r="H101" s="1145"/>
    </row>
    <row r="102" spans="1:8" ht="12.75" x14ac:dyDescent="0.2">
      <c r="A102" s="1132" t="s">
        <v>1181</v>
      </c>
      <c r="B102" s="1222"/>
      <c r="C102" s="1135">
        <v>-6205650</v>
      </c>
      <c r="D102" s="1135">
        <v>-6205650</v>
      </c>
      <c r="E102" s="1135">
        <v>-6260875</v>
      </c>
      <c r="F102" s="1135">
        <v>-6388657</v>
      </c>
      <c r="G102" s="1135">
        <v>-6606468</v>
      </c>
      <c r="H102" s="1135">
        <v>-6833907</v>
      </c>
    </row>
    <row r="103" spans="1:8" ht="12.75" x14ac:dyDescent="0.2">
      <c r="A103" s="1132"/>
      <c r="B103" s="1222"/>
      <c r="C103" s="1135"/>
      <c r="D103" s="1135"/>
      <c r="E103" s="1135"/>
      <c r="F103" s="1135"/>
      <c r="G103" s="1135"/>
      <c r="H103" s="1135"/>
    </row>
    <row r="104" spans="1:8" ht="12.75" x14ac:dyDescent="0.2">
      <c r="A104" s="1132"/>
      <c r="B104" s="1222"/>
      <c r="C104" s="1135"/>
      <c r="D104" s="1135"/>
      <c r="E104" s="1135"/>
      <c r="F104" s="1135"/>
      <c r="G104" s="1135"/>
      <c r="H104" s="1135"/>
    </row>
    <row r="105" spans="1:8" ht="12.75" x14ac:dyDescent="0.2">
      <c r="A105" s="1222"/>
      <c r="B105" s="1222"/>
      <c r="C105" s="1134"/>
      <c r="D105" s="1134"/>
      <c r="E105" s="1134"/>
      <c r="F105" s="1134"/>
      <c r="G105" s="1134"/>
      <c r="H105" s="1134"/>
    </row>
    <row r="106" spans="1:8" ht="25.5" x14ac:dyDescent="0.2">
      <c r="A106" s="1222"/>
      <c r="B106" s="1222"/>
      <c r="C106" s="1136" t="s">
        <v>1168</v>
      </c>
      <c r="D106" s="1304" t="s">
        <v>1633</v>
      </c>
      <c r="E106" s="1136" t="s">
        <v>1170</v>
      </c>
      <c r="F106" s="1133" t="s">
        <v>1172</v>
      </c>
      <c r="G106" s="1133" t="s">
        <v>1173</v>
      </c>
      <c r="H106" s="1133" t="s">
        <v>1174</v>
      </c>
    </row>
    <row r="107" spans="1:8" ht="12.75" x14ac:dyDescent="0.2">
      <c r="A107" s="1132" t="s">
        <v>925</v>
      </c>
      <c r="B107" s="1222"/>
      <c r="C107" s="1133"/>
      <c r="D107" s="1133"/>
      <c r="E107" s="1133"/>
      <c r="F107" s="1133"/>
      <c r="G107" s="1133"/>
      <c r="H107" s="1133"/>
    </row>
    <row r="108" spans="1:8" ht="12.75" x14ac:dyDescent="0.2">
      <c r="A108" s="1131" t="s">
        <v>1182</v>
      </c>
      <c r="B108" s="1222"/>
      <c r="C108" s="1134">
        <v>977890</v>
      </c>
      <c r="D108" s="1134">
        <v>977890</v>
      </c>
      <c r="E108" s="1134">
        <f>'Water  Fund  Inc Exp Statement '!G23*1000</f>
        <v>1129550</v>
      </c>
      <c r="F108" s="1134">
        <f>'Water  Fund  Inc Exp Statement '!H23*1000</f>
        <v>1172491</v>
      </c>
      <c r="G108" s="1134">
        <f>'Water  Fund  Inc Exp Statement '!I23*1000</f>
        <v>1217242</v>
      </c>
      <c r="H108" s="1134">
        <f>'Water  Fund  Inc Exp Statement '!J23*1000</f>
        <v>1263922</v>
      </c>
    </row>
    <row r="109" spans="1:8" ht="12.75" x14ac:dyDescent="0.2">
      <c r="A109" s="1131" t="s">
        <v>27</v>
      </c>
      <c r="B109" s="1222"/>
      <c r="C109" s="1134">
        <v>1785200</v>
      </c>
      <c r="D109" s="1134">
        <v>1785200</v>
      </c>
      <c r="E109" s="1134">
        <f>'Water  Fund  Inc Exp Statement '!G25*1000</f>
        <v>1589600</v>
      </c>
      <c r="F109" s="1134">
        <f>'Water  Fund  Inc Exp Statement '!H25*1000</f>
        <v>1632152</v>
      </c>
      <c r="G109" s="1134">
        <f>'Water  Fund  Inc Exp Statement '!I25*1000</f>
        <v>1676305</v>
      </c>
      <c r="H109" s="1134">
        <f>'Water  Fund  Inc Exp Statement '!J25*1000</f>
        <v>1722162</v>
      </c>
    </row>
    <row r="110" spans="1:8" ht="12.75" x14ac:dyDescent="0.2">
      <c r="A110" s="1131" t="s">
        <v>1183</v>
      </c>
      <c r="B110" s="1222"/>
      <c r="C110" s="1134">
        <v>348000</v>
      </c>
      <c r="D110" s="1134">
        <v>348000</v>
      </c>
      <c r="E110" s="1134">
        <f>'Water  Fund  Inc Exp Statement '!G30*1000</f>
        <v>302500</v>
      </c>
      <c r="F110" s="1134">
        <f>'Water  Fund  Inc Exp Statement '!H30*1000</f>
        <v>315810</v>
      </c>
      <c r="G110" s="1134">
        <f>'Water  Fund  Inc Exp Statement '!I30*1000</f>
        <v>329811</v>
      </c>
      <c r="H110" s="1134">
        <f>'Water  Fund  Inc Exp Statement '!J30*1000</f>
        <v>344552</v>
      </c>
    </row>
    <row r="111" spans="1:8" ht="12.75" x14ac:dyDescent="0.2">
      <c r="A111" s="1131" t="s">
        <v>926</v>
      </c>
      <c r="B111" s="1222"/>
      <c r="C111" s="1134">
        <v>161286</v>
      </c>
      <c r="D111" s="1134">
        <v>161286</v>
      </c>
      <c r="E111" s="1134">
        <f>'Water  Fund  Inc Exp Statement '!G24*1000</f>
        <v>144540</v>
      </c>
      <c r="F111" s="1134">
        <f>'Water  Fund  Inc Exp Statement '!H24*1000</f>
        <v>120660</v>
      </c>
      <c r="G111" s="1134">
        <f>'Water  Fund  Inc Exp Statement '!I24*1000</f>
        <v>102289</v>
      </c>
      <c r="H111" s="1134">
        <f>'Water  Fund  Inc Exp Statement '!J24*1000</f>
        <v>81014</v>
      </c>
    </row>
    <row r="112" spans="1:8" ht="12.75" x14ac:dyDescent="0.2">
      <c r="A112" s="1131" t="s">
        <v>1077</v>
      </c>
      <c r="B112" s="1222"/>
      <c r="C112" s="1134">
        <v>1228000</v>
      </c>
      <c r="D112" s="1134">
        <v>1228000</v>
      </c>
      <c r="E112" s="1134">
        <f>'Water  Fund  Inc Exp Statement '!G26*1000</f>
        <v>1254700</v>
      </c>
      <c r="F112" s="1134">
        <f>'Water  Fund  Inc Exp Statement '!H26*1000</f>
        <v>1282067</v>
      </c>
      <c r="G112" s="1134">
        <f>'Water  Fund  Inc Exp Statement '!I26*1000</f>
        <v>1310118</v>
      </c>
      <c r="H112" s="1134">
        <f>'Water  Fund  Inc Exp Statement '!J26*1000</f>
        <v>1338871</v>
      </c>
    </row>
    <row r="113" spans="1:8" ht="12.75" x14ac:dyDescent="0.2">
      <c r="A113" s="1131" t="s">
        <v>584</v>
      </c>
      <c r="B113" s="1222"/>
      <c r="C113" s="1134">
        <v>1501272</v>
      </c>
      <c r="D113" s="1134">
        <v>1501272</v>
      </c>
      <c r="E113" s="1134">
        <f>'Water  Fund  Inc Exp Statement '!G27*1000</f>
        <v>1518100</v>
      </c>
      <c r="F113" s="1134">
        <f>'Water  Fund  Inc Exp Statement '!H27*1000</f>
        <v>1555950</v>
      </c>
      <c r="G113" s="1134">
        <f>'Water  Fund  Inc Exp Statement '!I27*1000</f>
        <v>1594848</v>
      </c>
      <c r="H113" s="1134">
        <f>'Water  Fund  Inc Exp Statement '!J27*1000</f>
        <v>1634718</v>
      </c>
    </row>
    <row r="114" spans="1:8" ht="12.75" x14ac:dyDescent="0.2">
      <c r="A114" s="1222"/>
      <c r="B114" s="1222"/>
      <c r="C114" s="1145"/>
      <c r="D114" s="1145"/>
      <c r="E114" s="1145"/>
      <c r="F114" s="1145"/>
      <c r="G114" s="1145"/>
      <c r="H114" s="1145"/>
    </row>
    <row r="115" spans="1:8" ht="12.75" x14ac:dyDescent="0.2">
      <c r="A115" s="1132" t="s">
        <v>1184</v>
      </c>
      <c r="B115" s="1222"/>
      <c r="C115" s="1135">
        <v>6001648</v>
      </c>
      <c r="D115" s="1135">
        <v>6001648</v>
      </c>
      <c r="E115" s="1135">
        <v>5938990</v>
      </c>
      <c r="F115" s="1135">
        <v>6079130</v>
      </c>
      <c r="G115" s="1135">
        <v>6230613</v>
      </c>
      <c r="H115" s="1135">
        <v>6385239</v>
      </c>
    </row>
    <row r="116" spans="1:8" ht="12.75" x14ac:dyDescent="0.2">
      <c r="A116" s="1222"/>
      <c r="B116" s="1222"/>
      <c r="C116" s="1145"/>
      <c r="D116" s="1145"/>
      <c r="E116" s="1145"/>
      <c r="F116" s="1145"/>
      <c r="G116" s="1145"/>
      <c r="H116" s="1145"/>
    </row>
    <row r="117" spans="1:8" ht="12.75" x14ac:dyDescent="0.2">
      <c r="A117" s="1132" t="s">
        <v>1185</v>
      </c>
      <c r="B117" s="1222"/>
      <c r="C117" s="1135">
        <v>-204002</v>
      </c>
      <c r="D117" s="1135">
        <v>-204002</v>
      </c>
      <c r="E117" s="1135">
        <v>-321885</v>
      </c>
      <c r="F117" s="1135">
        <v>-309527</v>
      </c>
      <c r="G117" s="1135">
        <v>-375855</v>
      </c>
      <c r="H117" s="1135">
        <v>-448668</v>
      </c>
    </row>
    <row r="118" spans="1:8" ht="12.75" x14ac:dyDescent="0.2">
      <c r="A118" s="1132"/>
      <c r="B118" s="1222"/>
      <c r="C118" s="1135"/>
      <c r="D118" s="1135"/>
      <c r="E118" s="1135"/>
      <c r="F118" s="1135"/>
      <c r="G118" s="1135"/>
      <c r="H118" s="1135"/>
    </row>
    <row r="119" spans="1:8" ht="15" customHeight="1" x14ac:dyDescent="0.25">
      <c r="A119" s="1561" t="s">
        <v>1163</v>
      </c>
      <c r="B119" s="1561"/>
      <c r="C119" s="1561"/>
      <c r="D119" s="1561"/>
      <c r="E119" s="1561"/>
      <c r="F119" s="1561"/>
      <c r="G119" s="1561"/>
      <c r="H119" s="1561"/>
    </row>
    <row r="120" spans="1:8" x14ac:dyDescent="0.25">
      <c r="A120" s="1561"/>
      <c r="B120" s="1561"/>
      <c r="C120" s="1561"/>
      <c r="D120" s="1561"/>
      <c r="E120" s="1561"/>
      <c r="F120" s="1561"/>
      <c r="G120" s="1561"/>
      <c r="H120" s="1561"/>
    </row>
    <row r="121" spans="1:8" ht="12.75" x14ac:dyDescent="0.2">
      <c r="A121" s="1132"/>
      <c r="B121" s="1132"/>
      <c r="D121" s="1222"/>
    </row>
    <row r="122" spans="1:8" ht="12.75" x14ac:dyDescent="0.2">
      <c r="A122" s="1132" t="s">
        <v>1164</v>
      </c>
      <c r="B122" s="1132" t="s">
        <v>1637</v>
      </c>
      <c r="C122" s="1222"/>
      <c r="D122" s="1144"/>
      <c r="E122" s="1222"/>
      <c r="F122" s="1222"/>
      <c r="G122" s="1222"/>
      <c r="H122" s="1222"/>
    </row>
    <row r="123" spans="1:8" ht="12.75" x14ac:dyDescent="0.2">
      <c r="A123" s="1132" t="s">
        <v>1367</v>
      </c>
      <c r="B123" s="1132" t="s">
        <v>1243</v>
      </c>
      <c r="C123" s="1222"/>
      <c r="D123" s="1144"/>
      <c r="E123" s="1222"/>
      <c r="F123" s="1222"/>
      <c r="G123" s="1222"/>
      <c r="H123" s="1222"/>
    </row>
    <row r="124" spans="1:8" ht="12.75" x14ac:dyDescent="0.2">
      <c r="A124" s="1132" t="s">
        <v>1166</v>
      </c>
      <c r="B124" s="1132" t="s">
        <v>1243</v>
      </c>
      <c r="C124" s="1222"/>
      <c r="D124" s="1144"/>
      <c r="E124" s="1222"/>
      <c r="F124" s="1222"/>
      <c r="G124" s="1222"/>
      <c r="H124" s="1222"/>
    </row>
    <row r="125" spans="1:8" ht="12.75" x14ac:dyDescent="0.2">
      <c r="A125" s="1131"/>
      <c r="C125" s="1134"/>
      <c r="D125" s="1134"/>
      <c r="E125" s="1134"/>
      <c r="F125" s="1134"/>
      <c r="G125" s="1134"/>
      <c r="H125" s="1134"/>
    </row>
    <row r="126" spans="1:8" ht="25.5" x14ac:dyDescent="0.2">
      <c r="A126" s="1222"/>
      <c r="B126" s="1222"/>
      <c r="C126" s="1136" t="s">
        <v>1168</v>
      </c>
      <c r="D126" s="1304" t="s">
        <v>1633</v>
      </c>
      <c r="E126" s="1136" t="s">
        <v>1170</v>
      </c>
      <c r="F126" s="1133" t="s">
        <v>1172</v>
      </c>
      <c r="G126" s="1133" t="s">
        <v>1173</v>
      </c>
      <c r="H126" s="1133" t="s">
        <v>1174</v>
      </c>
    </row>
    <row r="127" spans="1:8" ht="12.75" x14ac:dyDescent="0.2">
      <c r="A127" s="1132" t="s">
        <v>1175</v>
      </c>
      <c r="B127" s="1222"/>
      <c r="C127" s="1133"/>
      <c r="D127" s="1133"/>
      <c r="E127" s="1133"/>
      <c r="F127" s="1133"/>
      <c r="G127" s="1133"/>
      <c r="H127" s="1133"/>
    </row>
    <row r="128" spans="1:8" ht="12.75" x14ac:dyDescent="0.2">
      <c r="A128" s="1131" t="s">
        <v>1176</v>
      </c>
      <c r="B128" s="1222"/>
      <c r="C128" s="1134">
        <v>-4001500</v>
      </c>
      <c r="D128" s="1134">
        <v>-4001500</v>
      </c>
      <c r="E128" s="1134">
        <f>-'Sewer  Fund  Inc Exp Statem'!G11*1000</f>
        <v>-3866000</v>
      </c>
      <c r="F128" s="1134">
        <f>-'Sewer  Fund  Inc Exp Statem'!H11*1000</f>
        <v>-4129430.0000000005</v>
      </c>
      <c r="G128" s="1134">
        <f>-'Sewer  Fund  Inc Exp Statem'!I11*1000</f>
        <v>-4236212</v>
      </c>
      <c r="H128" s="1134">
        <f>-'Sewer  Fund  Inc Exp Statem'!J11*1000</f>
        <v>-4349657</v>
      </c>
    </row>
    <row r="129" spans="1:8" ht="12.75" x14ac:dyDescent="0.2">
      <c r="A129" s="1131" t="s">
        <v>12</v>
      </c>
      <c r="B129" s="1222"/>
      <c r="C129" s="1134">
        <v>-322700</v>
      </c>
      <c r="D129" s="1134">
        <v>-322700</v>
      </c>
      <c r="E129" s="1134">
        <f>-'Sewer  Fund  Inc Exp Statem'!G12*1000</f>
        <v>-364500</v>
      </c>
      <c r="F129" s="1134">
        <f>-'Sewer  Fund  Inc Exp Statem'!H12*1000</f>
        <v>-375290</v>
      </c>
      <c r="G129" s="1134">
        <f>-'Sewer  Fund  Inc Exp Statem'!I12*1000</f>
        <v>-386400</v>
      </c>
      <c r="H129" s="1134">
        <f>-'Sewer  Fund  Inc Exp Statem'!J12*1000</f>
        <v>-397839</v>
      </c>
    </row>
    <row r="130" spans="1:8" ht="12.75" x14ac:dyDescent="0.2">
      <c r="A130" s="1131" t="s">
        <v>1177</v>
      </c>
      <c r="B130" s="1222"/>
      <c r="C130" s="1134">
        <v>-455000</v>
      </c>
      <c r="D130" s="1134">
        <v>-455000</v>
      </c>
      <c r="E130" s="1134">
        <f>-'Sewer  Fund  Inc Exp Statem'!G13*1000</f>
        <v>-405000</v>
      </c>
      <c r="F130" s="1134">
        <f>-'Sewer  Fund  Inc Exp Statem'!H13*1000</f>
        <v>-290750</v>
      </c>
      <c r="G130" s="1134">
        <f>-'Sewer  Fund  Inc Exp Statem'!I13*1000</f>
        <v>-216522</v>
      </c>
      <c r="H130" s="1134">
        <f>-'Sewer  Fund  Inc Exp Statem'!J13*1000</f>
        <v>-177318</v>
      </c>
    </row>
    <row r="131" spans="1:8" ht="12.75" x14ac:dyDescent="0.2">
      <c r="A131" s="1131" t="s">
        <v>1179</v>
      </c>
      <c r="B131" s="1222"/>
      <c r="C131" s="1134">
        <v>-37500</v>
      </c>
      <c r="D131" s="1134">
        <v>-37500</v>
      </c>
      <c r="E131" s="1134">
        <f>-'Sewer  Fund  Inc Exp Statem'!G15*1000</f>
        <v>-34500</v>
      </c>
      <c r="F131" s="1134">
        <f>-'Sewer  Fund  Inc Exp Statem'!H15*1000</f>
        <v>-35190</v>
      </c>
      <c r="G131" s="1134">
        <f>-'Sewer  Fund  Inc Exp Statem'!I15*1000</f>
        <v>-35893</v>
      </c>
      <c r="H131" s="1134">
        <f>-'Sewer  Fund  Inc Exp Statem'!J15*1000</f>
        <v>-36611</v>
      </c>
    </row>
    <row r="132" spans="1:8" ht="12.75" x14ac:dyDescent="0.2">
      <c r="A132" s="1222"/>
      <c r="B132" s="1222"/>
      <c r="C132" s="1145"/>
      <c r="D132" s="1145"/>
      <c r="E132" s="1145"/>
      <c r="F132" s="1145"/>
      <c r="G132" s="1145"/>
      <c r="H132" s="1145"/>
    </row>
    <row r="133" spans="1:8" ht="12.75" x14ac:dyDescent="0.2">
      <c r="A133" s="1132" t="s">
        <v>1181</v>
      </c>
      <c r="B133" s="1222"/>
      <c r="C133" s="1135">
        <v>-4816700</v>
      </c>
      <c r="D133" s="1135">
        <v>-4816700</v>
      </c>
      <c r="E133" s="1135">
        <v>-4670500</v>
      </c>
      <c r="F133" s="1135">
        <v>-4831170</v>
      </c>
      <c r="G133" s="1135">
        <v>-4875548</v>
      </c>
      <c r="H133" s="1135">
        <v>-4961956</v>
      </c>
    </row>
    <row r="134" spans="1:8" ht="12.75" x14ac:dyDescent="0.2">
      <c r="A134" s="1222"/>
      <c r="B134" s="1222"/>
      <c r="C134" s="1134"/>
      <c r="D134" s="1134"/>
      <c r="E134" s="1134"/>
      <c r="F134" s="1134"/>
      <c r="G134" s="1134"/>
      <c r="H134" s="1134"/>
    </row>
    <row r="135" spans="1:8" ht="25.5" x14ac:dyDescent="0.2">
      <c r="A135" s="1222"/>
      <c r="B135" s="1222"/>
      <c r="C135" s="1136" t="s">
        <v>1168</v>
      </c>
      <c r="D135" s="1304" t="s">
        <v>1633</v>
      </c>
      <c r="E135" s="1136" t="s">
        <v>1170</v>
      </c>
      <c r="F135" s="1133" t="s">
        <v>1172</v>
      </c>
      <c r="G135" s="1133" t="s">
        <v>1173</v>
      </c>
      <c r="H135" s="1133" t="s">
        <v>1174</v>
      </c>
    </row>
    <row r="136" spans="1:8" ht="12.75" x14ac:dyDescent="0.2">
      <c r="A136" s="1132" t="s">
        <v>925</v>
      </c>
      <c r="B136" s="1222"/>
      <c r="C136" s="1133"/>
      <c r="D136" s="1133"/>
      <c r="E136" s="1133"/>
      <c r="F136" s="1133"/>
      <c r="G136" s="1133"/>
      <c r="H136" s="1133"/>
    </row>
    <row r="137" spans="1:8" ht="12.75" x14ac:dyDescent="0.2">
      <c r="A137" s="1131" t="s">
        <v>1182</v>
      </c>
      <c r="B137" s="1222"/>
      <c r="C137" s="1134">
        <v>804931</v>
      </c>
      <c r="D137" s="1134">
        <v>804931</v>
      </c>
      <c r="E137" s="1134">
        <f>'Water  Fund  Inc Exp Statement '!G23*1000</f>
        <v>1129550</v>
      </c>
      <c r="F137" s="1134">
        <f>'Water  Fund  Inc Exp Statement '!H23*1000</f>
        <v>1172491</v>
      </c>
      <c r="G137" s="1134">
        <f>'Water  Fund  Inc Exp Statement '!I23*1000</f>
        <v>1217242</v>
      </c>
      <c r="H137" s="1134">
        <f>'Water  Fund  Inc Exp Statement '!J23*1000</f>
        <v>1263922</v>
      </c>
    </row>
    <row r="138" spans="1:8" ht="12.75" x14ac:dyDescent="0.2">
      <c r="A138" s="1131" t="s">
        <v>27</v>
      </c>
      <c r="B138" s="1222"/>
      <c r="C138" s="1134">
        <v>939500</v>
      </c>
      <c r="D138" s="1134">
        <v>939500</v>
      </c>
      <c r="E138" s="1134">
        <f>'Water  Fund  Inc Exp Statement '!G25*1000</f>
        <v>1589600</v>
      </c>
      <c r="F138" s="1134">
        <f>'Water  Fund  Inc Exp Statement '!H25*1000</f>
        <v>1632152</v>
      </c>
      <c r="G138" s="1134">
        <f>'Water  Fund  Inc Exp Statement '!I25*1000</f>
        <v>1676305</v>
      </c>
      <c r="H138" s="1134">
        <f>'Water  Fund  Inc Exp Statement '!J25*1000</f>
        <v>1722162</v>
      </c>
    </row>
    <row r="139" spans="1:8" ht="12.75" x14ac:dyDescent="0.2">
      <c r="A139" s="1131" t="s">
        <v>1183</v>
      </c>
      <c r="B139" s="1222"/>
      <c r="C139" s="1134">
        <v>210950</v>
      </c>
      <c r="D139" s="1134">
        <v>210950</v>
      </c>
      <c r="E139" s="1134">
        <f>'Sewer  Fund  Inc Exp Statem'!G30*1000</f>
        <v>229550</v>
      </c>
      <c r="F139" s="1134">
        <f>'Sewer  Fund  Inc Exp Statem'!H30*1000</f>
        <v>234141</v>
      </c>
      <c r="G139" s="1134">
        <f>'Sewer  Fund  Inc Exp Statem'!I30*1000</f>
        <v>238905</v>
      </c>
      <c r="H139" s="1134">
        <f>'Sewer  Fund  Inc Exp Statem'!J30*1000</f>
        <v>243574</v>
      </c>
    </row>
    <row r="140" spans="1:8" ht="12.75" x14ac:dyDescent="0.2">
      <c r="A140" s="1131" t="s">
        <v>926</v>
      </c>
      <c r="B140" s="1222"/>
      <c r="C140" s="1134">
        <v>54210</v>
      </c>
      <c r="D140" s="1134">
        <v>54210</v>
      </c>
      <c r="E140" s="1134">
        <f>'Sewer  Fund  Inc Exp Statem'!G24*1000</f>
        <v>485000</v>
      </c>
      <c r="F140" s="1134">
        <f>'Sewer  Fund  Inc Exp Statem'!H24*1000</f>
        <v>813040</v>
      </c>
      <c r="G140" s="1134">
        <f>'Sewer  Fund  Inc Exp Statem'!I24*1000</f>
        <v>810450</v>
      </c>
      <c r="H140" s="1134">
        <f>'Sewer  Fund  Inc Exp Statem'!J24*1000</f>
        <v>807782</v>
      </c>
    </row>
    <row r="141" spans="1:8" ht="12.75" x14ac:dyDescent="0.2">
      <c r="A141" s="1131" t="s">
        <v>1077</v>
      </c>
      <c r="B141" s="1222"/>
      <c r="C141" s="1134">
        <v>792000</v>
      </c>
      <c r="D141" s="1134">
        <v>792000</v>
      </c>
      <c r="E141" s="1134">
        <f>'Sewer  Fund  Inc Exp Statem'!G26*1000</f>
        <v>807475</v>
      </c>
      <c r="F141" s="1134">
        <f>'Sewer  Fund  Inc Exp Statem'!H26*1000</f>
        <v>823336</v>
      </c>
      <c r="G141" s="1134">
        <f>'Sewer  Fund  Inc Exp Statem'!I26*1000</f>
        <v>839595</v>
      </c>
      <c r="H141" s="1134">
        <f>'Sewer  Fund  Inc Exp Statem'!J26*1000</f>
        <v>856260</v>
      </c>
    </row>
    <row r="142" spans="1:8" ht="12.75" x14ac:dyDescent="0.2">
      <c r="A142" s="1131" t="s">
        <v>584</v>
      </c>
      <c r="B142" s="1222"/>
      <c r="C142" s="1134">
        <v>1275067</v>
      </c>
      <c r="D142" s="1134">
        <v>1275067</v>
      </c>
      <c r="E142" s="1134">
        <f>'Sewer  Fund  Inc Exp Statem'!G27*1000</f>
        <v>1268000</v>
      </c>
      <c r="F142" s="1134">
        <f>'Sewer  Fund  Inc Exp Statem'!H27*1000</f>
        <v>1458450</v>
      </c>
      <c r="G142" s="1134">
        <f>'Sewer  Fund  Inc Exp Statem'!I27*1000</f>
        <v>1479911</v>
      </c>
      <c r="H142" s="1134">
        <f>'Sewer  Fund  Inc Exp Statem'!J27*1000</f>
        <v>1499384</v>
      </c>
    </row>
    <row r="143" spans="1:8" ht="12.75" x14ac:dyDescent="0.2">
      <c r="A143" s="1222"/>
      <c r="B143" s="1222"/>
      <c r="C143" s="1145"/>
      <c r="D143" s="1145"/>
      <c r="E143" s="1145"/>
      <c r="F143" s="1145"/>
      <c r="G143" s="1145"/>
      <c r="H143" s="1145"/>
    </row>
    <row r="144" spans="1:8" ht="12.75" x14ac:dyDescent="0.2">
      <c r="A144" s="1132" t="s">
        <v>1184</v>
      </c>
      <c r="B144" s="1222"/>
      <c r="C144" s="1135">
        <v>4076658</v>
      </c>
      <c r="D144" s="1135">
        <v>4076658</v>
      </c>
      <c r="E144" s="1135">
        <v>4512256</v>
      </c>
      <c r="F144" s="1135">
        <v>5010986</v>
      </c>
      <c r="G144" s="1135">
        <v>5113982</v>
      </c>
      <c r="H144" s="1135">
        <v>5218022</v>
      </c>
    </row>
    <row r="145" spans="1:8" ht="12.75" x14ac:dyDescent="0.2">
      <c r="A145" s="1222"/>
      <c r="B145" s="1222"/>
      <c r="C145" s="1145"/>
      <c r="D145" s="1145"/>
      <c r="E145" s="1145"/>
      <c r="F145" s="1145"/>
      <c r="G145" s="1145"/>
      <c r="H145" s="1145"/>
    </row>
    <row r="146" spans="1:8" ht="12.75" x14ac:dyDescent="0.2">
      <c r="A146" s="1132" t="s">
        <v>1185</v>
      </c>
      <c r="B146" s="1222"/>
      <c r="C146" s="1135">
        <v>-740042</v>
      </c>
      <c r="D146" s="1135">
        <v>-740042</v>
      </c>
      <c r="E146" s="1135">
        <v>-158244</v>
      </c>
      <c r="F146" s="1135">
        <v>179816</v>
      </c>
      <c r="G146" s="1135">
        <v>238434</v>
      </c>
      <c r="H146" s="1135">
        <v>256066</v>
      </c>
    </row>
    <row r="147" spans="1:8" ht="12.75" x14ac:dyDescent="0.2">
      <c r="A147" s="1132"/>
      <c r="B147" s="1222"/>
      <c r="C147" s="1135"/>
      <c r="D147" s="1135"/>
      <c r="E147" s="1135"/>
      <c r="F147" s="1135"/>
      <c r="G147" s="1135"/>
      <c r="H147" s="1135"/>
    </row>
    <row r="148" spans="1:8" ht="12.75" hidden="1" x14ac:dyDescent="0.2">
      <c r="A148" s="1132"/>
      <c r="B148" s="1222"/>
      <c r="C148" s="1135"/>
      <c r="D148" s="1135"/>
      <c r="E148" s="1135"/>
      <c r="F148" s="1135"/>
      <c r="G148" s="1135"/>
      <c r="H148" s="1135"/>
    </row>
    <row r="149" spans="1:8" ht="12.75" hidden="1" outlineLevel="1" x14ac:dyDescent="0.2">
      <c r="A149" s="1146" t="s">
        <v>1163</v>
      </c>
      <c r="B149" s="1146"/>
      <c r="C149" s="1146"/>
      <c r="D149" s="1146"/>
      <c r="E149" s="1146"/>
      <c r="F149" s="1146"/>
      <c r="G149" s="1146"/>
      <c r="H149" s="1146"/>
    </row>
    <row r="150" spans="1:8" ht="12.75" hidden="1" outlineLevel="1" x14ac:dyDescent="0.2">
      <c r="A150" s="1147" t="s">
        <v>1369</v>
      </c>
      <c r="B150" s="1147"/>
      <c r="C150" s="1147"/>
      <c r="D150" s="1147"/>
      <c r="E150" s="1147"/>
      <c r="F150" s="1147"/>
      <c r="G150" s="1147"/>
      <c r="H150" s="1147"/>
    </row>
    <row r="151" spans="1:8" ht="12.75" hidden="1" outlineLevel="1" x14ac:dyDescent="0.2">
      <c r="A151" s="1137"/>
      <c r="B151" s="1137"/>
      <c r="C151" s="1142"/>
      <c r="D151" s="1143"/>
      <c r="E151" s="1142"/>
      <c r="F151" s="1142"/>
      <c r="G151" s="1142"/>
      <c r="H151" s="1142"/>
    </row>
    <row r="152" spans="1:8" ht="12.75" hidden="1" outlineLevel="1" x14ac:dyDescent="0.2">
      <c r="A152" s="1132" t="s">
        <v>1164</v>
      </c>
      <c r="B152" s="1132" t="s">
        <v>1079</v>
      </c>
      <c r="C152" s="1222"/>
      <c r="D152" s="1144"/>
      <c r="E152" s="1222"/>
      <c r="F152" s="1222"/>
      <c r="G152" s="1222"/>
      <c r="H152" s="1222"/>
    </row>
    <row r="153" spans="1:8" ht="12.75" hidden="1" outlineLevel="1" x14ac:dyDescent="0.2">
      <c r="A153" s="1132" t="s">
        <v>1367</v>
      </c>
      <c r="B153" s="1132" t="s">
        <v>1328</v>
      </c>
      <c r="C153" s="1222"/>
      <c r="D153" s="1144"/>
      <c r="E153" s="1222"/>
      <c r="F153" s="1222"/>
      <c r="G153" s="1222"/>
      <c r="H153" s="1222"/>
    </row>
    <row r="154" spans="1:8" ht="12.75" hidden="1" outlineLevel="1" x14ac:dyDescent="0.2">
      <c r="A154" s="1132" t="s">
        <v>1166</v>
      </c>
      <c r="B154" s="1132" t="s">
        <v>1236</v>
      </c>
      <c r="C154" s="1222"/>
      <c r="D154" s="1144"/>
      <c r="E154" s="1222"/>
      <c r="F154" s="1222"/>
      <c r="G154" s="1222"/>
      <c r="H154" s="1222"/>
    </row>
    <row r="155" spans="1:8" ht="12.75" hidden="1" outlineLevel="1" x14ac:dyDescent="0.2">
      <c r="A155" s="1142"/>
      <c r="B155" s="1142"/>
      <c r="C155" s="1138"/>
      <c r="D155" s="1138"/>
      <c r="E155" s="1138"/>
      <c r="F155" s="1139"/>
      <c r="G155" s="1139"/>
      <c r="H155" s="1139"/>
    </row>
    <row r="156" spans="1:8" ht="25.5" hidden="1" outlineLevel="1" x14ac:dyDescent="0.2">
      <c r="A156" s="1222"/>
      <c r="B156" s="1222"/>
      <c r="C156" s="1136" t="s">
        <v>1168</v>
      </c>
      <c r="D156" s="1304" t="s">
        <v>1633</v>
      </c>
      <c r="E156" s="1136" t="s">
        <v>1170</v>
      </c>
      <c r="F156" s="1133" t="s">
        <v>1172</v>
      </c>
      <c r="G156" s="1133" t="s">
        <v>1173</v>
      </c>
      <c r="H156" s="1133" t="s">
        <v>1174</v>
      </c>
    </row>
    <row r="157" spans="1:8" ht="12.75" hidden="1" outlineLevel="1" x14ac:dyDescent="0.2">
      <c r="A157" s="1132" t="s">
        <v>1175</v>
      </c>
      <c r="B157" s="1222"/>
      <c r="C157" s="1133"/>
      <c r="D157" s="1133"/>
      <c r="E157" s="1133"/>
      <c r="F157" s="1133"/>
      <c r="G157" s="1133"/>
      <c r="H157" s="1133"/>
    </row>
    <row r="158" spans="1:8" ht="12.75" hidden="1" outlineLevel="1" x14ac:dyDescent="0.2">
      <c r="A158" s="1131" t="s">
        <v>12</v>
      </c>
      <c r="B158" s="1222"/>
      <c r="C158" s="1134">
        <v>-558995</v>
      </c>
      <c r="D158" s="1134">
        <v>-558995</v>
      </c>
      <c r="E158" s="1134">
        <v>-574641</v>
      </c>
      <c r="F158" s="1134">
        <v>-527685</v>
      </c>
      <c r="G158" s="1134">
        <v>-540641</v>
      </c>
      <c r="H158" s="1134">
        <v>-554209</v>
      </c>
    </row>
    <row r="159" spans="1:8" ht="12.75" hidden="1" outlineLevel="1" x14ac:dyDescent="0.2">
      <c r="A159" s="1222"/>
      <c r="B159" s="1222"/>
      <c r="C159" s="1145"/>
      <c r="D159" s="1145"/>
      <c r="E159" s="1145"/>
      <c r="F159" s="1145"/>
      <c r="G159" s="1145"/>
      <c r="H159" s="1145"/>
    </row>
    <row r="160" spans="1:8" ht="12.75" hidden="1" outlineLevel="1" x14ac:dyDescent="0.2">
      <c r="A160" s="1132" t="s">
        <v>1181</v>
      </c>
      <c r="B160" s="1222"/>
      <c r="C160" s="1135">
        <v>-558995</v>
      </c>
      <c r="D160" s="1135">
        <v>-558995</v>
      </c>
      <c r="E160" s="1135">
        <v>-574641</v>
      </c>
      <c r="F160" s="1135">
        <v>-527685</v>
      </c>
      <c r="G160" s="1135">
        <v>-540641</v>
      </c>
      <c r="H160" s="1135">
        <v>-554209</v>
      </c>
    </row>
    <row r="161" spans="1:8" ht="12.75" hidden="1" outlineLevel="1" x14ac:dyDescent="0.2">
      <c r="A161" s="1132"/>
      <c r="B161" s="1222"/>
      <c r="C161" s="1135"/>
      <c r="D161" s="1135"/>
      <c r="E161" s="1135"/>
      <c r="F161" s="1135"/>
      <c r="G161" s="1135"/>
      <c r="H161" s="1135"/>
    </row>
    <row r="162" spans="1:8" ht="12.75" hidden="1" outlineLevel="1" x14ac:dyDescent="0.2">
      <c r="A162" s="1132"/>
      <c r="B162" s="1222"/>
      <c r="C162" s="1135"/>
      <c r="D162" s="1135"/>
      <c r="E162" s="1135"/>
      <c r="F162" s="1135"/>
      <c r="G162" s="1135"/>
      <c r="H162" s="1135"/>
    </row>
    <row r="163" spans="1:8" ht="12.75" hidden="1" outlineLevel="1" x14ac:dyDescent="0.2">
      <c r="A163" s="1222"/>
      <c r="B163" s="1222"/>
      <c r="C163" s="1134"/>
      <c r="D163" s="1134"/>
      <c r="E163" s="1134"/>
      <c r="F163" s="1134"/>
      <c r="G163" s="1134"/>
      <c r="H163" s="1134"/>
    </row>
    <row r="164" spans="1:8" ht="25.5" hidden="1" outlineLevel="1" x14ac:dyDescent="0.2">
      <c r="A164" s="1222"/>
      <c r="B164" s="1222"/>
      <c r="C164" s="1136" t="s">
        <v>1168</v>
      </c>
      <c r="D164" s="1304" t="s">
        <v>1633</v>
      </c>
      <c r="E164" s="1136" t="s">
        <v>1170</v>
      </c>
      <c r="F164" s="1133" t="s">
        <v>1172</v>
      </c>
      <c r="G164" s="1133" t="s">
        <v>1173</v>
      </c>
      <c r="H164" s="1133" t="s">
        <v>1174</v>
      </c>
    </row>
    <row r="165" spans="1:8" ht="12.75" hidden="1" outlineLevel="1" x14ac:dyDescent="0.2">
      <c r="A165" s="1132" t="s">
        <v>925</v>
      </c>
      <c r="B165" s="1222"/>
      <c r="C165" s="1133"/>
      <c r="D165" s="1133"/>
      <c r="E165" s="1133"/>
      <c r="F165" s="1133"/>
      <c r="G165" s="1133"/>
      <c r="H165" s="1133"/>
    </row>
    <row r="166" spans="1:8" ht="12.75" hidden="1" outlineLevel="1" x14ac:dyDescent="0.2">
      <c r="A166" s="1131" t="s">
        <v>1182</v>
      </c>
      <c r="B166" s="1222"/>
      <c r="C166" s="1134">
        <v>40000</v>
      </c>
      <c r="D166" s="1134">
        <v>40000</v>
      </c>
      <c r="E166" s="1134">
        <v>40657</v>
      </c>
      <c r="F166" s="1134">
        <v>41876</v>
      </c>
      <c r="G166" s="1134">
        <v>43133</v>
      </c>
      <c r="H166" s="1134">
        <v>44427</v>
      </c>
    </row>
    <row r="167" spans="1:8" ht="12.75" hidden="1" outlineLevel="1" x14ac:dyDescent="0.2">
      <c r="A167" s="1131" t="s">
        <v>27</v>
      </c>
      <c r="B167" s="1222"/>
      <c r="C167" s="1134">
        <v>194000</v>
      </c>
      <c r="D167" s="1134">
        <v>194000</v>
      </c>
      <c r="E167" s="1134">
        <v>194675</v>
      </c>
      <c r="F167" s="1134">
        <v>196793</v>
      </c>
      <c r="G167" s="1134">
        <v>201008</v>
      </c>
      <c r="H167" s="1134">
        <v>205338</v>
      </c>
    </row>
    <row r="168" spans="1:8" ht="12.75" hidden="1" outlineLevel="1" x14ac:dyDescent="0.2">
      <c r="A168" s="1131" t="s">
        <v>1183</v>
      </c>
      <c r="B168" s="1222"/>
      <c r="C168" s="1134">
        <v>139700</v>
      </c>
      <c r="D168" s="1134">
        <v>139700</v>
      </c>
      <c r="E168" s="1134">
        <v>169900</v>
      </c>
      <c r="F168" s="1134">
        <v>173248</v>
      </c>
      <c r="G168" s="1134">
        <v>176656</v>
      </c>
      <c r="H168" s="1134">
        <v>180139</v>
      </c>
    </row>
    <row r="169" spans="1:8" ht="12.75" hidden="1" outlineLevel="1" x14ac:dyDescent="0.2">
      <c r="A169" s="1131" t="s">
        <v>926</v>
      </c>
      <c r="B169" s="1222"/>
      <c r="C169" s="1134">
        <v>150285</v>
      </c>
      <c r="D169" s="1134">
        <v>150285</v>
      </c>
      <c r="E169" s="1134">
        <v>150285</v>
      </c>
      <c r="F169" s="1134">
        <v>150285</v>
      </c>
      <c r="G169" s="1134">
        <v>150285</v>
      </c>
      <c r="H169" s="1134">
        <v>150285</v>
      </c>
    </row>
    <row r="170" spans="1:8" ht="12.75" hidden="1" outlineLevel="1" x14ac:dyDescent="0.2">
      <c r="A170" s="1131" t="s">
        <v>584</v>
      </c>
      <c r="B170" s="1222"/>
      <c r="C170" s="1134">
        <v>0</v>
      </c>
      <c r="D170" s="1134">
        <v>0</v>
      </c>
      <c r="E170" s="1134">
        <v>269687</v>
      </c>
      <c r="F170" s="1134">
        <v>275995</v>
      </c>
      <c r="G170" s="1134">
        <v>280655</v>
      </c>
      <c r="H170" s="1134">
        <v>289069</v>
      </c>
    </row>
    <row r="171" spans="1:8" ht="12.75" hidden="1" outlineLevel="1" x14ac:dyDescent="0.2">
      <c r="A171" s="1222"/>
      <c r="B171" s="1222"/>
      <c r="C171" s="1145"/>
      <c r="D171" s="1145"/>
      <c r="E171" s="1145"/>
      <c r="F171" s="1145"/>
      <c r="G171" s="1145"/>
      <c r="H171" s="1145"/>
    </row>
    <row r="172" spans="1:8" ht="12.75" hidden="1" outlineLevel="1" x14ac:dyDescent="0.2">
      <c r="A172" s="1132" t="s">
        <v>1184</v>
      </c>
      <c r="B172" s="1222"/>
      <c r="C172" s="1135">
        <v>523985</v>
      </c>
      <c r="D172" s="1135">
        <v>523985</v>
      </c>
      <c r="E172" s="1135">
        <v>825204</v>
      </c>
      <c r="F172" s="1135">
        <v>838197</v>
      </c>
      <c r="G172" s="1135">
        <v>851737</v>
      </c>
      <c r="H172" s="1135">
        <v>869258</v>
      </c>
    </row>
    <row r="173" spans="1:8" ht="12.75" hidden="1" outlineLevel="1" x14ac:dyDescent="0.2">
      <c r="A173" s="1222"/>
      <c r="B173" s="1222"/>
      <c r="C173" s="1145"/>
      <c r="D173" s="1145"/>
      <c r="E173" s="1145"/>
      <c r="F173" s="1145"/>
      <c r="G173" s="1145"/>
      <c r="H173" s="1145"/>
    </row>
    <row r="174" spans="1:8" ht="12.75" hidden="1" outlineLevel="1" x14ac:dyDescent="0.2">
      <c r="A174" s="1132" t="s">
        <v>1185</v>
      </c>
      <c r="B174" s="1222"/>
      <c r="C174" s="1135">
        <v>-35010</v>
      </c>
      <c r="D174" s="1135">
        <v>-35010</v>
      </c>
      <c r="E174" s="1135">
        <v>250563</v>
      </c>
      <c r="F174" s="1135">
        <v>310512</v>
      </c>
      <c r="G174" s="1135">
        <v>311096</v>
      </c>
      <c r="H174" s="1135">
        <v>315049</v>
      </c>
    </row>
    <row r="175" spans="1:8" ht="12.75" hidden="1" outlineLevel="1" x14ac:dyDescent="0.2">
      <c r="A175" s="1132"/>
      <c r="B175" s="1222"/>
      <c r="C175" s="1135"/>
      <c r="D175" s="1135"/>
      <c r="E175" s="1135"/>
      <c r="F175" s="1135"/>
      <c r="G175" s="1135"/>
      <c r="H175" s="1135"/>
    </row>
    <row r="176" spans="1:8" ht="12.75" hidden="1" outlineLevel="1" x14ac:dyDescent="0.2"/>
    <row r="177" spans="1:8" ht="12.75" hidden="1" outlineLevel="1" x14ac:dyDescent="0.2"/>
    <row r="178" spans="1:8" ht="12.75" hidden="1" outlineLevel="1" x14ac:dyDescent="0.2">
      <c r="A178" s="1146" t="s">
        <v>1163</v>
      </c>
      <c r="B178" s="1146"/>
      <c r="C178" s="1146"/>
      <c r="D178" s="1146"/>
      <c r="E178" s="1146"/>
      <c r="F178" s="1146"/>
      <c r="G178" s="1146"/>
      <c r="H178" s="1146"/>
    </row>
    <row r="179" spans="1:8" ht="12.75" hidden="1" outlineLevel="1" x14ac:dyDescent="0.2">
      <c r="A179" s="1147" t="s">
        <v>1369</v>
      </c>
      <c r="B179" s="1147"/>
      <c r="C179" s="1147"/>
      <c r="D179" s="1147"/>
      <c r="E179" s="1147"/>
      <c r="F179" s="1147"/>
      <c r="G179" s="1147"/>
      <c r="H179" s="1147"/>
    </row>
    <row r="180" spans="1:8" ht="12.75" hidden="1" outlineLevel="1" x14ac:dyDescent="0.2">
      <c r="A180" s="1137"/>
      <c r="B180" s="1137"/>
      <c r="C180" s="1142"/>
      <c r="D180" s="1143"/>
      <c r="E180" s="1142"/>
      <c r="F180" s="1142"/>
      <c r="G180" s="1142"/>
      <c r="H180" s="1142"/>
    </row>
    <row r="181" spans="1:8" ht="12.75" hidden="1" outlineLevel="1" x14ac:dyDescent="0.2">
      <c r="A181" s="1132" t="s">
        <v>1164</v>
      </c>
      <c r="B181" s="1132" t="s">
        <v>1079</v>
      </c>
      <c r="C181" s="1222"/>
      <c r="D181" s="1144"/>
      <c r="E181" s="1222"/>
      <c r="F181" s="1222"/>
      <c r="G181" s="1222"/>
      <c r="H181" s="1222"/>
    </row>
    <row r="182" spans="1:8" ht="12.75" hidden="1" outlineLevel="1" x14ac:dyDescent="0.2">
      <c r="A182" s="1132" t="s">
        <v>1367</v>
      </c>
      <c r="B182" s="1132" t="s">
        <v>1328</v>
      </c>
      <c r="C182" s="1222"/>
      <c r="D182" s="1144"/>
      <c r="E182" s="1222"/>
      <c r="F182" s="1222"/>
      <c r="G182" s="1222"/>
      <c r="H182" s="1222"/>
    </row>
    <row r="183" spans="1:8" ht="12.75" hidden="1" outlineLevel="1" x14ac:dyDescent="0.2">
      <c r="A183" s="1132" t="s">
        <v>1166</v>
      </c>
      <c r="B183" s="1132" t="s">
        <v>1238</v>
      </c>
      <c r="C183" s="1222"/>
      <c r="D183" s="1144"/>
      <c r="E183" s="1222"/>
      <c r="F183" s="1222"/>
      <c r="G183" s="1222"/>
      <c r="H183" s="1222"/>
    </row>
    <row r="184" spans="1:8" ht="12.75" hidden="1" outlineLevel="1" x14ac:dyDescent="0.2">
      <c r="A184" s="1141"/>
      <c r="B184" s="1142"/>
      <c r="C184" s="1140"/>
      <c r="D184" s="1140"/>
      <c r="E184" s="1140"/>
      <c r="F184" s="1140"/>
      <c r="G184" s="1140"/>
      <c r="H184" s="1140"/>
    </row>
    <row r="185" spans="1:8" ht="25.5" hidden="1" outlineLevel="1" x14ac:dyDescent="0.2">
      <c r="A185" s="1222"/>
      <c r="B185" s="1222"/>
      <c r="C185" s="1136" t="s">
        <v>1168</v>
      </c>
      <c r="D185" s="1304" t="s">
        <v>1633</v>
      </c>
      <c r="E185" s="1136" t="s">
        <v>1170</v>
      </c>
      <c r="F185" s="1133" t="s">
        <v>1172</v>
      </c>
      <c r="G185" s="1133" t="s">
        <v>1173</v>
      </c>
      <c r="H185" s="1133" t="s">
        <v>1174</v>
      </c>
    </row>
    <row r="186" spans="1:8" ht="12.75" hidden="1" outlineLevel="1" x14ac:dyDescent="0.2">
      <c r="A186" s="1132" t="s">
        <v>1175</v>
      </c>
      <c r="B186" s="1222"/>
      <c r="C186" s="1133"/>
      <c r="D186" s="1133"/>
      <c r="E186" s="1133"/>
      <c r="F186" s="1133"/>
      <c r="G186" s="1133"/>
      <c r="H186" s="1133"/>
    </row>
    <row r="187" spans="1:8" ht="12.75" hidden="1" outlineLevel="1" x14ac:dyDescent="0.2">
      <c r="A187" s="1131" t="s">
        <v>12</v>
      </c>
      <c r="B187" s="1222"/>
      <c r="C187" s="1134">
        <v>-2493308</v>
      </c>
      <c r="D187" s="1134">
        <v>-2503308</v>
      </c>
      <c r="E187" s="1134">
        <v>-2628659</v>
      </c>
      <c r="F187" s="1134">
        <v>-2569858</v>
      </c>
      <c r="G187" s="1134">
        <v>-2634092</v>
      </c>
      <c r="H187" s="1134">
        <v>-2699944</v>
      </c>
    </row>
    <row r="188" spans="1:8" ht="12.75" hidden="1" outlineLevel="1" x14ac:dyDescent="0.2">
      <c r="A188" s="1222"/>
      <c r="B188" s="1222"/>
      <c r="C188" s="1145"/>
      <c r="D188" s="1145"/>
      <c r="E188" s="1145"/>
      <c r="F188" s="1145"/>
      <c r="G188" s="1145"/>
      <c r="H188" s="1145"/>
    </row>
    <row r="189" spans="1:8" ht="12.75" hidden="1" outlineLevel="1" x14ac:dyDescent="0.2">
      <c r="A189" s="1132" t="s">
        <v>1181</v>
      </c>
      <c r="B189" s="1222"/>
      <c r="C189" s="1135">
        <v>-2493308</v>
      </c>
      <c r="D189" s="1135">
        <v>-2503308</v>
      </c>
      <c r="E189" s="1135">
        <v>-2628659</v>
      </c>
      <c r="F189" s="1135">
        <v>-2569858</v>
      </c>
      <c r="G189" s="1135">
        <v>-2634092</v>
      </c>
      <c r="H189" s="1135">
        <v>-2699944</v>
      </c>
    </row>
    <row r="190" spans="1:8" ht="12.75" hidden="1" outlineLevel="1" x14ac:dyDescent="0.2">
      <c r="A190" s="1222"/>
      <c r="B190" s="1222"/>
      <c r="C190" s="1134"/>
      <c r="D190" s="1134"/>
      <c r="E190" s="1134"/>
      <c r="F190" s="1134"/>
      <c r="G190" s="1134"/>
      <c r="H190" s="1134"/>
    </row>
    <row r="191" spans="1:8" ht="25.5" hidden="1" outlineLevel="1" x14ac:dyDescent="0.2">
      <c r="A191" s="1222"/>
      <c r="B191" s="1222"/>
      <c r="C191" s="1136" t="s">
        <v>1168</v>
      </c>
      <c r="D191" s="1304" t="s">
        <v>1633</v>
      </c>
      <c r="E191" s="1136" t="s">
        <v>1170</v>
      </c>
      <c r="F191" s="1133" t="s">
        <v>1172</v>
      </c>
      <c r="G191" s="1133" t="s">
        <v>1173</v>
      </c>
      <c r="H191" s="1133" t="s">
        <v>1174</v>
      </c>
    </row>
    <row r="192" spans="1:8" ht="12.75" hidden="1" outlineLevel="1" x14ac:dyDescent="0.2">
      <c r="A192" s="1132" t="s">
        <v>925</v>
      </c>
      <c r="B192" s="1222"/>
      <c r="C192" s="1133"/>
      <c r="D192" s="1133"/>
      <c r="E192" s="1133"/>
      <c r="F192" s="1133"/>
      <c r="G192" s="1133"/>
      <c r="H192" s="1133"/>
    </row>
    <row r="193" spans="1:8" ht="12.75" hidden="1" outlineLevel="1" x14ac:dyDescent="0.2">
      <c r="A193" s="1131" t="s">
        <v>1182</v>
      </c>
      <c r="B193" s="1222"/>
      <c r="C193" s="1134">
        <v>40000</v>
      </c>
      <c r="D193" s="1134">
        <v>40000</v>
      </c>
      <c r="E193" s="1134">
        <v>40767</v>
      </c>
      <c r="F193" s="1134">
        <v>41990</v>
      </c>
      <c r="G193" s="1134">
        <v>43249</v>
      </c>
      <c r="H193" s="1134">
        <v>44547</v>
      </c>
    </row>
    <row r="194" spans="1:8" ht="12.75" hidden="1" outlineLevel="1" x14ac:dyDescent="0.2">
      <c r="A194" s="1131" t="s">
        <v>27</v>
      </c>
      <c r="B194" s="1222"/>
      <c r="C194" s="1134">
        <v>383150</v>
      </c>
      <c r="D194" s="1134">
        <v>376800</v>
      </c>
      <c r="E194" s="1134">
        <v>368900</v>
      </c>
      <c r="F194" s="1134">
        <v>348738</v>
      </c>
      <c r="G194" s="1134">
        <v>355708</v>
      </c>
      <c r="H194" s="1134">
        <v>362820</v>
      </c>
    </row>
    <row r="195" spans="1:8" ht="12.75" hidden="1" outlineLevel="1" x14ac:dyDescent="0.2">
      <c r="A195" s="1131" t="s">
        <v>1183</v>
      </c>
      <c r="B195" s="1222"/>
      <c r="C195" s="1134">
        <v>219343</v>
      </c>
      <c r="D195" s="1134">
        <v>235693</v>
      </c>
      <c r="E195" s="1134">
        <v>209700</v>
      </c>
      <c r="F195" s="1134">
        <v>206448</v>
      </c>
      <c r="G195" s="1134">
        <v>210565</v>
      </c>
      <c r="H195" s="1134">
        <v>214764</v>
      </c>
    </row>
    <row r="196" spans="1:8" ht="12.75" hidden="1" outlineLevel="1" x14ac:dyDescent="0.2">
      <c r="A196" s="1131" t="s">
        <v>926</v>
      </c>
      <c r="B196" s="1222"/>
      <c r="C196" s="1134">
        <v>757950</v>
      </c>
      <c r="D196" s="1134">
        <v>757950</v>
      </c>
      <c r="E196" s="1134">
        <v>757950</v>
      </c>
      <c r="F196" s="1134">
        <v>683950</v>
      </c>
      <c r="G196" s="1134">
        <v>633950</v>
      </c>
      <c r="H196" s="1134">
        <v>583950</v>
      </c>
    </row>
    <row r="197" spans="1:8" ht="12.75" hidden="1" outlineLevel="1" x14ac:dyDescent="0.2">
      <c r="A197" s="1131" t="s">
        <v>1077</v>
      </c>
      <c r="B197" s="1222"/>
      <c r="C197" s="1134">
        <v>1000000</v>
      </c>
      <c r="D197" s="1134">
        <v>1000000</v>
      </c>
      <c r="E197" s="1134">
        <v>1100000</v>
      </c>
      <c r="F197" s="1134">
        <v>1200000</v>
      </c>
      <c r="G197" s="1134">
        <v>1300000</v>
      </c>
      <c r="H197" s="1134">
        <v>1400000</v>
      </c>
    </row>
    <row r="198" spans="1:8" ht="12.75" hidden="1" outlineLevel="1" x14ac:dyDescent="0.2">
      <c r="A198" s="1222"/>
      <c r="B198" s="1222"/>
      <c r="C198" s="1145"/>
      <c r="D198" s="1145"/>
      <c r="E198" s="1145"/>
      <c r="F198" s="1145"/>
      <c r="G198" s="1145"/>
      <c r="H198" s="1145"/>
    </row>
    <row r="199" spans="1:8" ht="12.75" hidden="1" outlineLevel="1" x14ac:dyDescent="0.2">
      <c r="A199" s="1132" t="s">
        <v>1184</v>
      </c>
      <c r="B199" s="1222"/>
      <c r="C199" s="1135">
        <v>2400443</v>
      </c>
      <c r="D199" s="1135">
        <v>2410443</v>
      </c>
      <c r="E199" s="1135">
        <v>2477317</v>
      </c>
      <c r="F199" s="1135">
        <v>2481126</v>
      </c>
      <c r="G199" s="1135">
        <v>2543472</v>
      </c>
      <c r="H199" s="1135">
        <v>2606081</v>
      </c>
    </row>
    <row r="200" spans="1:8" ht="12.75" hidden="1" outlineLevel="1" x14ac:dyDescent="0.2">
      <c r="A200" s="1222"/>
      <c r="B200" s="1222"/>
      <c r="C200" s="1145"/>
      <c r="D200" s="1145"/>
      <c r="E200" s="1145"/>
      <c r="F200" s="1145"/>
      <c r="G200" s="1145"/>
      <c r="H200" s="1145"/>
    </row>
    <row r="201" spans="1:8" ht="12.75" hidden="1" outlineLevel="1" x14ac:dyDescent="0.2">
      <c r="A201" s="1132" t="s">
        <v>1185</v>
      </c>
      <c r="B201" s="1222"/>
      <c r="C201" s="1135">
        <v>-92865</v>
      </c>
      <c r="D201" s="1135">
        <v>-92865</v>
      </c>
      <c r="E201" s="1135">
        <v>-151342</v>
      </c>
      <c r="F201" s="1135">
        <v>-88732</v>
      </c>
      <c r="G201" s="1135">
        <v>-90620</v>
      </c>
      <c r="H201" s="1135">
        <v>-93863</v>
      </c>
    </row>
    <row r="202" spans="1:8" ht="12.75" x14ac:dyDescent="0.2">
      <c r="A202" s="1132"/>
      <c r="B202" s="1222"/>
      <c r="C202" s="1135"/>
      <c r="D202" s="1135"/>
      <c r="E202" s="1135"/>
      <c r="F202" s="1135"/>
      <c r="G202" s="1135"/>
      <c r="H202" s="1135"/>
    </row>
    <row r="238" spans="1:8" x14ac:dyDescent="0.25">
      <c r="A238" s="872" t="s">
        <v>1191</v>
      </c>
    </row>
    <row r="240" spans="1:8" ht="26.4" x14ac:dyDescent="0.25">
      <c r="C240" s="850" t="s">
        <v>1168</v>
      </c>
      <c r="D240" s="1136" t="s">
        <v>1169</v>
      </c>
      <c r="E240" s="850" t="s">
        <v>1170</v>
      </c>
      <c r="F240" s="851" t="s">
        <v>1172</v>
      </c>
      <c r="G240" s="851" t="s">
        <v>1173</v>
      </c>
      <c r="H240" s="851" t="s">
        <v>1174</v>
      </c>
    </row>
    <row r="241" spans="1:8" x14ac:dyDescent="0.25">
      <c r="C241" s="851"/>
      <c r="D241" s="1133"/>
      <c r="E241" s="851"/>
      <c r="F241" s="851"/>
      <c r="G241" s="851"/>
      <c r="H241" s="851"/>
    </row>
    <row r="242" spans="1:8" x14ac:dyDescent="0.25">
      <c r="A242" s="874" t="s">
        <v>1192</v>
      </c>
      <c r="B242" s="849"/>
      <c r="C242" s="855"/>
      <c r="D242" s="1135"/>
      <c r="E242" s="855"/>
      <c r="F242" s="855"/>
      <c r="G242" s="855"/>
      <c r="H242" s="855"/>
    </row>
    <row r="243" spans="1:8" x14ac:dyDescent="0.25">
      <c r="A243" s="875"/>
      <c r="B243" s="875" t="s">
        <v>992</v>
      </c>
      <c r="C243" s="876">
        <v>-2048427</v>
      </c>
      <c r="D243" s="888">
        <v>-2048427</v>
      </c>
      <c r="E243" s="876">
        <v>-2165062</v>
      </c>
      <c r="F243" s="876">
        <v>-2215206</v>
      </c>
      <c r="G243" s="876">
        <v>-2266820</v>
      </c>
      <c r="H243" s="876">
        <v>-2319369</v>
      </c>
    </row>
    <row r="244" spans="1:8" x14ac:dyDescent="0.25">
      <c r="A244" s="875"/>
      <c r="B244" s="875" t="s">
        <v>925</v>
      </c>
      <c r="C244" s="876">
        <v>2048427</v>
      </c>
      <c r="D244" s="888">
        <v>2048427</v>
      </c>
      <c r="E244" s="876">
        <v>2165062</v>
      </c>
      <c r="F244" s="876">
        <v>2215206</v>
      </c>
      <c r="G244" s="876">
        <v>2266820</v>
      </c>
      <c r="H244" s="876">
        <v>2319369</v>
      </c>
    </row>
    <row r="245" spans="1:8" x14ac:dyDescent="0.25">
      <c r="A245" s="849" t="s">
        <v>1193</v>
      </c>
      <c r="B245" s="849"/>
      <c r="C245" s="855">
        <f t="shared" ref="C245:H245" si="9">SUBTOTAL(9,C243:C244)</f>
        <v>0</v>
      </c>
      <c r="D245" s="1135">
        <f t="shared" si="9"/>
        <v>0</v>
      </c>
      <c r="E245" s="855">
        <f t="shared" si="9"/>
        <v>0</v>
      </c>
      <c r="F245" s="855">
        <f t="shared" si="9"/>
        <v>0</v>
      </c>
      <c r="G245" s="855">
        <f t="shared" si="9"/>
        <v>0</v>
      </c>
      <c r="H245" s="855">
        <f t="shared" si="9"/>
        <v>0</v>
      </c>
    </row>
    <row r="246" spans="1:8" x14ac:dyDescent="0.25">
      <c r="A246" s="849"/>
      <c r="B246" s="849"/>
      <c r="C246" s="855"/>
      <c r="D246" s="1135"/>
      <c r="E246" s="855"/>
      <c r="F246" s="855"/>
      <c r="G246" s="855"/>
      <c r="H246" s="855"/>
    </row>
    <row r="247" spans="1:8" x14ac:dyDescent="0.25">
      <c r="A247" s="874" t="s">
        <v>1194</v>
      </c>
      <c r="B247" s="849"/>
      <c r="C247" s="855"/>
      <c r="D247" s="1135"/>
      <c r="E247" s="855"/>
      <c r="F247" s="855"/>
      <c r="G247" s="855"/>
      <c r="H247" s="855"/>
    </row>
    <row r="248" spans="1:8" x14ac:dyDescent="0.25">
      <c r="A248" s="875"/>
      <c r="B248" s="875" t="s">
        <v>992</v>
      </c>
      <c r="C248" s="876">
        <v>-20000</v>
      </c>
      <c r="D248" s="888">
        <v>-20000</v>
      </c>
      <c r="E248" s="876">
        <v>-20000</v>
      </c>
      <c r="F248" s="876">
        <v>-20400</v>
      </c>
      <c r="G248" s="876">
        <v>-20800</v>
      </c>
      <c r="H248" s="876">
        <v>-21220</v>
      </c>
    </row>
    <row r="249" spans="1:8" x14ac:dyDescent="0.25">
      <c r="A249" s="875"/>
      <c r="B249" s="875" t="s">
        <v>925</v>
      </c>
      <c r="C249" s="876">
        <v>1424527</v>
      </c>
      <c r="D249" s="888">
        <v>1424527</v>
      </c>
      <c r="E249" s="876">
        <v>1569753</v>
      </c>
      <c r="F249" s="876">
        <v>1609709</v>
      </c>
      <c r="G249" s="876">
        <v>1650703</v>
      </c>
      <c r="H249" s="876">
        <v>1693799</v>
      </c>
    </row>
    <row r="250" spans="1:8" x14ac:dyDescent="0.25">
      <c r="A250" s="849" t="s">
        <v>1195</v>
      </c>
      <c r="B250" s="849"/>
      <c r="C250" s="855">
        <f t="shared" ref="C250:H250" si="10">SUBTOTAL(9,C248:C249)</f>
        <v>1404527</v>
      </c>
      <c r="D250" s="1135">
        <f t="shared" si="10"/>
        <v>1404527</v>
      </c>
      <c r="E250" s="855">
        <f t="shared" si="10"/>
        <v>1549753</v>
      </c>
      <c r="F250" s="855">
        <f t="shared" si="10"/>
        <v>1589309</v>
      </c>
      <c r="G250" s="855">
        <f t="shared" si="10"/>
        <v>1629903</v>
      </c>
      <c r="H250" s="855">
        <f t="shared" si="10"/>
        <v>1672579</v>
      </c>
    </row>
    <row r="251" spans="1:8" x14ac:dyDescent="0.25">
      <c r="A251" s="849"/>
      <c r="B251" s="849"/>
      <c r="C251" s="855"/>
      <c r="D251" s="1135"/>
      <c r="E251" s="855"/>
      <c r="F251" s="855"/>
      <c r="G251" s="855"/>
      <c r="H251" s="855"/>
    </row>
    <row r="252" spans="1:8" x14ac:dyDescent="0.25">
      <c r="A252" s="874" t="s">
        <v>1196</v>
      </c>
      <c r="B252" s="849"/>
      <c r="C252" s="855"/>
      <c r="D252" s="1135"/>
      <c r="E252" s="855"/>
      <c r="F252" s="855"/>
      <c r="G252" s="855"/>
      <c r="H252" s="855"/>
    </row>
    <row r="253" spans="1:8" x14ac:dyDescent="0.25">
      <c r="A253" s="875"/>
      <c r="B253" s="875" t="s">
        <v>992</v>
      </c>
      <c r="C253" s="876">
        <v>-651050</v>
      </c>
      <c r="D253" s="888">
        <v>-651050</v>
      </c>
      <c r="E253" s="876">
        <v>-631100</v>
      </c>
      <c r="F253" s="876">
        <v>-615822</v>
      </c>
      <c r="G253" s="876">
        <v>-628135</v>
      </c>
      <c r="H253" s="876">
        <v>-683968</v>
      </c>
    </row>
    <row r="254" spans="1:8" x14ac:dyDescent="0.25">
      <c r="A254" s="875"/>
      <c r="B254" s="875" t="s">
        <v>925</v>
      </c>
      <c r="C254" s="876">
        <v>1265575</v>
      </c>
      <c r="D254" s="888">
        <v>1265575</v>
      </c>
      <c r="E254" s="876">
        <v>1215308</v>
      </c>
      <c r="F254" s="876">
        <v>1227638</v>
      </c>
      <c r="G254" s="876">
        <v>1264166</v>
      </c>
      <c r="H254" s="876">
        <v>1359552</v>
      </c>
    </row>
    <row r="255" spans="1:8" x14ac:dyDescent="0.25">
      <c r="A255" s="849" t="s">
        <v>1197</v>
      </c>
      <c r="B255" s="849"/>
      <c r="C255" s="855">
        <f t="shared" ref="C255:H255" si="11">SUBTOTAL(9,C253:C254)</f>
        <v>614525</v>
      </c>
      <c r="D255" s="1135">
        <f t="shared" si="11"/>
        <v>614525</v>
      </c>
      <c r="E255" s="855">
        <f t="shared" si="11"/>
        <v>584208</v>
      </c>
      <c r="F255" s="855">
        <f t="shared" si="11"/>
        <v>611816</v>
      </c>
      <c r="G255" s="855">
        <f t="shared" si="11"/>
        <v>636031</v>
      </c>
      <c r="H255" s="855">
        <f t="shared" si="11"/>
        <v>675584</v>
      </c>
    </row>
    <row r="256" spans="1:8" x14ac:dyDescent="0.25">
      <c r="A256" s="849"/>
      <c r="B256" s="849"/>
      <c r="C256" s="855"/>
      <c r="D256" s="1135"/>
      <c r="E256" s="855"/>
      <c r="F256" s="855"/>
      <c r="G256" s="855"/>
      <c r="H256" s="855"/>
    </row>
    <row r="257" spans="1:8" x14ac:dyDescent="0.25">
      <c r="A257" s="874" t="s">
        <v>1198</v>
      </c>
      <c r="B257" s="849"/>
      <c r="C257" s="855"/>
      <c r="D257" s="1135"/>
      <c r="E257" s="855"/>
      <c r="F257" s="855"/>
      <c r="G257" s="855"/>
      <c r="H257" s="855"/>
    </row>
    <row r="258" spans="1:8" x14ac:dyDescent="0.25">
      <c r="A258" s="875"/>
      <c r="B258" s="875" t="s">
        <v>992</v>
      </c>
      <c r="C258" s="876">
        <v>-3595787</v>
      </c>
      <c r="D258" s="888">
        <v>-3599787</v>
      </c>
      <c r="E258" s="876">
        <v>-3148346</v>
      </c>
      <c r="F258" s="876">
        <v>-3180955</v>
      </c>
      <c r="G258" s="876">
        <v>-3214203</v>
      </c>
      <c r="H258" s="876">
        <v>-3248106</v>
      </c>
    </row>
    <row r="259" spans="1:8" x14ac:dyDescent="0.25">
      <c r="A259" s="875"/>
      <c r="B259" s="875" t="s">
        <v>925</v>
      </c>
      <c r="C259" s="876">
        <v>10866668</v>
      </c>
      <c r="D259" s="888">
        <v>11140093</v>
      </c>
      <c r="E259" s="876">
        <v>10070171</v>
      </c>
      <c r="F259" s="876">
        <v>10333668</v>
      </c>
      <c r="G259" s="876">
        <v>10525108</v>
      </c>
      <c r="H259" s="876">
        <v>10720468</v>
      </c>
    </row>
    <row r="260" spans="1:8" x14ac:dyDescent="0.25">
      <c r="A260" s="849" t="s">
        <v>1199</v>
      </c>
      <c r="B260" s="849"/>
      <c r="C260" s="855">
        <f t="shared" ref="C260:H260" si="12">SUBTOTAL(9,C258:C259)</f>
        <v>7270881</v>
      </c>
      <c r="D260" s="1135">
        <f t="shared" si="12"/>
        <v>7540306</v>
      </c>
      <c r="E260" s="855">
        <f t="shared" si="12"/>
        <v>6921825</v>
      </c>
      <c r="F260" s="855">
        <f t="shared" si="12"/>
        <v>7152713</v>
      </c>
      <c r="G260" s="855">
        <f t="shared" si="12"/>
        <v>7310905</v>
      </c>
      <c r="H260" s="855">
        <f t="shared" si="12"/>
        <v>7472362</v>
      </c>
    </row>
    <row r="261" spans="1:8" x14ac:dyDescent="0.25">
      <c r="A261" s="849"/>
      <c r="B261" s="849"/>
      <c r="C261" s="855"/>
      <c r="D261" s="1135"/>
      <c r="E261" s="855"/>
      <c r="F261" s="855"/>
      <c r="G261" s="855"/>
      <c r="H261" s="855"/>
    </row>
    <row r="262" spans="1:8" x14ac:dyDescent="0.25">
      <c r="A262" s="874" t="s">
        <v>1200</v>
      </c>
      <c r="B262" s="849"/>
      <c r="C262" s="855"/>
      <c r="D262" s="1135"/>
      <c r="E262" s="855"/>
      <c r="F262" s="855"/>
      <c r="G262" s="855"/>
      <c r="H262" s="855"/>
    </row>
    <row r="263" spans="1:8" x14ac:dyDescent="0.25">
      <c r="A263" s="875"/>
      <c r="B263" s="875" t="s">
        <v>992</v>
      </c>
      <c r="C263" s="876">
        <v>0</v>
      </c>
      <c r="D263" s="888">
        <v>-37730</v>
      </c>
      <c r="E263" s="876"/>
      <c r="F263" s="876"/>
      <c r="G263" s="876"/>
      <c r="H263" s="876"/>
    </row>
    <row r="264" spans="1:8" x14ac:dyDescent="0.25">
      <c r="A264" s="875"/>
      <c r="B264" s="875" t="s">
        <v>925</v>
      </c>
      <c r="C264" s="876">
        <v>767406</v>
      </c>
      <c r="D264" s="888">
        <v>1033167</v>
      </c>
      <c r="E264" s="876">
        <v>747296</v>
      </c>
      <c r="F264" s="876">
        <v>766561</v>
      </c>
      <c r="G264" s="876">
        <v>786342</v>
      </c>
      <c r="H264" s="876">
        <v>806652</v>
      </c>
    </row>
    <row r="265" spans="1:8" x14ac:dyDescent="0.25">
      <c r="A265" s="849" t="s">
        <v>1201</v>
      </c>
      <c r="B265" s="849"/>
      <c r="C265" s="855">
        <f t="shared" ref="C265:H265" si="13">SUBTOTAL(9,C263:C264)</f>
        <v>767406</v>
      </c>
      <c r="D265" s="1135">
        <f t="shared" si="13"/>
        <v>995437</v>
      </c>
      <c r="E265" s="855">
        <f t="shared" si="13"/>
        <v>747296</v>
      </c>
      <c r="F265" s="855">
        <f t="shared" si="13"/>
        <v>766561</v>
      </c>
      <c r="G265" s="855">
        <f t="shared" si="13"/>
        <v>786342</v>
      </c>
      <c r="H265" s="855">
        <f t="shared" si="13"/>
        <v>806652</v>
      </c>
    </row>
    <row r="266" spans="1:8" x14ac:dyDescent="0.25">
      <c r="A266" s="849"/>
      <c r="B266" s="849"/>
      <c r="C266" s="855"/>
      <c r="D266" s="1135"/>
      <c r="E266" s="855"/>
      <c r="F266" s="855"/>
      <c r="G266" s="855"/>
      <c r="H266" s="855"/>
    </row>
    <row r="267" spans="1:8" x14ac:dyDescent="0.25">
      <c r="A267" s="874" t="s">
        <v>1202</v>
      </c>
      <c r="B267" s="849"/>
      <c r="C267" s="855"/>
      <c r="D267" s="1135"/>
      <c r="E267" s="855"/>
      <c r="F267" s="855"/>
      <c r="G267" s="855"/>
      <c r="H267" s="855"/>
    </row>
    <row r="268" spans="1:8" x14ac:dyDescent="0.25">
      <c r="A268" s="875"/>
      <c r="B268" s="875" t="s">
        <v>992</v>
      </c>
      <c r="C268" s="876">
        <v>-2355651</v>
      </c>
      <c r="D268" s="888">
        <v>-2355651</v>
      </c>
      <c r="E268" s="876">
        <v>-2431841</v>
      </c>
      <c r="F268" s="876">
        <v>-2625199</v>
      </c>
      <c r="G268" s="876">
        <v>-2722713</v>
      </c>
      <c r="H268" s="876">
        <v>-2829937</v>
      </c>
    </row>
    <row r="269" spans="1:8" x14ac:dyDescent="0.25">
      <c r="A269" s="875"/>
      <c r="B269" s="875" t="s">
        <v>925</v>
      </c>
      <c r="C269" s="876">
        <v>2355651</v>
      </c>
      <c r="D269" s="888">
        <v>2355651</v>
      </c>
      <c r="E269" s="876">
        <v>2431841</v>
      </c>
      <c r="F269" s="876">
        <v>2625199</v>
      </c>
      <c r="G269" s="876">
        <v>2722713</v>
      </c>
      <c r="H269" s="876">
        <v>2829937</v>
      </c>
    </row>
    <row r="270" spans="1:8" x14ac:dyDescent="0.25">
      <c r="A270" s="849" t="s">
        <v>1203</v>
      </c>
      <c r="B270" s="849"/>
      <c r="C270" s="855">
        <f t="shared" ref="C270:H270" si="14">SUBTOTAL(9,C268:C269)</f>
        <v>0</v>
      </c>
      <c r="D270" s="1135">
        <f t="shared" si="14"/>
        <v>0</v>
      </c>
      <c r="E270" s="855">
        <f t="shared" si="14"/>
        <v>0</v>
      </c>
      <c r="F270" s="855">
        <f t="shared" si="14"/>
        <v>0</v>
      </c>
      <c r="G270" s="855">
        <f t="shared" si="14"/>
        <v>0</v>
      </c>
      <c r="H270" s="855">
        <f t="shared" si="14"/>
        <v>0</v>
      </c>
    </row>
    <row r="271" spans="1:8" x14ac:dyDescent="0.25">
      <c r="A271" s="849"/>
      <c r="B271" s="849"/>
      <c r="C271" s="855"/>
      <c r="D271" s="1135"/>
      <c r="E271" s="855"/>
      <c r="F271" s="855"/>
      <c r="G271" s="855"/>
      <c r="H271" s="855"/>
    </row>
    <row r="272" spans="1:8" x14ac:dyDescent="0.25">
      <c r="A272" s="874" t="s">
        <v>1204</v>
      </c>
      <c r="B272" s="849"/>
      <c r="C272" s="855"/>
      <c r="D272" s="1135"/>
      <c r="E272" s="855"/>
      <c r="F272" s="855"/>
      <c r="G272" s="855"/>
      <c r="H272" s="855"/>
    </row>
    <row r="273" spans="1:8" x14ac:dyDescent="0.25">
      <c r="A273" s="875"/>
      <c r="B273" s="875" t="s">
        <v>992</v>
      </c>
      <c r="C273" s="876">
        <v>-4891957</v>
      </c>
      <c r="D273" s="888">
        <v>-4975491</v>
      </c>
      <c r="E273" s="876">
        <v>-5297219</v>
      </c>
      <c r="F273" s="876">
        <v>-5406689</v>
      </c>
      <c r="G273" s="876">
        <v>-5519482</v>
      </c>
      <c r="H273" s="876">
        <v>-5632462</v>
      </c>
    </row>
    <row r="274" spans="1:8" x14ac:dyDescent="0.25">
      <c r="A274" s="875"/>
      <c r="B274" s="875" t="s">
        <v>925</v>
      </c>
      <c r="C274" s="876">
        <v>4297037</v>
      </c>
      <c r="D274" s="888">
        <v>4677733.71</v>
      </c>
      <c r="E274" s="876">
        <v>4611607</v>
      </c>
      <c r="F274" s="876">
        <v>4716261</v>
      </c>
      <c r="G274" s="876">
        <v>4823995</v>
      </c>
      <c r="H274" s="876">
        <v>4934964</v>
      </c>
    </row>
    <row r="275" spans="1:8" x14ac:dyDescent="0.25">
      <c r="A275" s="849" t="s">
        <v>1205</v>
      </c>
      <c r="B275" s="849"/>
      <c r="C275" s="855">
        <f t="shared" ref="C275:H275" si="15">SUBTOTAL(9,C273:C274)</f>
        <v>-594920</v>
      </c>
      <c r="D275" s="1135">
        <f t="shared" si="15"/>
        <v>-297757.29000000004</v>
      </c>
      <c r="E275" s="855">
        <f t="shared" si="15"/>
        <v>-685612</v>
      </c>
      <c r="F275" s="855">
        <f t="shared" si="15"/>
        <v>-690428</v>
      </c>
      <c r="G275" s="855">
        <f t="shared" si="15"/>
        <v>-695487</v>
      </c>
      <c r="H275" s="855">
        <f t="shared" si="15"/>
        <v>-697498</v>
      </c>
    </row>
    <row r="276" spans="1:8" x14ac:dyDescent="0.25">
      <c r="A276" s="849"/>
      <c r="B276" s="849"/>
      <c r="C276" s="855"/>
      <c r="D276" s="1135"/>
      <c r="E276" s="855"/>
      <c r="F276" s="855"/>
      <c r="G276" s="855"/>
      <c r="H276" s="855"/>
    </row>
    <row r="277" spans="1:8" x14ac:dyDescent="0.25">
      <c r="A277" s="849"/>
      <c r="B277" s="849"/>
      <c r="C277" s="855"/>
      <c r="D277" s="1135"/>
      <c r="E277" s="855"/>
      <c r="F277" s="855"/>
      <c r="G277" s="855"/>
      <c r="H277" s="855"/>
    </row>
    <row r="278" spans="1:8" x14ac:dyDescent="0.25">
      <c r="A278" s="849"/>
      <c r="B278" s="849"/>
      <c r="C278" s="855"/>
      <c r="D278" s="1135"/>
      <c r="E278" s="855"/>
      <c r="F278" s="855"/>
      <c r="G278" s="855"/>
      <c r="H278" s="855"/>
    </row>
    <row r="279" spans="1:8" x14ac:dyDescent="0.25">
      <c r="A279" s="872" t="s">
        <v>1191</v>
      </c>
    </row>
    <row r="281" spans="1:8" ht="26.4" x14ac:dyDescent="0.25">
      <c r="C281" s="850" t="s">
        <v>1168</v>
      </c>
      <c r="D281" s="1136" t="s">
        <v>1169</v>
      </c>
      <c r="E281" s="850" t="s">
        <v>1170</v>
      </c>
      <c r="F281" s="851" t="s">
        <v>1172</v>
      </c>
      <c r="G281" s="851" t="s">
        <v>1173</v>
      </c>
      <c r="H281" s="851" t="s">
        <v>1174</v>
      </c>
    </row>
    <row r="282" spans="1:8" x14ac:dyDescent="0.25">
      <c r="A282" s="849"/>
      <c r="B282" s="849"/>
      <c r="C282" s="855"/>
      <c r="D282" s="1135"/>
      <c r="E282" s="855"/>
      <c r="F282" s="855"/>
      <c r="G282" s="855"/>
      <c r="H282" s="855"/>
    </row>
    <row r="283" spans="1:8" x14ac:dyDescent="0.25">
      <c r="A283" s="874" t="s">
        <v>1206</v>
      </c>
      <c r="B283" s="849"/>
      <c r="C283" s="855"/>
      <c r="D283" s="1135"/>
      <c r="E283" s="855"/>
      <c r="F283" s="855"/>
      <c r="G283" s="855"/>
      <c r="H283" s="855"/>
    </row>
    <row r="284" spans="1:8" x14ac:dyDescent="0.25">
      <c r="A284" s="875"/>
      <c r="B284" s="875" t="s">
        <v>992</v>
      </c>
      <c r="C284" s="876">
        <v>-260000</v>
      </c>
      <c r="D284" s="888">
        <v>-260000</v>
      </c>
      <c r="E284" s="876">
        <v>-88000</v>
      </c>
      <c r="F284" s="876">
        <v>-89730</v>
      </c>
      <c r="G284" s="876">
        <v>-91493</v>
      </c>
      <c r="H284" s="876">
        <v>-93293</v>
      </c>
    </row>
    <row r="285" spans="1:8" x14ac:dyDescent="0.25">
      <c r="A285" s="875"/>
      <c r="B285" s="875" t="s">
        <v>925</v>
      </c>
      <c r="C285" s="876">
        <v>752404</v>
      </c>
      <c r="D285" s="888">
        <v>794734</v>
      </c>
      <c r="E285" s="876">
        <v>1115548</v>
      </c>
      <c r="F285" s="876">
        <v>1141315</v>
      </c>
      <c r="G285" s="876">
        <v>1167515</v>
      </c>
      <c r="H285" s="876">
        <v>1194171</v>
      </c>
    </row>
    <row r="286" spans="1:8" x14ac:dyDescent="0.25">
      <c r="A286" s="849" t="s">
        <v>1207</v>
      </c>
      <c r="B286" s="849"/>
      <c r="C286" s="855">
        <f t="shared" ref="C286:H286" si="16">SUBTOTAL(9,C284:C285)</f>
        <v>492404</v>
      </c>
      <c r="D286" s="1135">
        <f t="shared" si="16"/>
        <v>534734</v>
      </c>
      <c r="E286" s="855">
        <f t="shared" si="16"/>
        <v>1027548</v>
      </c>
      <c r="F286" s="855">
        <f t="shared" si="16"/>
        <v>1051585</v>
      </c>
      <c r="G286" s="855">
        <f t="shared" si="16"/>
        <v>1076022</v>
      </c>
      <c r="H286" s="855">
        <f t="shared" si="16"/>
        <v>1100878</v>
      </c>
    </row>
    <row r="287" spans="1:8" x14ac:dyDescent="0.25">
      <c r="A287" s="849"/>
      <c r="B287" s="849"/>
      <c r="C287" s="855"/>
      <c r="D287" s="1135"/>
      <c r="E287" s="855"/>
      <c r="F287" s="855"/>
      <c r="G287" s="855"/>
      <c r="H287" s="855"/>
    </row>
    <row r="288" spans="1:8" x14ac:dyDescent="0.25">
      <c r="A288" s="874" t="s">
        <v>1208</v>
      </c>
      <c r="B288" s="849"/>
      <c r="C288" s="855"/>
      <c r="D288" s="1135"/>
      <c r="E288" s="855"/>
      <c r="F288" s="855"/>
      <c r="G288" s="855"/>
      <c r="H288" s="855"/>
    </row>
    <row r="289" spans="1:8" x14ac:dyDescent="0.25">
      <c r="A289" s="875"/>
      <c r="B289" s="875" t="s">
        <v>992</v>
      </c>
      <c r="C289" s="876">
        <v>-42000</v>
      </c>
      <c r="D289" s="888">
        <v>-42000</v>
      </c>
      <c r="E289" s="876">
        <v>-42000</v>
      </c>
      <c r="F289" s="876">
        <v>-42840</v>
      </c>
      <c r="G289" s="876">
        <v>-43696</v>
      </c>
      <c r="H289" s="876">
        <v>-44570</v>
      </c>
    </row>
    <row r="290" spans="1:8" x14ac:dyDescent="0.25">
      <c r="A290" s="875"/>
      <c r="B290" s="875" t="s">
        <v>925</v>
      </c>
      <c r="C290" s="876">
        <v>709564</v>
      </c>
      <c r="D290" s="888">
        <v>700958</v>
      </c>
      <c r="E290" s="876">
        <v>675005</v>
      </c>
      <c r="F290" s="876">
        <v>692890</v>
      </c>
      <c r="G290" s="876">
        <v>711260</v>
      </c>
      <c r="H290" s="876">
        <v>730135</v>
      </c>
    </row>
    <row r="291" spans="1:8" x14ac:dyDescent="0.25">
      <c r="A291" s="849" t="s">
        <v>1209</v>
      </c>
      <c r="B291" s="849"/>
      <c r="C291" s="855">
        <f t="shared" ref="C291:H291" si="17">SUBTOTAL(9,C289:C290)</f>
        <v>667564</v>
      </c>
      <c r="D291" s="1135">
        <f t="shared" si="17"/>
        <v>658958</v>
      </c>
      <c r="E291" s="855">
        <f t="shared" si="17"/>
        <v>633005</v>
      </c>
      <c r="F291" s="855">
        <f t="shared" si="17"/>
        <v>650050</v>
      </c>
      <c r="G291" s="855">
        <f t="shared" si="17"/>
        <v>667564</v>
      </c>
      <c r="H291" s="855">
        <f t="shared" si="17"/>
        <v>685565</v>
      </c>
    </row>
    <row r="292" spans="1:8" x14ac:dyDescent="0.25">
      <c r="A292" s="849"/>
      <c r="B292" s="849"/>
      <c r="C292" s="855"/>
      <c r="D292" s="1135"/>
      <c r="E292" s="855"/>
      <c r="F292" s="855"/>
      <c r="G292" s="855"/>
      <c r="H292" s="855"/>
    </row>
    <row r="293" spans="1:8" x14ac:dyDescent="0.25">
      <c r="A293" s="874" t="s">
        <v>1210</v>
      </c>
      <c r="B293" s="849"/>
      <c r="C293" s="855"/>
      <c r="D293" s="1135"/>
      <c r="E293" s="855"/>
      <c r="F293" s="855"/>
      <c r="G293" s="855"/>
      <c r="H293" s="855"/>
    </row>
    <row r="294" spans="1:8" x14ac:dyDescent="0.25">
      <c r="A294" s="875"/>
      <c r="B294" s="875" t="s">
        <v>992</v>
      </c>
      <c r="C294" s="876">
        <v>-272210</v>
      </c>
      <c r="D294" s="888">
        <v>-252450</v>
      </c>
      <c r="E294" s="876">
        <v>-215000</v>
      </c>
      <c r="F294" s="876">
        <v>-219300</v>
      </c>
      <c r="G294" s="876">
        <v>-223679</v>
      </c>
      <c r="H294" s="876">
        <v>-228152</v>
      </c>
    </row>
    <row r="295" spans="1:8" x14ac:dyDescent="0.25">
      <c r="A295" s="875"/>
      <c r="B295" s="875" t="s">
        <v>925</v>
      </c>
      <c r="C295" s="876">
        <v>1988102</v>
      </c>
      <c r="D295" s="888">
        <v>1995202</v>
      </c>
      <c r="E295" s="876">
        <v>1963610</v>
      </c>
      <c r="F295" s="876">
        <v>2032491</v>
      </c>
      <c r="G295" s="876">
        <v>2102137</v>
      </c>
      <c r="H295" s="876">
        <v>2172844</v>
      </c>
    </row>
    <row r="296" spans="1:8" x14ac:dyDescent="0.25">
      <c r="A296" s="849" t="s">
        <v>1211</v>
      </c>
      <c r="B296" s="849"/>
      <c r="C296" s="855">
        <f t="shared" ref="C296:H296" si="18">SUBTOTAL(9,C294:C295)</f>
        <v>1715892</v>
      </c>
      <c r="D296" s="1135">
        <f t="shared" si="18"/>
        <v>1742752</v>
      </c>
      <c r="E296" s="855">
        <f t="shared" si="18"/>
        <v>1748610</v>
      </c>
      <c r="F296" s="855">
        <f t="shared" si="18"/>
        <v>1813191</v>
      </c>
      <c r="G296" s="855">
        <f t="shared" si="18"/>
        <v>1878458</v>
      </c>
      <c r="H296" s="855">
        <f t="shared" si="18"/>
        <v>1944692</v>
      </c>
    </row>
    <row r="297" spans="1:8" x14ac:dyDescent="0.25">
      <c r="A297" s="849"/>
      <c r="B297" s="849"/>
      <c r="C297" s="855"/>
      <c r="D297" s="1135"/>
      <c r="E297" s="855"/>
      <c r="F297" s="855"/>
      <c r="G297" s="855"/>
      <c r="H297" s="855"/>
    </row>
    <row r="298" spans="1:8" x14ac:dyDescent="0.25">
      <c r="A298" s="874" t="s">
        <v>1212</v>
      </c>
      <c r="B298" s="849"/>
      <c r="C298" s="855"/>
      <c r="D298" s="1135"/>
      <c r="E298" s="855"/>
      <c r="F298" s="855"/>
      <c r="G298" s="855"/>
      <c r="H298" s="855"/>
    </row>
    <row r="299" spans="1:8" x14ac:dyDescent="0.25">
      <c r="A299" s="875"/>
      <c r="B299" s="875" t="s">
        <v>992</v>
      </c>
      <c r="C299" s="876">
        <v>-19231237</v>
      </c>
      <c r="D299" s="888">
        <v>-20616945</v>
      </c>
      <c r="E299" s="876">
        <v>-19990799</v>
      </c>
      <c r="F299" s="876">
        <v>-20771660</v>
      </c>
      <c r="G299" s="876">
        <v>-21983462</v>
      </c>
      <c r="H299" s="876">
        <v>-22764156</v>
      </c>
    </row>
    <row r="300" spans="1:8" x14ac:dyDescent="0.25">
      <c r="A300" s="875"/>
      <c r="B300" s="875" t="s">
        <v>925</v>
      </c>
      <c r="C300" s="876">
        <v>1198762</v>
      </c>
      <c r="D300" s="888">
        <v>1261228</v>
      </c>
      <c r="E300" s="876">
        <v>1227452</v>
      </c>
      <c r="F300" s="876">
        <v>1255155</v>
      </c>
      <c r="G300" s="876">
        <v>1283632</v>
      </c>
      <c r="H300" s="876">
        <v>1312911</v>
      </c>
    </row>
    <row r="301" spans="1:8" x14ac:dyDescent="0.25">
      <c r="A301" s="849" t="s">
        <v>1213</v>
      </c>
      <c r="B301" s="849"/>
      <c r="C301" s="855">
        <f t="shared" ref="C301:H301" si="19">SUBTOTAL(9,C299:C300)</f>
        <v>-18032475</v>
      </c>
      <c r="D301" s="1135">
        <f t="shared" si="19"/>
        <v>-19355717</v>
      </c>
      <c r="E301" s="855">
        <f t="shared" si="19"/>
        <v>-18763347</v>
      </c>
      <c r="F301" s="855">
        <f t="shared" si="19"/>
        <v>-19516505</v>
      </c>
      <c r="G301" s="855">
        <f t="shared" si="19"/>
        <v>-20699830</v>
      </c>
      <c r="H301" s="855">
        <f t="shared" si="19"/>
        <v>-21451245</v>
      </c>
    </row>
    <row r="302" spans="1:8" x14ac:dyDescent="0.25">
      <c r="A302" s="849"/>
      <c r="B302" s="849"/>
      <c r="C302" s="855"/>
      <c r="D302" s="1135"/>
      <c r="E302" s="855"/>
      <c r="F302" s="855"/>
      <c r="G302" s="855"/>
      <c r="H302" s="855"/>
    </row>
    <row r="303" spans="1:8" x14ac:dyDescent="0.25">
      <c r="A303" s="874" t="s">
        <v>1214</v>
      </c>
      <c r="B303" s="849"/>
      <c r="C303" s="855"/>
      <c r="D303" s="1135"/>
      <c r="E303" s="855"/>
      <c r="F303" s="855"/>
      <c r="G303" s="855"/>
      <c r="H303" s="855"/>
    </row>
    <row r="304" spans="1:8" x14ac:dyDescent="0.25">
      <c r="A304" s="875"/>
      <c r="B304" s="875" t="s">
        <v>992</v>
      </c>
      <c r="C304" s="876">
        <v>-39500</v>
      </c>
      <c r="D304" s="888">
        <v>-39500</v>
      </c>
      <c r="E304" s="876">
        <v>-26700</v>
      </c>
      <c r="F304" s="876">
        <v>-27234</v>
      </c>
      <c r="G304" s="876">
        <v>-27777</v>
      </c>
      <c r="H304" s="876">
        <v>-28352</v>
      </c>
    </row>
    <row r="305" spans="1:8" x14ac:dyDescent="0.25">
      <c r="A305" s="875"/>
      <c r="B305" s="875" t="s">
        <v>925</v>
      </c>
      <c r="C305" s="876">
        <v>311153</v>
      </c>
      <c r="D305" s="888">
        <v>319153</v>
      </c>
      <c r="E305" s="876">
        <v>316482</v>
      </c>
      <c r="F305" s="876">
        <v>324387</v>
      </c>
      <c r="G305" s="876">
        <v>332772</v>
      </c>
      <c r="H305" s="876">
        <v>341393</v>
      </c>
    </row>
    <row r="306" spans="1:8" x14ac:dyDescent="0.25">
      <c r="A306" s="849" t="s">
        <v>1215</v>
      </c>
      <c r="B306" s="849"/>
      <c r="C306" s="855">
        <f t="shared" ref="C306:H306" si="20">SUBTOTAL(9,C304:C305)</f>
        <v>271653</v>
      </c>
      <c r="D306" s="1135">
        <f t="shared" si="20"/>
        <v>279653</v>
      </c>
      <c r="E306" s="855">
        <f t="shared" si="20"/>
        <v>289782</v>
      </c>
      <c r="F306" s="855">
        <f t="shared" si="20"/>
        <v>297153</v>
      </c>
      <c r="G306" s="855">
        <f t="shared" si="20"/>
        <v>304995</v>
      </c>
      <c r="H306" s="855">
        <f t="shared" si="20"/>
        <v>313041</v>
      </c>
    </row>
    <row r="307" spans="1:8" x14ac:dyDescent="0.25">
      <c r="A307" s="849"/>
      <c r="B307" s="849"/>
      <c r="C307" s="855"/>
      <c r="D307" s="1135"/>
      <c r="E307" s="855"/>
      <c r="F307" s="855"/>
      <c r="G307" s="855"/>
      <c r="H307" s="855"/>
    </row>
    <row r="308" spans="1:8" x14ac:dyDescent="0.25">
      <c r="A308" s="874" t="s">
        <v>1216</v>
      </c>
      <c r="B308" s="849"/>
      <c r="C308" s="855"/>
      <c r="D308" s="1135"/>
      <c r="E308" s="855"/>
      <c r="F308" s="855"/>
      <c r="G308" s="855"/>
      <c r="H308" s="855"/>
    </row>
    <row r="309" spans="1:8" x14ac:dyDescent="0.25">
      <c r="A309" s="875"/>
      <c r="B309" s="875" t="s">
        <v>992</v>
      </c>
      <c r="C309" s="876">
        <v>-190100</v>
      </c>
      <c r="D309" s="888">
        <v>-190100</v>
      </c>
      <c r="E309" s="876">
        <v>-178250</v>
      </c>
      <c r="F309" s="876">
        <v>-181811</v>
      </c>
      <c r="G309" s="876">
        <v>-183562</v>
      </c>
      <c r="H309" s="876">
        <v>-189147</v>
      </c>
    </row>
    <row r="310" spans="1:8" x14ac:dyDescent="0.25">
      <c r="A310" s="875"/>
      <c r="B310" s="875" t="s">
        <v>925</v>
      </c>
      <c r="C310" s="876">
        <v>791662</v>
      </c>
      <c r="D310" s="888">
        <v>793462</v>
      </c>
      <c r="E310" s="876">
        <v>804872</v>
      </c>
      <c r="F310" s="876">
        <v>826782</v>
      </c>
      <c r="G310" s="876">
        <v>849292</v>
      </c>
      <c r="H310" s="876">
        <v>872435</v>
      </c>
    </row>
    <row r="311" spans="1:8" x14ac:dyDescent="0.25">
      <c r="A311" s="849" t="s">
        <v>1217</v>
      </c>
      <c r="B311" s="849"/>
      <c r="C311" s="855">
        <f t="shared" ref="C311:H311" si="21">SUBTOTAL(9,C309:C310)</f>
        <v>601562</v>
      </c>
      <c r="D311" s="1135">
        <f t="shared" si="21"/>
        <v>603362</v>
      </c>
      <c r="E311" s="855">
        <f t="shared" si="21"/>
        <v>626622</v>
      </c>
      <c r="F311" s="855">
        <f t="shared" si="21"/>
        <v>644971</v>
      </c>
      <c r="G311" s="855">
        <f t="shared" si="21"/>
        <v>665730</v>
      </c>
      <c r="H311" s="855">
        <f t="shared" si="21"/>
        <v>683288</v>
      </c>
    </row>
    <row r="312" spans="1:8" x14ac:dyDescent="0.25">
      <c r="A312" s="849"/>
      <c r="B312" s="849"/>
      <c r="C312" s="855"/>
      <c r="D312" s="1135"/>
      <c r="E312" s="855"/>
      <c r="F312" s="855"/>
      <c r="G312" s="855"/>
      <c r="H312" s="855"/>
    </row>
    <row r="313" spans="1:8" x14ac:dyDescent="0.25">
      <c r="A313" s="874" t="s">
        <v>1218</v>
      </c>
      <c r="B313" s="849"/>
      <c r="C313" s="855"/>
      <c r="D313" s="1135"/>
      <c r="E313" s="855"/>
      <c r="F313" s="855"/>
      <c r="G313" s="855"/>
      <c r="H313" s="855"/>
    </row>
    <row r="314" spans="1:8" x14ac:dyDescent="0.25">
      <c r="A314" s="875"/>
      <c r="B314" s="875" t="s">
        <v>925</v>
      </c>
      <c r="C314" s="876">
        <v>681706</v>
      </c>
      <c r="D314" s="888">
        <v>716706</v>
      </c>
      <c r="E314" s="876">
        <v>904851</v>
      </c>
      <c r="F314" s="876">
        <v>927168</v>
      </c>
      <c r="G314" s="876">
        <v>950432</v>
      </c>
      <c r="H314" s="876">
        <v>940878</v>
      </c>
    </row>
    <row r="315" spans="1:8" x14ac:dyDescent="0.25">
      <c r="A315" s="849" t="s">
        <v>1219</v>
      </c>
      <c r="B315" s="849"/>
      <c r="C315" s="855">
        <f t="shared" ref="C315:H315" si="22">SUBTOTAL(9,C314:C314)</f>
        <v>681706</v>
      </c>
      <c r="D315" s="1135">
        <f t="shared" si="22"/>
        <v>716706</v>
      </c>
      <c r="E315" s="855">
        <f t="shared" si="22"/>
        <v>904851</v>
      </c>
      <c r="F315" s="855">
        <f t="shared" si="22"/>
        <v>927168</v>
      </c>
      <c r="G315" s="855">
        <f t="shared" si="22"/>
        <v>950432</v>
      </c>
      <c r="H315" s="855">
        <f t="shared" si="22"/>
        <v>940878</v>
      </c>
    </row>
    <row r="316" spans="1:8" x14ac:dyDescent="0.25">
      <c r="A316" s="849"/>
      <c r="B316" s="849"/>
      <c r="C316" s="855"/>
      <c r="D316" s="1135"/>
      <c r="E316" s="855"/>
      <c r="F316" s="855"/>
      <c r="G316" s="855"/>
      <c r="H316" s="855"/>
    </row>
    <row r="317" spans="1:8" x14ac:dyDescent="0.25">
      <c r="A317" s="874" t="s">
        <v>1220</v>
      </c>
      <c r="B317" s="849"/>
      <c r="C317" s="855"/>
      <c r="D317" s="1135"/>
      <c r="E317" s="855"/>
      <c r="F317" s="855"/>
      <c r="G317" s="855"/>
      <c r="H317" s="855"/>
    </row>
    <row r="318" spans="1:8" x14ac:dyDescent="0.25">
      <c r="A318" s="875"/>
      <c r="B318" s="875" t="s">
        <v>925</v>
      </c>
      <c r="C318" s="876">
        <v>683403</v>
      </c>
      <c r="D318" s="888">
        <v>683403</v>
      </c>
      <c r="E318" s="876">
        <v>697378</v>
      </c>
      <c r="F318" s="876">
        <v>711232</v>
      </c>
      <c r="G318" s="876">
        <v>725453</v>
      </c>
      <c r="H318" s="876">
        <v>739961</v>
      </c>
    </row>
    <row r="319" spans="1:8" x14ac:dyDescent="0.25">
      <c r="A319" s="849" t="s">
        <v>1221</v>
      </c>
      <c r="B319" s="849"/>
      <c r="C319" s="855">
        <f t="shared" ref="C319:H319" si="23">SUBTOTAL(9,C318:C318)</f>
        <v>683403</v>
      </c>
      <c r="D319" s="1135">
        <f t="shared" si="23"/>
        <v>683403</v>
      </c>
      <c r="E319" s="855">
        <f t="shared" si="23"/>
        <v>697378</v>
      </c>
      <c r="F319" s="855">
        <f t="shared" si="23"/>
        <v>711232</v>
      </c>
      <c r="G319" s="855">
        <f t="shared" si="23"/>
        <v>725453</v>
      </c>
      <c r="H319" s="855">
        <f t="shared" si="23"/>
        <v>739961</v>
      </c>
    </row>
    <row r="320" spans="1:8" x14ac:dyDescent="0.25">
      <c r="A320" s="849"/>
      <c r="B320" s="849"/>
      <c r="C320" s="855"/>
      <c r="D320" s="1135"/>
      <c r="E320" s="855"/>
      <c r="F320" s="855"/>
      <c r="G320" s="855"/>
      <c r="H320" s="855"/>
    </row>
    <row r="321" spans="1:8" x14ac:dyDescent="0.25">
      <c r="A321" s="849"/>
      <c r="B321" s="849"/>
      <c r="C321" s="855"/>
      <c r="D321" s="1135"/>
      <c r="E321" s="855"/>
      <c r="F321" s="855"/>
      <c r="G321" s="855"/>
      <c r="H321" s="855"/>
    </row>
    <row r="322" spans="1:8" x14ac:dyDescent="0.25">
      <c r="A322" s="872" t="s">
        <v>1191</v>
      </c>
    </row>
    <row r="324" spans="1:8" ht="26.4" x14ac:dyDescent="0.25">
      <c r="C324" s="850" t="s">
        <v>1168</v>
      </c>
      <c r="D324" s="1136" t="s">
        <v>1169</v>
      </c>
      <c r="E324" s="850" t="s">
        <v>1170</v>
      </c>
      <c r="F324" s="851" t="s">
        <v>1172</v>
      </c>
      <c r="G324" s="851" t="s">
        <v>1173</v>
      </c>
      <c r="H324" s="851" t="s">
        <v>1174</v>
      </c>
    </row>
    <row r="325" spans="1:8" x14ac:dyDescent="0.25">
      <c r="A325" s="849"/>
      <c r="B325" s="849"/>
      <c r="C325" s="855"/>
      <c r="D325" s="1135"/>
      <c r="E325" s="855"/>
      <c r="F325" s="855"/>
      <c r="G325" s="855"/>
      <c r="H325" s="855"/>
    </row>
    <row r="326" spans="1:8" x14ac:dyDescent="0.25">
      <c r="A326" s="874" t="s">
        <v>1222</v>
      </c>
      <c r="B326" s="849"/>
      <c r="C326" s="855"/>
      <c r="D326" s="1135"/>
      <c r="E326" s="855"/>
      <c r="F326" s="855"/>
      <c r="G326" s="855"/>
      <c r="H326" s="855"/>
    </row>
    <row r="327" spans="1:8" x14ac:dyDescent="0.25">
      <c r="A327" s="875"/>
      <c r="B327" s="875" t="s">
        <v>992</v>
      </c>
      <c r="C327" s="876">
        <v>-234000</v>
      </c>
      <c r="D327" s="888">
        <v>-192038</v>
      </c>
      <c r="E327" s="876">
        <v>-195000</v>
      </c>
      <c r="F327" s="876">
        <v>-198900</v>
      </c>
      <c r="G327" s="876">
        <v>-202878</v>
      </c>
      <c r="H327" s="876">
        <v>-206935</v>
      </c>
    </row>
    <row r="328" spans="1:8" x14ac:dyDescent="0.25">
      <c r="A328" s="875"/>
      <c r="B328" s="875" t="s">
        <v>925</v>
      </c>
      <c r="C328" s="876">
        <v>809643</v>
      </c>
      <c r="D328" s="888">
        <v>872961</v>
      </c>
      <c r="E328" s="876">
        <v>860976</v>
      </c>
      <c r="F328" s="876">
        <v>879134</v>
      </c>
      <c r="G328" s="876">
        <v>897885</v>
      </c>
      <c r="H328" s="876">
        <v>917043</v>
      </c>
    </row>
    <row r="329" spans="1:8" x14ac:dyDescent="0.25">
      <c r="A329" s="849" t="s">
        <v>1223</v>
      </c>
      <c r="B329" s="849"/>
      <c r="C329" s="855">
        <f t="shared" ref="C329:H329" si="24">SUBTOTAL(9,C327:C328)</f>
        <v>575643</v>
      </c>
      <c r="D329" s="1135">
        <f t="shared" si="24"/>
        <v>680923</v>
      </c>
      <c r="E329" s="855">
        <f t="shared" si="24"/>
        <v>665976</v>
      </c>
      <c r="F329" s="855">
        <f t="shared" si="24"/>
        <v>680234</v>
      </c>
      <c r="G329" s="855">
        <f t="shared" si="24"/>
        <v>695007</v>
      </c>
      <c r="H329" s="855">
        <f t="shared" si="24"/>
        <v>710108</v>
      </c>
    </row>
    <row r="330" spans="1:8" x14ac:dyDescent="0.25">
      <c r="A330" s="849"/>
      <c r="B330" s="849"/>
      <c r="C330" s="855"/>
      <c r="D330" s="1135"/>
      <c r="E330" s="855"/>
      <c r="F330" s="855"/>
      <c r="G330" s="855"/>
      <c r="H330" s="855"/>
    </row>
    <row r="331" spans="1:8" x14ac:dyDescent="0.25">
      <c r="A331" s="874" t="s">
        <v>1224</v>
      </c>
      <c r="B331" s="849"/>
      <c r="C331" s="855"/>
      <c r="D331" s="1135"/>
      <c r="E331" s="855"/>
      <c r="F331" s="855"/>
      <c r="G331" s="855"/>
      <c r="H331" s="855"/>
    </row>
    <row r="332" spans="1:8" x14ac:dyDescent="0.25">
      <c r="A332" s="875"/>
      <c r="B332" s="875" t="s">
        <v>992</v>
      </c>
      <c r="C332" s="876">
        <v>-532750</v>
      </c>
      <c r="D332" s="888">
        <v>-562873</v>
      </c>
      <c r="E332" s="876">
        <v>-545050</v>
      </c>
      <c r="F332" s="876">
        <v>-556201</v>
      </c>
      <c r="G332" s="876">
        <v>-567569</v>
      </c>
      <c r="H332" s="876">
        <v>-579192</v>
      </c>
    </row>
    <row r="333" spans="1:8" x14ac:dyDescent="0.25">
      <c r="A333" s="875"/>
      <c r="B333" s="875" t="s">
        <v>925</v>
      </c>
      <c r="C333" s="876">
        <v>710643</v>
      </c>
      <c r="D333" s="888">
        <v>764729</v>
      </c>
      <c r="E333" s="876">
        <v>860199</v>
      </c>
      <c r="F333" s="876">
        <v>882190</v>
      </c>
      <c r="G333" s="876">
        <v>904769</v>
      </c>
      <c r="H333" s="876">
        <v>927958</v>
      </c>
    </row>
    <row r="334" spans="1:8" x14ac:dyDescent="0.25">
      <c r="A334" s="849" t="s">
        <v>1225</v>
      </c>
      <c r="B334" s="849"/>
      <c r="C334" s="855">
        <f t="shared" ref="C334:H334" si="25">SUBTOTAL(9,C332:C333)</f>
        <v>177893</v>
      </c>
      <c r="D334" s="1135">
        <f t="shared" si="25"/>
        <v>201856</v>
      </c>
      <c r="E334" s="855">
        <f t="shared" si="25"/>
        <v>315149</v>
      </c>
      <c r="F334" s="855">
        <f t="shared" si="25"/>
        <v>325989</v>
      </c>
      <c r="G334" s="855">
        <f t="shared" si="25"/>
        <v>337200</v>
      </c>
      <c r="H334" s="855">
        <f t="shared" si="25"/>
        <v>348766</v>
      </c>
    </row>
    <row r="335" spans="1:8" x14ac:dyDescent="0.25">
      <c r="A335" s="849"/>
      <c r="B335" s="849"/>
      <c r="C335" s="855"/>
      <c r="D335" s="1135"/>
      <c r="E335" s="855"/>
      <c r="F335" s="855"/>
      <c r="G335" s="855"/>
      <c r="H335" s="855"/>
    </row>
    <row r="336" spans="1:8" x14ac:dyDescent="0.25">
      <c r="A336" s="874" t="s">
        <v>1226</v>
      </c>
      <c r="B336" s="849"/>
      <c r="C336" s="855"/>
      <c r="D336" s="1135"/>
      <c r="E336" s="855"/>
      <c r="F336" s="855"/>
      <c r="G336" s="855"/>
      <c r="H336" s="855"/>
    </row>
    <row r="337" spans="1:8" x14ac:dyDescent="0.25">
      <c r="A337" s="875"/>
      <c r="B337" s="875" t="s">
        <v>992</v>
      </c>
      <c r="C337" s="876">
        <v>-135200</v>
      </c>
      <c r="D337" s="888">
        <v>-135200</v>
      </c>
      <c r="E337" s="876">
        <v>-94000</v>
      </c>
      <c r="F337" s="876">
        <v>-95880</v>
      </c>
      <c r="G337" s="876">
        <v>-97795</v>
      </c>
      <c r="H337" s="876">
        <v>-99750</v>
      </c>
    </row>
    <row r="338" spans="1:8" x14ac:dyDescent="0.25">
      <c r="A338" s="875"/>
      <c r="B338" s="875" t="s">
        <v>925</v>
      </c>
      <c r="C338" s="876">
        <v>264956</v>
      </c>
      <c r="D338" s="888">
        <v>258862</v>
      </c>
      <c r="E338" s="876">
        <v>256360</v>
      </c>
      <c r="F338" s="876">
        <v>263519</v>
      </c>
      <c r="G338" s="876">
        <v>270880</v>
      </c>
      <c r="H338" s="876">
        <v>278449</v>
      </c>
    </row>
    <row r="339" spans="1:8" x14ac:dyDescent="0.25">
      <c r="A339" s="849" t="s">
        <v>1227</v>
      </c>
      <c r="B339" s="849"/>
      <c r="C339" s="855">
        <f t="shared" ref="C339:H339" si="26">SUBTOTAL(9,C337:C338)</f>
        <v>129756</v>
      </c>
      <c r="D339" s="1135">
        <f t="shared" si="26"/>
        <v>123662</v>
      </c>
      <c r="E339" s="855">
        <f t="shared" si="26"/>
        <v>162360</v>
      </c>
      <c r="F339" s="855">
        <f t="shared" si="26"/>
        <v>167639</v>
      </c>
      <c r="G339" s="855">
        <f t="shared" si="26"/>
        <v>173085</v>
      </c>
      <c r="H339" s="855">
        <f t="shared" si="26"/>
        <v>178699</v>
      </c>
    </row>
    <row r="340" spans="1:8" x14ac:dyDescent="0.25">
      <c r="A340" s="849"/>
      <c r="B340" s="849"/>
      <c r="C340" s="855"/>
      <c r="D340" s="1135"/>
      <c r="E340" s="855"/>
      <c r="F340" s="855"/>
      <c r="G340" s="855"/>
      <c r="H340" s="855"/>
    </row>
    <row r="341" spans="1:8" x14ac:dyDescent="0.25">
      <c r="A341" s="874" t="s">
        <v>1228</v>
      </c>
      <c r="B341" s="849"/>
      <c r="C341" s="855"/>
      <c r="D341" s="1135"/>
      <c r="E341" s="855"/>
      <c r="F341" s="855"/>
      <c r="G341" s="855"/>
      <c r="H341" s="855"/>
    </row>
    <row r="342" spans="1:8" x14ac:dyDescent="0.25">
      <c r="A342" s="875"/>
      <c r="B342" s="875" t="s">
        <v>992</v>
      </c>
      <c r="C342" s="876">
        <v>-15000</v>
      </c>
      <c r="D342" s="888">
        <v>-15000</v>
      </c>
      <c r="E342" s="876">
        <v>-33500</v>
      </c>
      <c r="F342" s="876">
        <v>-34170</v>
      </c>
      <c r="G342" s="876">
        <v>-34853</v>
      </c>
      <c r="H342" s="876">
        <v>-35550</v>
      </c>
    </row>
    <row r="343" spans="1:8" x14ac:dyDescent="0.25">
      <c r="A343" s="875"/>
      <c r="B343" s="875" t="s">
        <v>925</v>
      </c>
      <c r="C343" s="876">
        <v>680698</v>
      </c>
      <c r="D343" s="888">
        <v>856254</v>
      </c>
      <c r="E343" s="876">
        <v>596948</v>
      </c>
      <c r="F343" s="876">
        <v>610025</v>
      </c>
      <c r="G343" s="876">
        <v>623387</v>
      </c>
      <c r="H343" s="876">
        <v>637043</v>
      </c>
    </row>
    <row r="344" spans="1:8" x14ac:dyDescent="0.25">
      <c r="A344" s="849" t="s">
        <v>1229</v>
      </c>
      <c r="B344" s="849"/>
      <c r="C344" s="855">
        <f t="shared" ref="C344:H344" si="27">SUBTOTAL(9,C342:C343)</f>
        <v>665698</v>
      </c>
      <c r="D344" s="1135">
        <f t="shared" si="27"/>
        <v>841254</v>
      </c>
      <c r="E344" s="855">
        <f t="shared" si="27"/>
        <v>563448</v>
      </c>
      <c r="F344" s="855">
        <f t="shared" si="27"/>
        <v>575855</v>
      </c>
      <c r="G344" s="855">
        <f t="shared" si="27"/>
        <v>588534</v>
      </c>
      <c r="H344" s="855">
        <f t="shared" si="27"/>
        <v>601493</v>
      </c>
    </row>
    <row r="345" spans="1:8" x14ac:dyDescent="0.25">
      <c r="A345" s="849"/>
      <c r="B345" s="849"/>
      <c r="C345" s="855"/>
      <c r="D345" s="1135"/>
      <c r="E345" s="855"/>
      <c r="F345" s="855"/>
      <c r="G345" s="855"/>
      <c r="H345" s="855"/>
    </row>
    <row r="346" spans="1:8" x14ac:dyDescent="0.25">
      <c r="A346" s="874" t="s">
        <v>1230</v>
      </c>
      <c r="B346" s="849"/>
      <c r="C346" s="855"/>
      <c r="D346" s="1135"/>
      <c r="E346" s="855"/>
      <c r="F346" s="855"/>
      <c r="G346" s="855"/>
      <c r="H346" s="855"/>
    </row>
    <row r="347" spans="1:8" x14ac:dyDescent="0.25">
      <c r="A347" s="875"/>
      <c r="B347" s="875" t="s">
        <v>992</v>
      </c>
      <c r="C347" s="876">
        <v>-40000</v>
      </c>
      <c r="D347" s="888">
        <v>-40000</v>
      </c>
      <c r="E347" s="876">
        <v>0</v>
      </c>
      <c r="F347" s="876">
        <v>0</v>
      </c>
      <c r="G347" s="876">
        <v>0</v>
      </c>
      <c r="H347" s="876">
        <v>0</v>
      </c>
    </row>
    <row r="348" spans="1:8" x14ac:dyDescent="0.25">
      <c r="A348" s="875"/>
      <c r="B348" s="875" t="s">
        <v>925</v>
      </c>
      <c r="C348" s="876">
        <v>936555</v>
      </c>
      <c r="D348" s="888">
        <v>931555</v>
      </c>
      <c r="E348" s="876">
        <v>835541</v>
      </c>
      <c r="F348" s="876">
        <v>856301</v>
      </c>
      <c r="G348" s="876">
        <v>877695</v>
      </c>
      <c r="H348" s="876">
        <v>899580</v>
      </c>
    </row>
    <row r="349" spans="1:8" x14ac:dyDescent="0.25">
      <c r="A349" s="849" t="s">
        <v>1231</v>
      </c>
      <c r="B349" s="849"/>
      <c r="C349" s="855">
        <f t="shared" ref="C349:H349" si="28">SUBTOTAL(9,C347:C348)</f>
        <v>896555</v>
      </c>
      <c r="D349" s="1135">
        <f t="shared" si="28"/>
        <v>891555</v>
      </c>
      <c r="E349" s="855">
        <f t="shared" si="28"/>
        <v>835541</v>
      </c>
      <c r="F349" s="855">
        <f t="shared" si="28"/>
        <v>856301</v>
      </c>
      <c r="G349" s="855">
        <f t="shared" si="28"/>
        <v>877695</v>
      </c>
      <c r="H349" s="855">
        <f t="shared" si="28"/>
        <v>899580</v>
      </c>
    </row>
    <row r="350" spans="1:8" x14ac:dyDescent="0.25">
      <c r="A350" s="849"/>
      <c r="B350" s="849"/>
      <c r="C350" s="855"/>
      <c r="D350" s="1135"/>
      <c r="E350" s="855"/>
      <c r="F350" s="855"/>
      <c r="G350" s="855"/>
      <c r="H350" s="855"/>
    </row>
    <row r="351" spans="1:8" x14ac:dyDescent="0.25">
      <c r="A351" s="874" t="s">
        <v>1232</v>
      </c>
      <c r="B351" s="849"/>
      <c r="C351" s="855"/>
      <c r="D351" s="1135"/>
      <c r="E351" s="855"/>
      <c r="F351" s="855"/>
      <c r="G351" s="855"/>
      <c r="H351" s="855"/>
    </row>
    <row r="352" spans="1:8" x14ac:dyDescent="0.25">
      <c r="A352" s="875"/>
      <c r="B352" s="875" t="s">
        <v>992</v>
      </c>
      <c r="C352" s="876">
        <v>-700</v>
      </c>
      <c r="D352" s="888">
        <v>-700</v>
      </c>
      <c r="E352" s="876"/>
      <c r="F352" s="876"/>
      <c r="G352" s="876"/>
      <c r="H352" s="876"/>
    </row>
    <row r="353" spans="1:8" x14ac:dyDescent="0.25">
      <c r="A353" s="875"/>
      <c r="B353" s="875" t="s">
        <v>925</v>
      </c>
      <c r="C353" s="876">
        <v>1039102</v>
      </c>
      <c r="D353" s="888">
        <v>1058102</v>
      </c>
      <c r="E353" s="876">
        <v>1065256</v>
      </c>
      <c r="F353" s="876">
        <v>1093332</v>
      </c>
      <c r="G353" s="876">
        <v>1121982</v>
      </c>
      <c r="H353" s="876">
        <v>1151410</v>
      </c>
    </row>
    <row r="354" spans="1:8" x14ac:dyDescent="0.25">
      <c r="A354" s="849" t="s">
        <v>1233</v>
      </c>
      <c r="B354" s="849"/>
      <c r="C354" s="855">
        <f t="shared" ref="C354:H354" si="29">SUBTOTAL(9,C352:C353)</f>
        <v>1038402</v>
      </c>
      <c r="D354" s="1135">
        <f t="shared" si="29"/>
        <v>1057402</v>
      </c>
      <c r="E354" s="855">
        <f t="shared" si="29"/>
        <v>1065256</v>
      </c>
      <c r="F354" s="855">
        <f t="shared" si="29"/>
        <v>1093332</v>
      </c>
      <c r="G354" s="855">
        <f t="shared" si="29"/>
        <v>1121982</v>
      </c>
      <c r="H354" s="855">
        <f t="shared" si="29"/>
        <v>1151410</v>
      </c>
    </row>
    <row r="355" spans="1:8" x14ac:dyDescent="0.25">
      <c r="A355" s="849"/>
      <c r="B355" s="849"/>
      <c r="C355" s="855"/>
      <c r="D355" s="1135"/>
      <c r="E355" s="855"/>
      <c r="F355" s="855"/>
      <c r="G355" s="855"/>
      <c r="H355" s="855"/>
    </row>
    <row r="356" spans="1:8" x14ac:dyDescent="0.25">
      <c r="A356" s="874" t="s">
        <v>1234</v>
      </c>
      <c r="B356" s="849"/>
      <c r="C356" s="855"/>
      <c r="D356" s="1135"/>
      <c r="E356" s="855"/>
      <c r="F356" s="855"/>
      <c r="G356" s="855"/>
      <c r="H356" s="855"/>
    </row>
    <row r="357" spans="1:8" x14ac:dyDescent="0.25">
      <c r="A357" s="875"/>
      <c r="B357" s="875" t="s">
        <v>992</v>
      </c>
      <c r="C357" s="876">
        <v>-643546</v>
      </c>
      <c r="D357" s="888">
        <v>-669637</v>
      </c>
      <c r="E357" s="876">
        <v>-491509</v>
      </c>
      <c r="F357" s="876">
        <v>-502530</v>
      </c>
      <c r="G357" s="876">
        <v>-513801</v>
      </c>
      <c r="H357" s="876">
        <v>-525328</v>
      </c>
    </row>
    <row r="358" spans="1:8" x14ac:dyDescent="0.25">
      <c r="A358" s="875"/>
      <c r="B358" s="875" t="s">
        <v>925</v>
      </c>
      <c r="C358" s="876">
        <v>713346</v>
      </c>
      <c r="D358" s="888">
        <v>843971</v>
      </c>
      <c r="E358" s="876">
        <v>844233</v>
      </c>
      <c r="F358" s="876">
        <v>865451</v>
      </c>
      <c r="G358" s="876">
        <v>887625</v>
      </c>
      <c r="H358" s="876">
        <v>910136</v>
      </c>
    </row>
    <row r="359" spans="1:8" x14ac:dyDescent="0.25">
      <c r="A359" s="849" t="s">
        <v>1235</v>
      </c>
      <c r="B359" s="849"/>
      <c r="C359" s="855">
        <f t="shared" ref="C359:H359" si="30">SUBTOTAL(9,C357:C358)</f>
        <v>69800</v>
      </c>
      <c r="D359" s="1135">
        <f t="shared" si="30"/>
        <v>174334</v>
      </c>
      <c r="E359" s="855">
        <f t="shared" si="30"/>
        <v>352724</v>
      </c>
      <c r="F359" s="855">
        <f t="shared" si="30"/>
        <v>362921</v>
      </c>
      <c r="G359" s="855">
        <f t="shared" si="30"/>
        <v>373824</v>
      </c>
      <c r="H359" s="855">
        <f t="shared" si="30"/>
        <v>384808</v>
      </c>
    </row>
    <row r="360" spans="1:8" x14ac:dyDescent="0.25">
      <c r="A360" s="849"/>
      <c r="B360" s="849"/>
      <c r="C360" s="855"/>
      <c r="D360" s="1135"/>
      <c r="E360" s="855"/>
      <c r="F360" s="855"/>
      <c r="G360" s="855"/>
      <c r="H360" s="855"/>
    </row>
    <row r="361" spans="1:8" x14ac:dyDescent="0.25">
      <c r="A361" s="872" t="s">
        <v>1191</v>
      </c>
    </row>
    <row r="363" spans="1:8" ht="26.4" x14ac:dyDescent="0.25">
      <c r="C363" s="850" t="s">
        <v>1168</v>
      </c>
      <c r="D363" s="1136" t="s">
        <v>1169</v>
      </c>
      <c r="E363" s="850" t="s">
        <v>1170</v>
      </c>
      <c r="F363" s="851" t="s">
        <v>1172</v>
      </c>
      <c r="G363" s="851" t="s">
        <v>1173</v>
      </c>
      <c r="H363" s="851" t="s">
        <v>1174</v>
      </c>
    </row>
    <row r="364" spans="1:8" x14ac:dyDescent="0.25">
      <c r="A364" s="849"/>
      <c r="B364" s="849"/>
      <c r="C364" s="855"/>
      <c r="D364" s="1135"/>
      <c r="E364" s="855"/>
      <c r="F364" s="855"/>
      <c r="G364" s="855"/>
      <c r="H364" s="855"/>
    </row>
    <row r="365" spans="1:8" x14ac:dyDescent="0.25">
      <c r="A365" s="874" t="s">
        <v>1236</v>
      </c>
      <c r="B365" s="849"/>
      <c r="C365" s="855"/>
      <c r="D365" s="1135"/>
      <c r="E365" s="855"/>
      <c r="F365" s="855"/>
      <c r="G365" s="855"/>
      <c r="H365" s="855"/>
    </row>
    <row r="366" spans="1:8" x14ac:dyDescent="0.25">
      <c r="A366" s="875"/>
      <c r="B366" s="875" t="s">
        <v>992</v>
      </c>
      <c r="C366" s="876">
        <v>-558995</v>
      </c>
      <c r="D366" s="888">
        <v>-558995</v>
      </c>
      <c r="E366" s="876">
        <v>-574641</v>
      </c>
      <c r="F366" s="876">
        <v>-527685</v>
      </c>
      <c r="G366" s="876">
        <v>-540641</v>
      </c>
      <c r="H366" s="876">
        <v>-554209</v>
      </c>
    </row>
    <row r="367" spans="1:8" x14ac:dyDescent="0.25">
      <c r="A367" s="875"/>
      <c r="B367" s="875" t="s">
        <v>925</v>
      </c>
      <c r="C367" s="876">
        <v>523985</v>
      </c>
      <c r="D367" s="888">
        <v>523985</v>
      </c>
      <c r="E367" s="876">
        <v>825204</v>
      </c>
      <c r="F367" s="876">
        <v>838197</v>
      </c>
      <c r="G367" s="876">
        <v>851737</v>
      </c>
      <c r="H367" s="876">
        <v>869258</v>
      </c>
    </row>
    <row r="368" spans="1:8" x14ac:dyDescent="0.25">
      <c r="A368" s="849" t="s">
        <v>1237</v>
      </c>
      <c r="B368" s="849"/>
      <c r="C368" s="855">
        <f t="shared" ref="C368:H368" si="31">SUBTOTAL(9,C366:C367)</f>
        <v>-35010</v>
      </c>
      <c r="D368" s="1135">
        <f t="shared" si="31"/>
        <v>-35010</v>
      </c>
      <c r="E368" s="855">
        <f t="shared" si="31"/>
        <v>250563</v>
      </c>
      <c r="F368" s="855">
        <f t="shared" si="31"/>
        <v>310512</v>
      </c>
      <c r="G368" s="855">
        <f t="shared" si="31"/>
        <v>311096</v>
      </c>
      <c r="H368" s="855">
        <f t="shared" si="31"/>
        <v>315049</v>
      </c>
    </row>
    <row r="369" spans="1:8" x14ac:dyDescent="0.25">
      <c r="A369" s="849"/>
      <c r="B369" s="849"/>
      <c r="C369" s="855"/>
      <c r="D369" s="1135"/>
      <c r="E369" s="855"/>
      <c r="F369" s="855"/>
      <c r="G369" s="855"/>
      <c r="H369" s="855"/>
    </row>
    <row r="370" spans="1:8" x14ac:dyDescent="0.25">
      <c r="A370" s="874" t="s">
        <v>1238</v>
      </c>
      <c r="B370" s="849"/>
      <c r="C370" s="855"/>
      <c r="D370" s="1135"/>
      <c r="E370" s="855"/>
      <c r="F370" s="855"/>
      <c r="G370" s="855"/>
      <c r="H370" s="855"/>
    </row>
    <row r="371" spans="1:8" x14ac:dyDescent="0.25">
      <c r="A371" s="875"/>
      <c r="B371" s="875" t="s">
        <v>992</v>
      </c>
      <c r="C371" s="876">
        <v>-2493308</v>
      </c>
      <c r="D371" s="888">
        <v>-2503308</v>
      </c>
      <c r="E371" s="876">
        <v>-2628659</v>
      </c>
      <c r="F371" s="876">
        <v>-2569858</v>
      </c>
      <c r="G371" s="876">
        <v>-2634092</v>
      </c>
      <c r="H371" s="876">
        <v>-2699944</v>
      </c>
    </row>
    <row r="372" spans="1:8" x14ac:dyDescent="0.25">
      <c r="A372" s="875"/>
      <c r="B372" s="875" t="s">
        <v>925</v>
      </c>
      <c r="C372" s="876">
        <v>2400443</v>
      </c>
      <c r="D372" s="888">
        <v>2410443</v>
      </c>
      <c r="E372" s="876">
        <v>2477317</v>
      </c>
      <c r="F372" s="876">
        <v>2481126</v>
      </c>
      <c r="G372" s="876">
        <v>2543472</v>
      </c>
      <c r="H372" s="876">
        <v>2606081</v>
      </c>
    </row>
    <row r="373" spans="1:8" x14ac:dyDescent="0.25">
      <c r="A373" s="849" t="s">
        <v>1239</v>
      </c>
      <c r="B373" s="849"/>
      <c r="C373" s="855">
        <f t="shared" ref="C373:H373" si="32">SUBTOTAL(9,C371:C372)</f>
        <v>-92865</v>
      </c>
      <c r="D373" s="1135">
        <f t="shared" si="32"/>
        <v>-92865</v>
      </c>
      <c r="E373" s="855">
        <f t="shared" si="32"/>
        <v>-151342</v>
      </c>
      <c r="F373" s="855">
        <f t="shared" si="32"/>
        <v>-88732</v>
      </c>
      <c r="G373" s="855">
        <f t="shared" si="32"/>
        <v>-90620</v>
      </c>
      <c r="H373" s="855">
        <f t="shared" si="32"/>
        <v>-93863</v>
      </c>
    </row>
    <row r="374" spans="1:8" x14ac:dyDescent="0.25">
      <c r="F374" s="853"/>
    </row>
    <row r="375" spans="1:8" x14ac:dyDescent="0.25">
      <c r="A375" s="872" t="s">
        <v>1250</v>
      </c>
      <c r="F375" s="853"/>
    </row>
    <row r="376" spans="1:8" x14ac:dyDescent="0.25">
      <c r="F376" s="853"/>
    </row>
    <row r="377" spans="1:8" x14ac:dyDescent="0.25">
      <c r="A377" s="874" t="s">
        <v>1241</v>
      </c>
      <c r="B377" s="849"/>
      <c r="C377" s="855"/>
      <c r="D377" s="1135"/>
      <c r="E377" s="855"/>
      <c r="F377" s="855"/>
      <c r="G377" s="855"/>
      <c r="H377" s="855"/>
    </row>
    <row r="378" spans="1:8" x14ac:dyDescent="0.25">
      <c r="A378" s="875"/>
      <c r="B378" s="875" t="s">
        <v>992</v>
      </c>
      <c r="C378" s="876">
        <v>-6205650</v>
      </c>
      <c r="D378" s="888">
        <v>-6205650</v>
      </c>
      <c r="E378" s="876">
        <v>-6260875</v>
      </c>
      <c r="F378" s="876">
        <v>-6388657</v>
      </c>
      <c r="G378" s="876">
        <v>-6606468</v>
      </c>
      <c r="H378" s="876">
        <v>-6833907</v>
      </c>
    </row>
    <row r="379" spans="1:8" x14ac:dyDescent="0.25">
      <c r="A379" s="875"/>
      <c r="B379" s="875" t="s">
        <v>925</v>
      </c>
      <c r="C379" s="876">
        <v>6001648</v>
      </c>
      <c r="D379" s="888">
        <v>6001648</v>
      </c>
      <c r="E379" s="876">
        <v>5938990</v>
      </c>
      <c r="F379" s="876">
        <v>6079130</v>
      </c>
      <c r="G379" s="876">
        <v>6230613</v>
      </c>
      <c r="H379" s="876">
        <v>6385239</v>
      </c>
    </row>
    <row r="380" spans="1:8" x14ac:dyDescent="0.25">
      <c r="A380" s="849" t="s">
        <v>1242</v>
      </c>
      <c r="B380" s="849"/>
      <c r="C380" s="855">
        <f t="shared" ref="C380:H380" si="33">SUBTOTAL(9,C378:C379)</f>
        <v>-204002</v>
      </c>
      <c r="D380" s="1135">
        <f t="shared" si="33"/>
        <v>-204002</v>
      </c>
      <c r="E380" s="855">
        <f t="shared" si="33"/>
        <v>-321885</v>
      </c>
      <c r="F380" s="855">
        <f t="shared" si="33"/>
        <v>-309527</v>
      </c>
      <c r="G380" s="855">
        <f t="shared" si="33"/>
        <v>-375855</v>
      </c>
      <c r="H380" s="855">
        <f t="shared" si="33"/>
        <v>-448668</v>
      </c>
    </row>
    <row r="381" spans="1:8" x14ac:dyDescent="0.25">
      <c r="A381" s="849"/>
      <c r="B381" s="849"/>
      <c r="C381" s="855"/>
      <c r="D381" s="1135"/>
      <c r="E381" s="855"/>
      <c r="F381" s="855"/>
      <c r="G381" s="855"/>
      <c r="H381" s="855"/>
    </row>
    <row r="382" spans="1:8" x14ac:dyDescent="0.25">
      <c r="A382" s="874" t="s">
        <v>1243</v>
      </c>
      <c r="B382" s="849"/>
      <c r="C382" s="855"/>
      <c r="D382" s="1135"/>
      <c r="E382" s="855"/>
      <c r="F382" s="855"/>
      <c r="G382" s="855"/>
      <c r="H382" s="855"/>
    </row>
    <row r="383" spans="1:8" x14ac:dyDescent="0.25">
      <c r="A383" s="875"/>
      <c r="B383" s="875" t="s">
        <v>992</v>
      </c>
      <c r="C383" s="876">
        <v>-4816700</v>
      </c>
      <c r="D383" s="888">
        <v>-4816700</v>
      </c>
      <c r="E383" s="876">
        <v>-4670500</v>
      </c>
      <c r="F383" s="876">
        <v>-4831170</v>
      </c>
      <c r="G383" s="876">
        <v>-4875548</v>
      </c>
      <c r="H383" s="876">
        <v>-4961956</v>
      </c>
    </row>
    <row r="384" spans="1:8" x14ac:dyDescent="0.25">
      <c r="A384" s="875"/>
      <c r="B384" s="875" t="s">
        <v>925</v>
      </c>
      <c r="C384" s="876">
        <v>4076658</v>
      </c>
      <c r="D384" s="888">
        <v>4076658</v>
      </c>
      <c r="E384" s="876">
        <v>4512256</v>
      </c>
      <c r="F384" s="876">
        <v>5010986</v>
      </c>
      <c r="G384" s="876">
        <v>5113982</v>
      </c>
      <c r="H384" s="876">
        <v>5218022</v>
      </c>
    </row>
    <row r="385" spans="1:8" x14ac:dyDescent="0.25">
      <c r="A385" s="849" t="s">
        <v>1244</v>
      </c>
      <c r="B385" s="849"/>
      <c r="C385" s="855">
        <f t="shared" ref="C385:H385" si="34">SUBTOTAL(9,C383:C384)</f>
        <v>-740042</v>
      </c>
      <c r="D385" s="1135">
        <f t="shared" si="34"/>
        <v>-740042</v>
      </c>
      <c r="E385" s="855">
        <f t="shared" si="34"/>
        <v>-158244</v>
      </c>
      <c r="F385" s="855">
        <f t="shared" si="34"/>
        <v>179816</v>
      </c>
      <c r="G385" s="855">
        <f t="shared" si="34"/>
        <v>238434</v>
      </c>
      <c r="H385" s="855">
        <f t="shared" si="34"/>
        <v>256066</v>
      </c>
    </row>
    <row r="386" spans="1:8" x14ac:dyDescent="0.25">
      <c r="A386" s="849"/>
      <c r="B386" s="849"/>
      <c r="C386" s="855"/>
      <c r="D386" s="1135"/>
      <c r="E386" s="855"/>
      <c r="F386" s="855"/>
      <c r="G386" s="855"/>
      <c r="H386" s="855"/>
    </row>
  </sheetData>
  <mergeCells count="5">
    <mergeCell ref="A1:H1"/>
    <mergeCell ref="A119:H120"/>
    <mergeCell ref="A89:H89"/>
    <mergeCell ref="A62:H62"/>
    <mergeCell ref="A32:H32"/>
  </mergeCells>
  <pageMargins left="0.74803149606299213" right="0.74803149606299213" top="0.98425196850393704" bottom="0.98425196850393704" header="0.51181102362204722" footer="0.51181102362204722"/>
  <pageSetup paperSize="9" scale="89" fitToHeight="0" orientation="landscape" r:id="rId1"/>
  <headerFooter alignWithMargins="0"/>
  <rowBreaks count="6" manualBreakCount="6">
    <brk id="30" max="16383" man="1"/>
    <brk id="60" max="16383" man="1"/>
    <brk id="87" max="16383" man="1"/>
    <brk id="118" max="16383" man="1"/>
    <brk id="235" max="16383" man="1"/>
    <brk id="360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447"/>
  <sheetViews>
    <sheetView showOutlineSymbols="0" topLeftCell="A214" zoomScaleNormal="100" workbookViewId="0">
      <selection activeCell="F253" sqref="F253"/>
    </sheetView>
  </sheetViews>
  <sheetFormatPr defaultRowHeight="13.2" outlineLevelRow="2" outlineLevelCol="2" x14ac:dyDescent="0.25"/>
  <cols>
    <col min="1" max="1" width="21" style="1226" customWidth="1"/>
    <col min="2" max="2" width="16.88671875" style="1226" customWidth="1"/>
    <col min="3" max="5" width="16.6640625" style="1226" customWidth="1"/>
    <col min="6" max="6" width="16.33203125" style="1226" customWidth="1"/>
    <col min="7" max="7" width="17.44140625" style="1226" bestFit="1" customWidth="1"/>
    <col min="8" max="8" width="16.6640625" style="1226" bestFit="1" customWidth="1"/>
    <col min="9" max="9" width="9.109375" style="1226"/>
    <col min="10" max="10" width="9.109375" style="1226" outlineLevel="2"/>
    <col min="11" max="255" width="9.109375" style="1226"/>
    <col min="256" max="256" width="21" style="1226" customWidth="1"/>
    <col min="257" max="257" width="29.44140625" style="1226" customWidth="1"/>
    <col min="258" max="260" width="16.6640625" style="1226" customWidth="1"/>
    <col min="261" max="261" width="0" style="1226" hidden="1" customWidth="1"/>
    <col min="262" max="262" width="16.33203125" style="1226" customWidth="1"/>
    <col min="263" max="263" width="17.44140625" style="1226" bestFit="1" customWidth="1"/>
    <col min="264" max="264" width="16.6640625" style="1226" bestFit="1" customWidth="1"/>
    <col min="265" max="511" width="9.109375" style="1226"/>
    <col min="512" max="512" width="21" style="1226" customWidth="1"/>
    <col min="513" max="513" width="29.44140625" style="1226" customWidth="1"/>
    <col min="514" max="516" width="16.6640625" style="1226" customWidth="1"/>
    <col min="517" max="517" width="0" style="1226" hidden="1" customWidth="1"/>
    <col min="518" max="518" width="16.33203125" style="1226" customWidth="1"/>
    <col min="519" max="519" width="17.44140625" style="1226" bestFit="1" customWidth="1"/>
    <col min="520" max="520" width="16.6640625" style="1226" bestFit="1" customWidth="1"/>
    <col min="521" max="767" width="9.109375" style="1226"/>
    <col min="768" max="768" width="21" style="1226" customWidth="1"/>
    <col min="769" max="769" width="29.44140625" style="1226" customWidth="1"/>
    <col min="770" max="772" width="16.6640625" style="1226" customWidth="1"/>
    <col min="773" max="773" width="0" style="1226" hidden="1" customWidth="1"/>
    <col min="774" max="774" width="16.33203125" style="1226" customWidth="1"/>
    <col min="775" max="775" width="17.44140625" style="1226" bestFit="1" customWidth="1"/>
    <col min="776" max="776" width="16.6640625" style="1226" bestFit="1" customWidth="1"/>
    <col min="777" max="1023" width="9.109375" style="1226"/>
    <col min="1024" max="1024" width="21" style="1226" customWidth="1"/>
    <col min="1025" max="1025" width="29.44140625" style="1226" customWidth="1"/>
    <col min="1026" max="1028" width="16.6640625" style="1226" customWidth="1"/>
    <col min="1029" max="1029" width="0" style="1226" hidden="1" customWidth="1"/>
    <col min="1030" max="1030" width="16.33203125" style="1226" customWidth="1"/>
    <col min="1031" max="1031" width="17.44140625" style="1226" bestFit="1" customWidth="1"/>
    <col min="1032" max="1032" width="16.6640625" style="1226" bestFit="1" customWidth="1"/>
    <col min="1033" max="1279" width="9.109375" style="1226"/>
    <col min="1280" max="1280" width="21" style="1226" customWidth="1"/>
    <col min="1281" max="1281" width="29.44140625" style="1226" customWidth="1"/>
    <col min="1282" max="1284" width="16.6640625" style="1226" customWidth="1"/>
    <col min="1285" max="1285" width="0" style="1226" hidden="1" customWidth="1"/>
    <col min="1286" max="1286" width="16.33203125" style="1226" customWidth="1"/>
    <col min="1287" max="1287" width="17.44140625" style="1226" bestFit="1" customWidth="1"/>
    <col min="1288" max="1288" width="16.6640625" style="1226" bestFit="1" customWidth="1"/>
    <col min="1289" max="1535" width="9.109375" style="1226"/>
    <col min="1536" max="1536" width="21" style="1226" customWidth="1"/>
    <col min="1537" max="1537" width="29.44140625" style="1226" customWidth="1"/>
    <col min="1538" max="1540" width="16.6640625" style="1226" customWidth="1"/>
    <col min="1541" max="1541" width="0" style="1226" hidden="1" customWidth="1"/>
    <col min="1542" max="1542" width="16.33203125" style="1226" customWidth="1"/>
    <col min="1543" max="1543" width="17.44140625" style="1226" bestFit="1" customWidth="1"/>
    <col min="1544" max="1544" width="16.6640625" style="1226" bestFit="1" customWidth="1"/>
    <col min="1545" max="1791" width="9.109375" style="1226"/>
    <col min="1792" max="1792" width="21" style="1226" customWidth="1"/>
    <col min="1793" max="1793" width="29.44140625" style="1226" customWidth="1"/>
    <col min="1794" max="1796" width="16.6640625" style="1226" customWidth="1"/>
    <col min="1797" max="1797" width="0" style="1226" hidden="1" customWidth="1"/>
    <col min="1798" max="1798" width="16.33203125" style="1226" customWidth="1"/>
    <col min="1799" max="1799" width="17.44140625" style="1226" bestFit="1" customWidth="1"/>
    <col min="1800" max="1800" width="16.6640625" style="1226" bestFit="1" customWidth="1"/>
    <col min="1801" max="2047" width="9.109375" style="1226"/>
    <col min="2048" max="2048" width="21" style="1226" customWidth="1"/>
    <col min="2049" max="2049" width="29.44140625" style="1226" customWidth="1"/>
    <col min="2050" max="2052" width="16.6640625" style="1226" customWidth="1"/>
    <col min="2053" max="2053" width="0" style="1226" hidden="1" customWidth="1"/>
    <col min="2054" max="2054" width="16.33203125" style="1226" customWidth="1"/>
    <col min="2055" max="2055" width="17.44140625" style="1226" bestFit="1" customWidth="1"/>
    <col min="2056" max="2056" width="16.6640625" style="1226" bestFit="1" customWidth="1"/>
    <col min="2057" max="2303" width="9.109375" style="1226"/>
    <col min="2304" max="2304" width="21" style="1226" customWidth="1"/>
    <col min="2305" max="2305" width="29.44140625" style="1226" customWidth="1"/>
    <col min="2306" max="2308" width="16.6640625" style="1226" customWidth="1"/>
    <col min="2309" max="2309" width="0" style="1226" hidden="1" customWidth="1"/>
    <col min="2310" max="2310" width="16.33203125" style="1226" customWidth="1"/>
    <col min="2311" max="2311" width="17.44140625" style="1226" bestFit="1" customWidth="1"/>
    <col min="2312" max="2312" width="16.6640625" style="1226" bestFit="1" customWidth="1"/>
    <col min="2313" max="2559" width="9.109375" style="1226"/>
    <col min="2560" max="2560" width="21" style="1226" customWidth="1"/>
    <col min="2561" max="2561" width="29.44140625" style="1226" customWidth="1"/>
    <col min="2562" max="2564" width="16.6640625" style="1226" customWidth="1"/>
    <col min="2565" max="2565" width="0" style="1226" hidden="1" customWidth="1"/>
    <col min="2566" max="2566" width="16.33203125" style="1226" customWidth="1"/>
    <col min="2567" max="2567" width="17.44140625" style="1226" bestFit="1" customWidth="1"/>
    <col min="2568" max="2568" width="16.6640625" style="1226" bestFit="1" customWidth="1"/>
    <col min="2569" max="2815" width="9.109375" style="1226"/>
    <col min="2816" max="2816" width="21" style="1226" customWidth="1"/>
    <col min="2817" max="2817" width="29.44140625" style="1226" customWidth="1"/>
    <col min="2818" max="2820" width="16.6640625" style="1226" customWidth="1"/>
    <col min="2821" max="2821" width="0" style="1226" hidden="1" customWidth="1"/>
    <col min="2822" max="2822" width="16.33203125" style="1226" customWidth="1"/>
    <col min="2823" max="2823" width="17.44140625" style="1226" bestFit="1" customWidth="1"/>
    <col min="2824" max="2824" width="16.6640625" style="1226" bestFit="1" customWidth="1"/>
    <col min="2825" max="3071" width="9.109375" style="1226"/>
    <col min="3072" max="3072" width="21" style="1226" customWidth="1"/>
    <col min="3073" max="3073" width="29.44140625" style="1226" customWidth="1"/>
    <col min="3074" max="3076" width="16.6640625" style="1226" customWidth="1"/>
    <col min="3077" max="3077" width="0" style="1226" hidden="1" customWidth="1"/>
    <col min="3078" max="3078" width="16.33203125" style="1226" customWidth="1"/>
    <col min="3079" max="3079" width="17.44140625" style="1226" bestFit="1" customWidth="1"/>
    <col min="3080" max="3080" width="16.6640625" style="1226" bestFit="1" customWidth="1"/>
    <col min="3081" max="3327" width="9.109375" style="1226"/>
    <col min="3328" max="3328" width="21" style="1226" customWidth="1"/>
    <col min="3329" max="3329" width="29.44140625" style="1226" customWidth="1"/>
    <col min="3330" max="3332" width="16.6640625" style="1226" customWidth="1"/>
    <col min="3333" max="3333" width="0" style="1226" hidden="1" customWidth="1"/>
    <col min="3334" max="3334" width="16.33203125" style="1226" customWidth="1"/>
    <col min="3335" max="3335" width="17.44140625" style="1226" bestFit="1" customWidth="1"/>
    <col min="3336" max="3336" width="16.6640625" style="1226" bestFit="1" customWidth="1"/>
    <col min="3337" max="3583" width="9.109375" style="1226"/>
    <col min="3584" max="3584" width="21" style="1226" customWidth="1"/>
    <col min="3585" max="3585" width="29.44140625" style="1226" customWidth="1"/>
    <col min="3586" max="3588" width="16.6640625" style="1226" customWidth="1"/>
    <col min="3589" max="3589" width="0" style="1226" hidden="1" customWidth="1"/>
    <col min="3590" max="3590" width="16.33203125" style="1226" customWidth="1"/>
    <col min="3591" max="3591" width="17.44140625" style="1226" bestFit="1" customWidth="1"/>
    <col min="3592" max="3592" width="16.6640625" style="1226" bestFit="1" customWidth="1"/>
    <col min="3593" max="3839" width="9.109375" style="1226"/>
    <col min="3840" max="3840" width="21" style="1226" customWidth="1"/>
    <col min="3841" max="3841" width="29.44140625" style="1226" customWidth="1"/>
    <col min="3842" max="3844" width="16.6640625" style="1226" customWidth="1"/>
    <col min="3845" max="3845" width="0" style="1226" hidden="1" customWidth="1"/>
    <col min="3846" max="3846" width="16.33203125" style="1226" customWidth="1"/>
    <col min="3847" max="3847" width="17.44140625" style="1226" bestFit="1" customWidth="1"/>
    <col min="3848" max="3848" width="16.6640625" style="1226" bestFit="1" customWidth="1"/>
    <col min="3849" max="4095" width="9.109375" style="1226"/>
    <col min="4096" max="4096" width="21" style="1226" customWidth="1"/>
    <col min="4097" max="4097" width="29.44140625" style="1226" customWidth="1"/>
    <col min="4098" max="4100" width="16.6640625" style="1226" customWidth="1"/>
    <col min="4101" max="4101" width="0" style="1226" hidden="1" customWidth="1"/>
    <col min="4102" max="4102" width="16.33203125" style="1226" customWidth="1"/>
    <col min="4103" max="4103" width="17.44140625" style="1226" bestFit="1" customWidth="1"/>
    <col min="4104" max="4104" width="16.6640625" style="1226" bestFit="1" customWidth="1"/>
    <col min="4105" max="4351" width="9.109375" style="1226"/>
    <col min="4352" max="4352" width="21" style="1226" customWidth="1"/>
    <col min="4353" max="4353" width="29.44140625" style="1226" customWidth="1"/>
    <col min="4354" max="4356" width="16.6640625" style="1226" customWidth="1"/>
    <col min="4357" max="4357" width="0" style="1226" hidden="1" customWidth="1"/>
    <col min="4358" max="4358" width="16.33203125" style="1226" customWidth="1"/>
    <col min="4359" max="4359" width="17.44140625" style="1226" bestFit="1" customWidth="1"/>
    <col min="4360" max="4360" width="16.6640625" style="1226" bestFit="1" customWidth="1"/>
    <col min="4361" max="4607" width="9.109375" style="1226"/>
    <col min="4608" max="4608" width="21" style="1226" customWidth="1"/>
    <col min="4609" max="4609" width="29.44140625" style="1226" customWidth="1"/>
    <col min="4610" max="4612" width="16.6640625" style="1226" customWidth="1"/>
    <col min="4613" max="4613" width="0" style="1226" hidden="1" customWidth="1"/>
    <col min="4614" max="4614" width="16.33203125" style="1226" customWidth="1"/>
    <col min="4615" max="4615" width="17.44140625" style="1226" bestFit="1" customWidth="1"/>
    <col min="4616" max="4616" width="16.6640625" style="1226" bestFit="1" customWidth="1"/>
    <col min="4617" max="4863" width="9.109375" style="1226"/>
    <col min="4864" max="4864" width="21" style="1226" customWidth="1"/>
    <col min="4865" max="4865" width="29.44140625" style="1226" customWidth="1"/>
    <col min="4866" max="4868" width="16.6640625" style="1226" customWidth="1"/>
    <col min="4869" max="4869" width="0" style="1226" hidden="1" customWidth="1"/>
    <col min="4870" max="4870" width="16.33203125" style="1226" customWidth="1"/>
    <col min="4871" max="4871" width="17.44140625" style="1226" bestFit="1" customWidth="1"/>
    <col min="4872" max="4872" width="16.6640625" style="1226" bestFit="1" customWidth="1"/>
    <col min="4873" max="5119" width="9.109375" style="1226"/>
    <col min="5120" max="5120" width="21" style="1226" customWidth="1"/>
    <col min="5121" max="5121" width="29.44140625" style="1226" customWidth="1"/>
    <col min="5122" max="5124" width="16.6640625" style="1226" customWidth="1"/>
    <col min="5125" max="5125" width="0" style="1226" hidden="1" customWidth="1"/>
    <col min="5126" max="5126" width="16.33203125" style="1226" customWidth="1"/>
    <col min="5127" max="5127" width="17.44140625" style="1226" bestFit="1" customWidth="1"/>
    <col min="5128" max="5128" width="16.6640625" style="1226" bestFit="1" customWidth="1"/>
    <col min="5129" max="5375" width="9.109375" style="1226"/>
    <col min="5376" max="5376" width="21" style="1226" customWidth="1"/>
    <col min="5377" max="5377" width="29.44140625" style="1226" customWidth="1"/>
    <col min="5378" max="5380" width="16.6640625" style="1226" customWidth="1"/>
    <col min="5381" max="5381" width="0" style="1226" hidden="1" customWidth="1"/>
    <col min="5382" max="5382" width="16.33203125" style="1226" customWidth="1"/>
    <col min="5383" max="5383" width="17.44140625" style="1226" bestFit="1" customWidth="1"/>
    <col min="5384" max="5384" width="16.6640625" style="1226" bestFit="1" customWidth="1"/>
    <col min="5385" max="5631" width="9.109375" style="1226"/>
    <col min="5632" max="5632" width="21" style="1226" customWidth="1"/>
    <col min="5633" max="5633" width="29.44140625" style="1226" customWidth="1"/>
    <col min="5634" max="5636" width="16.6640625" style="1226" customWidth="1"/>
    <col min="5637" max="5637" width="0" style="1226" hidden="1" customWidth="1"/>
    <col min="5638" max="5638" width="16.33203125" style="1226" customWidth="1"/>
    <col min="5639" max="5639" width="17.44140625" style="1226" bestFit="1" customWidth="1"/>
    <col min="5640" max="5640" width="16.6640625" style="1226" bestFit="1" customWidth="1"/>
    <col min="5641" max="5887" width="9.109375" style="1226"/>
    <col min="5888" max="5888" width="21" style="1226" customWidth="1"/>
    <col min="5889" max="5889" width="29.44140625" style="1226" customWidth="1"/>
    <col min="5890" max="5892" width="16.6640625" style="1226" customWidth="1"/>
    <col min="5893" max="5893" width="0" style="1226" hidden="1" customWidth="1"/>
    <col min="5894" max="5894" width="16.33203125" style="1226" customWidth="1"/>
    <col min="5895" max="5895" width="17.44140625" style="1226" bestFit="1" customWidth="1"/>
    <col min="5896" max="5896" width="16.6640625" style="1226" bestFit="1" customWidth="1"/>
    <col min="5897" max="6143" width="9.109375" style="1226"/>
    <col min="6144" max="6144" width="21" style="1226" customWidth="1"/>
    <col min="6145" max="6145" width="29.44140625" style="1226" customWidth="1"/>
    <col min="6146" max="6148" width="16.6640625" style="1226" customWidth="1"/>
    <col min="6149" max="6149" width="0" style="1226" hidden="1" customWidth="1"/>
    <col min="6150" max="6150" width="16.33203125" style="1226" customWidth="1"/>
    <col min="6151" max="6151" width="17.44140625" style="1226" bestFit="1" customWidth="1"/>
    <col min="6152" max="6152" width="16.6640625" style="1226" bestFit="1" customWidth="1"/>
    <col min="6153" max="6399" width="9.109375" style="1226"/>
    <col min="6400" max="6400" width="21" style="1226" customWidth="1"/>
    <col min="6401" max="6401" width="29.44140625" style="1226" customWidth="1"/>
    <col min="6402" max="6404" width="16.6640625" style="1226" customWidth="1"/>
    <col min="6405" max="6405" width="0" style="1226" hidden="1" customWidth="1"/>
    <col min="6406" max="6406" width="16.33203125" style="1226" customWidth="1"/>
    <col min="6407" max="6407" width="17.44140625" style="1226" bestFit="1" customWidth="1"/>
    <col min="6408" max="6408" width="16.6640625" style="1226" bestFit="1" customWidth="1"/>
    <col min="6409" max="6655" width="9.109375" style="1226"/>
    <col min="6656" max="6656" width="21" style="1226" customWidth="1"/>
    <col min="6657" max="6657" width="29.44140625" style="1226" customWidth="1"/>
    <col min="6658" max="6660" width="16.6640625" style="1226" customWidth="1"/>
    <col min="6661" max="6661" width="0" style="1226" hidden="1" customWidth="1"/>
    <col min="6662" max="6662" width="16.33203125" style="1226" customWidth="1"/>
    <col min="6663" max="6663" width="17.44140625" style="1226" bestFit="1" customWidth="1"/>
    <col min="6664" max="6664" width="16.6640625" style="1226" bestFit="1" customWidth="1"/>
    <col min="6665" max="6911" width="9.109375" style="1226"/>
    <col min="6912" max="6912" width="21" style="1226" customWidth="1"/>
    <col min="6913" max="6913" width="29.44140625" style="1226" customWidth="1"/>
    <col min="6914" max="6916" width="16.6640625" style="1226" customWidth="1"/>
    <col min="6917" max="6917" width="0" style="1226" hidden="1" customWidth="1"/>
    <col min="6918" max="6918" width="16.33203125" style="1226" customWidth="1"/>
    <col min="6919" max="6919" width="17.44140625" style="1226" bestFit="1" customWidth="1"/>
    <col min="6920" max="6920" width="16.6640625" style="1226" bestFit="1" customWidth="1"/>
    <col min="6921" max="7167" width="9.109375" style="1226"/>
    <col min="7168" max="7168" width="21" style="1226" customWidth="1"/>
    <col min="7169" max="7169" width="29.44140625" style="1226" customWidth="1"/>
    <col min="7170" max="7172" width="16.6640625" style="1226" customWidth="1"/>
    <col min="7173" max="7173" width="0" style="1226" hidden="1" customWidth="1"/>
    <col min="7174" max="7174" width="16.33203125" style="1226" customWidth="1"/>
    <col min="7175" max="7175" width="17.44140625" style="1226" bestFit="1" customWidth="1"/>
    <col min="7176" max="7176" width="16.6640625" style="1226" bestFit="1" customWidth="1"/>
    <col min="7177" max="7423" width="9.109375" style="1226"/>
    <col min="7424" max="7424" width="21" style="1226" customWidth="1"/>
    <col min="7425" max="7425" width="29.44140625" style="1226" customWidth="1"/>
    <col min="7426" max="7428" width="16.6640625" style="1226" customWidth="1"/>
    <col min="7429" max="7429" width="0" style="1226" hidden="1" customWidth="1"/>
    <col min="7430" max="7430" width="16.33203125" style="1226" customWidth="1"/>
    <col min="7431" max="7431" width="17.44140625" style="1226" bestFit="1" customWidth="1"/>
    <col min="7432" max="7432" width="16.6640625" style="1226" bestFit="1" customWidth="1"/>
    <col min="7433" max="7679" width="9.109375" style="1226"/>
    <col min="7680" max="7680" width="21" style="1226" customWidth="1"/>
    <col min="7681" max="7681" width="29.44140625" style="1226" customWidth="1"/>
    <col min="7682" max="7684" width="16.6640625" style="1226" customWidth="1"/>
    <col min="7685" max="7685" width="0" style="1226" hidden="1" customWidth="1"/>
    <col min="7686" max="7686" width="16.33203125" style="1226" customWidth="1"/>
    <col min="7687" max="7687" width="17.44140625" style="1226" bestFit="1" customWidth="1"/>
    <col min="7688" max="7688" width="16.6640625" style="1226" bestFit="1" customWidth="1"/>
    <col min="7689" max="7935" width="9.109375" style="1226"/>
    <col min="7936" max="7936" width="21" style="1226" customWidth="1"/>
    <col min="7937" max="7937" width="29.44140625" style="1226" customWidth="1"/>
    <col min="7938" max="7940" width="16.6640625" style="1226" customWidth="1"/>
    <col min="7941" max="7941" width="0" style="1226" hidden="1" customWidth="1"/>
    <col min="7942" max="7942" width="16.33203125" style="1226" customWidth="1"/>
    <col min="7943" max="7943" width="17.44140625" style="1226" bestFit="1" customWidth="1"/>
    <col min="7944" max="7944" width="16.6640625" style="1226" bestFit="1" customWidth="1"/>
    <col min="7945" max="8191" width="9.109375" style="1226"/>
    <col min="8192" max="8192" width="21" style="1226" customWidth="1"/>
    <col min="8193" max="8193" width="29.44140625" style="1226" customWidth="1"/>
    <col min="8194" max="8196" width="16.6640625" style="1226" customWidth="1"/>
    <col min="8197" max="8197" width="0" style="1226" hidden="1" customWidth="1"/>
    <col min="8198" max="8198" width="16.33203125" style="1226" customWidth="1"/>
    <col min="8199" max="8199" width="17.44140625" style="1226" bestFit="1" customWidth="1"/>
    <col min="8200" max="8200" width="16.6640625" style="1226" bestFit="1" customWidth="1"/>
    <col min="8201" max="8447" width="9.109375" style="1226"/>
    <col min="8448" max="8448" width="21" style="1226" customWidth="1"/>
    <col min="8449" max="8449" width="29.44140625" style="1226" customWidth="1"/>
    <col min="8450" max="8452" width="16.6640625" style="1226" customWidth="1"/>
    <col min="8453" max="8453" width="0" style="1226" hidden="1" customWidth="1"/>
    <col min="8454" max="8454" width="16.33203125" style="1226" customWidth="1"/>
    <col min="8455" max="8455" width="17.44140625" style="1226" bestFit="1" customWidth="1"/>
    <col min="8456" max="8456" width="16.6640625" style="1226" bestFit="1" customWidth="1"/>
    <col min="8457" max="8703" width="9.109375" style="1226"/>
    <col min="8704" max="8704" width="21" style="1226" customWidth="1"/>
    <col min="8705" max="8705" width="29.44140625" style="1226" customWidth="1"/>
    <col min="8706" max="8708" width="16.6640625" style="1226" customWidth="1"/>
    <col min="8709" max="8709" width="0" style="1226" hidden="1" customWidth="1"/>
    <col min="8710" max="8710" width="16.33203125" style="1226" customWidth="1"/>
    <col min="8711" max="8711" width="17.44140625" style="1226" bestFit="1" customWidth="1"/>
    <col min="8712" max="8712" width="16.6640625" style="1226" bestFit="1" customWidth="1"/>
    <col min="8713" max="8959" width="9.109375" style="1226"/>
    <col min="8960" max="8960" width="21" style="1226" customWidth="1"/>
    <col min="8961" max="8961" width="29.44140625" style="1226" customWidth="1"/>
    <col min="8962" max="8964" width="16.6640625" style="1226" customWidth="1"/>
    <col min="8965" max="8965" width="0" style="1226" hidden="1" customWidth="1"/>
    <col min="8966" max="8966" width="16.33203125" style="1226" customWidth="1"/>
    <col min="8967" max="8967" width="17.44140625" style="1226" bestFit="1" customWidth="1"/>
    <col min="8968" max="8968" width="16.6640625" style="1226" bestFit="1" customWidth="1"/>
    <col min="8969" max="9215" width="9.109375" style="1226"/>
    <col min="9216" max="9216" width="21" style="1226" customWidth="1"/>
    <col min="9217" max="9217" width="29.44140625" style="1226" customWidth="1"/>
    <col min="9218" max="9220" width="16.6640625" style="1226" customWidth="1"/>
    <col min="9221" max="9221" width="0" style="1226" hidden="1" customWidth="1"/>
    <col min="9222" max="9222" width="16.33203125" style="1226" customWidth="1"/>
    <col min="9223" max="9223" width="17.44140625" style="1226" bestFit="1" customWidth="1"/>
    <col min="9224" max="9224" width="16.6640625" style="1226" bestFit="1" customWidth="1"/>
    <col min="9225" max="9471" width="9.109375" style="1226"/>
    <col min="9472" max="9472" width="21" style="1226" customWidth="1"/>
    <col min="9473" max="9473" width="29.44140625" style="1226" customWidth="1"/>
    <col min="9474" max="9476" width="16.6640625" style="1226" customWidth="1"/>
    <col min="9477" max="9477" width="0" style="1226" hidden="1" customWidth="1"/>
    <col min="9478" max="9478" width="16.33203125" style="1226" customWidth="1"/>
    <col min="9479" max="9479" width="17.44140625" style="1226" bestFit="1" customWidth="1"/>
    <col min="9480" max="9480" width="16.6640625" style="1226" bestFit="1" customWidth="1"/>
    <col min="9481" max="9727" width="9.109375" style="1226"/>
    <col min="9728" max="9728" width="21" style="1226" customWidth="1"/>
    <col min="9729" max="9729" width="29.44140625" style="1226" customWidth="1"/>
    <col min="9730" max="9732" width="16.6640625" style="1226" customWidth="1"/>
    <col min="9733" max="9733" width="0" style="1226" hidden="1" customWidth="1"/>
    <col min="9734" max="9734" width="16.33203125" style="1226" customWidth="1"/>
    <col min="9735" max="9735" width="17.44140625" style="1226" bestFit="1" customWidth="1"/>
    <col min="9736" max="9736" width="16.6640625" style="1226" bestFit="1" customWidth="1"/>
    <col min="9737" max="9983" width="9.109375" style="1226"/>
    <col min="9984" max="9984" width="21" style="1226" customWidth="1"/>
    <col min="9985" max="9985" width="29.44140625" style="1226" customWidth="1"/>
    <col min="9986" max="9988" width="16.6640625" style="1226" customWidth="1"/>
    <col min="9989" max="9989" width="0" style="1226" hidden="1" customWidth="1"/>
    <col min="9990" max="9990" width="16.33203125" style="1226" customWidth="1"/>
    <col min="9991" max="9991" width="17.44140625" style="1226" bestFit="1" customWidth="1"/>
    <col min="9992" max="9992" width="16.6640625" style="1226" bestFit="1" customWidth="1"/>
    <col min="9993" max="10239" width="9.109375" style="1226"/>
    <col min="10240" max="10240" width="21" style="1226" customWidth="1"/>
    <col min="10241" max="10241" width="29.44140625" style="1226" customWidth="1"/>
    <col min="10242" max="10244" width="16.6640625" style="1226" customWidth="1"/>
    <col min="10245" max="10245" width="0" style="1226" hidden="1" customWidth="1"/>
    <col min="10246" max="10246" width="16.33203125" style="1226" customWidth="1"/>
    <col min="10247" max="10247" width="17.44140625" style="1226" bestFit="1" customWidth="1"/>
    <col min="10248" max="10248" width="16.6640625" style="1226" bestFit="1" customWidth="1"/>
    <col min="10249" max="10495" width="9.109375" style="1226"/>
    <col min="10496" max="10496" width="21" style="1226" customWidth="1"/>
    <col min="10497" max="10497" width="29.44140625" style="1226" customWidth="1"/>
    <col min="10498" max="10500" width="16.6640625" style="1226" customWidth="1"/>
    <col min="10501" max="10501" width="0" style="1226" hidden="1" customWidth="1"/>
    <col min="10502" max="10502" width="16.33203125" style="1226" customWidth="1"/>
    <col min="10503" max="10503" width="17.44140625" style="1226" bestFit="1" customWidth="1"/>
    <col min="10504" max="10504" width="16.6640625" style="1226" bestFit="1" customWidth="1"/>
    <col min="10505" max="10751" width="9.109375" style="1226"/>
    <col min="10752" max="10752" width="21" style="1226" customWidth="1"/>
    <col min="10753" max="10753" width="29.44140625" style="1226" customWidth="1"/>
    <col min="10754" max="10756" width="16.6640625" style="1226" customWidth="1"/>
    <col min="10757" max="10757" width="0" style="1226" hidden="1" customWidth="1"/>
    <col min="10758" max="10758" width="16.33203125" style="1226" customWidth="1"/>
    <col min="10759" max="10759" width="17.44140625" style="1226" bestFit="1" customWidth="1"/>
    <col min="10760" max="10760" width="16.6640625" style="1226" bestFit="1" customWidth="1"/>
    <col min="10761" max="11007" width="9.109375" style="1226"/>
    <col min="11008" max="11008" width="21" style="1226" customWidth="1"/>
    <col min="11009" max="11009" width="29.44140625" style="1226" customWidth="1"/>
    <col min="11010" max="11012" width="16.6640625" style="1226" customWidth="1"/>
    <col min="11013" max="11013" width="0" style="1226" hidden="1" customWidth="1"/>
    <col min="11014" max="11014" width="16.33203125" style="1226" customWidth="1"/>
    <col min="11015" max="11015" width="17.44140625" style="1226" bestFit="1" customWidth="1"/>
    <col min="11016" max="11016" width="16.6640625" style="1226" bestFit="1" customWidth="1"/>
    <col min="11017" max="11263" width="9.109375" style="1226"/>
    <col min="11264" max="11264" width="21" style="1226" customWidth="1"/>
    <col min="11265" max="11265" width="29.44140625" style="1226" customWidth="1"/>
    <col min="11266" max="11268" width="16.6640625" style="1226" customWidth="1"/>
    <col min="11269" max="11269" width="0" style="1226" hidden="1" customWidth="1"/>
    <col min="11270" max="11270" width="16.33203125" style="1226" customWidth="1"/>
    <col min="11271" max="11271" width="17.44140625" style="1226" bestFit="1" customWidth="1"/>
    <col min="11272" max="11272" width="16.6640625" style="1226" bestFit="1" customWidth="1"/>
    <col min="11273" max="11519" width="9.109375" style="1226"/>
    <col min="11520" max="11520" width="21" style="1226" customWidth="1"/>
    <col min="11521" max="11521" width="29.44140625" style="1226" customWidth="1"/>
    <col min="11522" max="11524" width="16.6640625" style="1226" customWidth="1"/>
    <col min="11525" max="11525" width="0" style="1226" hidden="1" customWidth="1"/>
    <col min="11526" max="11526" width="16.33203125" style="1226" customWidth="1"/>
    <col min="11527" max="11527" width="17.44140625" style="1226" bestFit="1" customWidth="1"/>
    <col min="11528" max="11528" width="16.6640625" style="1226" bestFit="1" customWidth="1"/>
    <col min="11529" max="11775" width="9.109375" style="1226"/>
    <col min="11776" max="11776" width="21" style="1226" customWidth="1"/>
    <col min="11777" max="11777" width="29.44140625" style="1226" customWidth="1"/>
    <col min="11778" max="11780" width="16.6640625" style="1226" customWidth="1"/>
    <col min="11781" max="11781" width="0" style="1226" hidden="1" customWidth="1"/>
    <col min="11782" max="11782" width="16.33203125" style="1226" customWidth="1"/>
    <col min="11783" max="11783" width="17.44140625" style="1226" bestFit="1" customWidth="1"/>
    <col min="11784" max="11784" width="16.6640625" style="1226" bestFit="1" customWidth="1"/>
    <col min="11785" max="12031" width="9.109375" style="1226"/>
    <col min="12032" max="12032" width="21" style="1226" customWidth="1"/>
    <col min="12033" max="12033" width="29.44140625" style="1226" customWidth="1"/>
    <col min="12034" max="12036" width="16.6640625" style="1226" customWidth="1"/>
    <col min="12037" max="12037" width="0" style="1226" hidden="1" customWidth="1"/>
    <col min="12038" max="12038" width="16.33203125" style="1226" customWidth="1"/>
    <col min="12039" max="12039" width="17.44140625" style="1226" bestFit="1" customWidth="1"/>
    <col min="12040" max="12040" width="16.6640625" style="1226" bestFit="1" customWidth="1"/>
    <col min="12041" max="12287" width="9.109375" style="1226"/>
    <col min="12288" max="12288" width="21" style="1226" customWidth="1"/>
    <col min="12289" max="12289" width="29.44140625" style="1226" customWidth="1"/>
    <col min="12290" max="12292" width="16.6640625" style="1226" customWidth="1"/>
    <col min="12293" max="12293" width="0" style="1226" hidden="1" customWidth="1"/>
    <col min="12294" max="12294" width="16.33203125" style="1226" customWidth="1"/>
    <col min="12295" max="12295" width="17.44140625" style="1226" bestFit="1" customWidth="1"/>
    <col min="12296" max="12296" width="16.6640625" style="1226" bestFit="1" customWidth="1"/>
    <col min="12297" max="12543" width="9.109375" style="1226"/>
    <col min="12544" max="12544" width="21" style="1226" customWidth="1"/>
    <col min="12545" max="12545" width="29.44140625" style="1226" customWidth="1"/>
    <col min="12546" max="12548" width="16.6640625" style="1226" customWidth="1"/>
    <col min="12549" max="12549" width="0" style="1226" hidden="1" customWidth="1"/>
    <col min="12550" max="12550" width="16.33203125" style="1226" customWidth="1"/>
    <col min="12551" max="12551" width="17.44140625" style="1226" bestFit="1" customWidth="1"/>
    <col min="12552" max="12552" width="16.6640625" style="1226" bestFit="1" customWidth="1"/>
    <col min="12553" max="12799" width="9.109375" style="1226"/>
    <col min="12800" max="12800" width="21" style="1226" customWidth="1"/>
    <col min="12801" max="12801" width="29.44140625" style="1226" customWidth="1"/>
    <col min="12802" max="12804" width="16.6640625" style="1226" customWidth="1"/>
    <col min="12805" max="12805" width="0" style="1226" hidden="1" customWidth="1"/>
    <col min="12806" max="12806" width="16.33203125" style="1226" customWidth="1"/>
    <col min="12807" max="12807" width="17.44140625" style="1226" bestFit="1" customWidth="1"/>
    <col min="12808" max="12808" width="16.6640625" style="1226" bestFit="1" customWidth="1"/>
    <col min="12809" max="13055" width="9.109375" style="1226"/>
    <col min="13056" max="13056" width="21" style="1226" customWidth="1"/>
    <col min="13057" max="13057" width="29.44140625" style="1226" customWidth="1"/>
    <col min="13058" max="13060" width="16.6640625" style="1226" customWidth="1"/>
    <col min="13061" max="13061" width="0" style="1226" hidden="1" customWidth="1"/>
    <col min="13062" max="13062" width="16.33203125" style="1226" customWidth="1"/>
    <col min="13063" max="13063" width="17.44140625" style="1226" bestFit="1" customWidth="1"/>
    <col min="13064" max="13064" width="16.6640625" style="1226" bestFit="1" customWidth="1"/>
    <col min="13065" max="13311" width="9.109375" style="1226"/>
    <col min="13312" max="13312" width="21" style="1226" customWidth="1"/>
    <col min="13313" max="13313" width="29.44140625" style="1226" customWidth="1"/>
    <col min="13314" max="13316" width="16.6640625" style="1226" customWidth="1"/>
    <col min="13317" max="13317" width="0" style="1226" hidden="1" customWidth="1"/>
    <col min="13318" max="13318" width="16.33203125" style="1226" customWidth="1"/>
    <col min="13319" max="13319" width="17.44140625" style="1226" bestFit="1" customWidth="1"/>
    <col min="13320" max="13320" width="16.6640625" style="1226" bestFit="1" customWidth="1"/>
    <col min="13321" max="13567" width="9.109375" style="1226"/>
    <col min="13568" max="13568" width="21" style="1226" customWidth="1"/>
    <col min="13569" max="13569" width="29.44140625" style="1226" customWidth="1"/>
    <col min="13570" max="13572" width="16.6640625" style="1226" customWidth="1"/>
    <col min="13573" max="13573" width="0" style="1226" hidden="1" customWidth="1"/>
    <col min="13574" max="13574" width="16.33203125" style="1226" customWidth="1"/>
    <col min="13575" max="13575" width="17.44140625" style="1226" bestFit="1" customWidth="1"/>
    <col min="13576" max="13576" width="16.6640625" style="1226" bestFit="1" customWidth="1"/>
    <col min="13577" max="13823" width="9.109375" style="1226"/>
    <col min="13824" max="13824" width="21" style="1226" customWidth="1"/>
    <col min="13825" max="13825" width="29.44140625" style="1226" customWidth="1"/>
    <col min="13826" max="13828" width="16.6640625" style="1226" customWidth="1"/>
    <col min="13829" max="13829" width="0" style="1226" hidden="1" customWidth="1"/>
    <col min="13830" max="13830" width="16.33203125" style="1226" customWidth="1"/>
    <col min="13831" max="13831" width="17.44140625" style="1226" bestFit="1" customWidth="1"/>
    <col min="13832" max="13832" width="16.6640625" style="1226" bestFit="1" customWidth="1"/>
    <col min="13833" max="14079" width="9.109375" style="1226"/>
    <col min="14080" max="14080" width="21" style="1226" customWidth="1"/>
    <col min="14081" max="14081" width="29.44140625" style="1226" customWidth="1"/>
    <col min="14082" max="14084" width="16.6640625" style="1226" customWidth="1"/>
    <col min="14085" max="14085" width="0" style="1226" hidden="1" customWidth="1"/>
    <col min="14086" max="14086" width="16.33203125" style="1226" customWidth="1"/>
    <col min="14087" max="14087" width="17.44140625" style="1226" bestFit="1" customWidth="1"/>
    <col min="14088" max="14088" width="16.6640625" style="1226" bestFit="1" customWidth="1"/>
    <col min="14089" max="14335" width="9.109375" style="1226"/>
    <col min="14336" max="14336" width="21" style="1226" customWidth="1"/>
    <col min="14337" max="14337" width="29.44140625" style="1226" customWidth="1"/>
    <col min="14338" max="14340" width="16.6640625" style="1226" customWidth="1"/>
    <col min="14341" max="14341" width="0" style="1226" hidden="1" customWidth="1"/>
    <col min="14342" max="14342" width="16.33203125" style="1226" customWidth="1"/>
    <col min="14343" max="14343" width="17.44140625" style="1226" bestFit="1" customWidth="1"/>
    <col min="14344" max="14344" width="16.6640625" style="1226" bestFit="1" customWidth="1"/>
    <col min="14345" max="14591" width="9.109375" style="1226"/>
    <col min="14592" max="14592" width="21" style="1226" customWidth="1"/>
    <col min="14593" max="14593" width="29.44140625" style="1226" customWidth="1"/>
    <col min="14594" max="14596" width="16.6640625" style="1226" customWidth="1"/>
    <col min="14597" max="14597" width="0" style="1226" hidden="1" customWidth="1"/>
    <col min="14598" max="14598" width="16.33203125" style="1226" customWidth="1"/>
    <col min="14599" max="14599" width="17.44140625" style="1226" bestFit="1" customWidth="1"/>
    <col min="14600" max="14600" width="16.6640625" style="1226" bestFit="1" customWidth="1"/>
    <col min="14601" max="14847" width="9.109375" style="1226"/>
    <col min="14848" max="14848" width="21" style="1226" customWidth="1"/>
    <col min="14849" max="14849" width="29.44140625" style="1226" customWidth="1"/>
    <col min="14850" max="14852" width="16.6640625" style="1226" customWidth="1"/>
    <col min="14853" max="14853" width="0" style="1226" hidden="1" customWidth="1"/>
    <col min="14854" max="14854" width="16.33203125" style="1226" customWidth="1"/>
    <col min="14855" max="14855" width="17.44140625" style="1226" bestFit="1" customWidth="1"/>
    <col min="14856" max="14856" width="16.6640625" style="1226" bestFit="1" customWidth="1"/>
    <col min="14857" max="15103" width="9.109375" style="1226"/>
    <col min="15104" max="15104" width="21" style="1226" customWidth="1"/>
    <col min="15105" max="15105" width="29.44140625" style="1226" customWidth="1"/>
    <col min="15106" max="15108" width="16.6640625" style="1226" customWidth="1"/>
    <col min="15109" max="15109" width="0" style="1226" hidden="1" customWidth="1"/>
    <col min="15110" max="15110" width="16.33203125" style="1226" customWidth="1"/>
    <col min="15111" max="15111" width="17.44140625" style="1226" bestFit="1" customWidth="1"/>
    <col min="15112" max="15112" width="16.6640625" style="1226" bestFit="1" customWidth="1"/>
    <col min="15113" max="15359" width="9.109375" style="1226"/>
    <col min="15360" max="15360" width="21" style="1226" customWidth="1"/>
    <col min="15361" max="15361" width="29.44140625" style="1226" customWidth="1"/>
    <col min="15362" max="15364" width="16.6640625" style="1226" customWidth="1"/>
    <col min="15365" max="15365" width="0" style="1226" hidden="1" customWidth="1"/>
    <col min="15366" max="15366" width="16.33203125" style="1226" customWidth="1"/>
    <col min="15367" max="15367" width="17.44140625" style="1226" bestFit="1" customWidth="1"/>
    <col min="15368" max="15368" width="16.6640625" style="1226" bestFit="1" customWidth="1"/>
    <col min="15369" max="15615" width="9.109375" style="1226"/>
    <col min="15616" max="15616" width="21" style="1226" customWidth="1"/>
    <col min="15617" max="15617" width="29.44140625" style="1226" customWidth="1"/>
    <col min="15618" max="15620" width="16.6640625" style="1226" customWidth="1"/>
    <col min="15621" max="15621" width="0" style="1226" hidden="1" customWidth="1"/>
    <col min="15622" max="15622" width="16.33203125" style="1226" customWidth="1"/>
    <col min="15623" max="15623" width="17.44140625" style="1226" bestFit="1" customWidth="1"/>
    <col min="15624" max="15624" width="16.6640625" style="1226" bestFit="1" customWidth="1"/>
    <col min="15625" max="15871" width="9.109375" style="1226"/>
    <col min="15872" max="15872" width="21" style="1226" customWidth="1"/>
    <col min="15873" max="15873" width="29.44140625" style="1226" customWidth="1"/>
    <col min="15874" max="15876" width="16.6640625" style="1226" customWidth="1"/>
    <col min="15877" max="15877" width="0" style="1226" hidden="1" customWidth="1"/>
    <col min="15878" max="15878" width="16.33203125" style="1226" customWidth="1"/>
    <col min="15879" max="15879" width="17.44140625" style="1226" bestFit="1" customWidth="1"/>
    <col min="15880" max="15880" width="16.6640625" style="1226" bestFit="1" customWidth="1"/>
    <col min="15881" max="16127" width="9.109375" style="1226"/>
    <col min="16128" max="16128" width="21" style="1226" customWidth="1"/>
    <col min="16129" max="16129" width="29.44140625" style="1226" customWidth="1"/>
    <col min="16130" max="16132" width="16.6640625" style="1226" customWidth="1"/>
    <col min="16133" max="16133" width="0" style="1226" hidden="1" customWidth="1"/>
    <col min="16134" max="16134" width="16.33203125" style="1226" customWidth="1"/>
    <col min="16135" max="16135" width="17.44140625" style="1226" bestFit="1" customWidth="1"/>
    <col min="16136" max="16136" width="16.6640625" style="1226" bestFit="1" customWidth="1"/>
    <col min="16137" max="16384" width="9.109375" style="1226"/>
  </cols>
  <sheetData>
    <row r="1" spans="1:8" ht="12.75" x14ac:dyDescent="0.2">
      <c r="A1" s="1561" t="s">
        <v>1163</v>
      </c>
      <c r="B1" s="1561"/>
      <c r="C1" s="1561"/>
      <c r="D1" s="1561"/>
      <c r="E1" s="1561"/>
      <c r="F1" s="1561"/>
      <c r="G1" s="1561"/>
      <c r="H1" s="1561"/>
    </row>
    <row r="3" spans="1:8" ht="12.75" x14ac:dyDescent="0.2">
      <c r="A3" s="849" t="s">
        <v>1164</v>
      </c>
      <c r="B3" s="849" t="s">
        <v>1165</v>
      </c>
    </row>
    <row r="4" spans="1:8" ht="12.75" x14ac:dyDescent="0.2">
      <c r="A4" s="849" t="s">
        <v>1166</v>
      </c>
      <c r="B4" s="849" t="s">
        <v>1167</v>
      </c>
    </row>
    <row r="6" spans="1:8" ht="25.5" customHeight="1" x14ac:dyDescent="0.2">
      <c r="C6" s="1305" t="s">
        <v>1168</v>
      </c>
      <c r="D6" s="1304" t="s">
        <v>1633</v>
      </c>
      <c r="E6" s="1305" t="s">
        <v>1170</v>
      </c>
      <c r="F6" s="1306" t="s">
        <v>1172</v>
      </c>
      <c r="G6" s="1306" t="s">
        <v>1173</v>
      </c>
      <c r="H6" s="1306" t="s">
        <v>1174</v>
      </c>
    </row>
    <row r="7" spans="1:8" ht="12.75" x14ac:dyDescent="0.2">
      <c r="A7" s="849" t="s">
        <v>1175</v>
      </c>
      <c r="C7" s="1306"/>
      <c r="D7" s="1301"/>
      <c r="E7" s="1306"/>
      <c r="F7" s="1306"/>
      <c r="G7" s="1306"/>
      <c r="H7" s="1306"/>
    </row>
    <row r="8" spans="1:8" ht="12.75" customHeight="1" x14ac:dyDescent="0.2">
      <c r="A8" s="852" t="s">
        <v>1176</v>
      </c>
      <c r="C8" s="1300">
        <v>-20031815</v>
      </c>
      <c r="D8" s="1302">
        <v>-20038852</v>
      </c>
      <c r="E8" s="1300">
        <f>-'Consol  Inc Exp Statement'!G82*1000</f>
        <v>-20914977</v>
      </c>
      <c r="F8" s="1300">
        <f>-'Consol  Inc Exp Statement'!H82*1000</f>
        <v>-21983957.000000004</v>
      </c>
      <c r="G8" s="1300">
        <f>-'Consol  Inc Exp Statement'!I82*1000</f>
        <v>-23213714.999999996</v>
      </c>
      <c r="H8" s="1300">
        <f>-'Consol  Inc Exp Statement'!J82*1000</f>
        <v>-24181231.999999996</v>
      </c>
    </row>
    <row r="9" spans="1:8" ht="12.75" customHeight="1" x14ac:dyDescent="0.2">
      <c r="A9" s="852" t="s">
        <v>12</v>
      </c>
      <c r="C9" s="1300">
        <v>-13528819</v>
      </c>
      <c r="D9" s="1302">
        <v>-13520926</v>
      </c>
      <c r="E9" s="1300">
        <f>-'Consol  Inc Exp Statement'!G83*1000</f>
        <v>-14184400.000000002</v>
      </c>
      <c r="F9" s="1300">
        <f>-'Consol  Inc Exp Statement'!H83*1000</f>
        <v>-14288015.000000002</v>
      </c>
      <c r="G9" s="1300">
        <f>-'Consol  Inc Exp Statement'!I83*1000</f>
        <v>-14861232.999999998</v>
      </c>
      <c r="H9" s="1300">
        <f>-'Consol  Inc Exp Statement'!J83*1000</f>
        <v>-15527496</v>
      </c>
    </row>
    <row r="10" spans="1:8" ht="12.75" customHeight="1" x14ac:dyDescent="0.2">
      <c r="A10" s="852" t="s">
        <v>1177</v>
      </c>
      <c r="C10" s="1300">
        <v>-2254500</v>
      </c>
      <c r="D10" s="1302">
        <v>-2268000</v>
      </c>
      <c r="E10" s="1300">
        <f>-'Consol  Inc Exp Statement'!G84*1000</f>
        <v>-2162209</v>
      </c>
      <c r="F10" s="1300">
        <f>-'Consol  Inc Exp Statement'!H84*1000</f>
        <v>-1977563</v>
      </c>
      <c r="G10" s="1300">
        <f>-'Consol  Inc Exp Statement'!I84*1000</f>
        <v>-1913963</v>
      </c>
      <c r="H10" s="1300">
        <f>-'Consol  Inc Exp Statement'!J84*1000</f>
        <v>-1883648</v>
      </c>
    </row>
    <row r="11" spans="1:8" ht="12.75" customHeight="1" x14ac:dyDescent="0.2">
      <c r="A11" s="852" t="s">
        <v>1178</v>
      </c>
      <c r="C11" s="1300">
        <v>-2424537</v>
      </c>
      <c r="D11" s="1302">
        <v>-3002744</v>
      </c>
      <c r="E11" s="1300">
        <f>-'Consol  Inc Exp Statement'!G85*1000</f>
        <v>-2409788</v>
      </c>
      <c r="F11" s="1300">
        <f>-'Consol  Inc Exp Statement'!H85*1000</f>
        <v>-2463804</v>
      </c>
      <c r="G11" s="1300">
        <f>-'Consol  Inc Exp Statement'!I85*1000</f>
        <v>-2520379</v>
      </c>
      <c r="H11" s="1300">
        <f>-'Consol  Inc Exp Statement'!J85*1000</f>
        <v>-2578016</v>
      </c>
    </row>
    <row r="12" spans="1:8" ht="12.75" customHeight="1" x14ac:dyDescent="0.2">
      <c r="A12" s="852" t="s">
        <v>1179</v>
      </c>
      <c r="C12" s="1300">
        <v>-6250744</v>
      </c>
      <c r="D12" s="1302">
        <v>-6341904</v>
      </c>
      <c r="E12" s="1300">
        <f>-'Consol  Inc Exp Statement'!G86*1000</f>
        <v>-5520389</v>
      </c>
      <c r="F12" s="1300">
        <f>-'Consol  Inc Exp Statement'!H86*1000</f>
        <v>-5618240.9999999991</v>
      </c>
      <c r="G12" s="1300">
        <f>-'Consol  Inc Exp Statement'!I86*1000</f>
        <v>-5715896</v>
      </c>
      <c r="H12" s="1300">
        <f>-'Consol  Inc Exp Statement'!J86*1000</f>
        <v>-5815518.7599999998</v>
      </c>
    </row>
    <row r="13" spans="1:8" ht="12.75" customHeight="1" x14ac:dyDescent="0.2">
      <c r="A13" s="852" t="s">
        <v>1180</v>
      </c>
      <c r="C13" s="1300">
        <v>-4783353</v>
      </c>
      <c r="D13" s="1302">
        <v>-6163353</v>
      </c>
      <c r="E13" s="1300">
        <f>-'Consol  Inc Exp Statement'!G88*1000</f>
        <v>-5059852</v>
      </c>
      <c r="F13" s="1300">
        <f>-'Consol  Inc Exp Statement'!H88*1000</f>
        <v>-5239623</v>
      </c>
      <c r="G13" s="1300">
        <f>-'Consol  Inc Exp Statement'!I88*1000</f>
        <v>-5419178</v>
      </c>
      <c r="H13" s="1300">
        <f>-'Consol  Inc Exp Statement'!J88*1000</f>
        <v>-5456519</v>
      </c>
    </row>
    <row r="14" spans="1:8" ht="12.75" x14ac:dyDescent="0.2">
      <c r="C14" s="1309"/>
      <c r="D14" s="1307"/>
      <c r="E14" s="1309"/>
      <c r="F14" s="1309"/>
      <c r="G14" s="1309"/>
      <c r="H14" s="1309"/>
    </row>
    <row r="15" spans="1:8" ht="12.75" x14ac:dyDescent="0.2">
      <c r="A15" s="849" t="s">
        <v>1181</v>
      </c>
      <c r="C15" s="1308">
        <f>SUM(C8:C14)</f>
        <v>-49273768</v>
      </c>
      <c r="D15" s="1308">
        <f t="shared" ref="D15:H15" si="0">SUM(D8:D14)</f>
        <v>-51335779</v>
      </c>
      <c r="E15" s="1308">
        <f t="shared" si="0"/>
        <v>-50251615</v>
      </c>
      <c r="F15" s="1308">
        <f t="shared" si="0"/>
        <v>-51571203.000000007</v>
      </c>
      <c r="G15" s="1308">
        <f t="shared" si="0"/>
        <v>-53644363.999999993</v>
      </c>
      <c r="H15" s="1308">
        <f t="shared" si="0"/>
        <v>-55442429.759999998</v>
      </c>
    </row>
    <row r="16" spans="1:8" ht="12.75" x14ac:dyDescent="0.2">
      <c r="A16" s="849"/>
      <c r="C16" s="855"/>
      <c r="D16" s="855"/>
      <c r="E16" s="855"/>
      <c r="F16" s="855"/>
      <c r="G16" s="855"/>
      <c r="H16" s="855"/>
    </row>
    <row r="17" spans="1:8" ht="12.75" x14ac:dyDescent="0.2">
      <c r="A17" s="849"/>
      <c r="C17" s="855"/>
      <c r="D17" s="855"/>
      <c r="E17" s="855"/>
      <c r="F17" s="855"/>
      <c r="G17" s="855"/>
      <c r="H17" s="855"/>
    </row>
    <row r="18" spans="1:8" ht="12.75" x14ac:dyDescent="0.2">
      <c r="A18" s="849"/>
      <c r="C18" s="855"/>
      <c r="D18" s="855"/>
      <c r="E18" s="855"/>
      <c r="F18" s="855"/>
      <c r="G18" s="855"/>
      <c r="H18" s="855"/>
    </row>
    <row r="19" spans="1:8" ht="12.75" x14ac:dyDescent="0.2">
      <c r="C19" s="853"/>
      <c r="D19" s="853"/>
      <c r="E19" s="853"/>
      <c r="F19" s="853"/>
      <c r="G19" s="853"/>
      <c r="H19" s="853"/>
    </row>
    <row r="20" spans="1:8" ht="25.5" x14ac:dyDescent="0.2">
      <c r="C20" s="1317" t="s">
        <v>1168</v>
      </c>
      <c r="D20" s="1304" t="s">
        <v>1633</v>
      </c>
      <c r="E20" s="1317" t="s">
        <v>1170</v>
      </c>
      <c r="F20" s="1318" t="s">
        <v>1172</v>
      </c>
      <c r="G20" s="1318" t="s">
        <v>1173</v>
      </c>
      <c r="H20" s="1318" t="s">
        <v>1174</v>
      </c>
    </row>
    <row r="21" spans="1:8" ht="12.75" x14ac:dyDescent="0.2">
      <c r="A21" s="849" t="s">
        <v>925</v>
      </c>
      <c r="C21" s="1318"/>
      <c r="D21" s="1313"/>
      <c r="E21" s="1318"/>
      <c r="F21" s="1318"/>
      <c r="G21" s="1318"/>
      <c r="H21" s="1318"/>
    </row>
    <row r="22" spans="1:8" ht="12.75" customHeight="1" x14ac:dyDescent="0.2">
      <c r="A22" s="852" t="s">
        <v>1182</v>
      </c>
      <c r="C22" s="1312">
        <v>13094137</v>
      </c>
      <c r="D22" s="1314">
        <v>13179528</v>
      </c>
      <c r="E22" s="1312">
        <f>'Consol  Inc Exp Statement'!G95*1000</f>
        <v>13571739</v>
      </c>
      <c r="F22" s="1312">
        <f>'Consol  Inc Exp Statement'!H95*1000</f>
        <v>13889526</v>
      </c>
      <c r="G22" s="1312">
        <f>'Consol  Inc Exp Statement'!I95*1000</f>
        <v>14469789.999999998</v>
      </c>
      <c r="H22" s="1312">
        <f>'Consol  Inc Exp Statement'!J95*1000</f>
        <v>15101101</v>
      </c>
    </row>
    <row r="23" spans="1:8" ht="12.75" customHeight="1" x14ac:dyDescent="0.2">
      <c r="A23" s="852" t="s">
        <v>27</v>
      </c>
      <c r="C23" s="1312">
        <v>14214548</v>
      </c>
      <c r="D23" s="1314">
        <v>15735739</v>
      </c>
      <c r="E23" s="1312">
        <f>'Consol  Inc Exp Statement'!G97*1000</f>
        <v>14424867</v>
      </c>
      <c r="F23" s="1312">
        <f>'Consol  Inc Exp Statement'!H97*1000</f>
        <v>14649205.000000002</v>
      </c>
      <c r="G23" s="1312">
        <f>'Consol  Inc Exp Statement'!I97*1000</f>
        <v>15061072</v>
      </c>
      <c r="H23" s="1312">
        <f>'Consol  Inc Exp Statement'!J97*1000</f>
        <v>15809757.999999998</v>
      </c>
    </row>
    <row r="24" spans="1:8" ht="12.75" customHeight="1" x14ac:dyDescent="0.2">
      <c r="A24" s="852" t="s">
        <v>1183</v>
      </c>
      <c r="C24" s="1312">
        <v>3204843</v>
      </c>
      <c r="D24" s="1314">
        <v>3321222</v>
      </c>
      <c r="E24" s="1312">
        <f>'Consol  Inc Exp Statement'!G102*1000</f>
        <v>3307281</v>
      </c>
      <c r="F24" s="1312">
        <f>'Consol  Inc Exp Statement'!H102*1000</f>
        <v>3375721</v>
      </c>
      <c r="G24" s="1312">
        <f>'Consol  Inc Exp Statement'!I102*1000</f>
        <v>3469520.0000000005</v>
      </c>
      <c r="H24" s="1312">
        <f>'Consol  Inc Exp Statement'!J102*1000</f>
        <v>3637997.0000000005</v>
      </c>
    </row>
    <row r="25" spans="1:8" ht="12.75" customHeight="1" x14ac:dyDescent="0.2">
      <c r="A25" s="852" t="s">
        <v>926</v>
      </c>
      <c r="C25" s="1312">
        <v>1715858</v>
      </c>
      <c r="D25" s="1314">
        <v>1715858</v>
      </c>
      <c r="E25" s="1312">
        <f>'Consol  Inc Exp Statement'!G96*1000</f>
        <v>2126712</v>
      </c>
      <c r="F25" s="1312">
        <f>'Consol  Inc Exp Statement'!H96*1000</f>
        <v>2428022</v>
      </c>
      <c r="G25" s="1312">
        <f>'Consol  Inc Exp Statement'!I96*1000</f>
        <v>2823970.0000000005</v>
      </c>
      <c r="H25" s="1312">
        <f>'Consol  Inc Exp Statement'!J96*1000</f>
        <v>3230417.0000000005</v>
      </c>
    </row>
    <row r="26" spans="1:8" ht="12.75" customHeight="1" x14ac:dyDescent="0.2">
      <c r="A26" s="852" t="s">
        <v>1077</v>
      </c>
      <c r="C26" s="1312">
        <v>4783353</v>
      </c>
      <c r="D26" s="1314">
        <v>4785662</v>
      </c>
      <c r="E26" s="1312">
        <f>'Consol  Inc Exp Statement'!G98*1000</f>
        <v>4997352</v>
      </c>
      <c r="F26" s="1312">
        <f>'Consol  Inc Exp Statement'!H98*1000</f>
        <v>5174623.0000000009</v>
      </c>
      <c r="G26" s="1312">
        <f>'Consol  Inc Exp Statement'!I98*1000</f>
        <v>5354178.0000000009</v>
      </c>
      <c r="H26" s="1312">
        <f>'Consol  Inc Exp Statement'!J98*1000</f>
        <v>5535702</v>
      </c>
    </row>
    <row r="27" spans="1:8" ht="12.75" customHeight="1" x14ac:dyDescent="0.2">
      <c r="A27" s="852" t="s">
        <v>584</v>
      </c>
      <c r="C27" s="1312">
        <v>11286985</v>
      </c>
      <c r="D27" s="1314">
        <v>10597294</v>
      </c>
      <c r="E27" s="1312">
        <f>'Consol  Inc Exp Statement'!G99*1000</f>
        <v>10411565</v>
      </c>
      <c r="F27" s="1312">
        <f>'Consol  Inc Exp Statement'!H99*1000</f>
        <v>10771184.000000002</v>
      </c>
      <c r="G27" s="1312">
        <f>'Consol  Inc Exp Statement'!I99*1000</f>
        <v>11149532</v>
      </c>
      <c r="H27" s="1312">
        <f>'Consol  Inc Exp Statement'!J99*1000</f>
        <v>11765181</v>
      </c>
    </row>
    <row r="28" spans="1:8" ht="12.75" x14ac:dyDescent="0.2">
      <c r="C28" s="1321"/>
      <c r="D28" s="1319"/>
      <c r="E28" s="1321"/>
      <c r="F28" s="1321"/>
      <c r="G28" s="1321"/>
      <c r="H28" s="1321"/>
    </row>
    <row r="29" spans="1:8" ht="12.75" x14ac:dyDescent="0.2">
      <c r="A29" s="849" t="s">
        <v>1184</v>
      </c>
      <c r="C29" s="1320">
        <f>SUM(C22:C28)</f>
        <v>48299724</v>
      </c>
      <c r="D29" s="1320">
        <f t="shared" ref="D29:H29" si="1">SUM(D22:D28)</f>
        <v>49335303</v>
      </c>
      <c r="E29" s="1320">
        <f t="shared" si="1"/>
        <v>48839516</v>
      </c>
      <c r="F29" s="1320">
        <f t="shared" si="1"/>
        <v>50288281</v>
      </c>
      <c r="G29" s="1320">
        <f t="shared" si="1"/>
        <v>52328062</v>
      </c>
      <c r="H29" s="1320">
        <f t="shared" si="1"/>
        <v>55080156</v>
      </c>
    </row>
    <row r="30" spans="1:8" ht="12.75" x14ac:dyDescent="0.2">
      <c r="C30" s="1321"/>
      <c r="D30" s="1319"/>
      <c r="E30" s="1321"/>
      <c r="F30" s="1321"/>
      <c r="G30" s="1321"/>
      <c r="H30" s="1321"/>
    </row>
    <row r="31" spans="1:8" ht="12.75" x14ac:dyDescent="0.2">
      <c r="A31" s="849" t="s">
        <v>1185</v>
      </c>
      <c r="C31" s="1320">
        <f>C15+C29</f>
        <v>-974044</v>
      </c>
      <c r="D31" s="1320">
        <f t="shared" ref="D31:H31" si="2">D15+D29</f>
        <v>-2000476</v>
      </c>
      <c r="E31" s="1320">
        <f t="shared" si="2"/>
        <v>-1412099</v>
      </c>
      <c r="F31" s="1320">
        <f t="shared" si="2"/>
        <v>-1282922.0000000075</v>
      </c>
      <c r="G31" s="1320">
        <f t="shared" si="2"/>
        <v>-1316301.9999999925</v>
      </c>
      <c r="H31" s="1320">
        <f t="shared" si="2"/>
        <v>-362273.75999999791</v>
      </c>
    </row>
    <row r="32" spans="1:8" ht="12.75" x14ac:dyDescent="0.2">
      <c r="C32" s="853"/>
      <c r="D32" s="853"/>
      <c r="E32" s="853"/>
      <c r="F32" s="853"/>
      <c r="G32" s="853"/>
      <c r="H32" s="853"/>
    </row>
    <row r="33" spans="1:8" ht="12.75" x14ac:dyDescent="0.2">
      <c r="C33" s="853"/>
      <c r="D33" s="853"/>
      <c r="E33" s="853"/>
      <c r="F33" s="853"/>
      <c r="G33" s="853"/>
      <c r="H33" s="853"/>
    </row>
    <row r="34" spans="1:8" ht="12.75" hidden="1" outlineLevel="2" x14ac:dyDescent="0.2">
      <c r="A34" s="856" t="s">
        <v>1164</v>
      </c>
      <c r="B34" s="857" t="s">
        <v>1186</v>
      </c>
      <c r="C34" s="858"/>
      <c r="D34" s="858"/>
      <c r="E34" s="858"/>
      <c r="F34" s="858"/>
      <c r="G34" s="858"/>
      <c r="H34" s="859"/>
    </row>
    <row r="35" spans="1:8" ht="12.75" hidden="1" outlineLevel="2" x14ac:dyDescent="0.2">
      <c r="A35" s="860"/>
      <c r="B35" s="849"/>
      <c r="H35" s="861"/>
    </row>
    <row r="36" spans="1:8" ht="12.75" hidden="1" outlineLevel="2" x14ac:dyDescent="0.2">
      <c r="A36" s="862"/>
      <c r="H36" s="861"/>
    </row>
    <row r="37" spans="1:8" ht="25.5" hidden="1" outlineLevel="2" x14ac:dyDescent="0.2">
      <c r="A37" s="862"/>
      <c r="C37" s="850" t="s">
        <v>1168</v>
      </c>
      <c r="D37" s="850" t="s">
        <v>1169</v>
      </c>
      <c r="E37" s="850" t="s">
        <v>1170</v>
      </c>
      <c r="F37" s="851" t="s">
        <v>1172</v>
      </c>
      <c r="G37" s="851" t="s">
        <v>1173</v>
      </c>
      <c r="H37" s="863" t="s">
        <v>1174</v>
      </c>
    </row>
    <row r="38" spans="1:8" ht="12.75" hidden="1" outlineLevel="2" x14ac:dyDescent="0.2">
      <c r="A38" s="860" t="s">
        <v>1175</v>
      </c>
      <c r="C38" s="851"/>
      <c r="D38" s="851"/>
      <c r="E38" s="851"/>
      <c r="F38" s="851"/>
      <c r="G38" s="851"/>
      <c r="H38" s="863"/>
    </row>
    <row r="39" spans="1:8" ht="12.75" hidden="1" customHeight="1" outlineLevel="2" x14ac:dyDescent="0.2">
      <c r="A39" s="864" t="s">
        <v>1176</v>
      </c>
      <c r="C39" s="853">
        <f>C70+C101</f>
        <v>20031.814999999999</v>
      </c>
      <c r="D39" s="853">
        <f t="shared" ref="D39:H39" si="3">D70+D101</f>
        <v>20038.851999999999</v>
      </c>
      <c r="E39" s="853">
        <f t="shared" si="3"/>
        <v>20914.976999999999</v>
      </c>
      <c r="F39" s="853">
        <f t="shared" si="3"/>
        <v>21983.957000000002</v>
      </c>
      <c r="G39" s="853">
        <f t="shared" si="3"/>
        <v>23213.714999999997</v>
      </c>
      <c r="H39" s="865">
        <f t="shared" si="3"/>
        <v>24181.231999999996</v>
      </c>
    </row>
    <row r="40" spans="1:8" ht="12.75" hidden="1" customHeight="1" outlineLevel="2" x14ac:dyDescent="0.2">
      <c r="A40" s="864" t="s">
        <v>12</v>
      </c>
      <c r="C40" s="853">
        <f t="shared" ref="C40:H44" si="4">C71+C102</f>
        <v>13528.819</v>
      </c>
      <c r="D40" s="853">
        <f t="shared" si="4"/>
        <v>13520.925999999999</v>
      </c>
      <c r="E40" s="853">
        <f t="shared" si="4"/>
        <v>14184.400000000001</v>
      </c>
      <c r="F40" s="853">
        <f t="shared" si="4"/>
        <v>14288.015000000001</v>
      </c>
      <c r="G40" s="853">
        <f t="shared" si="4"/>
        <v>14861.232999999998</v>
      </c>
      <c r="H40" s="865">
        <f t="shared" si="4"/>
        <v>15527.495999999999</v>
      </c>
    </row>
    <row r="41" spans="1:8" ht="12.75" hidden="1" customHeight="1" outlineLevel="2" x14ac:dyDescent="0.2">
      <c r="A41" s="864" t="s">
        <v>1177</v>
      </c>
      <c r="C41" s="853">
        <f t="shared" si="4"/>
        <v>2254.5</v>
      </c>
      <c r="D41" s="853">
        <f t="shared" si="4"/>
        <v>2268</v>
      </c>
      <c r="E41" s="853">
        <f t="shared" si="4"/>
        <v>2162.2089999999998</v>
      </c>
      <c r="F41" s="853">
        <f t="shared" si="4"/>
        <v>1977.5630000000001</v>
      </c>
      <c r="G41" s="853">
        <f t="shared" si="4"/>
        <v>1913.963</v>
      </c>
      <c r="H41" s="865">
        <f t="shared" si="4"/>
        <v>1883.6479999999999</v>
      </c>
    </row>
    <row r="42" spans="1:8" ht="12.75" hidden="1" customHeight="1" outlineLevel="2" x14ac:dyDescent="0.2">
      <c r="A42" s="864" t="s">
        <v>1178</v>
      </c>
      <c r="C42" s="853">
        <f t="shared" si="4"/>
        <v>2424.5369999999998</v>
      </c>
      <c r="D42" s="853">
        <f t="shared" si="4"/>
        <v>3002.7440000000001</v>
      </c>
      <c r="E42" s="853">
        <f t="shared" si="4"/>
        <v>2409.788</v>
      </c>
      <c r="F42" s="853">
        <f t="shared" si="4"/>
        <v>2463.8040000000001</v>
      </c>
      <c r="G42" s="853">
        <f t="shared" si="4"/>
        <v>2520.3789999999999</v>
      </c>
      <c r="H42" s="865">
        <f t="shared" si="4"/>
        <v>2578.0160000000001</v>
      </c>
    </row>
    <row r="43" spans="1:8" ht="12.75" hidden="1" customHeight="1" outlineLevel="2" x14ac:dyDescent="0.2">
      <c r="A43" s="864" t="s">
        <v>1179</v>
      </c>
      <c r="C43" s="853">
        <f t="shared" si="4"/>
        <v>6250.7439999999997</v>
      </c>
      <c r="D43" s="853">
        <f t="shared" si="4"/>
        <v>6341.9040000000005</v>
      </c>
      <c r="E43" s="853">
        <f t="shared" si="4"/>
        <v>5520.3890000000001</v>
      </c>
      <c r="F43" s="853">
        <f t="shared" si="4"/>
        <v>5618.2409999999991</v>
      </c>
      <c r="G43" s="853">
        <f t="shared" si="4"/>
        <v>5715.8959999999997</v>
      </c>
      <c r="H43" s="865">
        <f t="shared" si="4"/>
        <v>5815.5187599999999</v>
      </c>
    </row>
    <row r="44" spans="1:8" ht="12.75" hidden="1" customHeight="1" outlineLevel="2" x14ac:dyDescent="0.2">
      <c r="A44" s="864" t="s">
        <v>1180</v>
      </c>
      <c r="C44" s="853">
        <f t="shared" si="4"/>
        <v>4783.3530000000001</v>
      </c>
      <c r="D44" s="853">
        <f t="shared" si="4"/>
        <v>6163.3530000000001</v>
      </c>
      <c r="E44" s="853">
        <f t="shared" si="4"/>
        <v>5059.8519999999999</v>
      </c>
      <c r="F44" s="853">
        <f t="shared" si="4"/>
        <v>5239.6229999999996</v>
      </c>
      <c r="G44" s="853">
        <f t="shared" si="4"/>
        <v>5419.1779999999999</v>
      </c>
      <c r="H44" s="865">
        <f t="shared" si="4"/>
        <v>5456.5190000000002</v>
      </c>
    </row>
    <row r="45" spans="1:8" ht="12.75" hidden="1" outlineLevel="2" x14ac:dyDescent="0.2">
      <c r="A45" s="862"/>
      <c r="C45" s="854"/>
      <c r="D45" s="854"/>
      <c r="E45" s="854"/>
      <c r="F45" s="854"/>
      <c r="G45" s="854"/>
      <c r="H45" s="866"/>
    </row>
    <row r="46" spans="1:8" ht="12.75" hidden="1" outlineLevel="2" x14ac:dyDescent="0.2">
      <c r="A46" s="860" t="s">
        <v>1181</v>
      </c>
      <c r="C46" s="855">
        <f t="shared" ref="C46:H46" si="5">SUM(C39:C45)</f>
        <v>49273.767999999996</v>
      </c>
      <c r="D46" s="855">
        <f t="shared" si="5"/>
        <v>51335.779000000002</v>
      </c>
      <c r="E46" s="855">
        <f t="shared" si="5"/>
        <v>50251.615000000005</v>
      </c>
      <c r="F46" s="855">
        <f t="shared" si="5"/>
        <v>51571.203000000009</v>
      </c>
      <c r="G46" s="855">
        <f t="shared" si="5"/>
        <v>53644.364000000001</v>
      </c>
      <c r="H46" s="867">
        <f t="shared" si="5"/>
        <v>55442.429759999999</v>
      </c>
    </row>
    <row r="47" spans="1:8" ht="12.75" hidden="1" outlineLevel="2" x14ac:dyDescent="0.2">
      <c r="A47" s="860"/>
      <c r="C47" s="855"/>
      <c r="D47" s="855"/>
      <c r="E47" s="855"/>
      <c r="F47" s="855"/>
      <c r="G47" s="855"/>
      <c r="H47" s="867"/>
    </row>
    <row r="48" spans="1:8" ht="12.75" hidden="1" outlineLevel="2" x14ac:dyDescent="0.2">
      <c r="A48" s="860"/>
      <c r="C48" s="855"/>
      <c r="D48" s="855"/>
      <c r="E48" s="855"/>
      <c r="F48" s="855"/>
      <c r="G48" s="855"/>
      <c r="H48" s="867"/>
    </row>
    <row r="49" spans="1:8" ht="12.75" hidden="1" outlineLevel="2" x14ac:dyDescent="0.2">
      <c r="A49" s="860"/>
      <c r="C49" s="855"/>
      <c r="D49" s="855"/>
      <c r="E49" s="855"/>
      <c r="F49" s="855"/>
      <c r="G49" s="855"/>
      <c r="H49" s="867"/>
    </row>
    <row r="50" spans="1:8" ht="12.75" hidden="1" outlineLevel="2" x14ac:dyDescent="0.2">
      <c r="A50" s="862"/>
      <c r="C50" s="853"/>
      <c r="D50" s="853"/>
      <c r="E50" s="853"/>
      <c r="F50" s="853"/>
      <c r="G50" s="853"/>
      <c r="H50" s="865"/>
    </row>
    <row r="51" spans="1:8" ht="25.5" hidden="1" outlineLevel="2" x14ac:dyDescent="0.2">
      <c r="A51" s="862"/>
      <c r="C51" s="850" t="s">
        <v>1168</v>
      </c>
      <c r="D51" s="850" t="s">
        <v>1169</v>
      </c>
      <c r="E51" s="850" t="s">
        <v>1170</v>
      </c>
      <c r="F51" s="851" t="s">
        <v>1172</v>
      </c>
      <c r="G51" s="851" t="s">
        <v>1173</v>
      </c>
      <c r="H51" s="863" t="s">
        <v>1174</v>
      </c>
    </row>
    <row r="52" spans="1:8" ht="12.75" hidden="1" outlineLevel="2" x14ac:dyDescent="0.2">
      <c r="A52" s="860" t="s">
        <v>925</v>
      </c>
      <c r="C52" s="851"/>
      <c r="D52" s="851"/>
      <c r="E52" s="851"/>
      <c r="F52" s="851"/>
      <c r="G52" s="851"/>
      <c r="H52" s="863"/>
    </row>
    <row r="53" spans="1:8" ht="12.75" hidden="1" customHeight="1" outlineLevel="2" x14ac:dyDescent="0.2">
      <c r="A53" s="864" t="s">
        <v>1182</v>
      </c>
      <c r="C53" s="853">
        <f t="shared" ref="C53:H58" si="6">C84+C115</f>
        <v>13094.137000000001</v>
      </c>
      <c r="D53" s="853">
        <f t="shared" si="6"/>
        <v>13179.528</v>
      </c>
      <c r="E53" s="853">
        <f t="shared" si="6"/>
        <v>13571.739</v>
      </c>
      <c r="F53" s="853">
        <f t="shared" si="6"/>
        <v>13889.526</v>
      </c>
      <c r="G53" s="853">
        <f t="shared" si="6"/>
        <v>14469.789999999997</v>
      </c>
      <c r="H53" s="865">
        <f t="shared" si="6"/>
        <v>15101.101000000001</v>
      </c>
    </row>
    <row r="54" spans="1:8" ht="12.75" hidden="1" customHeight="1" outlineLevel="2" x14ac:dyDescent="0.2">
      <c r="A54" s="864" t="s">
        <v>27</v>
      </c>
      <c r="C54" s="853">
        <f t="shared" si="6"/>
        <v>14214.548000000001</v>
      </c>
      <c r="D54" s="853">
        <f t="shared" si="6"/>
        <v>15735.739</v>
      </c>
      <c r="E54" s="853">
        <f t="shared" si="6"/>
        <v>14424.867</v>
      </c>
      <c r="F54" s="853">
        <f t="shared" si="6"/>
        <v>14649.205000000002</v>
      </c>
      <c r="G54" s="853">
        <f t="shared" si="6"/>
        <v>15061.072</v>
      </c>
      <c r="H54" s="865">
        <f t="shared" si="6"/>
        <v>15809.757999999998</v>
      </c>
    </row>
    <row r="55" spans="1:8" ht="12.75" hidden="1" customHeight="1" outlineLevel="2" x14ac:dyDescent="0.2">
      <c r="A55" s="864" t="s">
        <v>1183</v>
      </c>
      <c r="C55" s="853">
        <f t="shared" si="6"/>
        <v>3204.8429999999998</v>
      </c>
      <c r="D55" s="853">
        <f t="shared" si="6"/>
        <v>3321.2220000000002</v>
      </c>
      <c r="E55" s="853">
        <f t="shared" si="6"/>
        <v>3307.2809999999999</v>
      </c>
      <c r="F55" s="853">
        <f t="shared" si="6"/>
        <v>3375.721</v>
      </c>
      <c r="G55" s="853">
        <f t="shared" si="6"/>
        <v>3469.5200000000004</v>
      </c>
      <c r="H55" s="865">
        <f t="shared" si="6"/>
        <v>3637.9970000000003</v>
      </c>
    </row>
    <row r="56" spans="1:8" ht="12.75" hidden="1" customHeight="1" outlineLevel="2" x14ac:dyDescent="0.2">
      <c r="A56" s="864" t="s">
        <v>926</v>
      </c>
      <c r="C56" s="853">
        <f t="shared" si="6"/>
        <v>1715.8579999999999</v>
      </c>
      <c r="D56" s="853">
        <f t="shared" si="6"/>
        <v>1715.8579999999999</v>
      </c>
      <c r="E56" s="853">
        <f t="shared" si="6"/>
        <v>2126.712</v>
      </c>
      <c r="F56" s="853">
        <f t="shared" si="6"/>
        <v>2428.0219999999999</v>
      </c>
      <c r="G56" s="853">
        <f t="shared" si="6"/>
        <v>2823.9700000000003</v>
      </c>
      <c r="H56" s="865">
        <f t="shared" si="6"/>
        <v>3230.4170000000004</v>
      </c>
    </row>
    <row r="57" spans="1:8" ht="12.75" hidden="1" customHeight="1" outlineLevel="2" x14ac:dyDescent="0.2">
      <c r="A57" s="864" t="s">
        <v>1077</v>
      </c>
      <c r="C57" s="853">
        <f t="shared" si="6"/>
        <v>4783.3530000000001</v>
      </c>
      <c r="D57" s="853">
        <f t="shared" si="6"/>
        <v>4785.6620000000003</v>
      </c>
      <c r="E57" s="853">
        <f t="shared" si="6"/>
        <v>4997.3519999999999</v>
      </c>
      <c r="F57" s="853">
        <f t="shared" si="6"/>
        <v>5174.6230000000005</v>
      </c>
      <c r="G57" s="853">
        <f t="shared" si="6"/>
        <v>5354.1780000000008</v>
      </c>
      <c r="H57" s="865">
        <f t="shared" si="6"/>
        <v>5535.7020000000002</v>
      </c>
    </row>
    <row r="58" spans="1:8" ht="12.75" hidden="1" customHeight="1" outlineLevel="2" x14ac:dyDescent="0.2">
      <c r="A58" s="864" t="s">
        <v>584</v>
      </c>
      <c r="C58" s="853">
        <f t="shared" si="6"/>
        <v>11286.985000000001</v>
      </c>
      <c r="D58" s="853">
        <f t="shared" si="6"/>
        <v>10597.294</v>
      </c>
      <c r="E58" s="853">
        <f t="shared" si="6"/>
        <v>10411.565000000001</v>
      </c>
      <c r="F58" s="853">
        <f t="shared" si="6"/>
        <v>10771.184000000001</v>
      </c>
      <c r="G58" s="853">
        <f t="shared" si="6"/>
        <v>11149.531999999999</v>
      </c>
      <c r="H58" s="865">
        <f t="shared" si="6"/>
        <v>11765.181</v>
      </c>
    </row>
    <row r="59" spans="1:8" ht="12.75" hidden="1" outlineLevel="2" x14ac:dyDescent="0.2">
      <c r="A59" s="862"/>
      <c r="C59" s="854"/>
      <c r="D59" s="854"/>
      <c r="E59" s="854"/>
      <c r="F59" s="854"/>
      <c r="G59" s="854"/>
      <c r="H59" s="866"/>
    </row>
    <row r="60" spans="1:8" ht="12.75" hidden="1" outlineLevel="2" x14ac:dyDescent="0.2">
      <c r="A60" s="860" t="s">
        <v>1184</v>
      </c>
      <c r="C60" s="855">
        <f t="shared" ref="C60:H60" si="7">SUM(C53:C59)</f>
        <v>48299.724000000002</v>
      </c>
      <c r="D60" s="855">
        <f t="shared" si="7"/>
        <v>49335.303000000007</v>
      </c>
      <c r="E60" s="855">
        <f t="shared" si="7"/>
        <v>48839.516000000003</v>
      </c>
      <c r="F60" s="855">
        <f t="shared" si="7"/>
        <v>50288.281000000003</v>
      </c>
      <c r="G60" s="855">
        <f t="shared" si="7"/>
        <v>52328.061999999998</v>
      </c>
      <c r="H60" s="867">
        <f t="shared" si="7"/>
        <v>55080.156000000003</v>
      </c>
    </row>
    <row r="61" spans="1:8" ht="12.75" hidden="1" outlineLevel="2" x14ac:dyDescent="0.2">
      <c r="A61" s="862"/>
      <c r="C61" s="854"/>
      <c r="D61" s="854"/>
      <c r="E61" s="854"/>
      <c r="F61" s="854"/>
      <c r="G61" s="854"/>
      <c r="H61" s="866"/>
    </row>
    <row r="62" spans="1:8" ht="12.75" hidden="1" outlineLevel="2" x14ac:dyDescent="0.2">
      <c r="A62" s="860" t="s">
        <v>1185</v>
      </c>
      <c r="C62" s="855">
        <f>C46-C60</f>
        <v>974.04399999999441</v>
      </c>
      <c r="D62" s="855">
        <f t="shared" ref="D62:H62" si="8">D46-D60</f>
        <v>2000.4759999999951</v>
      </c>
      <c r="E62" s="855">
        <f t="shared" si="8"/>
        <v>1412.099000000002</v>
      </c>
      <c r="F62" s="855">
        <f t="shared" si="8"/>
        <v>1282.9220000000059</v>
      </c>
      <c r="G62" s="855">
        <f t="shared" si="8"/>
        <v>1316.3020000000033</v>
      </c>
      <c r="H62" s="867">
        <f t="shared" si="8"/>
        <v>362.2737599999964</v>
      </c>
    </row>
    <row r="63" spans="1:8" ht="13.5" hidden="1" outlineLevel="2" thickBot="1" x14ac:dyDescent="0.25">
      <c r="A63" s="868"/>
      <c r="B63" s="869"/>
      <c r="C63" s="870"/>
      <c r="D63" s="870"/>
      <c r="E63" s="870"/>
      <c r="F63" s="870"/>
      <c r="G63" s="870"/>
      <c r="H63" s="871"/>
    </row>
    <row r="64" spans="1:8" ht="12.75" hidden="1" outlineLevel="2" x14ac:dyDescent="0.2">
      <c r="C64" s="853"/>
      <c r="D64" s="853"/>
      <c r="E64" s="853"/>
      <c r="F64" s="853"/>
      <c r="G64" s="853"/>
      <c r="H64" s="853"/>
    </row>
    <row r="65" spans="1:10" ht="12.75" hidden="1" outlineLevel="2" x14ac:dyDescent="0.2">
      <c r="A65" s="856" t="s">
        <v>1164</v>
      </c>
      <c r="B65" s="857" t="s">
        <v>1187</v>
      </c>
      <c r="C65" s="858"/>
      <c r="D65" s="858"/>
      <c r="E65" s="858"/>
      <c r="F65" s="858"/>
      <c r="G65" s="858"/>
      <c r="H65" s="859"/>
    </row>
    <row r="66" spans="1:10" ht="12.75" hidden="1" outlineLevel="2" x14ac:dyDescent="0.2">
      <c r="A66" s="860"/>
      <c r="B66" s="849"/>
      <c r="H66" s="861"/>
    </row>
    <row r="67" spans="1:10" ht="12.75" hidden="1" outlineLevel="2" x14ac:dyDescent="0.2">
      <c r="A67" s="862"/>
      <c r="H67" s="861"/>
    </row>
    <row r="68" spans="1:10" ht="25.5" hidden="1" outlineLevel="2" x14ac:dyDescent="0.2">
      <c r="A68" s="862"/>
      <c r="C68" s="850" t="s">
        <v>1168</v>
      </c>
      <c r="D68" s="850" t="s">
        <v>1169</v>
      </c>
      <c r="E68" s="850" t="s">
        <v>1170</v>
      </c>
      <c r="F68" s="851" t="s">
        <v>1172</v>
      </c>
      <c r="G68" s="851" t="s">
        <v>1173</v>
      </c>
      <c r="H68" s="863" t="s">
        <v>1174</v>
      </c>
    </row>
    <row r="69" spans="1:10" ht="12.75" hidden="1" outlineLevel="2" x14ac:dyDescent="0.2">
      <c r="A69" s="860" t="s">
        <v>1175</v>
      </c>
      <c r="C69" s="851"/>
      <c r="D69" s="851"/>
      <c r="E69" s="851"/>
      <c r="F69" s="851"/>
      <c r="G69" s="851"/>
      <c r="H69" s="863"/>
    </row>
    <row r="70" spans="1:10" ht="12.75" hidden="1" outlineLevel="2" x14ac:dyDescent="0.2">
      <c r="A70" s="864" t="s">
        <v>1176</v>
      </c>
      <c r="C70" s="853">
        <f>-(C130)/1000</f>
        <v>14450.315000000001</v>
      </c>
      <c r="D70" s="853">
        <f t="shared" ref="D70:H70" si="9">-(D130)/1000</f>
        <v>14450.315000000001</v>
      </c>
      <c r="E70" s="853">
        <f t="shared" si="9"/>
        <v>15563.977000000001</v>
      </c>
      <c r="F70" s="853">
        <f t="shared" si="9"/>
        <v>16356.162</v>
      </c>
      <c r="G70" s="853">
        <f t="shared" si="9"/>
        <v>17465.652999999998</v>
      </c>
      <c r="H70" s="865">
        <f t="shared" si="9"/>
        <v>18306.118999999999</v>
      </c>
    </row>
    <row r="71" spans="1:10" ht="12.75" hidden="1" outlineLevel="2" x14ac:dyDescent="0.2">
      <c r="A71" s="864" t="s">
        <v>12</v>
      </c>
      <c r="C71" s="853">
        <f>-(C131+C163)/1000</f>
        <v>9486.9689999999991</v>
      </c>
      <c r="D71" s="853">
        <f t="shared" ref="D71:H71" si="10">-(D131+D163)/1000</f>
        <v>9474.0759999999991</v>
      </c>
      <c r="E71" s="853">
        <f t="shared" si="10"/>
        <v>9897.5249999999996</v>
      </c>
      <c r="F71" s="853">
        <f t="shared" si="10"/>
        <v>9797.2430000000004</v>
      </c>
      <c r="G71" s="853">
        <f t="shared" si="10"/>
        <v>10156.66</v>
      </c>
      <c r="H71" s="865">
        <f t="shared" si="10"/>
        <v>10598.714</v>
      </c>
    </row>
    <row r="72" spans="1:10" ht="12.75" hidden="1" outlineLevel="2" x14ac:dyDescent="0.2">
      <c r="A72" s="864" t="s">
        <v>1177</v>
      </c>
      <c r="C72" s="853">
        <f>-C132/1000</f>
        <v>931.5</v>
      </c>
      <c r="D72" s="853">
        <f t="shared" ref="D72:H73" si="11">-D132/1000</f>
        <v>945</v>
      </c>
      <c r="E72" s="853">
        <f t="shared" si="11"/>
        <v>938.20899999999995</v>
      </c>
      <c r="F72" s="853">
        <f t="shared" si="11"/>
        <v>947.19299999999998</v>
      </c>
      <c r="G72" s="853">
        <f t="shared" si="11"/>
        <v>956.88900000000001</v>
      </c>
      <c r="H72" s="865">
        <f t="shared" si="11"/>
        <v>965.43299999999999</v>
      </c>
    </row>
    <row r="73" spans="1:10" ht="12.75" hidden="1" outlineLevel="2" x14ac:dyDescent="0.2">
      <c r="A73" s="864" t="s">
        <v>1178</v>
      </c>
      <c r="C73" s="853">
        <f>-C133/1000</f>
        <v>2424.5369999999998</v>
      </c>
      <c r="D73" s="853">
        <f t="shared" si="11"/>
        <v>3002.7440000000001</v>
      </c>
      <c r="E73" s="853">
        <f t="shared" si="11"/>
        <v>2409.788</v>
      </c>
      <c r="F73" s="853">
        <f t="shared" si="11"/>
        <v>2463.8040000000001</v>
      </c>
      <c r="G73" s="853">
        <f t="shared" si="11"/>
        <v>2520.3789999999999</v>
      </c>
      <c r="H73" s="865">
        <f t="shared" si="11"/>
        <v>2578.0160000000001</v>
      </c>
    </row>
    <row r="74" spans="1:10" ht="12.75" hidden="1" outlineLevel="2" x14ac:dyDescent="0.2">
      <c r="A74" s="864" t="s">
        <v>1179</v>
      </c>
      <c r="C74" s="853">
        <f t="shared" ref="C74:H75" si="12">-C134/1000</f>
        <v>6174.7439999999997</v>
      </c>
      <c r="D74" s="853">
        <f t="shared" si="12"/>
        <v>6297.9409999999998</v>
      </c>
      <c r="E74" s="853">
        <f t="shared" si="12"/>
        <v>5450.8890000000001</v>
      </c>
      <c r="F74" s="853">
        <f t="shared" si="12"/>
        <v>5547.3509999999997</v>
      </c>
      <c r="G74" s="853">
        <f t="shared" si="12"/>
        <v>5643.5889999999999</v>
      </c>
      <c r="H74" s="865">
        <f t="shared" si="12"/>
        <v>5741.7657600000002</v>
      </c>
    </row>
    <row r="75" spans="1:10" ht="12.75" hidden="1" outlineLevel="2" x14ac:dyDescent="0.2">
      <c r="A75" s="864" t="s">
        <v>1180</v>
      </c>
      <c r="C75" s="853">
        <f t="shared" si="12"/>
        <v>4783.3530000000001</v>
      </c>
      <c r="D75" s="853">
        <f t="shared" si="12"/>
        <v>6163.3530000000001</v>
      </c>
      <c r="E75" s="853">
        <f t="shared" si="12"/>
        <v>5059.8519999999999</v>
      </c>
      <c r="F75" s="853">
        <f t="shared" si="12"/>
        <v>5239.6229999999996</v>
      </c>
      <c r="G75" s="853">
        <f t="shared" si="12"/>
        <v>5419.1779999999999</v>
      </c>
      <c r="H75" s="865">
        <f t="shared" si="12"/>
        <v>5456.5190000000002</v>
      </c>
      <c r="I75" s="1226" t="s">
        <v>1254</v>
      </c>
      <c r="J75" s="889"/>
    </row>
    <row r="76" spans="1:10" ht="12.75" hidden="1" outlineLevel="2" x14ac:dyDescent="0.2">
      <c r="A76" s="862"/>
      <c r="C76" s="854"/>
      <c r="D76" s="854"/>
      <c r="E76" s="854"/>
      <c r="F76" s="854"/>
      <c r="G76" s="854"/>
      <c r="H76" s="866"/>
      <c r="J76" s="889"/>
    </row>
    <row r="77" spans="1:10" ht="12.75" hidden="1" outlineLevel="2" x14ac:dyDescent="0.2">
      <c r="A77" s="860" t="s">
        <v>1181</v>
      </c>
      <c r="C77" s="855">
        <f t="shared" ref="C77:H77" si="13">SUM(C70:C76)</f>
        <v>38251.418000000005</v>
      </c>
      <c r="D77" s="855">
        <f t="shared" si="13"/>
        <v>40333.429000000004</v>
      </c>
      <c r="E77" s="855">
        <f t="shared" si="13"/>
        <v>39320.239999999998</v>
      </c>
      <c r="F77" s="855">
        <f t="shared" si="13"/>
        <v>40351.375999999997</v>
      </c>
      <c r="G77" s="855">
        <f t="shared" si="13"/>
        <v>42162.347999999998</v>
      </c>
      <c r="H77" s="867">
        <f t="shared" si="13"/>
        <v>43646.566760000002</v>
      </c>
      <c r="J77" s="1562" t="s">
        <v>1255</v>
      </c>
    </row>
    <row r="78" spans="1:10" ht="12.75" hidden="1" outlineLevel="2" x14ac:dyDescent="0.2">
      <c r="A78" s="860"/>
      <c r="C78" s="855"/>
      <c r="D78" s="855"/>
      <c r="E78" s="855"/>
      <c r="F78" s="855"/>
      <c r="G78" s="855"/>
      <c r="H78" s="867"/>
      <c r="J78" s="1562"/>
    </row>
    <row r="79" spans="1:10" ht="12.75" hidden="1" outlineLevel="2" x14ac:dyDescent="0.2">
      <c r="A79" s="860"/>
      <c r="C79" s="855"/>
      <c r="D79" s="855"/>
      <c r="E79" s="855"/>
      <c r="F79" s="855"/>
      <c r="G79" s="855"/>
      <c r="H79" s="867"/>
      <c r="J79" s="1562"/>
    </row>
    <row r="80" spans="1:10" ht="12.75" hidden="1" outlineLevel="2" x14ac:dyDescent="0.2">
      <c r="A80" s="860"/>
      <c r="C80" s="855"/>
      <c r="D80" s="855"/>
      <c r="E80" s="855"/>
      <c r="F80" s="855"/>
      <c r="G80" s="855"/>
      <c r="H80" s="867"/>
      <c r="J80" s="1562"/>
    </row>
    <row r="81" spans="1:10" ht="12.75" hidden="1" outlineLevel="2" x14ac:dyDescent="0.2">
      <c r="A81" s="862"/>
      <c r="C81" s="853"/>
      <c r="D81" s="853"/>
      <c r="E81" s="853"/>
      <c r="F81" s="853"/>
      <c r="G81" s="853"/>
      <c r="H81" s="865"/>
      <c r="J81" s="1562"/>
    </row>
    <row r="82" spans="1:10" ht="25.5" hidden="1" outlineLevel="2" x14ac:dyDescent="0.2">
      <c r="A82" s="862"/>
      <c r="C82" s="850" t="s">
        <v>1168</v>
      </c>
      <c r="D82" s="850" t="s">
        <v>1169</v>
      </c>
      <c r="E82" s="850" t="s">
        <v>1170</v>
      </c>
      <c r="F82" s="851" t="s">
        <v>1172</v>
      </c>
      <c r="G82" s="851" t="s">
        <v>1173</v>
      </c>
      <c r="H82" s="863" t="s">
        <v>1174</v>
      </c>
      <c r="J82" s="1562"/>
    </row>
    <row r="83" spans="1:10" ht="12.75" hidden="1" outlineLevel="2" x14ac:dyDescent="0.2">
      <c r="A83" s="860" t="s">
        <v>925</v>
      </c>
      <c r="C83" s="851"/>
      <c r="D83" s="851"/>
      <c r="E83" s="851"/>
      <c r="F83" s="851"/>
      <c r="G83" s="851"/>
      <c r="H83" s="863"/>
      <c r="J83" s="1562"/>
    </row>
    <row r="84" spans="1:10" ht="12.75" hidden="1" outlineLevel="2" x14ac:dyDescent="0.2">
      <c r="A84" s="864" t="s">
        <v>1182</v>
      </c>
      <c r="C84" s="853">
        <f t="shared" ref="C84:H89" si="14">(C144+C173)/1000</f>
        <v>11311.316000000001</v>
      </c>
      <c r="D84" s="853">
        <f t="shared" si="14"/>
        <v>11306.707</v>
      </c>
      <c r="E84" s="853">
        <f t="shared" si="14"/>
        <v>11644.458000000001</v>
      </c>
      <c r="F84" s="853">
        <f t="shared" si="14"/>
        <v>11891.706</v>
      </c>
      <c r="G84" s="853">
        <f t="shared" si="14"/>
        <v>12397.861000000001</v>
      </c>
      <c r="H84" s="865">
        <f t="shared" si="14"/>
        <v>12951.976000000001</v>
      </c>
      <c r="J84" s="1562"/>
    </row>
    <row r="85" spans="1:10" ht="12.75" hidden="1" outlineLevel="2" x14ac:dyDescent="0.2">
      <c r="A85" s="864" t="s">
        <v>27</v>
      </c>
      <c r="C85" s="853">
        <f t="shared" si="14"/>
        <v>11489.848</v>
      </c>
      <c r="D85" s="853">
        <f t="shared" si="14"/>
        <v>13091.039000000001</v>
      </c>
      <c r="E85" s="853">
        <f t="shared" si="14"/>
        <v>11910.767</v>
      </c>
      <c r="F85" s="853">
        <f t="shared" si="14"/>
        <v>12160.362999999999</v>
      </c>
      <c r="G85" s="853">
        <f t="shared" si="14"/>
        <v>12494.333000000001</v>
      </c>
      <c r="H85" s="865">
        <f t="shared" si="14"/>
        <v>13161.776999999998</v>
      </c>
      <c r="J85" s="1562"/>
    </row>
    <row r="86" spans="1:10" ht="12.75" hidden="1" outlineLevel="2" x14ac:dyDescent="0.2">
      <c r="A86" s="864" t="s">
        <v>1183</v>
      </c>
      <c r="C86" s="853">
        <f t="shared" si="14"/>
        <v>2645.893</v>
      </c>
      <c r="D86" s="853">
        <f t="shared" si="14"/>
        <v>2762.2719999999999</v>
      </c>
      <c r="E86" s="853">
        <f t="shared" si="14"/>
        <v>2775.2310000000002</v>
      </c>
      <c r="F86" s="853">
        <f t="shared" si="14"/>
        <v>2825.77</v>
      </c>
      <c r="G86" s="853">
        <f t="shared" si="14"/>
        <v>2900.8040000000001</v>
      </c>
      <c r="H86" s="865">
        <f t="shared" si="14"/>
        <v>3049.8710000000001</v>
      </c>
      <c r="J86" s="1562"/>
    </row>
    <row r="87" spans="1:10" ht="12.75" hidden="1" outlineLevel="2" x14ac:dyDescent="0.2">
      <c r="A87" s="864" t="s">
        <v>926</v>
      </c>
      <c r="C87" s="853">
        <f t="shared" si="14"/>
        <v>1500.3620000000001</v>
      </c>
      <c r="D87" s="853">
        <f t="shared" si="14"/>
        <v>1500.3620000000001</v>
      </c>
      <c r="E87" s="853">
        <f t="shared" si="14"/>
        <v>1497.172</v>
      </c>
      <c r="F87" s="853">
        <f t="shared" si="14"/>
        <v>1494.3219999999999</v>
      </c>
      <c r="G87" s="853">
        <f t="shared" si="14"/>
        <v>1911.231</v>
      </c>
      <c r="H87" s="865">
        <f t="shared" si="14"/>
        <v>2341.6210000000001</v>
      </c>
      <c r="J87" s="1562"/>
    </row>
    <row r="88" spans="1:10" ht="12.75" hidden="1" outlineLevel="2" x14ac:dyDescent="0.2">
      <c r="A88" s="864" t="s">
        <v>1077</v>
      </c>
      <c r="C88" s="853">
        <f t="shared" si="14"/>
        <v>2763.3530000000001</v>
      </c>
      <c r="D88" s="853">
        <f t="shared" si="14"/>
        <v>2765.6619999999998</v>
      </c>
      <c r="E88" s="853">
        <f t="shared" si="14"/>
        <v>2935.1770000000001</v>
      </c>
      <c r="F88" s="853">
        <f t="shared" si="14"/>
        <v>3069.22</v>
      </c>
      <c r="G88" s="853">
        <f t="shared" si="14"/>
        <v>3204.4650000000001</v>
      </c>
      <c r="H88" s="865">
        <f t="shared" si="14"/>
        <v>3340.5709999999999</v>
      </c>
      <c r="I88" s="1226" t="s">
        <v>1251</v>
      </c>
      <c r="J88" s="1562"/>
    </row>
    <row r="89" spans="1:10" ht="12.75" hidden="1" outlineLevel="2" x14ac:dyDescent="0.2">
      <c r="A89" s="864" t="s">
        <v>584</v>
      </c>
      <c r="C89" s="853">
        <f t="shared" si="14"/>
        <v>8510.6460000000006</v>
      </c>
      <c r="D89" s="853">
        <f t="shared" si="14"/>
        <v>7820.9549999999999</v>
      </c>
      <c r="E89" s="853">
        <f t="shared" si="14"/>
        <v>7625.4650000000001</v>
      </c>
      <c r="F89" s="853">
        <f t="shared" si="14"/>
        <v>7756.7839999999997</v>
      </c>
      <c r="G89" s="853">
        <f t="shared" si="14"/>
        <v>8074.7730000000001</v>
      </c>
      <c r="H89" s="865">
        <f t="shared" si="14"/>
        <v>8631.0789999999997</v>
      </c>
      <c r="J89" s="889"/>
    </row>
    <row r="90" spans="1:10" ht="12.75" hidden="1" outlineLevel="2" x14ac:dyDescent="0.2">
      <c r="A90" s="862"/>
      <c r="C90" s="854"/>
      <c r="D90" s="854"/>
      <c r="E90" s="854"/>
      <c r="F90" s="854"/>
      <c r="G90" s="854"/>
      <c r="H90" s="866"/>
    </row>
    <row r="91" spans="1:10" ht="12.75" hidden="1" outlineLevel="2" x14ac:dyDescent="0.2">
      <c r="A91" s="860" t="s">
        <v>1184</v>
      </c>
      <c r="C91" s="855">
        <f t="shared" ref="C91:H91" si="15">SUM(C84:C90)</f>
        <v>38221.418000000005</v>
      </c>
      <c r="D91" s="855">
        <f t="shared" si="15"/>
        <v>39246.997000000003</v>
      </c>
      <c r="E91" s="855">
        <f t="shared" si="15"/>
        <v>38388.269999999997</v>
      </c>
      <c r="F91" s="855">
        <f t="shared" si="15"/>
        <v>39198.165000000001</v>
      </c>
      <c r="G91" s="855">
        <f t="shared" si="15"/>
        <v>40983.467000000004</v>
      </c>
      <c r="H91" s="867">
        <f t="shared" si="15"/>
        <v>43476.89499999999</v>
      </c>
    </row>
    <row r="92" spans="1:10" ht="12.75" hidden="1" outlineLevel="2" x14ac:dyDescent="0.2">
      <c r="A92" s="862"/>
      <c r="C92" s="854"/>
      <c r="D92" s="854"/>
      <c r="E92" s="854"/>
      <c r="F92" s="854"/>
      <c r="G92" s="854"/>
      <c r="H92" s="866"/>
    </row>
    <row r="93" spans="1:10" ht="12.75" hidden="1" outlineLevel="2" x14ac:dyDescent="0.2">
      <c r="A93" s="860" t="s">
        <v>1185</v>
      </c>
      <c r="C93" s="855">
        <f>C77-C91</f>
        <v>30</v>
      </c>
      <c r="D93" s="855">
        <f t="shared" ref="D93:H93" si="16">D77-D91</f>
        <v>1086.4320000000007</v>
      </c>
      <c r="E93" s="855">
        <f t="shared" si="16"/>
        <v>931.97000000000116</v>
      </c>
      <c r="F93" s="855">
        <f t="shared" si="16"/>
        <v>1153.2109999999957</v>
      </c>
      <c r="G93" s="855">
        <f t="shared" si="16"/>
        <v>1178.8809999999939</v>
      </c>
      <c r="H93" s="867">
        <f t="shared" si="16"/>
        <v>169.671760000012</v>
      </c>
    </row>
    <row r="94" spans="1:10" ht="13.5" hidden="1" outlineLevel="2" thickBot="1" x14ac:dyDescent="0.25">
      <c r="A94" s="868"/>
      <c r="B94" s="869"/>
      <c r="C94" s="870"/>
      <c r="D94" s="870"/>
      <c r="E94" s="870"/>
      <c r="F94" s="870"/>
      <c r="G94" s="870"/>
      <c r="H94" s="871"/>
    </row>
    <row r="95" spans="1:10" ht="12.75" hidden="1" outlineLevel="2" x14ac:dyDescent="0.2">
      <c r="C95" s="853"/>
      <c r="D95" s="853"/>
      <c r="E95" s="853"/>
      <c r="F95" s="853"/>
      <c r="G95" s="853"/>
      <c r="H95" s="853"/>
    </row>
    <row r="96" spans="1:10" ht="12.75" hidden="1" outlineLevel="2" x14ac:dyDescent="0.2">
      <c r="A96" s="856" t="s">
        <v>1164</v>
      </c>
      <c r="B96" s="857" t="s">
        <v>1078</v>
      </c>
      <c r="C96" s="858"/>
      <c r="D96" s="858"/>
      <c r="E96" s="858"/>
      <c r="F96" s="858"/>
      <c r="G96" s="858"/>
      <c r="H96" s="859"/>
    </row>
    <row r="97" spans="1:8" ht="12.75" hidden="1" outlineLevel="2" x14ac:dyDescent="0.2">
      <c r="A97" s="860"/>
      <c r="B97" s="849"/>
      <c r="H97" s="861"/>
    </row>
    <row r="98" spans="1:8" ht="12.75" hidden="1" outlineLevel="2" x14ac:dyDescent="0.2">
      <c r="A98" s="862"/>
      <c r="H98" s="861"/>
    </row>
    <row r="99" spans="1:8" ht="25.5" hidden="1" outlineLevel="2" x14ac:dyDescent="0.2">
      <c r="A99" s="862"/>
      <c r="C99" s="850" t="s">
        <v>1168</v>
      </c>
      <c r="D99" s="850" t="s">
        <v>1169</v>
      </c>
      <c r="E99" s="850" t="s">
        <v>1170</v>
      </c>
      <c r="F99" s="851" t="s">
        <v>1172</v>
      </c>
      <c r="G99" s="851" t="s">
        <v>1173</v>
      </c>
      <c r="H99" s="863" t="s">
        <v>1174</v>
      </c>
    </row>
    <row r="100" spans="1:8" ht="12.75" hidden="1" outlineLevel="2" x14ac:dyDescent="0.2">
      <c r="A100" s="860" t="s">
        <v>1175</v>
      </c>
      <c r="C100" s="851"/>
      <c r="D100" s="851"/>
      <c r="E100" s="851"/>
      <c r="F100" s="851"/>
      <c r="G100" s="851"/>
      <c r="H100" s="863"/>
    </row>
    <row r="101" spans="1:8" ht="12.75" hidden="1" outlineLevel="2" x14ac:dyDescent="0.2">
      <c r="A101" s="864" t="s">
        <v>1176</v>
      </c>
      <c r="C101" s="853">
        <f>-C8/1000-C70</f>
        <v>5581.4999999999982</v>
      </c>
      <c r="D101" s="853">
        <f t="shared" ref="D101:H101" si="17">-D8/1000-D70</f>
        <v>5588.5369999999984</v>
      </c>
      <c r="E101" s="853">
        <f t="shared" si="17"/>
        <v>5350.9999999999982</v>
      </c>
      <c r="F101" s="853">
        <f t="shared" si="17"/>
        <v>5627.7950000000019</v>
      </c>
      <c r="G101" s="853">
        <f t="shared" si="17"/>
        <v>5748.0619999999981</v>
      </c>
      <c r="H101" s="865">
        <f t="shared" si="17"/>
        <v>5875.1129999999976</v>
      </c>
    </row>
    <row r="102" spans="1:8" ht="12.75" hidden="1" outlineLevel="2" x14ac:dyDescent="0.2">
      <c r="A102" s="864" t="s">
        <v>12</v>
      </c>
      <c r="C102" s="853">
        <f t="shared" ref="C102:H106" si="18">-C9/1000-C71</f>
        <v>4041.8500000000004</v>
      </c>
      <c r="D102" s="853">
        <f t="shared" si="18"/>
        <v>4046.8500000000004</v>
      </c>
      <c r="E102" s="853">
        <f t="shared" si="18"/>
        <v>4286.8750000000018</v>
      </c>
      <c r="F102" s="853">
        <f t="shared" si="18"/>
        <v>4490.7720000000008</v>
      </c>
      <c r="G102" s="853">
        <f t="shared" si="18"/>
        <v>4704.5729999999985</v>
      </c>
      <c r="H102" s="865">
        <f t="shared" si="18"/>
        <v>4928.7819999999992</v>
      </c>
    </row>
    <row r="103" spans="1:8" ht="12.75" hidden="1" outlineLevel="2" x14ac:dyDescent="0.2">
      <c r="A103" s="864" t="s">
        <v>1177</v>
      </c>
      <c r="C103" s="853">
        <f t="shared" si="18"/>
        <v>1323</v>
      </c>
      <c r="D103" s="853">
        <f t="shared" si="18"/>
        <v>1323</v>
      </c>
      <c r="E103" s="853">
        <f t="shared" si="18"/>
        <v>1224</v>
      </c>
      <c r="F103" s="853">
        <f t="shared" si="18"/>
        <v>1030.3700000000001</v>
      </c>
      <c r="G103" s="853">
        <f t="shared" si="18"/>
        <v>957.07399999999996</v>
      </c>
      <c r="H103" s="865">
        <f t="shared" si="18"/>
        <v>918.21499999999992</v>
      </c>
    </row>
    <row r="104" spans="1:8" ht="12.75" hidden="1" outlineLevel="2" x14ac:dyDescent="0.2">
      <c r="A104" s="864" t="s">
        <v>1178</v>
      </c>
      <c r="C104" s="853">
        <f t="shared" si="18"/>
        <v>0</v>
      </c>
      <c r="D104" s="853">
        <f t="shared" si="18"/>
        <v>0</v>
      </c>
      <c r="E104" s="853">
        <f t="shared" si="18"/>
        <v>0</v>
      </c>
      <c r="F104" s="853">
        <f t="shared" si="18"/>
        <v>0</v>
      </c>
      <c r="G104" s="853">
        <f t="shared" si="18"/>
        <v>0</v>
      </c>
      <c r="H104" s="865">
        <f t="shared" si="18"/>
        <v>0</v>
      </c>
    </row>
    <row r="105" spans="1:8" ht="12.75" hidden="1" outlineLevel="2" x14ac:dyDescent="0.2">
      <c r="A105" s="864" t="s">
        <v>1179</v>
      </c>
      <c r="C105" s="853">
        <f t="shared" si="18"/>
        <v>76</v>
      </c>
      <c r="D105" s="853">
        <f t="shared" si="18"/>
        <v>43.963000000000648</v>
      </c>
      <c r="E105" s="853">
        <f t="shared" si="18"/>
        <v>69.5</v>
      </c>
      <c r="F105" s="853">
        <f t="shared" si="18"/>
        <v>70.889999999999418</v>
      </c>
      <c r="G105" s="853">
        <f t="shared" si="18"/>
        <v>72.306999999999789</v>
      </c>
      <c r="H105" s="865">
        <f t="shared" si="18"/>
        <v>73.752999999999702</v>
      </c>
    </row>
    <row r="106" spans="1:8" ht="12.75" hidden="1" outlineLevel="2" x14ac:dyDescent="0.2">
      <c r="A106" s="864" t="s">
        <v>1180</v>
      </c>
      <c r="C106" s="853">
        <f t="shared" si="18"/>
        <v>0</v>
      </c>
      <c r="D106" s="853">
        <f t="shared" si="18"/>
        <v>0</v>
      </c>
      <c r="E106" s="853">
        <f t="shared" si="18"/>
        <v>0</v>
      </c>
      <c r="F106" s="853">
        <f t="shared" si="18"/>
        <v>0</v>
      </c>
      <c r="G106" s="853">
        <f t="shared" si="18"/>
        <v>0</v>
      </c>
      <c r="H106" s="865">
        <f t="shared" si="18"/>
        <v>0</v>
      </c>
    </row>
    <row r="107" spans="1:8" ht="12.75" hidden="1" outlineLevel="2" x14ac:dyDescent="0.2">
      <c r="A107" s="862"/>
      <c r="C107" s="854"/>
      <c r="D107" s="854"/>
      <c r="E107" s="854"/>
      <c r="F107" s="854"/>
      <c r="G107" s="854"/>
      <c r="H107" s="866"/>
    </row>
    <row r="108" spans="1:8" ht="12.75" hidden="1" outlineLevel="2" x14ac:dyDescent="0.2">
      <c r="A108" s="860" t="s">
        <v>1181</v>
      </c>
      <c r="C108" s="855">
        <f t="shared" ref="C108:H108" si="19">SUM(C101:C107)</f>
        <v>11022.349999999999</v>
      </c>
      <c r="D108" s="855">
        <f t="shared" si="19"/>
        <v>11002.349999999999</v>
      </c>
      <c r="E108" s="855">
        <f t="shared" si="19"/>
        <v>10931.375</v>
      </c>
      <c r="F108" s="855">
        <f t="shared" si="19"/>
        <v>11219.827000000003</v>
      </c>
      <c r="G108" s="855">
        <f t="shared" si="19"/>
        <v>11482.015999999996</v>
      </c>
      <c r="H108" s="867">
        <f t="shared" si="19"/>
        <v>11795.862999999998</v>
      </c>
    </row>
    <row r="109" spans="1:8" ht="12.75" hidden="1" outlineLevel="2" x14ac:dyDescent="0.2">
      <c r="A109" s="860"/>
      <c r="C109" s="855"/>
      <c r="D109" s="855"/>
      <c r="E109" s="855"/>
      <c r="F109" s="855"/>
      <c r="G109" s="855"/>
      <c r="H109" s="867"/>
    </row>
    <row r="110" spans="1:8" ht="12.75" hidden="1" outlineLevel="2" x14ac:dyDescent="0.2">
      <c r="A110" s="860"/>
      <c r="C110" s="855"/>
      <c r="D110" s="855"/>
      <c r="E110" s="855"/>
      <c r="F110" s="855"/>
      <c r="G110" s="855"/>
      <c r="H110" s="867"/>
    </row>
    <row r="111" spans="1:8" ht="12.75" hidden="1" outlineLevel="2" x14ac:dyDescent="0.2">
      <c r="A111" s="860"/>
      <c r="C111" s="855"/>
      <c r="D111" s="855"/>
      <c r="E111" s="855"/>
      <c r="F111" s="855"/>
      <c r="G111" s="855"/>
      <c r="H111" s="867"/>
    </row>
    <row r="112" spans="1:8" ht="12.75" hidden="1" outlineLevel="2" x14ac:dyDescent="0.2">
      <c r="A112" s="862"/>
      <c r="C112" s="853"/>
      <c r="D112" s="853"/>
      <c r="E112" s="853"/>
      <c r="F112" s="853"/>
      <c r="G112" s="853"/>
      <c r="H112" s="865"/>
    </row>
    <row r="113" spans="1:8" ht="25.5" hidden="1" outlineLevel="2" x14ac:dyDescent="0.2">
      <c r="A113" s="862"/>
      <c r="C113" s="850" t="s">
        <v>1168</v>
      </c>
      <c r="D113" s="850" t="s">
        <v>1169</v>
      </c>
      <c r="E113" s="850" t="s">
        <v>1170</v>
      </c>
      <c r="F113" s="851" t="s">
        <v>1172</v>
      </c>
      <c r="G113" s="851" t="s">
        <v>1173</v>
      </c>
      <c r="H113" s="863" t="s">
        <v>1174</v>
      </c>
    </row>
    <row r="114" spans="1:8" ht="12.75" hidden="1" outlineLevel="2" x14ac:dyDescent="0.2">
      <c r="A114" s="860" t="s">
        <v>925</v>
      </c>
      <c r="C114" s="851"/>
      <c r="D114" s="851"/>
      <c r="E114" s="851"/>
      <c r="F114" s="851"/>
      <c r="G114" s="851"/>
      <c r="H114" s="863"/>
    </row>
    <row r="115" spans="1:8" ht="12.75" hidden="1" outlineLevel="2" x14ac:dyDescent="0.2">
      <c r="A115" s="864" t="s">
        <v>1182</v>
      </c>
      <c r="C115" s="853">
        <f>C22/1000-C84</f>
        <v>1782.8209999999999</v>
      </c>
      <c r="D115" s="853">
        <f t="shared" ref="D115:H115" si="20">D22/1000-D84</f>
        <v>1872.8209999999999</v>
      </c>
      <c r="E115" s="853">
        <f t="shared" si="20"/>
        <v>1927.280999999999</v>
      </c>
      <c r="F115" s="853">
        <f t="shared" si="20"/>
        <v>1997.8199999999997</v>
      </c>
      <c r="G115" s="853">
        <f t="shared" si="20"/>
        <v>2071.9289999999964</v>
      </c>
      <c r="H115" s="865">
        <f t="shared" si="20"/>
        <v>2149.125</v>
      </c>
    </row>
    <row r="116" spans="1:8" ht="12.75" hidden="1" outlineLevel="2" x14ac:dyDescent="0.2">
      <c r="A116" s="864" t="s">
        <v>27</v>
      </c>
      <c r="C116" s="853">
        <f t="shared" ref="C116:H120" si="21">C23/1000-C85</f>
        <v>2724.7000000000007</v>
      </c>
      <c r="D116" s="853">
        <f t="shared" si="21"/>
        <v>2644.6999999999989</v>
      </c>
      <c r="E116" s="853">
        <f t="shared" si="21"/>
        <v>2514.1000000000004</v>
      </c>
      <c r="F116" s="853">
        <f t="shared" si="21"/>
        <v>2488.8420000000024</v>
      </c>
      <c r="G116" s="853">
        <f t="shared" si="21"/>
        <v>2566.7389999999996</v>
      </c>
      <c r="H116" s="865">
        <f t="shared" si="21"/>
        <v>2647.9809999999998</v>
      </c>
    </row>
    <row r="117" spans="1:8" ht="12.75" hidden="1" outlineLevel="2" x14ac:dyDescent="0.2">
      <c r="A117" s="864" t="s">
        <v>1183</v>
      </c>
      <c r="C117" s="853">
        <f t="shared" si="21"/>
        <v>558.94999999999982</v>
      </c>
      <c r="D117" s="853">
        <f t="shared" si="21"/>
        <v>558.95000000000027</v>
      </c>
      <c r="E117" s="853">
        <f t="shared" si="21"/>
        <v>532.04999999999973</v>
      </c>
      <c r="F117" s="853">
        <f t="shared" si="21"/>
        <v>549.95100000000002</v>
      </c>
      <c r="G117" s="853">
        <f t="shared" si="21"/>
        <v>568.71600000000035</v>
      </c>
      <c r="H117" s="865">
        <f t="shared" si="21"/>
        <v>588.1260000000002</v>
      </c>
    </row>
    <row r="118" spans="1:8" ht="12.75" hidden="1" outlineLevel="2" x14ac:dyDescent="0.2">
      <c r="A118" s="864" t="s">
        <v>926</v>
      </c>
      <c r="C118" s="853">
        <f t="shared" si="21"/>
        <v>215.49599999999987</v>
      </c>
      <c r="D118" s="853">
        <f t="shared" si="21"/>
        <v>215.49599999999987</v>
      </c>
      <c r="E118" s="853">
        <f t="shared" si="21"/>
        <v>629.54</v>
      </c>
      <c r="F118" s="853">
        <f t="shared" si="21"/>
        <v>933.7</v>
      </c>
      <c r="G118" s="853">
        <f t="shared" si="21"/>
        <v>912.73900000000026</v>
      </c>
      <c r="H118" s="865">
        <f t="shared" si="21"/>
        <v>888.79600000000028</v>
      </c>
    </row>
    <row r="119" spans="1:8" ht="12.75" hidden="1" outlineLevel="2" x14ac:dyDescent="0.2">
      <c r="A119" s="864" t="s">
        <v>1077</v>
      </c>
      <c r="C119" s="853">
        <f t="shared" si="21"/>
        <v>2020</v>
      </c>
      <c r="D119" s="853">
        <f t="shared" si="21"/>
        <v>2020.0000000000005</v>
      </c>
      <c r="E119" s="853">
        <f t="shared" si="21"/>
        <v>2062.1749999999997</v>
      </c>
      <c r="F119" s="853">
        <f t="shared" si="21"/>
        <v>2105.4030000000007</v>
      </c>
      <c r="G119" s="853">
        <f t="shared" si="21"/>
        <v>2149.7130000000006</v>
      </c>
      <c r="H119" s="865">
        <f t="shared" si="21"/>
        <v>2195.1310000000003</v>
      </c>
    </row>
    <row r="120" spans="1:8" ht="12.75" hidden="1" outlineLevel="2" x14ac:dyDescent="0.2">
      <c r="A120" s="864" t="s">
        <v>584</v>
      </c>
      <c r="C120" s="853">
        <f t="shared" si="21"/>
        <v>2776.3389999999999</v>
      </c>
      <c r="D120" s="853">
        <f t="shared" si="21"/>
        <v>2776.3389999999999</v>
      </c>
      <c r="E120" s="853">
        <f t="shared" si="21"/>
        <v>2786.1000000000004</v>
      </c>
      <c r="F120" s="853">
        <f t="shared" si="21"/>
        <v>3014.4000000000015</v>
      </c>
      <c r="G120" s="853">
        <f t="shared" si="21"/>
        <v>3074.7589999999991</v>
      </c>
      <c r="H120" s="865">
        <f t="shared" si="21"/>
        <v>3134.1020000000008</v>
      </c>
    </row>
    <row r="121" spans="1:8" ht="12.75" hidden="1" outlineLevel="2" x14ac:dyDescent="0.2">
      <c r="A121" s="862"/>
      <c r="C121" s="854"/>
      <c r="D121" s="854"/>
      <c r="E121" s="854"/>
      <c r="F121" s="854"/>
      <c r="G121" s="854"/>
      <c r="H121" s="866"/>
    </row>
    <row r="122" spans="1:8" ht="12.75" hidden="1" outlineLevel="2" x14ac:dyDescent="0.2">
      <c r="A122" s="860" t="s">
        <v>1184</v>
      </c>
      <c r="C122" s="855">
        <f t="shared" ref="C122:H122" si="22">SUM(C115:C121)</f>
        <v>10078.306</v>
      </c>
      <c r="D122" s="855">
        <f t="shared" si="22"/>
        <v>10088.306</v>
      </c>
      <c r="E122" s="855">
        <f t="shared" si="22"/>
        <v>10451.245999999999</v>
      </c>
      <c r="F122" s="855">
        <f t="shared" si="22"/>
        <v>11090.116000000004</v>
      </c>
      <c r="G122" s="855">
        <f t="shared" si="22"/>
        <v>11344.594999999998</v>
      </c>
      <c r="H122" s="867">
        <f t="shared" si="22"/>
        <v>11603.261</v>
      </c>
    </row>
    <row r="123" spans="1:8" ht="12.75" hidden="1" outlineLevel="2" x14ac:dyDescent="0.2">
      <c r="A123" s="862"/>
      <c r="C123" s="854"/>
      <c r="D123" s="854"/>
      <c r="E123" s="854"/>
      <c r="F123" s="854"/>
      <c r="G123" s="854"/>
      <c r="H123" s="866"/>
    </row>
    <row r="124" spans="1:8" ht="12.75" hidden="1" outlineLevel="2" x14ac:dyDescent="0.2">
      <c r="A124" s="860" t="s">
        <v>1185</v>
      </c>
      <c r="C124" s="855">
        <f>C108-C122</f>
        <v>944.04399999999805</v>
      </c>
      <c r="D124" s="855">
        <f t="shared" ref="D124:H124" si="23">D108-D122</f>
        <v>914.04399999999805</v>
      </c>
      <c r="E124" s="855">
        <f t="shared" si="23"/>
        <v>480.12900000000081</v>
      </c>
      <c r="F124" s="855">
        <f t="shared" si="23"/>
        <v>129.71099999999933</v>
      </c>
      <c r="G124" s="855">
        <f t="shared" si="23"/>
        <v>137.42099999999846</v>
      </c>
      <c r="H124" s="867">
        <f t="shared" si="23"/>
        <v>192.60199999999713</v>
      </c>
    </row>
    <row r="125" spans="1:8" ht="13.5" hidden="1" outlineLevel="2" thickBot="1" x14ac:dyDescent="0.25">
      <c r="A125" s="868"/>
      <c r="B125" s="869"/>
      <c r="C125" s="870"/>
      <c r="D125" s="870"/>
      <c r="E125" s="870"/>
      <c r="F125" s="870"/>
      <c r="G125" s="870"/>
      <c r="H125" s="871"/>
    </row>
    <row r="126" spans="1:8" ht="12.75" x14ac:dyDescent="0.2">
      <c r="A126" s="849" t="s">
        <v>1166</v>
      </c>
      <c r="B126" s="849" t="s">
        <v>1638</v>
      </c>
    </row>
    <row r="128" spans="1:8" ht="25.5" customHeight="1" x14ac:dyDescent="0.2">
      <c r="C128" s="1285" t="s">
        <v>1168</v>
      </c>
      <c r="D128" s="1304" t="s">
        <v>1633</v>
      </c>
      <c r="E128" s="1285" t="s">
        <v>1170</v>
      </c>
      <c r="F128" s="1286" t="s">
        <v>1172</v>
      </c>
      <c r="G128" s="1286" t="s">
        <v>1173</v>
      </c>
      <c r="H128" s="1286" t="s">
        <v>1174</v>
      </c>
    </row>
    <row r="129" spans="1:8" ht="12.75" x14ac:dyDescent="0.2">
      <c r="A129" s="849" t="s">
        <v>1175</v>
      </c>
      <c r="C129" s="1286"/>
      <c r="D129" s="1281"/>
      <c r="E129" s="1286"/>
      <c r="F129" s="1286"/>
      <c r="G129" s="1286"/>
      <c r="H129" s="1286"/>
    </row>
    <row r="130" spans="1:8" ht="12.75" customHeight="1" x14ac:dyDescent="0.2">
      <c r="A130" s="852" t="s">
        <v>1176</v>
      </c>
      <c r="C130" s="1280">
        <v>-14450315</v>
      </c>
      <c r="D130" s="1282">
        <v>-14450315</v>
      </c>
      <c r="E130" s="1280">
        <f>-'Gen Fund  Inc Exp Statement'!G87*1000</f>
        <v>-15563977</v>
      </c>
      <c r="F130" s="1280">
        <f>-'Gen Fund  Inc Exp Statement'!H87*1000</f>
        <v>-16356162</v>
      </c>
      <c r="G130" s="1280">
        <f>-'Gen Fund  Inc Exp Statement'!I87*1000</f>
        <v>-17465653</v>
      </c>
      <c r="H130" s="1280">
        <f>-'Gen Fund  Inc Exp Statement'!J87*1000</f>
        <v>-18306119</v>
      </c>
    </row>
    <row r="131" spans="1:8" ht="12.75" customHeight="1" x14ac:dyDescent="0.2">
      <c r="A131" s="852" t="s">
        <v>12</v>
      </c>
      <c r="C131" s="1280">
        <v>-6434666</v>
      </c>
      <c r="D131" s="1282">
        <v>-6411773</v>
      </c>
      <c r="E131" s="1280">
        <f>-'Gen Fund  Inc Exp Statement'!G88*1000</f>
        <v>-6694225</v>
      </c>
      <c r="F131" s="1280">
        <f>-'Gen Fund  Inc Exp Statement'!H88*1000</f>
        <v>-6699700</v>
      </c>
      <c r="G131" s="1280">
        <f>-'Gen Fund  Inc Exp Statement'!I88*1000</f>
        <v>-6981927</v>
      </c>
      <c r="H131" s="1280">
        <f>-'Gen Fund  Inc Exp Statement'!J88*1000</f>
        <v>-7344561</v>
      </c>
    </row>
    <row r="132" spans="1:8" ht="12.75" customHeight="1" x14ac:dyDescent="0.2">
      <c r="A132" s="852" t="s">
        <v>1177</v>
      </c>
      <c r="C132" s="1280">
        <v>-931500</v>
      </c>
      <c r="D132" s="1282">
        <v>-945000</v>
      </c>
      <c r="E132" s="1280">
        <f>-'Gen Fund  Inc Exp Statement'!G89*1000</f>
        <v>-938209</v>
      </c>
      <c r="F132" s="1280">
        <f>-'Gen Fund  Inc Exp Statement'!H89*1000</f>
        <v>-947193</v>
      </c>
      <c r="G132" s="1280">
        <f>-'Gen Fund  Inc Exp Statement'!I89*1000</f>
        <v>-956889</v>
      </c>
      <c r="H132" s="1280">
        <f>-'Gen Fund  Inc Exp Statement'!J89*1000</f>
        <v>-965433</v>
      </c>
    </row>
    <row r="133" spans="1:8" ht="12.75" customHeight="1" x14ac:dyDescent="0.2">
      <c r="A133" s="852" t="s">
        <v>1178</v>
      </c>
      <c r="C133" s="1280">
        <v>-2424537</v>
      </c>
      <c r="D133" s="1282">
        <v>-3002744</v>
      </c>
      <c r="E133" s="1280">
        <f>-'Gen Fund  Inc Exp Statement'!G90*1000</f>
        <v>-2409788</v>
      </c>
      <c r="F133" s="1280">
        <f>-'Gen Fund  Inc Exp Statement'!H90*1000</f>
        <v>-2463804</v>
      </c>
      <c r="G133" s="1280">
        <f>-'Gen Fund  Inc Exp Statement'!I90*1000</f>
        <v>-2520379</v>
      </c>
      <c r="H133" s="1280">
        <f>-'Gen Fund  Inc Exp Statement'!J90*1000</f>
        <v>-2578016</v>
      </c>
    </row>
    <row r="134" spans="1:8" ht="12.75" customHeight="1" x14ac:dyDescent="0.2">
      <c r="A134" s="852" t="s">
        <v>1179</v>
      </c>
      <c r="C134" s="1280">
        <v>-6174744</v>
      </c>
      <c r="D134" s="1282">
        <v>-6297941</v>
      </c>
      <c r="E134" s="1280">
        <f>-'Gen Fund  Inc Exp Statement'!G91*1000</f>
        <v>-5450889</v>
      </c>
      <c r="F134" s="1280">
        <f>-'Gen Fund  Inc Exp Statement'!H91*1000</f>
        <v>-5547351</v>
      </c>
      <c r="G134" s="1280">
        <f>-'Gen Fund  Inc Exp Statement'!I91*1000</f>
        <v>-5643589</v>
      </c>
      <c r="H134" s="1280">
        <f>-'Gen Fund  Inc Exp Statement'!J91*1000</f>
        <v>-5741765.7599999998</v>
      </c>
    </row>
    <row r="135" spans="1:8" ht="12.75" customHeight="1" x14ac:dyDescent="0.2">
      <c r="A135" s="852" t="s">
        <v>1180</v>
      </c>
      <c r="C135" s="1280">
        <v>-4783353</v>
      </c>
      <c r="D135" s="1282">
        <v>-6163353</v>
      </c>
      <c r="E135" s="1280">
        <f>-'Gen Fund  Inc Exp Statement'!G93*1000</f>
        <v>-5059852</v>
      </c>
      <c r="F135" s="1280">
        <f>-'Gen Fund  Inc Exp Statement'!H93*1000</f>
        <v>-5239623</v>
      </c>
      <c r="G135" s="1280">
        <f>-'Gen Fund  Inc Exp Statement'!I93*1000</f>
        <v>-5419178</v>
      </c>
      <c r="H135" s="1280">
        <f>-'Gen Fund  Inc Exp Statement'!J93*1000</f>
        <v>-5456519</v>
      </c>
    </row>
    <row r="136" spans="1:8" ht="12.75" x14ac:dyDescent="0.2">
      <c r="C136" s="1289"/>
      <c r="D136" s="1287"/>
      <c r="E136" s="1289"/>
      <c r="F136" s="1289"/>
      <c r="G136" s="1289"/>
      <c r="H136" s="1289"/>
    </row>
    <row r="137" spans="1:8" ht="12.75" x14ac:dyDescent="0.2">
      <c r="A137" s="849" t="s">
        <v>1181</v>
      </c>
      <c r="C137" s="1288">
        <f>SUM(C130:C136)</f>
        <v>-35199115</v>
      </c>
      <c r="D137" s="1288">
        <f t="shared" ref="D137:H137" si="24">SUM(D130:D136)</f>
        <v>-37271126</v>
      </c>
      <c r="E137" s="1288">
        <f t="shared" si="24"/>
        <v>-36116940</v>
      </c>
      <c r="F137" s="1288">
        <f t="shared" si="24"/>
        <v>-37253833</v>
      </c>
      <c r="G137" s="1288">
        <f t="shared" si="24"/>
        <v>-38987615</v>
      </c>
      <c r="H137" s="1288">
        <f t="shared" si="24"/>
        <v>-40392413.759999998</v>
      </c>
    </row>
    <row r="138" spans="1:8" ht="12.75" x14ac:dyDescent="0.2">
      <c r="A138" s="849"/>
      <c r="C138" s="855"/>
      <c r="D138" s="855"/>
      <c r="E138" s="855"/>
      <c r="F138" s="855"/>
      <c r="G138" s="855"/>
      <c r="H138" s="855"/>
    </row>
    <row r="139" spans="1:8" ht="12.75" x14ac:dyDescent="0.2">
      <c r="A139" s="849"/>
      <c r="C139" s="855"/>
      <c r="D139" s="855"/>
      <c r="E139" s="855"/>
      <c r="F139" s="855"/>
      <c r="G139" s="855"/>
      <c r="H139" s="855"/>
    </row>
    <row r="140" spans="1:8" ht="12.75" x14ac:dyDescent="0.2">
      <c r="A140" s="849"/>
      <c r="C140" s="855"/>
      <c r="D140" s="855"/>
      <c r="E140" s="855"/>
      <c r="F140" s="855"/>
      <c r="G140" s="855"/>
      <c r="H140" s="855"/>
    </row>
    <row r="141" spans="1:8" ht="12.75" x14ac:dyDescent="0.2">
      <c r="C141" s="853"/>
      <c r="D141" s="853"/>
      <c r="E141" s="853"/>
      <c r="F141" s="853"/>
      <c r="G141" s="853"/>
      <c r="H141" s="853"/>
    </row>
    <row r="142" spans="1:8" ht="25.5" x14ac:dyDescent="0.2">
      <c r="C142" s="1295" t="s">
        <v>1168</v>
      </c>
      <c r="D142" s="1304" t="s">
        <v>1633</v>
      </c>
      <c r="E142" s="1295" t="s">
        <v>1170</v>
      </c>
      <c r="F142" s="1296" t="s">
        <v>1172</v>
      </c>
      <c r="G142" s="1296" t="s">
        <v>1173</v>
      </c>
      <c r="H142" s="1296" t="s">
        <v>1174</v>
      </c>
    </row>
    <row r="143" spans="1:8" ht="12.75" x14ac:dyDescent="0.2">
      <c r="A143" s="849" t="s">
        <v>925</v>
      </c>
      <c r="C143" s="1296"/>
      <c r="D143" s="1291"/>
      <c r="E143" s="1296"/>
      <c r="F143" s="1296"/>
      <c r="G143" s="1296"/>
      <c r="H143" s="1296"/>
    </row>
    <row r="144" spans="1:8" ht="12.75" customHeight="1" x14ac:dyDescent="0.2">
      <c r="A144" s="852" t="s">
        <v>1182</v>
      </c>
      <c r="C144" s="1290">
        <v>11231316</v>
      </c>
      <c r="D144" s="1134">
        <v>11226707</v>
      </c>
      <c r="E144" s="1290">
        <f>'Gen Fund  Inc Exp Statement'!G101*1000</f>
        <v>11563034</v>
      </c>
      <c r="F144" s="1290">
        <f>'Gen Fund  Inc Exp Statement'!H101*1000</f>
        <v>11807840</v>
      </c>
      <c r="G144" s="1290">
        <f>'Gen Fund  Inc Exp Statement'!I101*1000</f>
        <v>12311479</v>
      </c>
      <c r="H144" s="1290">
        <f>'Gen Fund  Inc Exp Statement'!J101*1000</f>
        <v>12863002</v>
      </c>
    </row>
    <row r="145" spans="1:8" ht="12.75" customHeight="1" x14ac:dyDescent="0.2">
      <c r="A145" s="852" t="s">
        <v>27</v>
      </c>
      <c r="C145" s="1290">
        <v>10912698</v>
      </c>
      <c r="D145" s="1134">
        <v>12520239</v>
      </c>
      <c r="E145" s="1290">
        <f>'Gen Fund  Inc Exp Statement'!G103*1000</f>
        <v>11347192</v>
      </c>
      <c r="F145" s="1290">
        <f>'Gen Fund  Inc Exp Statement'!H103*1000</f>
        <v>11614832</v>
      </c>
      <c r="G145" s="1290">
        <f>'Gen Fund  Inc Exp Statement'!I103*1000</f>
        <v>11937617</v>
      </c>
      <c r="H145" s="1290">
        <f>'Gen Fund  Inc Exp Statement'!J103*1000</f>
        <v>12593618.999999998</v>
      </c>
    </row>
    <row r="146" spans="1:8" ht="12.75" customHeight="1" x14ac:dyDescent="0.2">
      <c r="A146" s="852" t="s">
        <v>1183</v>
      </c>
      <c r="C146" s="1290">
        <v>2286850</v>
      </c>
      <c r="D146" s="1134">
        <v>2386879</v>
      </c>
      <c r="E146" s="1290">
        <f>'Gen Fund  Inc Exp Statement'!G108*1000</f>
        <v>2395631</v>
      </c>
      <c r="F146" s="1290">
        <f>'Gen Fund  Inc Exp Statement'!H108*1000</f>
        <v>2446074</v>
      </c>
      <c r="G146" s="1290">
        <f>'Gen Fund  Inc Exp Statement'!I108*1000</f>
        <v>2513583</v>
      </c>
      <c r="H146" s="1290">
        <f>'Gen Fund  Inc Exp Statement'!J108*1000</f>
        <v>2654968</v>
      </c>
    </row>
    <row r="147" spans="1:8" ht="12.75" customHeight="1" x14ac:dyDescent="0.2">
      <c r="A147" s="852" t="s">
        <v>926</v>
      </c>
      <c r="C147" s="1290">
        <v>592127</v>
      </c>
      <c r="D147" s="1134">
        <v>592127</v>
      </c>
      <c r="E147" s="1290">
        <f>'Gen Fund  Inc Exp Statement'!G102*1000</f>
        <v>588937</v>
      </c>
      <c r="F147" s="1290">
        <f>'Gen Fund  Inc Exp Statement'!H102*1000</f>
        <v>586087</v>
      </c>
      <c r="G147" s="1290">
        <f>'Gen Fund  Inc Exp Statement'!I102*1000</f>
        <v>1002996</v>
      </c>
      <c r="H147" s="1290">
        <f>'Gen Fund  Inc Exp Statement'!J102*1000</f>
        <v>1433386</v>
      </c>
    </row>
    <row r="148" spans="1:8" ht="12.75" customHeight="1" x14ac:dyDescent="0.2">
      <c r="A148" s="852" t="s">
        <v>1077</v>
      </c>
      <c r="C148" s="1290">
        <v>1763353</v>
      </c>
      <c r="D148" s="1134">
        <v>1765662</v>
      </c>
      <c r="E148" s="1290">
        <f>'Gen Fund  Inc Exp Statement'!G104*1000</f>
        <v>1835177</v>
      </c>
      <c r="F148" s="1290">
        <f>'Gen Fund  Inc Exp Statement'!H104*1000</f>
        <v>1869220</v>
      </c>
      <c r="G148" s="1290">
        <f>'Gen Fund  Inc Exp Statement'!I104*1000</f>
        <v>1904465</v>
      </c>
      <c r="H148" s="1290">
        <f>'Gen Fund  Inc Exp Statement'!J104*1000</f>
        <v>1940571</v>
      </c>
    </row>
    <row r="149" spans="1:8" ht="12.75" customHeight="1" x14ac:dyDescent="0.2">
      <c r="A149" s="852" t="s">
        <v>584</v>
      </c>
      <c r="C149" s="1290">
        <v>8510646</v>
      </c>
      <c r="D149" s="1134">
        <v>7529701</v>
      </c>
      <c r="E149" s="1290">
        <f>'Gen Fund  Inc Exp Statement'!G105*1000</f>
        <v>7355778</v>
      </c>
      <c r="F149" s="1290">
        <f>'Gen Fund  Inc Exp Statement'!H105*1000</f>
        <v>7480789</v>
      </c>
      <c r="G149" s="1290">
        <f>'Gen Fund  Inc Exp Statement'!I105*1000</f>
        <v>7794118</v>
      </c>
      <c r="H149" s="1290">
        <f>'Gen Fund  Inc Exp Statement'!J105*1000</f>
        <v>8342010</v>
      </c>
    </row>
    <row r="150" spans="1:8" ht="12.75" x14ac:dyDescent="0.2">
      <c r="C150" s="1299"/>
      <c r="D150" s="1297"/>
      <c r="E150" s="1299"/>
      <c r="F150" s="1299"/>
      <c r="G150" s="1299"/>
      <c r="H150" s="1299"/>
    </row>
    <row r="151" spans="1:8" ht="12.75" x14ac:dyDescent="0.2">
      <c r="A151" s="849" t="s">
        <v>1184</v>
      </c>
      <c r="C151" s="1298">
        <f>SUM(C144:C150)</f>
        <v>35296990</v>
      </c>
      <c r="D151" s="1298">
        <f t="shared" ref="D151:H151" si="25">SUM(D144:D150)</f>
        <v>36021315</v>
      </c>
      <c r="E151" s="1298">
        <f t="shared" si="25"/>
        <v>35085749</v>
      </c>
      <c r="F151" s="1298">
        <f t="shared" si="25"/>
        <v>35804842</v>
      </c>
      <c r="G151" s="1298">
        <f t="shared" si="25"/>
        <v>37464258</v>
      </c>
      <c r="H151" s="1298">
        <f t="shared" si="25"/>
        <v>39827556</v>
      </c>
    </row>
    <row r="152" spans="1:8" ht="12.75" x14ac:dyDescent="0.2">
      <c r="C152" s="1299"/>
      <c r="D152" s="1297"/>
      <c r="E152" s="1299"/>
      <c r="F152" s="1299"/>
      <c r="G152" s="1299"/>
      <c r="H152" s="1299"/>
    </row>
    <row r="153" spans="1:8" ht="12.75" x14ac:dyDescent="0.2">
      <c r="A153" s="849" t="s">
        <v>1185</v>
      </c>
      <c r="C153" s="1298">
        <f>C137+C151</f>
        <v>97875</v>
      </c>
      <c r="D153" s="1298">
        <f t="shared" ref="D153:H153" si="26">D137+D151</f>
        <v>-1249811</v>
      </c>
      <c r="E153" s="1298">
        <f t="shared" si="26"/>
        <v>-1031191</v>
      </c>
      <c r="F153" s="1298">
        <f t="shared" si="26"/>
        <v>-1448991</v>
      </c>
      <c r="G153" s="1298">
        <f t="shared" si="26"/>
        <v>-1523357</v>
      </c>
      <c r="H153" s="1298">
        <f t="shared" si="26"/>
        <v>-564857.75999999791</v>
      </c>
    </row>
    <row r="154" spans="1:8" ht="12.75" x14ac:dyDescent="0.2">
      <c r="A154" s="849"/>
      <c r="C154" s="855"/>
      <c r="D154" s="855"/>
      <c r="E154" s="855"/>
      <c r="F154" s="855"/>
      <c r="G154" s="855"/>
      <c r="H154" s="855"/>
    </row>
    <row r="155" spans="1:8" ht="12.75" x14ac:dyDescent="0.2">
      <c r="A155" s="849"/>
      <c r="C155" s="855"/>
      <c r="D155" s="855"/>
      <c r="E155" s="855"/>
      <c r="F155" s="855"/>
      <c r="G155" s="855"/>
      <c r="H155" s="855"/>
    </row>
    <row r="156" spans="1:8" ht="12.75" x14ac:dyDescent="0.2">
      <c r="A156" s="849"/>
      <c r="C156" s="855"/>
      <c r="D156" s="855"/>
      <c r="E156" s="855"/>
      <c r="F156" s="855"/>
      <c r="G156" s="855"/>
      <c r="H156" s="855"/>
    </row>
    <row r="157" spans="1:8" ht="12.75" x14ac:dyDescent="0.2">
      <c r="A157" s="849" t="s">
        <v>1164</v>
      </c>
      <c r="B157" s="849" t="s">
        <v>1189</v>
      </c>
    </row>
    <row r="158" spans="1:8" ht="12.75" x14ac:dyDescent="0.2">
      <c r="A158" s="849" t="s">
        <v>1166</v>
      </c>
      <c r="B158" s="849" t="s">
        <v>1639</v>
      </c>
    </row>
    <row r="159" spans="1:8" ht="12.75" x14ac:dyDescent="0.2">
      <c r="A159" s="849"/>
      <c r="B159" s="849"/>
    </row>
    <row r="161" spans="1:10" ht="25.5" customHeight="1" x14ac:dyDescent="0.2">
      <c r="C161" s="1264" t="s">
        <v>1168</v>
      </c>
      <c r="D161" s="1304" t="s">
        <v>1633</v>
      </c>
      <c r="E161" s="1264" t="s">
        <v>1170</v>
      </c>
      <c r="F161" s="1265" t="s">
        <v>1172</v>
      </c>
      <c r="G161" s="1265" t="s">
        <v>1173</v>
      </c>
      <c r="H161" s="1265" t="s">
        <v>1174</v>
      </c>
    </row>
    <row r="162" spans="1:10" ht="12.75" x14ac:dyDescent="0.2">
      <c r="A162" s="849" t="s">
        <v>1175</v>
      </c>
      <c r="C162" s="1265"/>
      <c r="D162" s="1260"/>
      <c r="E162" s="1265"/>
      <c r="F162" s="1265"/>
      <c r="G162" s="1265"/>
      <c r="H162" s="1265"/>
    </row>
    <row r="163" spans="1:10" ht="12.75" x14ac:dyDescent="0.2">
      <c r="A163" s="852" t="s">
        <v>12</v>
      </c>
      <c r="C163" s="1259">
        <v>-3052303</v>
      </c>
      <c r="D163" s="1261">
        <v>-3062303</v>
      </c>
      <c r="E163" s="1259">
        <f>-'Future Fund  Inc Exp Statement'!G85*1000</f>
        <v>-3203300</v>
      </c>
      <c r="F163" s="1259">
        <f>-'Future Fund  Inc Exp Statement'!H85*1000</f>
        <v>-3097543</v>
      </c>
      <c r="G163" s="1259">
        <f>-'Future Fund  Inc Exp Statement'!I85*1000</f>
        <v>-3174733</v>
      </c>
      <c r="H163" s="1259">
        <f>-'Future Fund  Inc Exp Statement'!J85*1000</f>
        <v>-3254153</v>
      </c>
    </row>
    <row r="164" spans="1:10" ht="12.75" x14ac:dyDescent="0.2">
      <c r="A164" s="852"/>
      <c r="C164" s="1259"/>
      <c r="D164" s="1261"/>
      <c r="E164" s="1259"/>
      <c r="F164" s="1259"/>
      <c r="G164" s="1259"/>
      <c r="H164" s="1259"/>
    </row>
    <row r="165" spans="1:10" ht="12.75" x14ac:dyDescent="0.2">
      <c r="C165" s="1268"/>
      <c r="D165" s="1266"/>
      <c r="E165" s="1268"/>
      <c r="F165" s="1268"/>
      <c r="G165" s="1268"/>
      <c r="H165" s="1268"/>
    </row>
    <row r="166" spans="1:10" ht="12.75" x14ac:dyDescent="0.2">
      <c r="A166" s="849" t="s">
        <v>1181</v>
      </c>
      <c r="C166" s="1267">
        <f>SUM(C163:C165)</f>
        <v>-3052303</v>
      </c>
      <c r="D166" s="1267">
        <f t="shared" ref="D166:H166" si="27">SUM(D163:D165)</f>
        <v>-3062303</v>
      </c>
      <c r="E166" s="1267">
        <f t="shared" si="27"/>
        <v>-3203300</v>
      </c>
      <c r="F166" s="1267">
        <f t="shared" si="27"/>
        <v>-3097543</v>
      </c>
      <c r="G166" s="1267">
        <f t="shared" si="27"/>
        <v>-3174733</v>
      </c>
      <c r="H166" s="1267">
        <f t="shared" si="27"/>
        <v>-3254153</v>
      </c>
    </row>
    <row r="167" spans="1:10" ht="12.75" x14ac:dyDescent="0.2">
      <c r="A167" s="849"/>
      <c r="C167" s="855"/>
      <c r="D167" s="855"/>
      <c r="E167" s="855"/>
      <c r="F167" s="855"/>
      <c r="G167" s="855"/>
      <c r="H167" s="855"/>
    </row>
    <row r="168" spans="1:10" ht="12.75" x14ac:dyDescent="0.2">
      <c r="A168" s="849"/>
      <c r="C168" s="855"/>
      <c r="D168" s="855"/>
      <c r="E168" s="855"/>
      <c r="F168" s="855"/>
      <c r="G168" s="855"/>
      <c r="H168" s="855"/>
    </row>
    <row r="169" spans="1:10" ht="12.75" hidden="1" x14ac:dyDescent="0.2">
      <c r="A169" s="849"/>
      <c r="B169" s="1395" t="s">
        <v>926</v>
      </c>
      <c r="C169" s="1396"/>
      <c r="D169" s="1396"/>
      <c r="E169" s="1396"/>
      <c r="F169" s="1397">
        <v>834235</v>
      </c>
      <c r="G169" s="1397">
        <v>784235</v>
      </c>
      <c r="H169" s="1397">
        <v>734235</v>
      </c>
      <c r="I169" s="1398" t="s">
        <v>1494</v>
      </c>
      <c r="J169" s="1398"/>
    </row>
    <row r="170" spans="1:10" ht="12.75" x14ac:dyDescent="0.2">
      <c r="C170" s="853"/>
      <c r="D170" s="853"/>
      <c r="E170" s="853"/>
      <c r="F170" s="853"/>
      <c r="G170" s="853"/>
      <c r="H170" s="853"/>
    </row>
    <row r="171" spans="1:10" ht="25.5" x14ac:dyDescent="0.2">
      <c r="C171" s="1275" t="s">
        <v>1168</v>
      </c>
      <c r="D171" s="1304" t="s">
        <v>1633</v>
      </c>
      <c r="E171" s="1275" t="s">
        <v>1170</v>
      </c>
      <c r="F171" s="1276" t="s">
        <v>1172</v>
      </c>
      <c r="G171" s="1276" t="s">
        <v>1173</v>
      </c>
      <c r="H171" s="1276" t="s">
        <v>1174</v>
      </c>
    </row>
    <row r="172" spans="1:10" ht="12.75" x14ac:dyDescent="0.2">
      <c r="A172" s="849" t="s">
        <v>925</v>
      </c>
      <c r="C172" s="1276"/>
      <c r="D172" s="1271"/>
      <c r="E172" s="1276"/>
      <c r="F172" s="1276"/>
      <c r="G172" s="1276"/>
      <c r="H172" s="1276"/>
    </row>
    <row r="173" spans="1:10" ht="12.75" customHeight="1" x14ac:dyDescent="0.2">
      <c r="A173" s="852" t="s">
        <v>1182</v>
      </c>
      <c r="C173" s="1270">
        <v>80000</v>
      </c>
      <c r="D173" s="1272">
        <v>80000</v>
      </c>
      <c r="E173" s="1270">
        <f>'Future Fund  Inc Exp Statement'!G98*1000</f>
        <v>81424</v>
      </c>
      <c r="F173" s="1270">
        <f>'Future Fund  Inc Exp Statement'!H98*1000</f>
        <v>83866</v>
      </c>
      <c r="G173" s="1270">
        <f>'Future Fund  Inc Exp Statement'!I98*1000</f>
        <v>86382</v>
      </c>
      <c r="H173" s="1270">
        <f>'Future Fund  Inc Exp Statement'!J98*1000</f>
        <v>88974</v>
      </c>
    </row>
    <row r="174" spans="1:10" ht="12.75" customHeight="1" x14ac:dyDescent="0.2">
      <c r="A174" s="852" t="s">
        <v>27</v>
      </c>
      <c r="C174" s="1270">
        <v>577150</v>
      </c>
      <c r="D174" s="1272">
        <v>570800</v>
      </c>
      <c r="E174" s="1270">
        <f>'Future Fund  Inc Exp Statement'!G100*1000</f>
        <v>563575</v>
      </c>
      <c r="F174" s="1270">
        <f>'Future Fund  Inc Exp Statement'!H100*1000</f>
        <v>545531</v>
      </c>
      <c r="G174" s="1270">
        <f>'Future Fund  Inc Exp Statement'!I100*1000</f>
        <v>556716</v>
      </c>
      <c r="H174" s="1270">
        <f>'Future Fund  Inc Exp Statement'!J100*1000</f>
        <v>568158</v>
      </c>
    </row>
    <row r="175" spans="1:10" ht="12.75" customHeight="1" x14ac:dyDescent="0.2">
      <c r="A175" s="852" t="s">
        <v>1183</v>
      </c>
      <c r="C175" s="1270">
        <v>359043</v>
      </c>
      <c r="D175" s="1272">
        <v>375393</v>
      </c>
      <c r="E175" s="1270">
        <f>'Future Fund  Inc Exp Statement'!G105*1000</f>
        <v>379600</v>
      </c>
      <c r="F175" s="1270">
        <f>'Future Fund  Inc Exp Statement'!H105*1000</f>
        <v>379696</v>
      </c>
      <c r="G175" s="1270">
        <f>'Future Fund  Inc Exp Statement'!I105*1000</f>
        <v>387221</v>
      </c>
      <c r="H175" s="1270">
        <f>'Future Fund  Inc Exp Statement'!J105*1000</f>
        <v>394903</v>
      </c>
    </row>
    <row r="176" spans="1:10" ht="12.75" customHeight="1" x14ac:dyDescent="0.2">
      <c r="A176" s="852" t="s">
        <v>926</v>
      </c>
      <c r="C176" s="1270">
        <v>908235</v>
      </c>
      <c r="D176" s="1272">
        <v>908235</v>
      </c>
      <c r="E176" s="1270">
        <f>'Future Fund  Inc Exp Statement'!G99*1000</f>
        <v>908235</v>
      </c>
      <c r="F176" s="1270">
        <f>'Future Fund  Inc Exp Statement'!H99*1000</f>
        <v>908235</v>
      </c>
      <c r="G176" s="1270">
        <f>'Future Fund  Inc Exp Statement'!I99*1000</f>
        <v>908235</v>
      </c>
      <c r="H176" s="1270">
        <f>'Future Fund  Inc Exp Statement'!J99*1000</f>
        <v>908235</v>
      </c>
    </row>
    <row r="177" spans="1:8" ht="12.75" customHeight="1" x14ac:dyDescent="0.2">
      <c r="A177" s="852" t="s">
        <v>1077</v>
      </c>
      <c r="C177" s="1270">
        <v>1000000</v>
      </c>
      <c r="D177" s="1272">
        <v>1000000</v>
      </c>
      <c r="E177" s="1270">
        <f>'Future Fund  Inc Exp Statement'!G101*1000</f>
        <v>1100000</v>
      </c>
      <c r="F177" s="1270">
        <f>'Future Fund  Inc Exp Statement'!H101*1000</f>
        <v>1200000</v>
      </c>
      <c r="G177" s="1270">
        <f>'Future Fund  Inc Exp Statement'!I101*1000</f>
        <v>1300000</v>
      </c>
      <c r="H177" s="1270">
        <f>'Future Fund  Inc Exp Statement'!J101*1000</f>
        <v>1400000</v>
      </c>
    </row>
    <row r="178" spans="1:8" ht="12.75" customHeight="1" x14ac:dyDescent="0.2">
      <c r="A178" s="852" t="s">
        <v>584</v>
      </c>
      <c r="C178" s="1270">
        <v>0</v>
      </c>
      <c r="D178" s="1272">
        <v>291254</v>
      </c>
      <c r="E178" s="1270">
        <f>'Future Fund  Inc Exp Statement'!G102*1000</f>
        <v>269687</v>
      </c>
      <c r="F178" s="1270">
        <f>'Future Fund  Inc Exp Statement'!H102*1000</f>
        <v>275995</v>
      </c>
      <c r="G178" s="1270">
        <f>'Future Fund  Inc Exp Statement'!I102*1000</f>
        <v>280655</v>
      </c>
      <c r="H178" s="1270">
        <f>'Future Fund  Inc Exp Statement'!J102*1000</f>
        <v>289069</v>
      </c>
    </row>
    <row r="179" spans="1:8" ht="12.75" x14ac:dyDescent="0.2">
      <c r="C179" s="1279"/>
      <c r="D179" s="1277"/>
      <c r="E179" s="1279"/>
      <c r="F179" s="1279"/>
      <c r="G179" s="1279"/>
      <c r="H179" s="1279"/>
    </row>
    <row r="180" spans="1:8" ht="12.75" x14ac:dyDescent="0.2">
      <c r="A180" s="849" t="s">
        <v>1184</v>
      </c>
      <c r="C180" s="1278">
        <f>SUM(C173:C179)</f>
        <v>2924428</v>
      </c>
      <c r="D180" s="1278">
        <f t="shared" ref="D180:H180" si="28">SUM(D173:D179)</f>
        <v>3225682</v>
      </c>
      <c r="E180" s="1278">
        <f t="shared" si="28"/>
        <v>3302521</v>
      </c>
      <c r="F180" s="1278">
        <f t="shared" si="28"/>
        <v>3393323</v>
      </c>
      <c r="G180" s="1278">
        <f t="shared" si="28"/>
        <v>3519209</v>
      </c>
      <c r="H180" s="1278">
        <f t="shared" si="28"/>
        <v>3649339</v>
      </c>
    </row>
    <row r="181" spans="1:8" ht="12.75" x14ac:dyDescent="0.2">
      <c r="C181" s="1279"/>
      <c r="D181" s="1277"/>
      <c r="E181" s="1279"/>
      <c r="F181" s="1279"/>
      <c r="G181" s="1279"/>
      <c r="H181" s="1279"/>
    </row>
    <row r="182" spans="1:8" ht="12.75" x14ac:dyDescent="0.2">
      <c r="A182" s="849" t="s">
        <v>1185</v>
      </c>
      <c r="C182" s="1278">
        <f>C166+C180</f>
        <v>-127875</v>
      </c>
      <c r="D182" s="1278">
        <f t="shared" ref="D182:H182" si="29">D166+D180</f>
        <v>163379</v>
      </c>
      <c r="E182" s="1278">
        <f t="shared" si="29"/>
        <v>99221</v>
      </c>
      <c r="F182" s="1278">
        <f t="shared" si="29"/>
        <v>295780</v>
      </c>
      <c r="G182" s="1278">
        <f t="shared" si="29"/>
        <v>344476</v>
      </c>
      <c r="H182" s="1278">
        <f t="shared" si="29"/>
        <v>395186</v>
      </c>
    </row>
    <row r="185" spans="1:8" ht="12.75" x14ac:dyDescent="0.2">
      <c r="A185" s="1561" t="s">
        <v>1163</v>
      </c>
      <c r="B185" s="1561"/>
      <c r="C185" s="1561"/>
      <c r="D185" s="1561"/>
      <c r="E185" s="1561"/>
      <c r="F185" s="1561"/>
      <c r="G185" s="1561"/>
      <c r="H185" s="1561"/>
    </row>
    <row r="186" spans="1:8" ht="12.75" x14ac:dyDescent="0.2">
      <c r="A186" s="1222"/>
      <c r="B186" s="1222"/>
      <c r="C186" s="1222"/>
      <c r="D186" s="1144"/>
      <c r="E186" s="1222"/>
      <c r="F186" s="1222"/>
      <c r="G186" s="1222"/>
      <c r="H186" s="1222"/>
    </row>
    <row r="187" spans="1:8" ht="12.75" x14ac:dyDescent="0.2">
      <c r="A187" s="1132" t="s">
        <v>1164</v>
      </c>
      <c r="B187" s="1132" t="s">
        <v>1641</v>
      </c>
      <c r="C187" s="1222"/>
      <c r="D187" s="1144"/>
      <c r="E187" s="1222"/>
      <c r="F187" s="1222"/>
      <c r="G187" s="1222"/>
      <c r="H187" s="1222"/>
    </row>
    <row r="188" spans="1:8" ht="12.75" x14ac:dyDescent="0.2">
      <c r="A188" s="1132" t="s">
        <v>1367</v>
      </c>
      <c r="B188" s="1132" t="s">
        <v>1241</v>
      </c>
      <c r="C188" s="1222"/>
      <c r="D188" s="1144"/>
      <c r="E188" s="1222"/>
      <c r="F188" s="1222"/>
      <c r="G188" s="1222"/>
      <c r="H188" s="1222"/>
    </row>
    <row r="189" spans="1:8" ht="12" customHeight="1" x14ac:dyDescent="0.2">
      <c r="A189" s="1132" t="s">
        <v>1166</v>
      </c>
      <c r="B189" s="1132" t="s">
        <v>1241</v>
      </c>
      <c r="C189" s="1222"/>
      <c r="D189" s="1144"/>
      <c r="E189" s="1222"/>
      <c r="F189" s="1222"/>
      <c r="G189" s="1222"/>
      <c r="H189" s="1222"/>
    </row>
    <row r="190" spans="1:8" ht="12.75" x14ac:dyDescent="0.2">
      <c r="A190" s="1132"/>
      <c r="C190" s="1133"/>
      <c r="D190" s="1133"/>
      <c r="E190" s="1133"/>
      <c r="F190" s="1133"/>
      <c r="G190" s="1133"/>
      <c r="H190" s="1133"/>
    </row>
    <row r="191" spans="1:8" ht="25.5" x14ac:dyDescent="0.2">
      <c r="A191" s="1222"/>
      <c r="B191" s="1222"/>
      <c r="C191" s="1257" t="s">
        <v>1168</v>
      </c>
      <c r="D191" s="1304" t="s">
        <v>1633</v>
      </c>
      <c r="E191" s="1257" t="s">
        <v>1170</v>
      </c>
      <c r="F191" s="1254" t="s">
        <v>1172</v>
      </c>
      <c r="G191" s="1254" t="s">
        <v>1173</v>
      </c>
      <c r="H191" s="1254" t="s">
        <v>1174</v>
      </c>
    </row>
    <row r="192" spans="1:8" ht="12.75" x14ac:dyDescent="0.2">
      <c r="A192" s="1132" t="s">
        <v>1175</v>
      </c>
      <c r="B192" s="1222"/>
      <c r="C192" s="1254"/>
      <c r="D192" s="1254"/>
      <c r="E192" s="1254"/>
      <c r="F192" s="1254"/>
      <c r="G192" s="1254"/>
      <c r="H192" s="1254"/>
    </row>
    <row r="193" spans="1:8" ht="12.75" x14ac:dyDescent="0.2">
      <c r="A193" s="1131" t="s">
        <v>1176</v>
      </c>
      <c r="B193" s="1222"/>
      <c r="C193" s="1255">
        <v>-1580000</v>
      </c>
      <c r="D193" s="1255">
        <v>-1580000</v>
      </c>
      <c r="E193" s="1255">
        <f>-'Water  Fund  Inc Exp Statement '!G80*1000</f>
        <v>-1485000</v>
      </c>
      <c r="F193" s="1255">
        <f>-'Water  Fund  Inc Exp Statement '!H80*1000</f>
        <v>-1498365</v>
      </c>
      <c r="G193" s="1255">
        <f>-'Water  Fund  Inc Exp Statement '!I80*1000</f>
        <v>-1511850</v>
      </c>
      <c r="H193" s="1255">
        <f>-'Water  Fund  Inc Exp Statement '!J80*1000</f>
        <v>-1525456</v>
      </c>
    </row>
    <row r="194" spans="1:8" ht="12.75" x14ac:dyDescent="0.2">
      <c r="A194" s="1131" t="s">
        <v>12</v>
      </c>
      <c r="B194" s="1222"/>
      <c r="C194" s="1255">
        <v>-3719150</v>
      </c>
      <c r="D194" s="1255">
        <v>-3719150</v>
      </c>
      <c r="E194" s="1255">
        <f>-'Water  Fund  Inc Exp Statement '!G81*1000</f>
        <v>-3922375</v>
      </c>
      <c r="F194" s="1255">
        <f>-'Water  Fund  Inc Exp Statement '!H81*1000</f>
        <v>-4115482</v>
      </c>
      <c r="G194" s="1255">
        <f>-'Water  Fund  Inc Exp Statement '!I81*1000</f>
        <v>-4318173</v>
      </c>
      <c r="H194" s="1255">
        <f>-'Water  Fund  Inc Exp Statement '!J81*1000</f>
        <v>-4530943</v>
      </c>
    </row>
    <row r="195" spans="1:8" ht="12.75" x14ac:dyDescent="0.2">
      <c r="A195" s="1131" t="s">
        <v>1177</v>
      </c>
      <c r="B195" s="1222"/>
      <c r="C195" s="1255">
        <v>-868000</v>
      </c>
      <c r="D195" s="1255">
        <v>-868000</v>
      </c>
      <c r="E195" s="1255">
        <f>-'Water  Fund  Inc Exp Statement '!G82*1000</f>
        <v>-819000</v>
      </c>
      <c r="F195" s="1255">
        <f>-'Water  Fund  Inc Exp Statement '!H82*1000</f>
        <v>-739620</v>
      </c>
      <c r="G195" s="1255">
        <f>-'Water  Fund  Inc Exp Statement '!I82*1000</f>
        <v>-740552</v>
      </c>
      <c r="H195" s="1255">
        <f>-'Water  Fund  Inc Exp Statement '!J82*1000</f>
        <v>-740897</v>
      </c>
    </row>
    <row r="196" spans="1:8" ht="12.75" x14ac:dyDescent="0.2">
      <c r="A196" s="1131" t="s">
        <v>1179</v>
      </c>
      <c r="B196" s="1222"/>
      <c r="C196" s="1255">
        <v>-38500</v>
      </c>
      <c r="D196" s="1255">
        <v>-38500</v>
      </c>
      <c r="E196" s="1255">
        <f>-'Water  Fund  Inc Exp Statement '!G84*1000</f>
        <v>-34500</v>
      </c>
      <c r="F196" s="1255">
        <f>-'Water  Fund  Inc Exp Statement '!H84*1000</f>
        <v>-35190</v>
      </c>
      <c r="G196" s="1255">
        <f>-'Water  Fund  Inc Exp Statement '!I84*1000</f>
        <v>-35893</v>
      </c>
      <c r="H196" s="1255">
        <f>-'Water  Fund  Inc Exp Statement '!J84*1000</f>
        <v>-36611</v>
      </c>
    </row>
    <row r="197" spans="1:8" ht="12.75" x14ac:dyDescent="0.2">
      <c r="A197" s="1222"/>
      <c r="B197" s="1222"/>
      <c r="C197" s="1258"/>
      <c r="D197" s="1258"/>
      <c r="E197" s="1258"/>
      <c r="F197" s="1258"/>
      <c r="G197" s="1258"/>
      <c r="H197" s="1258"/>
    </row>
    <row r="198" spans="1:8" ht="12.75" x14ac:dyDescent="0.2">
      <c r="A198" s="1132" t="s">
        <v>1181</v>
      </c>
      <c r="B198" s="1222"/>
      <c r="C198" s="1256">
        <v>-6205650</v>
      </c>
      <c r="D198" s="1256">
        <f>SUM(D193:D196)</f>
        <v>-6205650</v>
      </c>
      <c r="E198" s="1256">
        <f t="shared" ref="E198:H198" si="30">SUM(E193:E196)</f>
        <v>-6260875</v>
      </c>
      <c r="F198" s="1256">
        <f t="shared" si="30"/>
        <v>-6388657</v>
      </c>
      <c r="G198" s="1256">
        <f t="shared" si="30"/>
        <v>-6606468</v>
      </c>
      <c r="H198" s="1256">
        <f t="shared" si="30"/>
        <v>-6833907</v>
      </c>
    </row>
    <row r="199" spans="1:8" ht="12.75" x14ac:dyDescent="0.2">
      <c r="A199" s="1132"/>
      <c r="B199" s="1222"/>
      <c r="C199" s="1256"/>
      <c r="D199" s="1256"/>
      <c r="E199" s="1256"/>
      <c r="F199" s="1256"/>
      <c r="G199" s="1256"/>
      <c r="H199" s="1256"/>
    </row>
    <row r="200" spans="1:8" ht="12.75" x14ac:dyDescent="0.2">
      <c r="A200" s="1132"/>
      <c r="B200" s="1222"/>
      <c r="C200" s="1256"/>
      <c r="D200" s="1256"/>
      <c r="E200" s="1256"/>
      <c r="F200" s="1256"/>
      <c r="G200" s="1256"/>
      <c r="H200" s="1256"/>
    </row>
    <row r="201" spans="1:8" ht="12.75" x14ac:dyDescent="0.2">
      <c r="A201" s="1222"/>
      <c r="B201" s="1222"/>
      <c r="C201" s="1255"/>
      <c r="D201" s="1255"/>
      <c r="E201" s="1255"/>
      <c r="F201" s="1255"/>
      <c r="G201" s="1255"/>
      <c r="H201" s="1255"/>
    </row>
    <row r="202" spans="1:8" ht="25.5" customHeight="1" x14ac:dyDescent="0.2">
      <c r="A202" s="1222"/>
      <c r="B202" s="1222"/>
      <c r="C202" s="1257" t="s">
        <v>1168</v>
      </c>
      <c r="D202" s="1304" t="s">
        <v>1633</v>
      </c>
      <c r="E202" s="1257" t="s">
        <v>1170</v>
      </c>
      <c r="F202" s="1254" t="s">
        <v>1172</v>
      </c>
      <c r="G202" s="1254" t="s">
        <v>1173</v>
      </c>
      <c r="H202" s="1254" t="s">
        <v>1174</v>
      </c>
    </row>
    <row r="203" spans="1:8" ht="12.75" x14ac:dyDescent="0.2">
      <c r="A203" s="1132" t="s">
        <v>925</v>
      </c>
      <c r="B203" s="1222"/>
      <c r="C203" s="1254"/>
      <c r="D203" s="1254"/>
      <c r="E203" s="1254"/>
      <c r="F203" s="1254"/>
      <c r="G203" s="1254"/>
      <c r="H203" s="1254"/>
    </row>
    <row r="204" spans="1:8" ht="12.75" x14ac:dyDescent="0.2">
      <c r="A204" s="1131" t="s">
        <v>1182</v>
      </c>
      <c r="B204" s="1222"/>
      <c r="C204" s="1255">
        <v>977890</v>
      </c>
      <c r="D204" s="1255">
        <v>977890</v>
      </c>
      <c r="E204" s="1255">
        <f>'Water  Fund  Inc Exp Statement '!G93*1000</f>
        <v>1129550</v>
      </c>
      <c r="F204" s="1255">
        <f>'Water  Fund  Inc Exp Statement '!H93*1000</f>
        <v>1172491</v>
      </c>
      <c r="G204" s="1255">
        <f>'Water  Fund  Inc Exp Statement '!I93*1000</f>
        <v>1217242</v>
      </c>
      <c r="H204" s="1255">
        <f>'Water  Fund  Inc Exp Statement '!J93*1000</f>
        <v>1263922</v>
      </c>
    </row>
    <row r="205" spans="1:8" ht="12.75" x14ac:dyDescent="0.2">
      <c r="A205" s="1131" t="s">
        <v>27</v>
      </c>
      <c r="B205" s="1222"/>
      <c r="C205" s="1255">
        <v>1785200</v>
      </c>
      <c r="D205" s="1255">
        <v>1785200</v>
      </c>
      <c r="E205" s="1255">
        <f>'Water  Fund  Inc Exp Statement '!G95*1000</f>
        <v>1589600</v>
      </c>
      <c r="F205" s="1255">
        <f>'Water  Fund  Inc Exp Statement '!H95*1000</f>
        <v>1632152</v>
      </c>
      <c r="G205" s="1255">
        <f>'Water  Fund  Inc Exp Statement '!I95*1000</f>
        <v>1676305</v>
      </c>
      <c r="H205" s="1255">
        <f>'Water  Fund  Inc Exp Statement '!J95*1000</f>
        <v>1722162</v>
      </c>
    </row>
    <row r="206" spans="1:8" ht="12.75" x14ac:dyDescent="0.2">
      <c r="A206" s="1131" t="s">
        <v>1183</v>
      </c>
      <c r="B206" s="1222"/>
      <c r="C206" s="1255">
        <v>348000</v>
      </c>
      <c r="D206" s="1255">
        <v>348000</v>
      </c>
      <c r="E206" s="1255">
        <f>'Water  Fund  Inc Exp Statement '!G100*1000</f>
        <v>302500</v>
      </c>
      <c r="F206" s="1255">
        <f>'Water  Fund  Inc Exp Statement '!H100*1000</f>
        <v>315810</v>
      </c>
      <c r="G206" s="1255">
        <f>'Water  Fund  Inc Exp Statement '!I100*1000</f>
        <v>329811</v>
      </c>
      <c r="H206" s="1255">
        <f>'Water  Fund  Inc Exp Statement '!J100*1000</f>
        <v>344552</v>
      </c>
    </row>
    <row r="207" spans="1:8" ht="12.75" x14ac:dyDescent="0.2">
      <c r="A207" s="1131" t="s">
        <v>926</v>
      </c>
      <c r="B207" s="1222"/>
      <c r="C207" s="1255">
        <v>161286</v>
      </c>
      <c r="D207" s="1255">
        <v>161286</v>
      </c>
      <c r="E207" s="1255">
        <f>'Water  Fund  Inc Exp Statement '!G94*1000</f>
        <v>144540</v>
      </c>
      <c r="F207" s="1255">
        <f>'Water  Fund  Inc Exp Statement '!H94*1000</f>
        <v>120660</v>
      </c>
      <c r="G207" s="1255">
        <f>'Water  Fund  Inc Exp Statement '!I94*1000</f>
        <v>102289</v>
      </c>
      <c r="H207" s="1255">
        <f>'Water  Fund  Inc Exp Statement '!J94*1000</f>
        <v>81014</v>
      </c>
    </row>
    <row r="208" spans="1:8" ht="12.75" x14ac:dyDescent="0.2">
      <c r="A208" s="1131" t="s">
        <v>1077</v>
      </c>
      <c r="B208" s="1222"/>
      <c r="C208" s="1255">
        <v>1228000</v>
      </c>
      <c r="D208" s="1255">
        <v>1228000</v>
      </c>
      <c r="E208" s="1255">
        <f>'Water  Fund  Inc Exp Statement '!G96*1000</f>
        <v>1254700</v>
      </c>
      <c r="F208" s="1255">
        <f>'Water  Fund  Inc Exp Statement '!H96*1000</f>
        <v>1282067</v>
      </c>
      <c r="G208" s="1255">
        <f>'Water  Fund  Inc Exp Statement '!I96*1000</f>
        <v>1310118</v>
      </c>
      <c r="H208" s="1255">
        <f>'Water  Fund  Inc Exp Statement '!J96*1000</f>
        <v>1338871</v>
      </c>
    </row>
    <row r="209" spans="1:8" ht="12.75" x14ac:dyDescent="0.2">
      <c r="A209" s="1131" t="s">
        <v>584</v>
      </c>
      <c r="B209" s="1222"/>
      <c r="C209" s="1255">
        <v>1501272</v>
      </c>
      <c r="D209" s="1255">
        <v>1501272</v>
      </c>
      <c r="E209" s="1255">
        <f>'Water  Fund  Inc Exp Statement '!G97*1000</f>
        <v>1518100</v>
      </c>
      <c r="F209" s="1255">
        <f>'Water  Fund  Inc Exp Statement '!H97*1000</f>
        <v>1555950</v>
      </c>
      <c r="G209" s="1255">
        <f>'Water  Fund  Inc Exp Statement '!I97*1000</f>
        <v>1594848</v>
      </c>
      <c r="H209" s="1255">
        <f>'Water  Fund  Inc Exp Statement '!J97*1000</f>
        <v>1634718</v>
      </c>
    </row>
    <row r="210" spans="1:8" ht="12.75" x14ac:dyDescent="0.2">
      <c r="A210" s="1222"/>
      <c r="B210" s="1222"/>
      <c r="C210" s="1258"/>
      <c r="D210" s="1258"/>
      <c r="E210" s="1258"/>
      <c r="F210" s="1258"/>
      <c r="G210" s="1258"/>
      <c r="H210" s="1258"/>
    </row>
    <row r="211" spans="1:8" ht="12.75" x14ac:dyDescent="0.2">
      <c r="A211" s="1132" t="s">
        <v>1184</v>
      </c>
      <c r="B211" s="1222"/>
      <c r="C211" s="1256">
        <v>6001648</v>
      </c>
      <c r="D211" s="1256">
        <f>SUM(D204:D209)</f>
        <v>6001648</v>
      </c>
      <c r="E211" s="1256">
        <f t="shared" ref="E211:H211" si="31">SUM(E204:E209)</f>
        <v>5938990</v>
      </c>
      <c r="F211" s="1256">
        <f t="shared" si="31"/>
        <v>6079130</v>
      </c>
      <c r="G211" s="1256">
        <f t="shared" si="31"/>
        <v>6230613</v>
      </c>
      <c r="H211" s="1256">
        <f t="shared" si="31"/>
        <v>6385239</v>
      </c>
    </row>
    <row r="212" spans="1:8" ht="12.75" x14ac:dyDescent="0.2">
      <c r="A212" s="1222"/>
      <c r="B212" s="1222"/>
      <c r="C212" s="1258"/>
      <c r="D212" s="1258"/>
      <c r="E212" s="1258"/>
      <c r="F212" s="1258"/>
      <c r="G212" s="1258"/>
      <c r="H212" s="1258"/>
    </row>
    <row r="213" spans="1:8" ht="12.75" x14ac:dyDescent="0.2">
      <c r="A213" s="1132" t="s">
        <v>1185</v>
      </c>
      <c r="B213" s="1222"/>
      <c r="C213" s="1256">
        <v>-204002</v>
      </c>
      <c r="D213" s="1256">
        <f>D198+D211</f>
        <v>-204002</v>
      </c>
      <c r="E213" s="1256">
        <f t="shared" ref="E213:H213" si="32">E198+E211</f>
        <v>-321885</v>
      </c>
      <c r="F213" s="1256">
        <f t="shared" si="32"/>
        <v>-309527</v>
      </c>
      <c r="G213" s="1256">
        <f t="shared" si="32"/>
        <v>-375855</v>
      </c>
      <c r="H213" s="1256">
        <f t="shared" si="32"/>
        <v>-448668</v>
      </c>
    </row>
    <row r="214" spans="1:8" ht="12.75" x14ac:dyDescent="0.2">
      <c r="A214" s="1132"/>
      <c r="B214" s="1222"/>
      <c r="C214" s="1135"/>
      <c r="D214" s="1135"/>
      <c r="E214" s="1135"/>
      <c r="F214" s="1135"/>
      <c r="G214" s="1135"/>
      <c r="H214" s="1135"/>
    </row>
    <row r="215" spans="1:8" ht="12.75" x14ac:dyDescent="0.2">
      <c r="A215" s="1132"/>
      <c r="B215" s="1222"/>
      <c r="C215" s="1135"/>
      <c r="D215" s="1135"/>
      <c r="E215" s="1135"/>
      <c r="F215" s="1135"/>
      <c r="G215" s="1135"/>
      <c r="H215" s="1135"/>
    </row>
    <row r="216" spans="1:8" ht="12.75" x14ac:dyDescent="0.2">
      <c r="A216" s="1561" t="s">
        <v>1163</v>
      </c>
      <c r="B216" s="1561"/>
      <c r="C216" s="1561"/>
      <c r="D216" s="1561"/>
      <c r="E216" s="1561"/>
      <c r="F216" s="1561"/>
      <c r="G216" s="1561"/>
      <c r="H216" s="1561"/>
    </row>
    <row r="217" spans="1:8" ht="12.75" x14ac:dyDescent="0.2">
      <c r="A217" s="1132"/>
      <c r="B217" s="1132"/>
      <c r="D217" s="1222"/>
    </row>
    <row r="218" spans="1:8" ht="12.75" x14ac:dyDescent="0.2">
      <c r="A218" s="1132" t="s">
        <v>1164</v>
      </c>
      <c r="B218" s="1132" t="s">
        <v>1640</v>
      </c>
      <c r="C218" s="1222"/>
      <c r="D218" s="1144"/>
      <c r="E218" s="1222"/>
      <c r="F218" s="1222"/>
      <c r="G218" s="1222"/>
      <c r="H218" s="1222"/>
    </row>
    <row r="219" spans="1:8" ht="12.75" x14ac:dyDescent="0.2">
      <c r="A219" s="1132"/>
      <c r="B219" s="1132" t="s">
        <v>1243</v>
      </c>
      <c r="C219" s="1222"/>
      <c r="D219" s="1144"/>
      <c r="E219" s="1222"/>
      <c r="F219" s="1222"/>
      <c r="G219" s="1222"/>
      <c r="H219" s="1222"/>
    </row>
    <row r="220" spans="1:8" ht="12.75" x14ac:dyDescent="0.2">
      <c r="A220" s="1132" t="s">
        <v>1166</v>
      </c>
      <c r="B220" s="1132" t="s">
        <v>1243</v>
      </c>
      <c r="C220" s="1222"/>
      <c r="D220" s="1144"/>
      <c r="E220" s="1222"/>
      <c r="F220" s="1222"/>
      <c r="G220" s="1222"/>
      <c r="H220" s="1222"/>
    </row>
    <row r="221" spans="1:8" ht="12.75" x14ac:dyDescent="0.2">
      <c r="A221" s="1132"/>
      <c r="C221" s="1133"/>
      <c r="D221" s="1133"/>
      <c r="E221" s="1133"/>
      <c r="F221" s="1133"/>
      <c r="G221" s="1133"/>
      <c r="H221" s="1133"/>
    </row>
    <row r="222" spans="1:8" ht="25.5" customHeight="1" x14ac:dyDescent="0.2">
      <c r="A222" s="1222"/>
      <c r="B222" s="1222"/>
      <c r="C222" s="1252" t="s">
        <v>1168</v>
      </c>
      <c r="D222" s="1304" t="s">
        <v>1633</v>
      </c>
      <c r="E222" s="1252" t="s">
        <v>1170</v>
      </c>
      <c r="F222" s="1249" t="s">
        <v>1172</v>
      </c>
      <c r="G222" s="1249" t="s">
        <v>1173</v>
      </c>
      <c r="H222" s="1249" t="s">
        <v>1174</v>
      </c>
    </row>
    <row r="223" spans="1:8" ht="12.75" x14ac:dyDescent="0.2">
      <c r="A223" s="1132" t="s">
        <v>1175</v>
      </c>
      <c r="B223" s="1222"/>
      <c r="C223" s="1249"/>
      <c r="D223" s="1249"/>
      <c r="E223" s="1249"/>
      <c r="F223" s="1249"/>
      <c r="G223" s="1249"/>
      <c r="H223" s="1249"/>
    </row>
    <row r="224" spans="1:8" ht="12.75" x14ac:dyDescent="0.2">
      <c r="A224" s="1131" t="s">
        <v>1176</v>
      </c>
      <c r="B224" s="1222"/>
      <c r="C224" s="1250">
        <v>-4001500</v>
      </c>
      <c r="D224" s="1250">
        <v>-4001500</v>
      </c>
      <c r="E224" s="1250">
        <f>-'Sewer  Fund  Inc Exp Statem'!G80*1000</f>
        <v>-3866000</v>
      </c>
      <c r="F224" s="1250">
        <f>-'Sewer  Fund  Inc Exp Statem'!H80*1000</f>
        <v>-4129430.0000000005</v>
      </c>
      <c r="G224" s="1250">
        <f>-'Sewer  Fund  Inc Exp Statem'!I80*1000</f>
        <v>-4236212</v>
      </c>
      <c r="H224" s="1250">
        <f>-'Sewer  Fund  Inc Exp Statem'!J80*1000</f>
        <v>-4349657</v>
      </c>
    </row>
    <row r="225" spans="1:8" ht="12.75" x14ac:dyDescent="0.2">
      <c r="A225" s="1131" t="s">
        <v>12</v>
      </c>
      <c r="B225" s="1222"/>
      <c r="C225" s="1250">
        <v>-322700</v>
      </c>
      <c r="D225" s="1250">
        <v>-322700</v>
      </c>
      <c r="E225" s="1250">
        <f>-'Sewer  Fund  Inc Exp Statem'!G81*1000</f>
        <v>-364500</v>
      </c>
      <c r="F225" s="1250">
        <f>-'Sewer  Fund  Inc Exp Statem'!H81*1000</f>
        <v>-375290</v>
      </c>
      <c r="G225" s="1250">
        <f>-'Sewer  Fund  Inc Exp Statem'!I81*1000</f>
        <v>-386400</v>
      </c>
      <c r="H225" s="1250">
        <f>-'Sewer  Fund  Inc Exp Statem'!J81*1000</f>
        <v>-397839</v>
      </c>
    </row>
    <row r="226" spans="1:8" ht="12.75" x14ac:dyDescent="0.2">
      <c r="A226" s="1131" t="s">
        <v>1177</v>
      </c>
      <c r="B226" s="1222"/>
      <c r="C226" s="1250">
        <v>-455000</v>
      </c>
      <c r="D226" s="1250">
        <v>-455000</v>
      </c>
      <c r="E226" s="1250">
        <f>-'Sewer  Fund  Inc Exp Statem'!G82*1000</f>
        <v>-405000</v>
      </c>
      <c r="F226" s="1250">
        <f>-'Sewer  Fund  Inc Exp Statem'!H82*1000</f>
        <v>-290750</v>
      </c>
      <c r="G226" s="1250">
        <f>-'Sewer  Fund  Inc Exp Statem'!I82*1000</f>
        <v>-216522</v>
      </c>
      <c r="H226" s="1250">
        <f>-'Sewer  Fund  Inc Exp Statem'!J82*1000</f>
        <v>-177318</v>
      </c>
    </row>
    <row r="227" spans="1:8" ht="12.75" x14ac:dyDescent="0.2">
      <c r="A227" s="1131" t="s">
        <v>1179</v>
      </c>
      <c r="B227" s="1222"/>
      <c r="C227" s="1250">
        <v>-37500</v>
      </c>
      <c r="D227" s="1250">
        <v>-37500</v>
      </c>
      <c r="E227" s="1250">
        <f>-'Sewer  Fund  Inc Exp Statem'!G84*1000</f>
        <v>-35000</v>
      </c>
      <c r="F227" s="1250">
        <f>-'Sewer  Fund  Inc Exp Statem'!H84*1000</f>
        <v>-35700</v>
      </c>
      <c r="G227" s="1250">
        <f>-'Sewer  Fund  Inc Exp Statem'!I84*1000</f>
        <v>-36414</v>
      </c>
      <c r="H227" s="1250">
        <f>-'Sewer  Fund  Inc Exp Statem'!J84*1000</f>
        <v>-37142</v>
      </c>
    </row>
    <row r="228" spans="1:8" ht="12.75" x14ac:dyDescent="0.2">
      <c r="A228" s="1222"/>
      <c r="B228" s="1222"/>
      <c r="C228" s="1253"/>
      <c r="D228" s="1253"/>
      <c r="E228" s="1253"/>
      <c r="F228" s="1253"/>
      <c r="G228" s="1253"/>
      <c r="H228" s="1253"/>
    </row>
    <row r="229" spans="1:8" ht="12.75" x14ac:dyDescent="0.2">
      <c r="A229" s="1132" t="s">
        <v>1181</v>
      </c>
      <c r="B229" s="1222"/>
      <c r="C229" s="1251">
        <v>-4816700</v>
      </c>
      <c r="D229" s="1251">
        <f>SUM(D224:D227)</f>
        <v>-4816700</v>
      </c>
      <c r="E229" s="1251">
        <f t="shared" ref="E229:H229" si="33">SUM(E224:E227)</f>
        <v>-4670500</v>
      </c>
      <c r="F229" s="1251">
        <f t="shared" si="33"/>
        <v>-4831170</v>
      </c>
      <c r="G229" s="1251">
        <f t="shared" si="33"/>
        <v>-4875548</v>
      </c>
      <c r="H229" s="1251">
        <f t="shared" si="33"/>
        <v>-4961956</v>
      </c>
    </row>
    <row r="230" spans="1:8" ht="12.75" x14ac:dyDescent="0.2">
      <c r="A230" s="1132"/>
      <c r="B230" s="1222"/>
      <c r="C230" s="1251"/>
      <c r="D230" s="1251"/>
      <c r="E230" s="1251"/>
      <c r="F230" s="1251"/>
      <c r="G230" s="1251"/>
      <c r="H230" s="1251"/>
    </row>
    <row r="231" spans="1:8" ht="12.75" x14ac:dyDescent="0.2">
      <c r="A231" s="1132"/>
      <c r="B231" s="1222"/>
      <c r="C231" s="1251"/>
      <c r="D231" s="1251"/>
      <c r="E231" s="1251"/>
      <c r="F231" s="1251"/>
      <c r="G231" s="1251"/>
      <c r="H231" s="1251"/>
    </row>
    <row r="232" spans="1:8" ht="12.75" x14ac:dyDescent="0.2">
      <c r="A232" s="1222"/>
      <c r="B232" s="1222"/>
      <c r="C232" s="1250"/>
      <c r="D232" s="1250"/>
      <c r="E232" s="1250"/>
      <c r="F232" s="1250"/>
      <c r="G232" s="1250"/>
      <c r="H232" s="1250"/>
    </row>
    <row r="233" spans="1:8" ht="25.5" x14ac:dyDescent="0.2">
      <c r="A233" s="1222"/>
      <c r="B233" s="1222"/>
      <c r="C233" s="1252" t="s">
        <v>1168</v>
      </c>
      <c r="D233" s="1304" t="s">
        <v>1633</v>
      </c>
      <c r="E233" s="1252" t="s">
        <v>1170</v>
      </c>
      <c r="F233" s="1249" t="s">
        <v>1172</v>
      </c>
      <c r="G233" s="1249" t="s">
        <v>1173</v>
      </c>
      <c r="H233" s="1249" t="s">
        <v>1174</v>
      </c>
    </row>
    <row r="234" spans="1:8" ht="12.75" x14ac:dyDescent="0.2">
      <c r="A234" s="1132" t="s">
        <v>925</v>
      </c>
      <c r="B234" s="1222"/>
      <c r="C234" s="1249"/>
      <c r="D234" s="1249"/>
      <c r="E234" s="1249"/>
      <c r="F234" s="1249"/>
      <c r="G234" s="1249"/>
      <c r="H234" s="1249"/>
    </row>
    <row r="235" spans="1:8" ht="12.75" x14ac:dyDescent="0.2">
      <c r="A235" s="1131" t="s">
        <v>1182</v>
      </c>
      <c r="B235" s="1222"/>
      <c r="C235" s="1250">
        <v>804931</v>
      </c>
      <c r="D235" s="1250">
        <v>804931</v>
      </c>
      <c r="E235" s="1250">
        <f>'Sewer  Fund  Inc Exp Statem'!G93*1000</f>
        <v>797731</v>
      </c>
      <c r="F235" s="1250">
        <f>'Sewer  Fund  Inc Exp Statem'!H93*1000</f>
        <v>825329</v>
      </c>
      <c r="G235" s="1250">
        <f>'Sewer  Fund  Inc Exp Statem'!I93*1000</f>
        <v>854687</v>
      </c>
      <c r="H235" s="1250">
        <f>'Sewer  Fund  Inc Exp Statem'!J93*1000</f>
        <v>885203</v>
      </c>
    </row>
    <row r="236" spans="1:8" ht="12.75" x14ac:dyDescent="0.2">
      <c r="A236" s="1131" t="s">
        <v>27</v>
      </c>
      <c r="B236" s="1222"/>
      <c r="C236" s="1250">
        <v>939500</v>
      </c>
      <c r="D236" s="1250">
        <v>939500</v>
      </c>
      <c r="E236" s="1250">
        <f>'Sewer  Fund  Inc Exp Statem'!G95*1000</f>
        <v>924500</v>
      </c>
      <c r="F236" s="1250">
        <f>'Sewer  Fund  Inc Exp Statem'!H95*1000</f>
        <v>856690</v>
      </c>
      <c r="G236" s="1250">
        <f>'Sewer  Fund  Inc Exp Statem'!I95*1000</f>
        <v>890434</v>
      </c>
      <c r="H236" s="1250">
        <f>'Sewer  Fund  Inc Exp Statem'!J95*1000</f>
        <v>925819</v>
      </c>
    </row>
    <row r="237" spans="1:8" ht="12.75" x14ac:dyDescent="0.2">
      <c r="A237" s="1131" t="s">
        <v>1183</v>
      </c>
      <c r="B237" s="1222"/>
      <c r="C237" s="1250">
        <v>210950</v>
      </c>
      <c r="D237" s="1250">
        <v>210950</v>
      </c>
      <c r="E237" s="1250">
        <f>'Sewer  Fund  Inc Exp Statem'!G100*1000</f>
        <v>229550</v>
      </c>
      <c r="F237" s="1250">
        <f>'Sewer  Fund  Inc Exp Statem'!H100*1000</f>
        <v>234141</v>
      </c>
      <c r="G237" s="1250">
        <f>'Sewer  Fund  Inc Exp Statem'!I100*1000</f>
        <v>238905</v>
      </c>
      <c r="H237" s="1250">
        <f>'Sewer  Fund  Inc Exp Statem'!J100*1000</f>
        <v>243574</v>
      </c>
    </row>
    <row r="238" spans="1:8" ht="12.75" x14ac:dyDescent="0.2">
      <c r="A238" s="1131" t="s">
        <v>926</v>
      </c>
      <c r="B238" s="1222"/>
      <c r="C238" s="1250">
        <v>54210</v>
      </c>
      <c r="D238" s="1250">
        <v>54210</v>
      </c>
      <c r="E238" s="1250">
        <f>'Sewer  Fund  Inc Exp Statem'!G94*1000</f>
        <v>485000</v>
      </c>
      <c r="F238" s="1250">
        <f>'Sewer  Fund  Inc Exp Statem'!H94*1000</f>
        <v>813040</v>
      </c>
      <c r="G238" s="1250">
        <f>'Sewer  Fund  Inc Exp Statem'!I94*1000</f>
        <v>810450</v>
      </c>
      <c r="H238" s="1250">
        <f>'Sewer  Fund  Inc Exp Statem'!J94*1000</f>
        <v>807782</v>
      </c>
    </row>
    <row r="239" spans="1:8" ht="12.75" x14ac:dyDescent="0.2">
      <c r="A239" s="1131" t="s">
        <v>1077</v>
      </c>
      <c r="B239" s="1222"/>
      <c r="C239" s="1250">
        <v>792000</v>
      </c>
      <c r="D239" s="1250">
        <v>792000</v>
      </c>
      <c r="E239" s="1250">
        <f>'Sewer  Fund  Inc Exp Statem'!G96*1000</f>
        <v>807475</v>
      </c>
      <c r="F239" s="1250">
        <f>'Sewer  Fund  Inc Exp Statem'!H96*1000</f>
        <v>823336</v>
      </c>
      <c r="G239" s="1250">
        <f>'Sewer  Fund  Inc Exp Statem'!I96*1000</f>
        <v>839595</v>
      </c>
      <c r="H239" s="1250">
        <f>'Sewer  Fund  Inc Exp Statem'!J96*1000</f>
        <v>856260</v>
      </c>
    </row>
    <row r="240" spans="1:8" ht="12.75" x14ac:dyDescent="0.2">
      <c r="A240" s="1131" t="s">
        <v>584</v>
      </c>
      <c r="B240" s="1222"/>
      <c r="C240" s="1250">
        <v>1275067</v>
      </c>
      <c r="D240" s="1250">
        <v>1275067</v>
      </c>
      <c r="E240" s="1250">
        <f>'Sewer  Fund  Inc Exp Statem'!G97*1000</f>
        <v>1268000</v>
      </c>
      <c r="F240" s="1250">
        <f>'Sewer  Fund  Inc Exp Statem'!H97*1000</f>
        <v>1458450</v>
      </c>
      <c r="G240" s="1250">
        <f>'Sewer  Fund  Inc Exp Statem'!I97*1000</f>
        <v>1479911</v>
      </c>
      <c r="H240" s="1250">
        <f>'Sewer  Fund  Inc Exp Statem'!J97*1000</f>
        <v>1499384</v>
      </c>
    </row>
    <row r="241" spans="1:8" ht="12.75" x14ac:dyDescent="0.2">
      <c r="A241" s="1222"/>
      <c r="B241" s="1222"/>
      <c r="C241" s="1253"/>
      <c r="D241" s="1253"/>
      <c r="E241" s="1253"/>
      <c r="F241" s="1253"/>
      <c r="G241" s="1253"/>
      <c r="H241" s="1253"/>
    </row>
    <row r="242" spans="1:8" ht="12.75" x14ac:dyDescent="0.2">
      <c r="A242" s="1132" t="s">
        <v>1184</v>
      </c>
      <c r="B242" s="1222"/>
      <c r="C242" s="1251">
        <v>4076658</v>
      </c>
      <c r="D242" s="1251">
        <f>SUM(D235:D240)</f>
        <v>4076658</v>
      </c>
      <c r="E242" s="1251">
        <f t="shared" ref="E242:H242" si="34">SUM(E235:E240)</f>
        <v>4512256</v>
      </c>
      <c r="F242" s="1251">
        <f t="shared" si="34"/>
        <v>5010986</v>
      </c>
      <c r="G242" s="1251">
        <f t="shared" si="34"/>
        <v>5113982</v>
      </c>
      <c r="H242" s="1251">
        <f t="shared" si="34"/>
        <v>5218022</v>
      </c>
    </row>
    <row r="243" spans="1:8" ht="12.75" x14ac:dyDescent="0.2">
      <c r="A243" s="1222"/>
      <c r="B243" s="1222"/>
      <c r="C243" s="1253"/>
      <c r="D243" s="1253"/>
      <c r="E243" s="1253"/>
      <c r="F243" s="1253"/>
      <c r="G243" s="1253"/>
      <c r="H243" s="1253"/>
    </row>
    <row r="244" spans="1:8" ht="12.75" x14ac:dyDescent="0.2">
      <c r="A244" s="1132" t="s">
        <v>1185</v>
      </c>
      <c r="B244" s="1222"/>
      <c r="C244" s="1251">
        <v>-740042</v>
      </c>
      <c r="D244" s="1251">
        <f>D229+D242</f>
        <v>-740042</v>
      </c>
      <c r="E244" s="1251">
        <f t="shared" ref="E244:H244" si="35">E229+E242</f>
        <v>-158244</v>
      </c>
      <c r="F244" s="1251">
        <f t="shared" si="35"/>
        <v>179816</v>
      </c>
      <c r="G244" s="1251">
        <f t="shared" si="35"/>
        <v>238434</v>
      </c>
      <c r="H244" s="1251">
        <f t="shared" si="35"/>
        <v>256066</v>
      </c>
    </row>
    <row r="245" spans="1:8" ht="12.75" x14ac:dyDescent="0.2">
      <c r="A245" s="1132"/>
      <c r="B245" s="1222"/>
      <c r="C245" s="1135"/>
      <c r="D245" s="1135"/>
      <c r="E245" s="1135"/>
      <c r="F245" s="1135"/>
      <c r="G245" s="1135"/>
      <c r="H245" s="1135"/>
    </row>
    <row r="247" spans="1:8" ht="12.75" x14ac:dyDescent="0.2">
      <c r="A247" s="1561"/>
      <c r="B247" s="1561"/>
      <c r="C247" s="1561"/>
      <c r="D247" s="1561"/>
      <c r="E247" s="1561"/>
      <c r="F247" s="1561"/>
      <c r="G247" s="1561"/>
      <c r="H247" s="1561"/>
    </row>
    <row r="248" spans="1:8" x14ac:dyDescent="0.25">
      <c r="A248" s="1113"/>
      <c r="B248" s="1113"/>
      <c r="C248" s="1113"/>
      <c r="D248" s="1113"/>
      <c r="E248" s="1113"/>
      <c r="F248" s="1113"/>
      <c r="G248" s="1113"/>
      <c r="H248" s="1113"/>
    </row>
    <row r="249" spans="1:8" x14ac:dyDescent="0.25">
      <c r="A249" s="1132"/>
      <c r="B249" s="1132"/>
      <c r="C249" s="1222"/>
      <c r="D249" s="1222"/>
      <c r="E249" s="1222"/>
      <c r="F249" s="1222"/>
      <c r="G249" s="1222"/>
      <c r="H249" s="1222"/>
    </row>
    <row r="250" spans="1:8" x14ac:dyDescent="0.25">
      <c r="A250" s="1132"/>
      <c r="B250" s="1132"/>
      <c r="C250" s="1222"/>
      <c r="D250" s="1222"/>
      <c r="E250" s="1222"/>
      <c r="F250" s="1222"/>
      <c r="G250" s="1222"/>
      <c r="H250" s="1222"/>
    </row>
    <row r="251" spans="1:8" x14ac:dyDescent="0.25">
      <c r="A251" s="1132"/>
      <c r="B251" s="1132"/>
      <c r="C251" s="1222"/>
      <c r="D251" s="1222"/>
      <c r="E251" s="1222"/>
      <c r="F251" s="1222"/>
      <c r="G251" s="1222"/>
      <c r="H251" s="1222"/>
    </row>
    <row r="252" spans="1:8" x14ac:dyDescent="0.25">
      <c r="A252" s="1137"/>
      <c r="B252" s="1137"/>
      <c r="C252" s="1142"/>
      <c r="D252" s="1142"/>
      <c r="E252" s="1142"/>
      <c r="F252" s="1142"/>
      <c r="G252" s="1142"/>
      <c r="H252" s="1142"/>
    </row>
    <row r="253" spans="1:8" x14ac:dyDescent="0.25">
      <c r="A253" s="1222"/>
      <c r="B253" s="1222"/>
      <c r="C253" s="1136"/>
      <c r="D253" s="1136"/>
      <c r="E253" s="1136"/>
      <c r="F253" s="1133"/>
      <c r="G253" s="1133"/>
      <c r="H253" s="1133"/>
    </row>
    <row r="254" spans="1:8" x14ac:dyDescent="0.25">
      <c r="A254" s="1132"/>
      <c r="B254" s="1222"/>
      <c r="C254" s="1133"/>
      <c r="D254" s="1133"/>
      <c r="E254" s="1133"/>
      <c r="F254" s="1133"/>
      <c r="G254" s="1133"/>
      <c r="H254" s="1133"/>
    </row>
    <row r="255" spans="1:8" x14ac:dyDescent="0.25">
      <c r="A255" s="1131"/>
      <c r="B255" s="1222"/>
      <c r="C255" s="1134"/>
      <c r="D255" s="1134"/>
      <c r="E255" s="1134"/>
      <c r="F255" s="1134"/>
      <c r="G255" s="1134"/>
      <c r="H255" s="1134"/>
    </row>
    <row r="256" spans="1:8" x14ac:dyDescent="0.25">
      <c r="A256" s="1222"/>
      <c r="B256" s="1222"/>
      <c r="C256" s="1145"/>
      <c r="D256" s="1145"/>
      <c r="E256" s="1145"/>
      <c r="F256" s="1145"/>
      <c r="G256" s="1145"/>
      <c r="H256" s="1145"/>
    </row>
    <row r="257" spans="1:8" x14ac:dyDescent="0.25">
      <c r="A257" s="1132"/>
      <c r="B257" s="1222"/>
      <c r="C257" s="1135"/>
      <c r="D257" s="1135"/>
      <c r="E257" s="1135"/>
      <c r="F257" s="1135"/>
      <c r="G257" s="1135"/>
      <c r="H257" s="1135"/>
    </row>
    <row r="258" spans="1:8" x14ac:dyDescent="0.25">
      <c r="A258" s="1132"/>
      <c r="B258" s="1222"/>
      <c r="C258" s="1135"/>
      <c r="D258" s="1135"/>
      <c r="E258" s="1135"/>
      <c r="F258" s="1135"/>
      <c r="G258" s="1135"/>
      <c r="H258" s="1135"/>
    </row>
    <row r="259" spans="1:8" x14ac:dyDescent="0.25">
      <c r="A259" s="1132"/>
      <c r="B259" s="1222"/>
      <c r="C259" s="1135"/>
      <c r="D259" s="1135"/>
      <c r="E259" s="1135"/>
      <c r="F259" s="1135"/>
      <c r="G259" s="1135"/>
      <c r="H259" s="1135"/>
    </row>
    <row r="260" spans="1:8" x14ac:dyDescent="0.25">
      <c r="A260" s="1222"/>
      <c r="B260" s="1222"/>
      <c r="C260" s="1134"/>
      <c r="D260" s="1134"/>
      <c r="E260" s="1134"/>
      <c r="F260" s="1134"/>
      <c r="G260" s="1134"/>
      <c r="H260" s="1134"/>
    </row>
    <row r="261" spans="1:8" x14ac:dyDescent="0.25">
      <c r="A261" s="1222"/>
      <c r="B261" s="1222"/>
      <c r="C261" s="1136"/>
      <c r="D261" s="1136"/>
      <c r="E261" s="1136"/>
      <c r="F261" s="1133"/>
      <c r="G261" s="1133"/>
      <c r="H261" s="1133"/>
    </row>
    <row r="262" spans="1:8" x14ac:dyDescent="0.25">
      <c r="A262" s="1132"/>
      <c r="B262" s="1222"/>
      <c r="C262" s="1133"/>
      <c r="D262" s="1133"/>
      <c r="E262" s="1133"/>
      <c r="F262" s="1133"/>
      <c r="G262" s="1133"/>
      <c r="H262" s="1133"/>
    </row>
    <row r="263" spans="1:8" x14ac:dyDescent="0.25">
      <c r="A263" s="1131"/>
      <c r="B263" s="1222"/>
      <c r="C263" s="1134"/>
      <c r="D263" s="1134"/>
      <c r="E263" s="1134"/>
      <c r="F263" s="1134"/>
      <c r="G263" s="1134"/>
      <c r="H263" s="1134"/>
    </row>
    <row r="264" spans="1:8" x14ac:dyDescent="0.25">
      <c r="A264" s="1131"/>
      <c r="B264" s="1222"/>
      <c r="C264" s="1134"/>
      <c r="D264" s="1134"/>
      <c r="E264" s="1134"/>
      <c r="F264" s="1134"/>
      <c r="G264" s="1134"/>
      <c r="H264" s="1134"/>
    </row>
    <row r="265" spans="1:8" x14ac:dyDescent="0.25">
      <c r="A265" s="1131"/>
      <c r="B265" s="1222"/>
      <c r="C265" s="1134"/>
      <c r="D265" s="1134"/>
      <c r="E265" s="1134"/>
      <c r="F265" s="1134"/>
      <c r="G265" s="1134"/>
      <c r="H265" s="1134"/>
    </row>
    <row r="266" spans="1:8" x14ac:dyDescent="0.25">
      <c r="A266" s="1131"/>
      <c r="B266" s="1222"/>
      <c r="C266" s="1134"/>
      <c r="D266" s="1134"/>
      <c r="E266" s="1134"/>
      <c r="F266" s="1134"/>
      <c r="G266" s="1134"/>
      <c r="H266" s="1134"/>
    </row>
    <row r="267" spans="1:8" x14ac:dyDescent="0.25">
      <c r="A267" s="1131"/>
      <c r="B267" s="1222"/>
      <c r="C267" s="1134"/>
      <c r="D267" s="1134"/>
      <c r="E267" s="1134"/>
      <c r="F267" s="1134"/>
      <c r="G267" s="1134"/>
      <c r="H267" s="1134"/>
    </row>
    <row r="268" spans="1:8" x14ac:dyDescent="0.25">
      <c r="A268" s="1222"/>
      <c r="B268" s="1222"/>
      <c r="C268" s="1145"/>
      <c r="D268" s="1145"/>
      <c r="E268" s="1145"/>
      <c r="F268" s="1145"/>
      <c r="G268" s="1145"/>
      <c r="H268" s="1145"/>
    </row>
    <row r="269" spans="1:8" x14ac:dyDescent="0.25">
      <c r="A269" s="1132"/>
      <c r="B269" s="1222"/>
      <c r="C269" s="1135"/>
      <c r="D269" s="1135"/>
      <c r="E269" s="1135"/>
      <c r="F269" s="1135"/>
      <c r="G269" s="1135"/>
      <c r="H269" s="1135"/>
    </row>
    <row r="270" spans="1:8" x14ac:dyDescent="0.25">
      <c r="A270" s="1222"/>
      <c r="B270" s="1222"/>
      <c r="C270" s="1145"/>
      <c r="D270" s="1145"/>
      <c r="E270" s="1145"/>
      <c r="F270" s="1145"/>
      <c r="G270" s="1145"/>
      <c r="H270" s="1145"/>
    </row>
    <row r="271" spans="1:8" x14ac:dyDescent="0.25">
      <c r="A271" s="1132"/>
      <c r="B271" s="1222"/>
      <c r="C271" s="1135"/>
      <c r="D271" s="1135"/>
      <c r="E271" s="1135"/>
      <c r="F271" s="1135"/>
      <c r="G271" s="1135"/>
      <c r="H271" s="1135"/>
    </row>
    <row r="272" spans="1:8" x14ac:dyDescent="0.25">
      <c r="A272" s="1132"/>
      <c r="B272" s="1222"/>
      <c r="C272" s="1135"/>
      <c r="D272" s="1135"/>
      <c r="E272" s="1135"/>
      <c r="F272" s="1135"/>
      <c r="G272" s="1135"/>
      <c r="H272" s="1135"/>
    </row>
    <row r="275" spans="1:8" x14ac:dyDescent="0.25">
      <c r="A275" s="1561"/>
      <c r="B275" s="1561"/>
      <c r="C275" s="1561"/>
      <c r="D275" s="1561"/>
      <c r="E275" s="1561"/>
      <c r="F275" s="1561"/>
      <c r="G275" s="1561"/>
      <c r="H275" s="1561"/>
    </row>
    <row r="276" spans="1:8" x14ac:dyDescent="0.25">
      <c r="A276" s="1132"/>
      <c r="B276" s="1132"/>
      <c r="D276" s="1222"/>
    </row>
    <row r="277" spans="1:8" x14ac:dyDescent="0.25">
      <c r="A277" s="1132"/>
      <c r="B277" s="1132"/>
      <c r="C277" s="1222"/>
      <c r="D277" s="1144"/>
      <c r="E277" s="1222"/>
      <c r="F277" s="1222"/>
      <c r="G277" s="1222"/>
      <c r="H277" s="1222"/>
    </row>
    <row r="278" spans="1:8" x14ac:dyDescent="0.25">
      <c r="A278" s="1132"/>
      <c r="B278" s="1132"/>
      <c r="C278" s="1222"/>
      <c r="D278" s="1144"/>
      <c r="E278" s="1222"/>
      <c r="F278" s="1222"/>
      <c r="G278" s="1222"/>
      <c r="H278" s="1222"/>
    </row>
    <row r="279" spans="1:8" x14ac:dyDescent="0.25">
      <c r="A279" s="1132"/>
      <c r="B279" s="1132"/>
      <c r="C279" s="1222"/>
      <c r="D279" s="1144"/>
      <c r="E279" s="1222"/>
      <c r="F279" s="1222"/>
      <c r="G279" s="1222"/>
      <c r="H279" s="1222"/>
    </row>
    <row r="280" spans="1:8" x14ac:dyDescent="0.25">
      <c r="C280" s="1136"/>
      <c r="D280" s="1136"/>
      <c r="E280" s="1136"/>
      <c r="F280" s="1133"/>
      <c r="G280" s="1133"/>
      <c r="H280" s="1133"/>
    </row>
    <row r="281" spans="1:8" x14ac:dyDescent="0.25">
      <c r="A281" s="1222"/>
      <c r="B281" s="1222"/>
      <c r="C281" s="1136"/>
      <c r="D281" s="1136"/>
      <c r="E281" s="1136"/>
      <c r="F281" s="1133"/>
      <c r="G281" s="1133"/>
      <c r="H281" s="1133"/>
    </row>
    <row r="282" spans="1:8" x14ac:dyDescent="0.25">
      <c r="A282" s="1132"/>
      <c r="B282" s="1222"/>
      <c r="C282" s="1133"/>
      <c r="D282" s="1133"/>
      <c r="E282" s="1133"/>
      <c r="F282" s="1133"/>
      <c r="G282" s="1133"/>
      <c r="H282" s="1133"/>
    </row>
    <row r="283" spans="1:8" x14ac:dyDescent="0.25">
      <c r="A283" s="1131"/>
      <c r="B283" s="1222"/>
      <c r="C283" s="1134"/>
      <c r="D283" s="1134"/>
      <c r="E283" s="1134"/>
      <c r="F283" s="1134"/>
      <c r="G283" s="1134"/>
      <c r="H283" s="1134"/>
    </row>
    <row r="284" spans="1:8" x14ac:dyDescent="0.25">
      <c r="A284" s="1222"/>
      <c r="B284" s="1222"/>
      <c r="C284" s="1145"/>
      <c r="D284" s="1145"/>
      <c r="E284" s="1145"/>
      <c r="F284" s="1145"/>
      <c r="G284" s="1145"/>
      <c r="H284" s="1145"/>
    </row>
    <row r="285" spans="1:8" x14ac:dyDescent="0.25">
      <c r="A285" s="1132"/>
      <c r="B285" s="1222"/>
      <c r="C285" s="1135"/>
      <c r="D285" s="1135"/>
      <c r="E285" s="1135"/>
      <c r="F285" s="1135"/>
      <c r="G285" s="1135"/>
      <c r="H285" s="1135"/>
    </row>
    <row r="286" spans="1:8" x14ac:dyDescent="0.25">
      <c r="A286" s="1132"/>
      <c r="B286" s="1222"/>
      <c r="C286" s="1135"/>
      <c r="D286" s="1135"/>
      <c r="E286" s="1135"/>
      <c r="F286" s="1135"/>
      <c r="G286" s="1135"/>
      <c r="H286" s="1135"/>
    </row>
    <row r="287" spans="1:8" x14ac:dyDescent="0.25">
      <c r="A287" s="1132"/>
      <c r="B287" s="1222"/>
      <c r="C287" s="1135"/>
      <c r="D287" s="1135"/>
      <c r="E287" s="1135"/>
      <c r="F287" s="1135"/>
      <c r="G287" s="1135"/>
      <c r="H287" s="1135"/>
    </row>
    <row r="288" spans="1:8" x14ac:dyDescent="0.25">
      <c r="A288" s="1222"/>
      <c r="B288" s="1222"/>
      <c r="C288" s="1134"/>
      <c r="D288" s="1134"/>
      <c r="E288" s="1134"/>
      <c r="F288" s="1134"/>
      <c r="G288" s="1134"/>
      <c r="H288" s="1134"/>
    </row>
    <row r="289" spans="1:8" x14ac:dyDescent="0.25">
      <c r="A289" s="1222"/>
      <c r="B289" s="1222"/>
      <c r="C289" s="1136"/>
      <c r="D289" s="1136"/>
      <c r="E289" s="1136"/>
      <c r="F289" s="1133"/>
      <c r="G289" s="1133"/>
      <c r="H289" s="1133"/>
    </row>
    <row r="290" spans="1:8" x14ac:dyDescent="0.25">
      <c r="A290" s="1132"/>
      <c r="B290" s="1222"/>
      <c r="C290" s="1133"/>
      <c r="D290" s="1133"/>
      <c r="E290" s="1133"/>
      <c r="F290" s="1133"/>
      <c r="G290" s="1133"/>
      <c r="H290" s="1133"/>
    </row>
    <row r="291" spans="1:8" x14ac:dyDescent="0.25">
      <c r="A291" s="1131"/>
      <c r="B291" s="1222"/>
      <c r="C291" s="1134"/>
      <c r="D291" s="1134"/>
      <c r="E291" s="1134"/>
      <c r="F291" s="1134"/>
      <c r="G291" s="1134"/>
      <c r="H291" s="1134"/>
    </row>
    <row r="292" spans="1:8" x14ac:dyDescent="0.25">
      <c r="A292" s="1131"/>
      <c r="B292" s="1222"/>
      <c r="C292" s="1134"/>
      <c r="D292" s="1134"/>
      <c r="E292" s="1134"/>
      <c r="F292" s="1134"/>
      <c r="G292" s="1134"/>
      <c r="H292" s="1134"/>
    </row>
    <row r="293" spans="1:8" x14ac:dyDescent="0.25">
      <c r="A293" s="1131"/>
      <c r="B293" s="1222"/>
      <c r="C293" s="1134"/>
      <c r="D293" s="1134"/>
      <c r="E293" s="1134"/>
      <c r="F293" s="1134"/>
      <c r="G293" s="1134"/>
      <c r="H293" s="1134"/>
    </row>
    <row r="294" spans="1:8" x14ac:dyDescent="0.25">
      <c r="A294" s="1131"/>
      <c r="B294" s="1222"/>
      <c r="C294" s="1134"/>
      <c r="D294" s="1134"/>
      <c r="E294" s="1134"/>
      <c r="F294" s="1134"/>
      <c r="G294" s="1134"/>
      <c r="H294" s="1134"/>
    </row>
    <row r="295" spans="1:8" x14ac:dyDescent="0.25">
      <c r="A295" s="1131"/>
      <c r="B295" s="1222"/>
      <c r="C295" s="1134"/>
      <c r="D295" s="1134"/>
      <c r="E295" s="1134"/>
      <c r="F295" s="1134"/>
      <c r="G295" s="1134"/>
      <c r="H295" s="1134"/>
    </row>
    <row r="296" spans="1:8" x14ac:dyDescent="0.25">
      <c r="A296" s="1222"/>
      <c r="B296" s="1222"/>
      <c r="C296" s="1145"/>
      <c r="D296" s="1145"/>
      <c r="E296" s="1145"/>
      <c r="F296" s="1145"/>
      <c r="G296" s="1145"/>
      <c r="H296" s="1145"/>
    </row>
    <row r="297" spans="1:8" x14ac:dyDescent="0.25">
      <c r="A297" s="1132"/>
      <c r="B297" s="1222"/>
      <c r="C297" s="1135"/>
      <c r="D297" s="1135"/>
      <c r="E297" s="1135"/>
      <c r="F297" s="1135"/>
      <c r="G297" s="1135"/>
      <c r="H297" s="1135"/>
    </row>
    <row r="298" spans="1:8" x14ac:dyDescent="0.25">
      <c r="A298" s="1222"/>
      <c r="B298" s="1222"/>
      <c r="C298" s="1145"/>
      <c r="D298" s="1145"/>
      <c r="E298" s="1145"/>
      <c r="F298" s="1145"/>
      <c r="G298" s="1145"/>
      <c r="H298" s="1145"/>
    </row>
    <row r="299" spans="1:8" x14ac:dyDescent="0.25">
      <c r="A299" s="1132"/>
      <c r="B299" s="1222"/>
      <c r="C299" s="1135"/>
      <c r="D299" s="1135"/>
      <c r="E299" s="1135"/>
      <c r="F299" s="1135"/>
      <c r="G299" s="1135"/>
      <c r="H299" s="1135"/>
    </row>
    <row r="300" spans="1:8" x14ac:dyDescent="0.25">
      <c r="A300" s="1132"/>
      <c r="B300" s="1222"/>
      <c r="C300" s="1135"/>
      <c r="D300" s="1135"/>
      <c r="E300" s="1135"/>
      <c r="F300" s="1135"/>
      <c r="G300" s="1135"/>
      <c r="H300" s="1135"/>
    </row>
    <row r="301" spans="1:8" x14ac:dyDescent="0.25">
      <c r="A301" s="874" t="s">
        <v>1192</v>
      </c>
      <c r="B301" s="849"/>
      <c r="C301" s="855"/>
      <c r="D301" s="855"/>
      <c r="E301" s="855"/>
      <c r="F301" s="855"/>
      <c r="G301" s="855"/>
      <c r="H301" s="855"/>
    </row>
    <row r="302" spans="1:8" x14ac:dyDescent="0.25">
      <c r="A302" s="875"/>
      <c r="B302" s="875" t="s">
        <v>992</v>
      </c>
      <c r="C302" s="876">
        <v>-2048427</v>
      </c>
      <c r="D302" s="876">
        <v>-2048427</v>
      </c>
      <c r="E302" s="876">
        <v>-2165062</v>
      </c>
      <c r="F302" s="876">
        <v>-2215206</v>
      </c>
      <c r="G302" s="876">
        <v>-2266820</v>
      </c>
      <c r="H302" s="876">
        <v>-2319369</v>
      </c>
    </row>
    <row r="303" spans="1:8" x14ac:dyDescent="0.25">
      <c r="A303" s="875"/>
      <c r="B303" s="875" t="s">
        <v>925</v>
      </c>
      <c r="C303" s="876">
        <v>2048427</v>
      </c>
      <c r="D303" s="876">
        <v>2048427</v>
      </c>
      <c r="E303" s="876">
        <v>2165062</v>
      </c>
      <c r="F303" s="876">
        <v>2215206</v>
      </c>
      <c r="G303" s="876">
        <v>2266820</v>
      </c>
      <c r="H303" s="876">
        <v>2319369</v>
      </c>
    </row>
    <row r="304" spans="1:8" x14ac:dyDescent="0.25">
      <c r="A304" s="849" t="s">
        <v>1193</v>
      </c>
      <c r="B304" s="849"/>
      <c r="C304" s="855">
        <f t="shared" ref="C304:H304" si="36">SUBTOTAL(9,C302:C303)</f>
        <v>0</v>
      </c>
      <c r="D304" s="855">
        <f t="shared" si="36"/>
        <v>0</v>
      </c>
      <c r="E304" s="855">
        <f t="shared" si="36"/>
        <v>0</v>
      </c>
      <c r="F304" s="855">
        <f t="shared" si="36"/>
        <v>0</v>
      </c>
      <c r="G304" s="855">
        <f t="shared" si="36"/>
        <v>0</v>
      </c>
      <c r="H304" s="855">
        <f t="shared" si="36"/>
        <v>0</v>
      </c>
    </row>
    <row r="305" spans="1:8" x14ac:dyDescent="0.25">
      <c r="A305" s="849"/>
      <c r="B305" s="849"/>
      <c r="C305" s="855"/>
      <c r="D305" s="855"/>
      <c r="E305" s="855"/>
      <c r="F305" s="855"/>
      <c r="G305" s="855"/>
      <c r="H305" s="855"/>
    </row>
    <row r="306" spans="1:8" x14ac:dyDescent="0.25">
      <c r="A306" s="874" t="s">
        <v>1194</v>
      </c>
      <c r="B306" s="849"/>
      <c r="C306" s="855"/>
      <c r="D306" s="855"/>
      <c r="E306" s="855"/>
      <c r="F306" s="855"/>
      <c r="G306" s="855"/>
      <c r="H306" s="855"/>
    </row>
    <row r="307" spans="1:8" x14ac:dyDescent="0.25">
      <c r="A307" s="875"/>
      <c r="B307" s="875" t="s">
        <v>992</v>
      </c>
      <c r="C307" s="876">
        <v>-20000</v>
      </c>
      <c r="D307" s="876">
        <v>-20000</v>
      </c>
      <c r="E307" s="876">
        <v>-20000</v>
      </c>
      <c r="F307" s="876">
        <v>-20400</v>
      </c>
      <c r="G307" s="876">
        <v>-20800</v>
      </c>
      <c r="H307" s="876">
        <v>-21220</v>
      </c>
    </row>
    <row r="308" spans="1:8" x14ac:dyDescent="0.25">
      <c r="A308" s="875"/>
      <c r="B308" s="875" t="s">
        <v>925</v>
      </c>
      <c r="C308" s="876">
        <v>1424527</v>
      </c>
      <c r="D308" s="876">
        <v>1424527</v>
      </c>
      <c r="E308" s="876">
        <v>1569753</v>
      </c>
      <c r="F308" s="876">
        <v>1609709</v>
      </c>
      <c r="G308" s="876">
        <v>1650703</v>
      </c>
      <c r="H308" s="876">
        <v>1693799</v>
      </c>
    </row>
    <row r="309" spans="1:8" x14ac:dyDescent="0.25">
      <c r="A309" s="849" t="s">
        <v>1195</v>
      </c>
      <c r="B309" s="849"/>
      <c r="C309" s="855">
        <f t="shared" ref="C309:H309" si="37">SUBTOTAL(9,C307:C308)</f>
        <v>1404527</v>
      </c>
      <c r="D309" s="855">
        <f t="shared" si="37"/>
        <v>1404527</v>
      </c>
      <c r="E309" s="855">
        <f t="shared" si="37"/>
        <v>1549753</v>
      </c>
      <c r="F309" s="855">
        <f t="shared" si="37"/>
        <v>1589309</v>
      </c>
      <c r="G309" s="855">
        <f t="shared" si="37"/>
        <v>1629903</v>
      </c>
      <c r="H309" s="855">
        <f t="shared" si="37"/>
        <v>1672579</v>
      </c>
    </row>
    <row r="310" spans="1:8" x14ac:dyDescent="0.25">
      <c r="A310" s="849"/>
      <c r="B310" s="849"/>
      <c r="C310" s="855"/>
      <c r="D310" s="855"/>
      <c r="E310" s="855"/>
      <c r="F310" s="855"/>
      <c r="G310" s="855"/>
      <c r="H310" s="855"/>
    </row>
    <row r="311" spans="1:8" x14ac:dyDescent="0.25">
      <c r="A311" s="874" t="s">
        <v>1196</v>
      </c>
      <c r="B311" s="849"/>
      <c r="C311" s="855"/>
      <c r="D311" s="855"/>
      <c r="E311" s="855"/>
      <c r="F311" s="855"/>
      <c r="G311" s="855"/>
      <c r="H311" s="855"/>
    </row>
    <row r="312" spans="1:8" x14ac:dyDescent="0.25">
      <c r="A312" s="875"/>
      <c r="B312" s="875" t="s">
        <v>992</v>
      </c>
      <c r="C312" s="876">
        <v>-651050</v>
      </c>
      <c r="D312" s="876">
        <v>-651050</v>
      </c>
      <c r="E312" s="876">
        <v>-631100</v>
      </c>
      <c r="F312" s="876">
        <v>-530522</v>
      </c>
      <c r="G312" s="876">
        <v>-706469</v>
      </c>
      <c r="H312" s="876">
        <v>-758870</v>
      </c>
    </row>
    <row r="313" spans="1:8" x14ac:dyDescent="0.25">
      <c r="A313" s="875"/>
      <c r="B313" s="875" t="s">
        <v>925</v>
      </c>
      <c r="C313" s="876">
        <v>1265575</v>
      </c>
      <c r="D313" s="876">
        <v>1265575</v>
      </c>
      <c r="E313" s="876">
        <v>1215308</v>
      </c>
      <c r="F313" s="876">
        <v>941866</v>
      </c>
      <c r="G313" s="876">
        <v>1482161</v>
      </c>
      <c r="H313" s="876">
        <v>1592645</v>
      </c>
    </row>
    <row r="314" spans="1:8" x14ac:dyDescent="0.25">
      <c r="A314" s="849" t="s">
        <v>1197</v>
      </c>
      <c r="B314" s="849"/>
      <c r="C314" s="855">
        <f t="shared" ref="C314:H314" si="38">SUBTOTAL(9,C312:C313)</f>
        <v>614525</v>
      </c>
      <c r="D314" s="855">
        <f t="shared" si="38"/>
        <v>614525</v>
      </c>
      <c r="E314" s="855">
        <f t="shared" si="38"/>
        <v>584208</v>
      </c>
      <c r="F314" s="855">
        <f t="shared" si="38"/>
        <v>411344</v>
      </c>
      <c r="G314" s="855">
        <f t="shared" si="38"/>
        <v>775692</v>
      </c>
      <c r="H314" s="855">
        <f t="shared" si="38"/>
        <v>833775</v>
      </c>
    </row>
    <row r="315" spans="1:8" x14ac:dyDescent="0.25">
      <c r="A315" s="849"/>
      <c r="B315" s="849"/>
      <c r="C315" s="855"/>
      <c r="D315" s="855"/>
      <c r="E315" s="855"/>
      <c r="F315" s="855"/>
      <c r="G315" s="855"/>
      <c r="H315" s="855"/>
    </row>
    <row r="316" spans="1:8" x14ac:dyDescent="0.25">
      <c r="A316" s="874" t="s">
        <v>1198</v>
      </c>
      <c r="B316" s="849"/>
      <c r="C316" s="855"/>
      <c r="D316" s="855"/>
      <c r="E316" s="855"/>
      <c r="F316" s="855"/>
      <c r="G316" s="855"/>
      <c r="H316" s="855"/>
    </row>
    <row r="317" spans="1:8" x14ac:dyDescent="0.25">
      <c r="A317" s="875"/>
      <c r="B317" s="875" t="s">
        <v>992</v>
      </c>
      <c r="C317" s="876">
        <v>-3595787</v>
      </c>
      <c r="D317" s="876">
        <v>-3599787</v>
      </c>
      <c r="E317" s="876">
        <v>-3148346</v>
      </c>
      <c r="F317" s="876">
        <v>-3180955</v>
      </c>
      <c r="G317" s="876">
        <v>-3214203</v>
      </c>
      <c r="H317" s="876">
        <v>-3248106</v>
      </c>
    </row>
    <row r="318" spans="1:8" x14ac:dyDescent="0.25">
      <c r="A318" s="875"/>
      <c r="B318" s="875" t="s">
        <v>925</v>
      </c>
      <c r="C318" s="876">
        <v>10866668</v>
      </c>
      <c r="D318" s="876">
        <v>11140093</v>
      </c>
      <c r="E318" s="876">
        <v>10070171</v>
      </c>
      <c r="F318" s="876">
        <v>10333668</v>
      </c>
      <c r="G318" s="876">
        <v>10525108</v>
      </c>
      <c r="H318" s="876">
        <v>10820228</v>
      </c>
    </row>
    <row r="319" spans="1:8" x14ac:dyDescent="0.25">
      <c r="A319" s="849" t="s">
        <v>1199</v>
      </c>
      <c r="B319" s="849"/>
      <c r="C319" s="855">
        <f t="shared" ref="C319:H319" si="39">SUBTOTAL(9,C317:C318)</f>
        <v>7270881</v>
      </c>
      <c r="D319" s="855">
        <f t="shared" si="39"/>
        <v>7540306</v>
      </c>
      <c r="E319" s="855">
        <f t="shared" si="39"/>
        <v>6921825</v>
      </c>
      <c r="F319" s="855">
        <f t="shared" si="39"/>
        <v>7152713</v>
      </c>
      <c r="G319" s="855">
        <f t="shared" si="39"/>
        <v>7310905</v>
      </c>
      <c r="H319" s="855">
        <f t="shared" si="39"/>
        <v>7572122</v>
      </c>
    </row>
    <row r="320" spans="1:8" x14ac:dyDescent="0.25">
      <c r="A320" s="849"/>
      <c r="B320" s="849"/>
      <c r="C320" s="855"/>
      <c r="D320" s="855"/>
      <c r="E320" s="855"/>
      <c r="F320" s="855"/>
      <c r="G320" s="855"/>
      <c r="H320" s="855"/>
    </row>
    <row r="321" spans="1:8" x14ac:dyDescent="0.25">
      <c r="A321" s="874" t="s">
        <v>1200</v>
      </c>
      <c r="B321" s="849"/>
      <c r="C321" s="855"/>
      <c r="D321" s="855"/>
      <c r="E321" s="855"/>
      <c r="F321" s="855"/>
      <c r="G321" s="855"/>
      <c r="H321" s="855"/>
    </row>
    <row r="322" spans="1:8" x14ac:dyDescent="0.25">
      <c r="A322" s="875"/>
      <c r="B322" s="875" t="s">
        <v>992</v>
      </c>
      <c r="C322" s="876">
        <v>0</v>
      </c>
      <c r="D322" s="876">
        <v>-37730</v>
      </c>
      <c r="E322" s="876"/>
      <c r="F322" s="876"/>
      <c r="G322" s="876"/>
      <c r="H322" s="876"/>
    </row>
    <row r="323" spans="1:8" x14ac:dyDescent="0.25">
      <c r="A323" s="875"/>
      <c r="B323" s="875" t="s">
        <v>925</v>
      </c>
      <c r="C323" s="876">
        <v>767406</v>
      </c>
      <c r="D323" s="876">
        <v>1033167</v>
      </c>
      <c r="E323" s="876">
        <v>747296</v>
      </c>
      <c r="F323" s="876">
        <v>766561</v>
      </c>
      <c r="G323" s="876">
        <v>786342</v>
      </c>
      <c r="H323" s="876">
        <v>806652</v>
      </c>
    </row>
    <row r="324" spans="1:8" x14ac:dyDescent="0.25">
      <c r="A324" s="849" t="s">
        <v>1201</v>
      </c>
      <c r="B324" s="849"/>
      <c r="C324" s="855">
        <f t="shared" ref="C324:H324" si="40">SUBTOTAL(9,C322:C323)</f>
        <v>767406</v>
      </c>
      <c r="D324" s="855">
        <f t="shared" si="40"/>
        <v>995437</v>
      </c>
      <c r="E324" s="855">
        <f t="shared" si="40"/>
        <v>747296</v>
      </c>
      <c r="F324" s="855">
        <f t="shared" si="40"/>
        <v>766561</v>
      </c>
      <c r="G324" s="855">
        <f t="shared" si="40"/>
        <v>786342</v>
      </c>
      <c r="H324" s="855">
        <f t="shared" si="40"/>
        <v>806652</v>
      </c>
    </row>
    <row r="325" spans="1:8" x14ac:dyDescent="0.25">
      <c r="A325" s="849"/>
      <c r="B325" s="849"/>
      <c r="C325" s="855"/>
      <c r="D325" s="855"/>
      <c r="E325" s="855"/>
      <c r="F325" s="855"/>
      <c r="G325" s="855"/>
      <c r="H325" s="855"/>
    </row>
    <row r="326" spans="1:8" x14ac:dyDescent="0.25">
      <c r="A326" s="874" t="s">
        <v>1202</v>
      </c>
      <c r="B326" s="849"/>
      <c r="C326" s="855"/>
      <c r="D326" s="855"/>
      <c r="E326" s="855"/>
      <c r="F326" s="855"/>
      <c r="G326" s="855"/>
      <c r="H326" s="855"/>
    </row>
    <row r="327" spans="1:8" x14ac:dyDescent="0.25">
      <c r="A327" s="875"/>
      <c r="B327" s="875" t="s">
        <v>992</v>
      </c>
      <c r="C327" s="876">
        <v>-2355651</v>
      </c>
      <c r="D327" s="876">
        <v>-2355651</v>
      </c>
      <c r="E327" s="876">
        <v>-2431841</v>
      </c>
      <c r="F327" s="876">
        <v>-2625199</v>
      </c>
      <c r="G327" s="876">
        <v>-2722713</v>
      </c>
      <c r="H327" s="876">
        <v>-2829937</v>
      </c>
    </row>
    <row r="328" spans="1:8" x14ac:dyDescent="0.25">
      <c r="A328" s="875"/>
      <c r="B328" s="875" t="s">
        <v>925</v>
      </c>
      <c r="C328" s="876">
        <v>2355651</v>
      </c>
      <c r="D328" s="876">
        <v>2355651</v>
      </c>
      <c r="E328" s="876">
        <v>2431841</v>
      </c>
      <c r="F328" s="876">
        <v>2625199</v>
      </c>
      <c r="G328" s="876">
        <v>2722713</v>
      </c>
      <c r="H328" s="876">
        <v>2829937</v>
      </c>
    </row>
    <row r="329" spans="1:8" x14ac:dyDescent="0.25">
      <c r="A329" s="849" t="s">
        <v>1203</v>
      </c>
      <c r="B329" s="849"/>
      <c r="C329" s="855">
        <f t="shared" ref="C329:H329" si="41">SUBTOTAL(9,C327:C328)</f>
        <v>0</v>
      </c>
      <c r="D329" s="855">
        <f t="shared" si="41"/>
        <v>0</v>
      </c>
      <c r="E329" s="855">
        <f t="shared" si="41"/>
        <v>0</v>
      </c>
      <c r="F329" s="855">
        <f t="shared" si="41"/>
        <v>0</v>
      </c>
      <c r="G329" s="855">
        <f t="shared" si="41"/>
        <v>0</v>
      </c>
      <c r="H329" s="855">
        <f t="shared" si="41"/>
        <v>0</v>
      </c>
    </row>
    <row r="330" spans="1:8" x14ac:dyDescent="0.25">
      <c r="A330" s="849"/>
      <c r="B330" s="849"/>
      <c r="C330" s="855"/>
      <c r="D330" s="855"/>
      <c r="E330" s="855"/>
      <c r="F330" s="855"/>
      <c r="G330" s="855"/>
      <c r="H330" s="855"/>
    </row>
    <row r="331" spans="1:8" x14ac:dyDescent="0.25">
      <c r="A331" s="874" t="s">
        <v>1204</v>
      </c>
      <c r="B331" s="849"/>
      <c r="C331" s="855"/>
      <c r="D331" s="855"/>
      <c r="E331" s="855"/>
      <c r="F331" s="855"/>
      <c r="G331" s="855"/>
      <c r="H331" s="855"/>
    </row>
    <row r="332" spans="1:8" x14ac:dyDescent="0.25">
      <c r="A332" s="875"/>
      <c r="B332" s="875" t="s">
        <v>992</v>
      </c>
      <c r="C332" s="876">
        <v>-4891957</v>
      </c>
      <c r="D332" s="876">
        <v>-4971273</v>
      </c>
      <c r="E332" s="876">
        <v>-5297219</v>
      </c>
      <c r="F332" s="876">
        <v>-5406689</v>
      </c>
      <c r="G332" s="876">
        <v>-5519482</v>
      </c>
      <c r="H332" s="876">
        <v>-5632462</v>
      </c>
    </row>
    <row r="333" spans="1:8" x14ac:dyDescent="0.25">
      <c r="A333" s="875"/>
      <c r="B333" s="875" t="s">
        <v>925</v>
      </c>
      <c r="C333" s="876">
        <v>4297037</v>
      </c>
      <c r="D333" s="876">
        <v>4673516</v>
      </c>
      <c r="E333" s="876">
        <v>4611607</v>
      </c>
      <c r="F333" s="876">
        <v>4716261</v>
      </c>
      <c r="G333" s="876">
        <v>4823995</v>
      </c>
      <c r="H333" s="876">
        <v>4934964</v>
      </c>
    </row>
    <row r="334" spans="1:8" x14ac:dyDescent="0.25">
      <c r="A334" s="849" t="s">
        <v>1205</v>
      </c>
      <c r="B334" s="849"/>
      <c r="C334" s="855">
        <f t="shared" ref="C334:H334" si="42">SUBTOTAL(9,C332:C333)</f>
        <v>-594920</v>
      </c>
      <c r="D334" s="855">
        <f t="shared" si="42"/>
        <v>-297757</v>
      </c>
      <c r="E334" s="855">
        <f t="shared" si="42"/>
        <v>-685612</v>
      </c>
      <c r="F334" s="855">
        <f t="shared" si="42"/>
        <v>-690428</v>
      </c>
      <c r="G334" s="855">
        <f t="shared" si="42"/>
        <v>-695487</v>
      </c>
      <c r="H334" s="855">
        <f t="shared" si="42"/>
        <v>-697498</v>
      </c>
    </row>
    <row r="335" spans="1:8" x14ac:dyDescent="0.25">
      <c r="A335" s="849"/>
      <c r="B335" s="849"/>
      <c r="C335" s="855"/>
      <c r="D335" s="855"/>
      <c r="E335" s="855"/>
      <c r="F335" s="855"/>
      <c r="G335" s="855"/>
      <c r="H335" s="855"/>
    </row>
    <row r="336" spans="1:8" x14ac:dyDescent="0.25">
      <c r="A336" s="849"/>
      <c r="B336" s="849"/>
      <c r="C336" s="855"/>
      <c r="D336" s="855"/>
      <c r="E336" s="855"/>
      <c r="F336" s="855"/>
      <c r="G336" s="855"/>
      <c r="H336" s="855"/>
    </row>
    <row r="337" spans="1:8" x14ac:dyDescent="0.25">
      <c r="A337" s="849"/>
      <c r="B337" s="849"/>
      <c r="C337" s="855"/>
      <c r="D337" s="855"/>
      <c r="E337" s="855"/>
      <c r="F337" s="855"/>
      <c r="G337" s="855"/>
      <c r="H337" s="855"/>
    </row>
    <row r="339" spans="1:8" x14ac:dyDescent="0.25">
      <c r="A339" s="872" t="s">
        <v>1191</v>
      </c>
      <c r="B339" s="873"/>
      <c r="C339" s="873"/>
    </row>
    <row r="341" spans="1:8" ht="26.4" x14ac:dyDescent="0.25">
      <c r="C341" s="850" t="s">
        <v>1168</v>
      </c>
      <c r="D341" s="850" t="s">
        <v>1169</v>
      </c>
      <c r="E341" s="850" t="s">
        <v>1170</v>
      </c>
      <c r="F341" s="851" t="s">
        <v>1172</v>
      </c>
      <c r="G341" s="851" t="s">
        <v>1173</v>
      </c>
      <c r="H341" s="851" t="s">
        <v>1174</v>
      </c>
    </row>
    <row r="342" spans="1:8" x14ac:dyDescent="0.25">
      <c r="A342" s="874" t="s">
        <v>1206</v>
      </c>
      <c r="B342" s="849"/>
      <c r="C342" s="855"/>
      <c r="D342" s="855"/>
      <c r="E342" s="855"/>
      <c r="F342" s="855"/>
      <c r="G342" s="855"/>
      <c r="H342" s="855"/>
    </row>
    <row r="343" spans="1:8" x14ac:dyDescent="0.25">
      <c r="A343" s="875"/>
      <c r="B343" s="875" t="s">
        <v>992</v>
      </c>
      <c r="C343" s="876">
        <v>-260000</v>
      </c>
      <c r="D343" s="876">
        <v>-260000</v>
      </c>
      <c r="E343" s="876">
        <v>-88000</v>
      </c>
      <c r="F343" s="876">
        <v>-89730</v>
      </c>
      <c r="G343" s="876">
        <v>-91493</v>
      </c>
      <c r="H343" s="876">
        <v>-93293</v>
      </c>
    </row>
    <row r="344" spans="1:8" x14ac:dyDescent="0.25">
      <c r="A344" s="875"/>
      <c r="B344" s="875" t="s">
        <v>925</v>
      </c>
      <c r="C344" s="876">
        <v>752404</v>
      </c>
      <c r="D344" s="876">
        <v>794734</v>
      </c>
      <c r="E344" s="876">
        <v>1115548</v>
      </c>
      <c r="F344" s="876">
        <v>1141315</v>
      </c>
      <c r="G344" s="876">
        <v>1167515</v>
      </c>
      <c r="H344" s="876">
        <v>1194171</v>
      </c>
    </row>
    <row r="345" spans="1:8" x14ac:dyDescent="0.25">
      <c r="A345" s="849" t="s">
        <v>1207</v>
      </c>
      <c r="B345" s="849"/>
      <c r="C345" s="855">
        <f t="shared" ref="C345:H345" si="43">SUBTOTAL(9,C343:C344)</f>
        <v>492404</v>
      </c>
      <c r="D345" s="855">
        <f t="shared" si="43"/>
        <v>534734</v>
      </c>
      <c r="E345" s="855">
        <f t="shared" si="43"/>
        <v>1027548</v>
      </c>
      <c r="F345" s="855">
        <f t="shared" si="43"/>
        <v>1051585</v>
      </c>
      <c r="G345" s="855">
        <f t="shared" si="43"/>
        <v>1076022</v>
      </c>
      <c r="H345" s="855">
        <f t="shared" si="43"/>
        <v>1100878</v>
      </c>
    </row>
    <row r="346" spans="1:8" x14ac:dyDescent="0.25">
      <c r="A346" s="849"/>
      <c r="B346" s="849"/>
      <c r="C346" s="855"/>
      <c r="D346" s="855"/>
      <c r="E346" s="855"/>
      <c r="F346" s="855"/>
      <c r="G346" s="855"/>
      <c r="H346" s="855"/>
    </row>
    <row r="347" spans="1:8" x14ac:dyDescent="0.25">
      <c r="A347" s="874" t="s">
        <v>1208</v>
      </c>
      <c r="B347" s="849"/>
      <c r="C347" s="855"/>
      <c r="D347" s="855"/>
      <c r="E347" s="855"/>
      <c r="F347" s="855"/>
      <c r="G347" s="855"/>
      <c r="H347" s="855"/>
    </row>
    <row r="348" spans="1:8" x14ac:dyDescent="0.25">
      <c r="A348" s="875"/>
      <c r="B348" s="875" t="s">
        <v>992</v>
      </c>
      <c r="C348" s="876">
        <v>-42000</v>
      </c>
      <c r="D348" s="876">
        <v>-42000</v>
      </c>
      <c r="E348" s="876">
        <v>-42000</v>
      </c>
      <c r="F348" s="876">
        <v>-42840</v>
      </c>
      <c r="G348" s="876">
        <v>-43696</v>
      </c>
      <c r="H348" s="876">
        <v>-44570</v>
      </c>
    </row>
    <row r="349" spans="1:8" x14ac:dyDescent="0.25">
      <c r="A349" s="875"/>
      <c r="B349" s="875" t="s">
        <v>925</v>
      </c>
      <c r="C349" s="876">
        <v>709564</v>
      </c>
      <c r="D349" s="876">
        <v>700958</v>
      </c>
      <c r="E349" s="876">
        <v>675005</v>
      </c>
      <c r="F349" s="876">
        <v>692890</v>
      </c>
      <c r="G349" s="876">
        <v>711260</v>
      </c>
      <c r="H349" s="876">
        <v>730135</v>
      </c>
    </row>
    <row r="350" spans="1:8" x14ac:dyDescent="0.25">
      <c r="A350" s="849" t="s">
        <v>1209</v>
      </c>
      <c r="B350" s="849"/>
      <c r="C350" s="855">
        <f t="shared" ref="C350:H350" si="44">SUBTOTAL(9,C348:C349)</f>
        <v>667564</v>
      </c>
      <c r="D350" s="855">
        <f t="shared" si="44"/>
        <v>658958</v>
      </c>
      <c r="E350" s="855">
        <f t="shared" si="44"/>
        <v>633005</v>
      </c>
      <c r="F350" s="855">
        <f t="shared" si="44"/>
        <v>650050</v>
      </c>
      <c r="G350" s="855">
        <f t="shared" si="44"/>
        <v>667564</v>
      </c>
      <c r="H350" s="855">
        <f t="shared" si="44"/>
        <v>685565</v>
      </c>
    </row>
    <row r="351" spans="1:8" x14ac:dyDescent="0.25">
      <c r="A351" s="849"/>
      <c r="B351" s="849"/>
      <c r="C351" s="855"/>
      <c r="D351" s="855"/>
      <c r="E351" s="855"/>
      <c r="F351" s="855"/>
      <c r="G351" s="855"/>
      <c r="H351" s="855"/>
    </row>
    <row r="352" spans="1:8" x14ac:dyDescent="0.25">
      <c r="A352" s="874" t="s">
        <v>1210</v>
      </c>
      <c r="B352" s="849"/>
      <c r="C352" s="855"/>
      <c r="D352" s="855"/>
      <c r="E352" s="855"/>
      <c r="F352" s="855"/>
      <c r="G352" s="855"/>
      <c r="H352" s="855"/>
    </row>
    <row r="353" spans="1:8" x14ac:dyDescent="0.25">
      <c r="A353" s="875"/>
      <c r="B353" s="875" t="s">
        <v>992</v>
      </c>
      <c r="C353" s="876">
        <v>-272210</v>
      </c>
      <c r="D353" s="876">
        <v>-252450</v>
      </c>
      <c r="E353" s="876">
        <v>-215000</v>
      </c>
      <c r="F353" s="876">
        <v>-219300</v>
      </c>
      <c r="G353" s="876">
        <v>-223679</v>
      </c>
      <c r="H353" s="876">
        <v>-228152</v>
      </c>
    </row>
    <row r="354" spans="1:8" x14ac:dyDescent="0.25">
      <c r="A354" s="875"/>
      <c r="B354" s="875" t="s">
        <v>925</v>
      </c>
      <c r="C354" s="876">
        <v>1988102</v>
      </c>
      <c r="D354" s="876">
        <v>1995202</v>
      </c>
      <c r="E354" s="876">
        <v>1963610</v>
      </c>
      <c r="F354" s="876">
        <v>2032491</v>
      </c>
      <c r="G354" s="876">
        <v>2102137</v>
      </c>
      <c r="H354" s="876">
        <v>2172844</v>
      </c>
    </row>
    <row r="355" spans="1:8" x14ac:dyDescent="0.25">
      <c r="A355" s="849" t="s">
        <v>1211</v>
      </c>
      <c r="B355" s="849"/>
      <c r="C355" s="855">
        <f t="shared" ref="C355:H355" si="45">SUBTOTAL(9,C353:C354)</f>
        <v>1715892</v>
      </c>
      <c r="D355" s="855">
        <f t="shared" si="45"/>
        <v>1742752</v>
      </c>
      <c r="E355" s="855">
        <f t="shared" si="45"/>
        <v>1748610</v>
      </c>
      <c r="F355" s="855">
        <f t="shared" si="45"/>
        <v>1813191</v>
      </c>
      <c r="G355" s="855">
        <f t="shared" si="45"/>
        <v>1878458</v>
      </c>
      <c r="H355" s="855">
        <f t="shared" si="45"/>
        <v>1944692</v>
      </c>
    </row>
    <row r="356" spans="1:8" x14ac:dyDescent="0.25">
      <c r="A356" s="849"/>
      <c r="B356" s="849"/>
      <c r="C356" s="855"/>
      <c r="D356" s="855"/>
      <c r="E356" s="855"/>
      <c r="F356" s="855"/>
      <c r="G356" s="855"/>
      <c r="H356" s="855"/>
    </row>
    <row r="357" spans="1:8" x14ac:dyDescent="0.25">
      <c r="A357" s="874" t="s">
        <v>1212</v>
      </c>
      <c r="B357" s="849"/>
      <c r="C357" s="855"/>
      <c r="D357" s="855"/>
      <c r="E357" s="855"/>
      <c r="F357" s="855"/>
      <c r="G357" s="855"/>
      <c r="H357" s="855"/>
    </row>
    <row r="358" spans="1:8" x14ac:dyDescent="0.25">
      <c r="A358" s="875"/>
      <c r="B358" s="875" t="s">
        <v>992</v>
      </c>
      <c r="C358" s="876">
        <v>-19231237</v>
      </c>
      <c r="D358" s="876">
        <v>-20616945</v>
      </c>
      <c r="E358" s="876">
        <v>-20294363</v>
      </c>
      <c r="F358" s="876">
        <v>-21101866</v>
      </c>
      <c r="G358" s="876">
        <v>-22321137</v>
      </c>
      <c r="H358" s="876">
        <v>-23118715</v>
      </c>
    </row>
    <row r="359" spans="1:8" x14ac:dyDescent="0.25">
      <c r="A359" s="875"/>
      <c r="B359" s="875" t="s">
        <v>925</v>
      </c>
      <c r="C359" s="876">
        <v>1198762</v>
      </c>
      <c r="D359" s="876">
        <v>1261228</v>
      </c>
      <c r="E359" s="876">
        <v>1227452</v>
      </c>
      <c r="F359" s="876">
        <v>1255155</v>
      </c>
      <c r="G359" s="876">
        <v>1283632</v>
      </c>
      <c r="H359" s="876">
        <v>1312911</v>
      </c>
    </row>
    <row r="360" spans="1:8" x14ac:dyDescent="0.25">
      <c r="A360" s="849" t="s">
        <v>1213</v>
      </c>
      <c r="B360" s="849"/>
      <c r="C360" s="855">
        <f t="shared" ref="C360:H360" si="46">SUBTOTAL(9,C358:C359)</f>
        <v>-18032475</v>
      </c>
      <c r="D360" s="855">
        <f t="shared" si="46"/>
        <v>-19355717</v>
      </c>
      <c r="E360" s="855">
        <f t="shared" si="46"/>
        <v>-19066911</v>
      </c>
      <c r="F360" s="855">
        <f t="shared" si="46"/>
        <v>-19846711</v>
      </c>
      <c r="G360" s="855">
        <f t="shared" si="46"/>
        <v>-21037505</v>
      </c>
      <c r="H360" s="855">
        <f t="shared" si="46"/>
        <v>-21805804</v>
      </c>
    </row>
    <row r="361" spans="1:8" x14ac:dyDescent="0.25">
      <c r="A361" s="849"/>
      <c r="B361" s="849"/>
      <c r="C361" s="855"/>
      <c r="D361" s="855"/>
      <c r="E361" s="855"/>
      <c r="F361" s="855"/>
      <c r="G361" s="855"/>
      <c r="H361" s="855"/>
    </row>
    <row r="362" spans="1:8" x14ac:dyDescent="0.25">
      <c r="A362" s="874" t="s">
        <v>1214</v>
      </c>
      <c r="B362" s="849"/>
      <c r="C362" s="855"/>
      <c r="D362" s="855"/>
      <c r="E362" s="855"/>
      <c r="F362" s="855"/>
      <c r="G362" s="855"/>
      <c r="H362" s="855"/>
    </row>
    <row r="363" spans="1:8" x14ac:dyDescent="0.25">
      <c r="A363" s="875"/>
      <c r="B363" s="875" t="s">
        <v>992</v>
      </c>
      <c r="C363" s="876">
        <v>-39500</v>
      </c>
      <c r="D363" s="876">
        <v>-39500</v>
      </c>
      <c r="E363" s="876">
        <v>-26700</v>
      </c>
      <c r="F363" s="876">
        <v>-27234</v>
      </c>
      <c r="G363" s="876">
        <v>-27777</v>
      </c>
      <c r="H363" s="876">
        <v>-28352</v>
      </c>
    </row>
    <row r="364" spans="1:8" x14ac:dyDescent="0.25">
      <c r="A364" s="875"/>
      <c r="B364" s="875" t="s">
        <v>925</v>
      </c>
      <c r="C364" s="876">
        <v>311153</v>
      </c>
      <c r="D364" s="876">
        <v>319153</v>
      </c>
      <c r="E364" s="876">
        <v>316482</v>
      </c>
      <c r="F364" s="876">
        <v>324387</v>
      </c>
      <c r="G364" s="876">
        <v>332772</v>
      </c>
      <c r="H364" s="876">
        <v>665914</v>
      </c>
    </row>
    <row r="365" spans="1:8" x14ac:dyDescent="0.25">
      <c r="A365" s="849" t="s">
        <v>1215</v>
      </c>
      <c r="B365" s="849"/>
      <c r="C365" s="855">
        <f t="shared" ref="C365:H365" si="47">SUBTOTAL(9,C363:C364)</f>
        <v>271653</v>
      </c>
      <c r="D365" s="855">
        <f t="shared" si="47"/>
        <v>279653</v>
      </c>
      <c r="E365" s="855">
        <f t="shared" si="47"/>
        <v>289782</v>
      </c>
      <c r="F365" s="855">
        <f t="shared" si="47"/>
        <v>297153</v>
      </c>
      <c r="G365" s="855">
        <f t="shared" si="47"/>
        <v>304995</v>
      </c>
      <c r="H365" s="855">
        <f t="shared" si="47"/>
        <v>637562</v>
      </c>
    </row>
    <row r="366" spans="1:8" x14ac:dyDescent="0.25">
      <c r="A366" s="849"/>
      <c r="B366" s="849"/>
      <c r="C366" s="855"/>
      <c r="D366" s="855"/>
      <c r="E366" s="855"/>
      <c r="F366" s="855"/>
      <c r="G366" s="855"/>
      <c r="H366" s="855"/>
    </row>
    <row r="367" spans="1:8" x14ac:dyDescent="0.25">
      <c r="A367" s="874" t="s">
        <v>1216</v>
      </c>
      <c r="B367" s="849"/>
      <c r="C367" s="855"/>
      <c r="D367" s="855"/>
      <c r="E367" s="855"/>
      <c r="F367" s="855"/>
      <c r="G367" s="855"/>
      <c r="H367" s="855"/>
    </row>
    <row r="368" spans="1:8" x14ac:dyDescent="0.25">
      <c r="A368" s="875"/>
      <c r="B368" s="875" t="s">
        <v>992</v>
      </c>
      <c r="C368" s="876">
        <v>-190100</v>
      </c>
      <c r="D368" s="876">
        <v>-190100</v>
      </c>
      <c r="E368" s="876">
        <v>-178250</v>
      </c>
      <c r="F368" s="876">
        <v>-181811</v>
      </c>
      <c r="G368" s="876">
        <v>-183562</v>
      </c>
      <c r="H368" s="876">
        <v>-189147</v>
      </c>
    </row>
    <row r="369" spans="1:8" x14ac:dyDescent="0.25">
      <c r="A369" s="875"/>
      <c r="B369" s="875" t="s">
        <v>925</v>
      </c>
      <c r="C369" s="876">
        <v>791662</v>
      </c>
      <c r="D369" s="876">
        <v>793462</v>
      </c>
      <c r="E369" s="876">
        <v>804872</v>
      </c>
      <c r="F369" s="876">
        <v>826782</v>
      </c>
      <c r="G369" s="876">
        <v>849292</v>
      </c>
      <c r="H369" s="876">
        <v>872435</v>
      </c>
    </row>
    <row r="370" spans="1:8" x14ac:dyDescent="0.25">
      <c r="A370" s="849" t="s">
        <v>1217</v>
      </c>
      <c r="B370" s="849"/>
      <c r="C370" s="855">
        <f t="shared" ref="C370:H370" si="48">SUBTOTAL(9,C368:C369)</f>
        <v>601562</v>
      </c>
      <c r="D370" s="855">
        <f t="shared" si="48"/>
        <v>603362</v>
      </c>
      <c r="E370" s="855">
        <f t="shared" si="48"/>
        <v>626622</v>
      </c>
      <c r="F370" s="855">
        <f t="shared" si="48"/>
        <v>644971</v>
      </c>
      <c r="G370" s="855">
        <f t="shared" si="48"/>
        <v>665730</v>
      </c>
      <c r="H370" s="855">
        <f t="shared" si="48"/>
        <v>683288</v>
      </c>
    </row>
    <row r="371" spans="1:8" x14ac:dyDescent="0.25">
      <c r="A371" s="849"/>
      <c r="B371" s="849"/>
      <c r="C371" s="855"/>
      <c r="D371" s="855"/>
      <c r="E371" s="855"/>
      <c r="F371" s="855"/>
      <c r="G371" s="855"/>
      <c r="H371" s="855"/>
    </row>
    <row r="372" spans="1:8" x14ac:dyDescent="0.25">
      <c r="A372" s="874" t="s">
        <v>1218</v>
      </c>
      <c r="B372" s="849"/>
      <c r="C372" s="855"/>
      <c r="D372" s="855"/>
      <c r="E372" s="855"/>
      <c r="F372" s="855"/>
      <c r="G372" s="855"/>
      <c r="H372" s="855"/>
    </row>
    <row r="373" spans="1:8" x14ac:dyDescent="0.25">
      <c r="A373" s="875"/>
      <c r="B373" s="875" t="s">
        <v>925</v>
      </c>
      <c r="C373" s="876">
        <v>681706</v>
      </c>
      <c r="D373" s="876">
        <v>716706</v>
      </c>
      <c r="E373" s="876">
        <v>904851</v>
      </c>
      <c r="F373" s="876">
        <v>927168</v>
      </c>
      <c r="G373" s="876">
        <v>950432</v>
      </c>
      <c r="H373" s="876">
        <v>940878</v>
      </c>
    </row>
    <row r="374" spans="1:8" x14ac:dyDescent="0.25">
      <c r="A374" s="849" t="s">
        <v>1219</v>
      </c>
      <c r="B374" s="849"/>
      <c r="C374" s="855">
        <f t="shared" ref="C374:H374" si="49">SUBTOTAL(9,C373:C373)</f>
        <v>681706</v>
      </c>
      <c r="D374" s="855">
        <f t="shared" si="49"/>
        <v>716706</v>
      </c>
      <c r="E374" s="855">
        <f t="shared" si="49"/>
        <v>904851</v>
      </c>
      <c r="F374" s="855">
        <f t="shared" si="49"/>
        <v>927168</v>
      </c>
      <c r="G374" s="855">
        <f t="shared" si="49"/>
        <v>950432</v>
      </c>
      <c r="H374" s="855">
        <f t="shared" si="49"/>
        <v>940878</v>
      </c>
    </row>
    <row r="375" spans="1:8" x14ac:dyDescent="0.25">
      <c r="A375" s="849"/>
      <c r="B375" s="849"/>
      <c r="C375" s="855"/>
      <c r="D375" s="855"/>
      <c r="E375" s="855"/>
      <c r="F375" s="855"/>
      <c r="G375" s="855"/>
      <c r="H375" s="855"/>
    </row>
    <row r="376" spans="1:8" x14ac:dyDescent="0.25">
      <c r="A376" s="874" t="s">
        <v>1220</v>
      </c>
      <c r="B376" s="849"/>
      <c r="C376" s="855"/>
      <c r="D376" s="855"/>
      <c r="E376" s="855"/>
      <c r="F376" s="855"/>
      <c r="G376" s="855"/>
      <c r="H376" s="855"/>
    </row>
    <row r="377" spans="1:8" x14ac:dyDescent="0.25">
      <c r="A377" s="875"/>
      <c r="B377" s="875" t="s">
        <v>925</v>
      </c>
      <c r="C377" s="876">
        <v>683403</v>
      </c>
      <c r="D377" s="876">
        <v>683403</v>
      </c>
      <c r="E377" s="876">
        <v>697378</v>
      </c>
      <c r="F377" s="876">
        <v>711232</v>
      </c>
      <c r="G377" s="876">
        <v>725453</v>
      </c>
      <c r="H377" s="876">
        <v>739961</v>
      </c>
    </row>
    <row r="378" spans="1:8" x14ac:dyDescent="0.25">
      <c r="A378" s="849" t="s">
        <v>1221</v>
      </c>
      <c r="B378" s="849"/>
      <c r="C378" s="855">
        <f t="shared" ref="C378:H378" si="50">SUBTOTAL(9,C377:C377)</f>
        <v>683403</v>
      </c>
      <c r="D378" s="855">
        <f t="shared" si="50"/>
        <v>683403</v>
      </c>
      <c r="E378" s="855">
        <f t="shared" si="50"/>
        <v>697378</v>
      </c>
      <c r="F378" s="855">
        <f t="shared" si="50"/>
        <v>711232</v>
      </c>
      <c r="G378" s="855">
        <f t="shared" si="50"/>
        <v>725453</v>
      </c>
      <c r="H378" s="855">
        <f t="shared" si="50"/>
        <v>739961</v>
      </c>
    </row>
    <row r="379" spans="1:8" x14ac:dyDescent="0.25">
      <c r="A379" s="849"/>
      <c r="B379" s="849"/>
      <c r="C379" s="855"/>
      <c r="D379" s="855"/>
      <c r="E379" s="855"/>
      <c r="F379" s="855"/>
      <c r="G379" s="855"/>
      <c r="H379" s="855"/>
    </row>
    <row r="380" spans="1:8" x14ac:dyDescent="0.25">
      <c r="A380" s="849"/>
      <c r="B380" s="849"/>
      <c r="C380" s="855"/>
      <c r="D380" s="855"/>
      <c r="E380" s="855"/>
      <c r="F380" s="855"/>
      <c r="G380" s="855"/>
      <c r="H380" s="855"/>
    </row>
    <row r="382" spans="1:8" x14ac:dyDescent="0.25">
      <c r="A382" s="872" t="s">
        <v>1191</v>
      </c>
      <c r="B382" s="873"/>
      <c r="C382" s="873"/>
    </row>
    <row r="384" spans="1:8" ht="26.4" x14ac:dyDescent="0.25">
      <c r="C384" s="850" t="s">
        <v>1168</v>
      </c>
      <c r="D384" s="850" t="s">
        <v>1169</v>
      </c>
      <c r="E384" s="850" t="s">
        <v>1170</v>
      </c>
      <c r="F384" s="851" t="s">
        <v>1172</v>
      </c>
      <c r="G384" s="851" t="s">
        <v>1173</v>
      </c>
      <c r="H384" s="851" t="s">
        <v>1174</v>
      </c>
    </row>
    <row r="385" spans="1:8" x14ac:dyDescent="0.25">
      <c r="A385" s="874" t="s">
        <v>1222</v>
      </c>
      <c r="B385" s="849"/>
      <c r="C385" s="855"/>
      <c r="D385" s="855"/>
      <c r="E385" s="855"/>
      <c r="F385" s="855"/>
      <c r="G385" s="855"/>
      <c r="H385" s="855"/>
    </row>
    <row r="386" spans="1:8" x14ac:dyDescent="0.25">
      <c r="A386" s="875"/>
      <c r="B386" s="875" t="s">
        <v>992</v>
      </c>
      <c r="C386" s="876">
        <v>-234000</v>
      </c>
      <c r="D386" s="876">
        <v>-192038</v>
      </c>
      <c r="E386" s="876">
        <v>-195000</v>
      </c>
      <c r="F386" s="876">
        <v>-198900</v>
      </c>
      <c r="G386" s="876">
        <v>-202878</v>
      </c>
      <c r="H386" s="876">
        <v>-206935</v>
      </c>
    </row>
    <row r="387" spans="1:8" x14ac:dyDescent="0.25">
      <c r="A387" s="875"/>
      <c r="B387" s="875" t="s">
        <v>925</v>
      </c>
      <c r="C387" s="876">
        <v>809643</v>
      </c>
      <c r="D387" s="876">
        <v>872961</v>
      </c>
      <c r="E387" s="876">
        <v>860976</v>
      </c>
      <c r="F387" s="876">
        <v>879134</v>
      </c>
      <c r="G387" s="876">
        <v>897885</v>
      </c>
      <c r="H387" s="876">
        <v>917043</v>
      </c>
    </row>
    <row r="388" spans="1:8" x14ac:dyDescent="0.25">
      <c r="A388" s="849" t="s">
        <v>1223</v>
      </c>
      <c r="B388" s="849"/>
      <c r="C388" s="855">
        <f t="shared" ref="C388:H388" si="51">SUBTOTAL(9,C386:C387)</f>
        <v>575643</v>
      </c>
      <c r="D388" s="855">
        <f t="shared" si="51"/>
        <v>680923</v>
      </c>
      <c r="E388" s="855">
        <f t="shared" si="51"/>
        <v>665976</v>
      </c>
      <c r="F388" s="855">
        <f t="shared" si="51"/>
        <v>680234</v>
      </c>
      <c r="G388" s="855">
        <f t="shared" si="51"/>
        <v>695007</v>
      </c>
      <c r="H388" s="855">
        <f t="shared" si="51"/>
        <v>710108</v>
      </c>
    </row>
    <row r="389" spans="1:8" x14ac:dyDescent="0.25">
      <c r="A389" s="849"/>
      <c r="B389" s="849"/>
      <c r="C389" s="855"/>
      <c r="D389" s="855"/>
      <c r="E389" s="855"/>
      <c r="F389" s="855"/>
      <c r="G389" s="855"/>
      <c r="H389" s="855"/>
    </row>
    <row r="390" spans="1:8" x14ac:dyDescent="0.25">
      <c r="A390" s="874" t="s">
        <v>1224</v>
      </c>
      <c r="B390" s="849"/>
      <c r="C390" s="855"/>
      <c r="D390" s="855"/>
      <c r="E390" s="855"/>
      <c r="F390" s="855"/>
      <c r="G390" s="855"/>
      <c r="H390" s="855"/>
    </row>
    <row r="391" spans="1:8" x14ac:dyDescent="0.25">
      <c r="A391" s="875"/>
      <c r="B391" s="875" t="s">
        <v>992</v>
      </c>
      <c r="C391" s="876">
        <v>-532750</v>
      </c>
      <c r="D391" s="876">
        <v>-562873</v>
      </c>
      <c r="E391" s="876">
        <v>-545050</v>
      </c>
      <c r="F391" s="876">
        <v>-556201</v>
      </c>
      <c r="G391" s="876">
        <v>-567569</v>
      </c>
      <c r="H391" s="876">
        <v>-579192</v>
      </c>
    </row>
    <row r="392" spans="1:8" x14ac:dyDescent="0.25">
      <c r="A392" s="875"/>
      <c r="B392" s="875" t="s">
        <v>925</v>
      </c>
      <c r="C392" s="876">
        <v>710643</v>
      </c>
      <c r="D392" s="876">
        <v>764729</v>
      </c>
      <c r="E392" s="876">
        <v>860199</v>
      </c>
      <c r="F392" s="876">
        <v>882190</v>
      </c>
      <c r="G392" s="876">
        <v>904769</v>
      </c>
      <c r="H392" s="876">
        <v>927958</v>
      </c>
    </row>
    <row r="393" spans="1:8" x14ac:dyDescent="0.25">
      <c r="A393" s="849" t="s">
        <v>1225</v>
      </c>
      <c r="B393" s="849"/>
      <c r="C393" s="855">
        <f t="shared" ref="C393:H393" si="52">SUBTOTAL(9,C391:C392)</f>
        <v>177893</v>
      </c>
      <c r="D393" s="855">
        <f t="shared" si="52"/>
        <v>201856</v>
      </c>
      <c r="E393" s="855">
        <f t="shared" si="52"/>
        <v>315149</v>
      </c>
      <c r="F393" s="855">
        <f t="shared" si="52"/>
        <v>325989</v>
      </c>
      <c r="G393" s="855">
        <f t="shared" si="52"/>
        <v>337200</v>
      </c>
      <c r="H393" s="855">
        <f t="shared" si="52"/>
        <v>348766</v>
      </c>
    </row>
    <row r="394" spans="1:8" x14ac:dyDescent="0.25">
      <c r="A394" s="849"/>
      <c r="B394" s="849"/>
      <c r="C394" s="855"/>
      <c r="D394" s="855"/>
      <c r="E394" s="855"/>
      <c r="F394" s="855"/>
      <c r="G394" s="855"/>
      <c r="H394" s="855"/>
    </row>
    <row r="395" spans="1:8" x14ac:dyDescent="0.25">
      <c r="A395" s="874" t="s">
        <v>1226</v>
      </c>
      <c r="B395" s="849"/>
      <c r="C395" s="855"/>
      <c r="D395" s="855"/>
      <c r="E395" s="855"/>
      <c r="F395" s="855"/>
      <c r="G395" s="855"/>
      <c r="H395" s="855"/>
    </row>
    <row r="396" spans="1:8" x14ac:dyDescent="0.25">
      <c r="A396" s="875"/>
      <c r="B396" s="875" t="s">
        <v>992</v>
      </c>
      <c r="C396" s="876">
        <v>-135200</v>
      </c>
      <c r="D396" s="876">
        <v>-135200</v>
      </c>
      <c r="E396" s="876">
        <v>-94000</v>
      </c>
      <c r="F396" s="876">
        <v>-95880</v>
      </c>
      <c r="G396" s="876">
        <v>-97795</v>
      </c>
      <c r="H396" s="876">
        <v>-99750</v>
      </c>
    </row>
    <row r="397" spans="1:8" x14ac:dyDescent="0.25">
      <c r="A397" s="875"/>
      <c r="B397" s="875" t="s">
        <v>925</v>
      </c>
      <c r="C397" s="876">
        <v>264956</v>
      </c>
      <c r="D397" s="876">
        <v>258862</v>
      </c>
      <c r="E397" s="876">
        <v>256360</v>
      </c>
      <c r="F397" s="876">
        <v>263519</v>
      </c>
      <c r="G397" s="876">
        <v>270880</v>
      </c>
      <c r="H397" s="876">
        <v>278449</v>
      </c>
    </row>
    <row r="398" spans="1:8" x14ac:dyDescent="0.25">
      <c r="A398" s="849" t="s">
        <v>1227</v>
      </c>
      <c r="B398" s="849"/>
      <c r="C398" s="855">
        <f t="shared" ref="C398:H398" si="53">SUBTOTAL(9,C396:C397)</f>
        <v>129756</v>
      </c>
      <c r="D398" s="855">
        <f t="shared" si="53"/>
        <v>123662</v>
      </c>
      <c r="E398" s="855">
        <f t="shared" si="53"/>
        <v>162360</v>
      </c>
      <c r="F398" s="855">
        <f t="shared" si="53"/>
        <v>167639</v>
      </c>
      <c r="G398" s="855">
        <f t="shared" si="53"/>
        <v>173085</v>
      </c>
      <c r="H398" s="855">
        <f t="shared" si="53"/>
        <v>178699</v>
      </c>
    </row>
    <row r="399" spans="1:8" x14ac:dyDescent="0.25">
      <c r="A399" s="849"/>
      <c r="B399" s="849"/>
      <c r="C399" s="855"/>
      <c r="D399" s="855"/>
      <c r="E399" s="855"/>
      <c r="F399" s="855"/>
      <c r="G399" s="855"/>
      <c r="H399" s="855"/>
    </row>
    <row r="400" spans="1:8" x14ac:dyDescent="0.25">
      <c r="A400" s="874" t="s">
        <v>1228</v>
      </c>
      <c r="B400" s="849"/>
      <c r="C400" s="855"/>
      <c r="D400" s="855"/>
      <c r="E400" s="855"/>
      <c r="F400" s="855"/>
      <c r="G400" s="855"/>
      <c r="H400" s="855"/>
    </row>
    <row r="401" spans="1:8" x14ac:dyDescent="0.25">
      <c r="A401" s="875"/>
      <c r="B401" s="875" t="s">
        <v>992</v>
      </c>
      <c r="C401" s="876">
        <v>-15000</v>
      </c>
      <c r="D401" s="876">
        <v>-15000</v>
      </c>
      <c r="E401" s="876">
        <v>-33500</v>
      </c>
      <c r="F401" s="876">
        <v>-34170</v>
      </c>
      <c r="G401" s="876">
        <v>-34853</v>
      </c>
      <c r="H401" s="876">
        <v>-35550</v>
      </c>
    </row>
    <row r="402" spans="1:8" x14ac:dyDescent="0.25">
      <c r="A402" s="875"/>
      <c r="B402" s="875" t="s">
        <v>925</v>
      </c>
      <c r="C402" s="876">
        <v>680698</v>
      </c>
      <c r="D402" s="876">
        <v>856254</v>
      </c>
      <c r="E402" s="876">
        <v>596948</v>
      </c>
      <c r="F402" s="876">
        <v>610025</v>
      </c>
      <c r="G402" s="876">
        <v>623387</v>
      </c>
      <c r="H402" s="876">
        <v>637043</v>
      </c>
    </row>
    <row r="403" spans="1:8" x14ac:dyDescent="0.25">
      <c r="A403" s="849" t="s">
        <v>1229</v>
      </c>
      <c r="B403" s="849"/>
      <c r="C403" s="855">
        <f t="shared" ref="C403:H403" si="54">SUBTOTAL(9,C401:C402)</f>
        <v>665698</v>
      </c>
      <c r="D403" s="855">
        <f t="shared" si="54"/>
        <v>841254</v>
      </c>
      <c r="E403" s="855">
        <f t="shared" si="54"/>
        <v>563448</v>
      </c>
      <c r="F403" s="855">
        <f t="shared" si="54"/>
        <v>575855</v>
      </c>
      <c r="G403" s="855">
        <f t="shared" si="54"/>
        <v>588534</v>
      </c>
      <c r="H403" s="855">
        <f t="shared" si="54"/>
        <v>601493</v>
      </c>
    </row>
    <row r="404" spans="1:8" x14ac:dyDescent="0.25">
      <c r="A404" s="849"/>
      <c r="B404" s="849"/>
      <c r="C404" s="855"/>
      <c r="D404" s="855"/>
      <c r="E404" s="855"/>
      <c r="F404" s="855"/>
      <c r="G404" s="855"/>
      <c r="H404" s="855"/>
    </row>
    <row r="405" spans="1:8" x14ac:dyDescent="0.25">
      <c r="A405" s="874" t="s">
        <v>1230</v>
      </c>
      <c r="B405" s="849"/>
      <c r="C405" s="855"/>
      <c r="D405" s="855"/>
      <c r="E405" s="855"/>
      <c r="F405" s="855"/>
      <c r="G405" s="855"/>
      <c r="H405" s="855"/>
    </row>
    <row r="406" spans="1:8" x14ac:dyDescent="0.25">
      <c r="A406" s="875"/>
      <c r="B406" s="875" t="s">
        <v>992</v>
      </c>
      <c r="C406" s="876">
        <v>-40000</v>
      </c>
      <c r="D406" s="876">
        <v>-40000</v>
      </c>
      <c r="E406" s="876">
        <v>0</v>
      </c>
      <c r="F406" s="876">
        <v>0</v>
      </c>
      <c r="G406" s="876">
        <v>0</v>
      </c>
      <c r="H406" s="876">
        <v>0</v>
      </c>
    </row>
    <row r="407" spans="1:8" x14ac:dyDescent="0.25">
      <c r="A407" s="875"/>
      <c r="B407" s="875" t="s">
        <v>925</v>
      </c>
      <c r="C407" s="876">
        <v>936555</v>
      </c>
      <c r="D407" s="876">
        <v>931555</v>
      </c>
      <c r="E407" s="876">
        <v>835541</v>
      </c>
      <c r="F407" s="876">
        <v>856301</v>
      </c>
      <c r="G407" s="876">
        <v>877695</v>
      </c>
      <c r="H407" s="876">
        <v>899580</v>
      </c>
    </row>
    <row r="408" spans="1:8" x14ac:dyDescent="0.25">
      <c r="A408" s="849" t="s">
        <v>1231</v>
      </c>
      <c r="B408" s="849"/>
      <c r="C408" s="855">
        <f t="shared" ref="C408:H408" si="55">SUBTOTAL(9,C406:C407)</f>
        <v>896555</v>
      </c>
      <c r="D408" s="855">
        <f t="shared" si="55"/>
        <v>891555</v>
      </c>
      <c r="E408" s="855">
        <f t="shared" si="55"/>
        <v>835541</v>
      </c>
      <c r="F408" s="855">
        <f t="shared" si="55"/>
        <v>856301</v>
      </c>
      <c r="G408" s="855">
        <f t="shared" si="55"/>
        <v>877695</v>
      </c>
      <c r="H408" s="855">
        <f t="shared" si="55"/>
        <v>899580</v>
      </c>
    </row>
    <row r="409" spans="1:8" x14ac:dyDescent="0.25">
      <c r="A409" s="849"/>
      <c r="B409" s="849"/>
      <c r="C409" s="855"/>
      <c r="D409" s="855"/>
      <c r="E409" s="855"/>
      <c r="F409" s="855"/>
      <c r="G409" s="855"/>
      <c r="H409" s="855"/>
    </row>
    <row r="410" spans="1:8" x14ac:dyDescent="0.25">
      <c r="A410" s="874" t="s">
        <v>1232</v>
      </c>
      <c r="B410" s="849"/>
      <c r="C410" s="855"/>
      <c r="D410" s="855"/>
      <c r="E410" s="855"/>
      <c r="F410" s="855"/>
      <c r="G410" s="855"/>
      <c r="H410" s="855"/>
    </row>
    <row r="411" spans="1:8" x14ac:dyDescent="0.25">
      <c r="A411" s="875"/>
      <c r="B411" s="875" t="s">
        <v>992</v>
      </c>
      <c r="C411" s="876">
        <v>-700</v>
      </c>
      <c r="D411" s="876">
        <v>-700</v>
      </c>
      <c r="E411" s="876"/>
      <c r="F411" s="876"/>
      <c r="G411" s="876"/>
      <c r="H411" s="876"/>
    </row>
    <row r="412" spans="1:8" x14ac:dyDescent="0.25">
      <c r="A412" s="875"/>
      <c r="B412" s="875" t="s">
        <v>925</v>
      </c>
      <c r="C412" s="876">
        <v>1039102</v>
      </c>
      <c r="D412" s="876">
        <v>1058102</v>
      </c>
      <c r="E412" s="876">
        <v>1065256</v>
      </c>
      <c r="F412" s="876">
        <v>1093332</v>
      </c>
      <c r="G412" s="876">
        <v>1121982</v>
      </c>
      <c r="H412" s="876">
        <v>1151410</v>
      </c>
    </row>
    <row r="413" spans="1:8" x14ac:dyDescent="0.25">
      <c r="A413" s="849" t="s">
        <v>1233</v>
      </c>
      <c r="B413" s="849"/>
      <c r="C413" s="855">
        <f t="shared" ref="C413:H413" si="56">SUBTOTAL(9,C411:C412)</f>
        <v>1038402</v>
      </c>
      <c r="D413" s="855">
        <f t="shared" si="56"/>
        <v>1057402</v>
      </c>
      <c r="E413" s="855">
        <f t="shared" si="56"/>
        <v>1065256</v>
      </c>
      <c r="F413" s="855">
        <f t="shared" si="56"/>
        <v>1093332</v>
      </c>
      <c r="G413" s="855">
        <f t="shared" si="56"/>
        <v>1121982</v>
      </c>
      <c r="H413" s="855">
        <f t="shared" si="56"/>
        <v>1151410</v>
      </c>
    </row>
    <row r="414" spans="1:8" x14ac:dyDescent="0.25">
      <c r="A414" s="849"/>
      <c r="B414" s="849"/>
      <c r="C414" s="855"/>
      <c r="D414" s="855"/>
      <c r="E414" s="855"/>
      <c r="F414" s="855"/>
      <c r="G414" s="855"/>
      <c r="H414" s="855"/>
    </row>
    <row r="415" spans="1:8" x14ac:dyDescent="0.25">
      <c r="A415" s="874" t="s">
        <v>1234</v>
      </c>
      <c r="B415" s="849"/>
      <c r="C415" s="855"/>
      <c r="D415" s="855"/>
      <c r="E415" s="855"/>
      <c r="F415" s="855"/>
      <c r="G415" s="855"/>
      <c r="H415" s="855"/>
    </row>
    <row r="416" spans="1:8" x14ac:dyDescent="0.25">
      <c r="A416" s="875"/>
      <c r="B416" s="875" t="s">
        <v>992</v>
      </c>
      <c r="C416" s="876">
        <v>-643546</v>
      </c>
      <c r="D416" s="876">
        <v>-669637</v>
      </c>
      <c r="E416" s="876">
        <v>-491509</v>
      </c>
      <c r="F416" s="876">
        <v>-502530</v>
      </c>
      <c r="G416" s="876">
        <v>-513801</v>
      </c>
      <c r="H416" s="876">
        <v>-525328</v>
      </c>
    </row>
    <row r="417" spans="1:8" x14ac:dyDescent="0.25">
      <c r="A417" s="875"/>
      <c r="B417" s="875" t="s">
        <v>925</v>
      </c>
      <c r="C417" s="876">
        <v>713346</v>
      </c>
      <c r="D417" s="876">
        <v>843971</v>
      </c>
      <c r="E417" s="876">
        <v>844233</v>
      </c>
      <c r="F417" s="876">
        <v>865451</v>
      </c>
      <c r="G417" s="876">
        <v>887625</v>
      </c>
      <c r="H417" s="876">
        <v>910136</v>
      </c>
    </row>
    <row r="418" spans="1:8" x14ac:dyDescent="0.25">
      <c r="A418" s="849" t="s">
        <v>1235</v>
      </c>
      <c r="B418" s="849"/>
      <c r="C418" s="855">
        <f t="shared" ref="C418:H418" si="57">SUBTOTAL(9,C416:C417)</f>
        <v>69800</v>
      </c>
      <c r="D418" s="855">
        <f t="shared" si="57"/>
        <v>174334</v>
      </c>
      <c r="E418" s="855">
        <f t="shared" si="57"/>
        <v>352724</v>
      </c>
      <c r="F418" s="855">
        <f t="shared" si="57"/>
        <v>362921</v>
      </c>
      <c r="G418" s="855">
        <f t="shared" si="57"/>
        <v>373824</v>
      </c>
      <c r="H418" s="855">
        <f t="shared" si="57"/>
        <v>384808</v>
      </c>
    </row>
    <row r="419" spans="1:8" x14ac:dyDescent="0.25">
      <c r="A419" s="849"/>
      <c r="B419" s="849"/>
      <c r="C419" s="855"/>
      <c r="D419" s="855"/>
      <c r="E419" s="855"/>
      <c r="F419" s="855"/>
      <c r="G419" s="855"/>
      <c r="H419" s="855"/>
    </row>
    <row r="421" spans="1:8" x14ac:dyDescent="0.25">
      <c r="A421" s="872" t="s">
        <v>1191</v>
      </c>
      <c r="B421" s="873"/>
      <c r="C421" s="873"/>
    </row>
    <row r="423" spans="1:8" ht="26.4" x14ac:dyDescent="0.25">
      <c r="C423" s="850" t="s">
        <v>1168</v>
      </c>
      <c r="D423" s="850" t="s">
        <v>1169</v>
      </c>
      <c r="E423" s="850" t="s">
        <v>1170</v>
      </c>
      <c r="F423" s="851" t="s">
        <v>1172</v>
      </c>
      <c r="G423" s="851" t="s">
        <v>1173</v>
      </c>
      <c r="H423" s="851" t="s">
        <v>1174</v>
      </c>
    </row>
    <row r="424" spans="1:8" x14ac:dyDescent="0.25">
      <c r="A424" s="874" t="s">
        <v>1236</v>
      </c>
      <c r="B424" s="849"/>
      <c r="C424" s="855"/>
      <c r="D424" s="855"/>
      <c r="E424" s="855"/>
      <c r="F424" s="855"/>
      <c r="G424" s="855"/>
      <c r="H424" s="855"/>
    </row>
    <row r="425" spans="1:8" x14ac:dyDescent="0.25">
      <c r="A425" s="875"/>
      <c r="B425" s="875" t="s">
        <v>992</v>
      </c>
      <c r="C425" s="876">
        <v>-558995</v>
      </c>
      <c r="D425" s="876">
        <v>-558995</v>
      </c>
      <c r="E425" s="876">
        <v>-574641</v>
      </c>
      <c r="F425" s="876">
        <v>-527685</v>
      </c>
      <c r="G425" s="876">
        <v>-540641</v>
      </c>
      <c r="H425" s="876">
        <v>-554209</v>
      </c>
    </row>
    <row r="426" spans="1:8" x14ac:dyDescent="0.25">
      <c r="A426" s="875"/>
      <c r="B426" s="875" t="s">
        <v>925</v>
      </c>
      <c r="C426" s="876">
        <v>523985</v>
      </c>
      <c r="D426" s="876">
        <v>523985</v>
      </c>
      <c r="E426" s="876">
        <v>825204</v>
      </c>
      <c r="F426" s="876">
        <v>838197</v>
      </c>
      <c r="G426" s="876">
        <v>851737</v>
      </c>
      <c r="H426" s="876">
        <v>869258</v>
      </c>
    </row>
    <row r="427" spans="1:8" x14ac:dyDescent="0.25">
      <c r="A427" s="849" t="s">
        <v>1237</v>
      </c>
      <c r="B427" s="849"/>
      <c r="C427" s="855">
        <f t="shared" ref="C427:H427" si="58">SUBTOTAL(9,C425:C426)</f>
        <v>-35010</v>
      </c>
      <c r="D427" s="855">
        <f t="shared" si="58"/>
        <v>-35010</v>
      </c>
      <c r="E427" s="855">
        <f t="shared" si="58"/>
        <v>250563</v>
      </c>
      <c r="F427" s="855">
        <f t="shared" si="58"/>
        <v>310512</v>
      </c>
      <c r="G427" s="855">
        <f t="shared" si="58"/>
        <v>311096</v>
      </c>
      <c r="H427" s="855">
        <f t="shared" si="58"/>
        <v>315049</v>
      </c>
    </row>
    <row r="428" spans="1:8" x14ac:dyDescent="0.25">
      <c r="A428" s="849"/>
      <c r="B428" s="849"/>
      <c r="C428" s="855"/>
      <c r="D428" s="855"/>
      <c r="E428" s="855"/>
      <c r="F428" s="855"/>
      <c r="G428" s="855"/>
      <c r="H428" s="855"/>
    </row>
    <row r="429" spans="1:8" x14ac:dyDescent="0.25">
      <c r="A429" s="874" t="s">
        <v>1238</v>
      </c>
      <c r="B429" s="849"/>
      <c r="C429" s="855"/>
      <c r="D429" s="855"/>
      <c r="E429" s="855"/>
      <c r="F429" s="855"/>
      <c r="G429" s="855"/>
      <c r="H429" s="855"/>
    </row>
    <row r="430" spans="1:8" x14ac:dyDescent="0.25">
      <c r="A430" s="875"/>
      <c r="B430" s="875" t="s">
        <v>992</v>
      </c>
      <c r="C430" s="876">
        <v>-2493308</v>
      </c>
      <c r="D430" s="876">
        <v>-2503308</v>
      </c>
      <c r="E430" s="876">
        <v>-2628659</v>
      </c>
      <c r="F430" s="876">
        <v>-2569858</v>
      </c>
      <c r="G430" s="876">
        <v>-2634092</v>
      </c>
      <c r="H430" s="876">
        <v>-2699944</v>
      </c>
    </row>
    <row r="431" spans="1:8" x14ac:dyDescent="0.25">
      <c r="A431" s="875"/>
      <c r="B431" s="875" t="s">
        <v>925</v>
      </c>
      <c r="C431" s="876">
        <v>2400443</v>
      </c>
      <c r="D431" s="876">
        <v>2410443</v>
      </c>
      <c r="E431" s="876">
        <v>2477317</v>
      </c>
      <c r="F431" s="876">
        <v>2531126</v>
      </c>
      <c r="G431" s="876">
        <v>2643472</v>
      </c>
      <c r="H431" s="876">
        <v>2756081</v>
      </c>
    </row>
    <row r="432" spans="1:8" x14ac:dyDescent="0.25">
      <c r="A432" s="849" t="s">
        <v>1239</v>
      </c>
      <c r="B432" s="849"/>
      <c r="C432" s="855">
        <f t="shared" ref="C432:H432" si="59">SUBTOTAL(9,C430:C431)</f>
        <v>-92865</v>
      </c>
      <c r="D432" s="855">
        <f t="shared" si="59"/>
        <v>-92865</v>
      </c>
      <c r="E432" s="855">
        <f t="shared" si="59"/>
        <v>-151342</v>
      </c>
      <c r="F432" s="855">
        <f t="shared" si="59"/>
        <v>-38732</v>
      </c>
      <c r="G432" s="855">
        <f t="shared" si="59"/>
        <v>9380</v>
      </c>
      <c r="H432" s="855">
        <f t="shared" si="59"/>
        <v>56137</v>
      </c>
    </row>
    <row r="433" spans="1:8" x14ac:dyDescent="0.25">
      <c r="F433" s="853"/>
    </row>
    <row r="434" spans="1:8" x14ac:dyDescent="0.25">
      <c r="F434" s="853"/>
    </row>
    <row r="435" spans="1:8" x14ac:dyDescent="0.25">
      <c r="A435" s="872" t="s">
        <v>1240</v>
      </c>
      <c r="B435" s="873"/>
      <c r="F435" s="853"/>
    </row>
    <row r="436" spans="1:8" x14ac:dyDescent="0.25">
      <c r="A436" s="849"/>
      <c r="F436" s="853"/>
    </row>
    <row r="437" spans="1:8" x14ac:dyDescent="0.25">
      <c r="A437" s="874" t="s">
        <v>1241</v>
      </c>
      <c r="B437" s="849"/>
      <c r="C437" s="855"/>
      <c r="D437" s="855"/>
      <c r="E437" s="855"/>
      <c r="F437" s="855"/>
      <c r="G437" s="855"/>
      <c r="H437" s="855"/>
    </row>
    <row r="438" spans="1:8" x14ac:dyDescent="0.25">
      <c r="A438" s="875"/>
      <c r="B438" s="875" t="s">
        <v>992</v>
      </c>
      <c r="C438" s="876">
        <v>-6205650</v>
      </c>
      <c r="D438" s="876">
        <v>-6205650</v>
      </c>
      <c r="E438" s="876">
        <v>-6260875</v>
      </c>
      <c r="F438" s="876">
        <v>-6388657</v>
      </c>
      <c r="G438" s="876">
        <v>-6606468</v>
      </c>
      <c r="H438" s="876">
        <v>-6833907</v>
      </c>
    </row>
    <row r="439" spans="1:8" x14ac:dyDescent="0.25">
      <c r="A439" s="875"/>
      <c r="B439" s="875" t="s">
        <v>925</v>
      </c>
      <c r="C439" s="876">
        <v>6001648</v>
      </c>
      <c r="D439" s="876">
        <v>6001648</v>
      </c>
      <c r="E439" s="876">
        <v>5938990</v>
      </c>
      <c r="F439" s="876">
        <v>6079130</v>
      </c>
      <c r="G439" s="876">
        <v>6230613</v>
      </c>
      <c r="H439" s="876">
        <v>6385239</v>
      </c>
    </row>
    <row r="440" spans="1:8" x14ac:dyDescent="0.25">
      <c r="A440" s="849" t="s">
        <v>1242</v>
      </c>
      <c r="B440" s="849"/>
      <c r="C440" s="855">
        <f t="shared" ref="C440:H440" si="60">SUBTOTAL(9,C438:C439)</f>
        <v>-204002</v>
      </c>
      <c r="D440" s="855">
        <f t="shared" si="60"/>
        <v>-204002</v>
      </c>
      <c r="E440" s="855">
        <f t="shared" si="60"/>
        <v>-321885</v>
      </c>
      <c r="F440" s="855">
        <f t="shared" si="60"/>
        <v>-309527</v>
      </c>
      <c r="G440" s="855">
        <f t="shared" si="60"/>
        <v>-375855</v>
      </c>
      <c r="H440" s="855">
        <f t="shared" si="60"/>
        <v>-448668</v>
      </c>
    </row>
    <row r="441" spans="1:8" x14ac:dyDescent="0.25">
      <c r="A441" s="849"/>
      <c r="B441" s="849"/>
      <c r="C441" s="855"/>
      <c r="D441" s="855"/>
      <c r="E441" s="855"/>
      <c r="F441" s="855"/>
      <c r="G441" s="855"/>
      <c r="H441" s="855"/>
    </row>
    <row r="442" spans="1:8" x14ac:dyDescent="0.25">
      <c r="A442" s="874" t="s">
        <v>1243</v>
      </c>
      <c r="B442" s="849"/>
      <c r="C442" s="855"/>
      <c r="D442" s="855"/>
      <c r="E442" s="855"/>
      <c r="F442" s="855"/>
      <c r="G442" s="855"/>
      <c r="H442" s="855"/>
    </row>
    <row r="443" spans="1:8" x14ac:dyDescent="0.25">
      <c r="A443" s="875"/>
      <c r="B443" s="875" t="s">
        <v>992</v>
      </c>
      <c r="C443" s="876">
        <v>-4816700</v>
      </c>
      <c r="D443" s="876">
        <v>-4816700</v>
      </c>
      <c r="E443" s="876">
        <v>-4670500</v>
      </c>
      <c r="F443" s="876">
        <v>-4831170</v>
      </c>
      <c r="G443" s="876">
        <v>-4875548</v>
      </c>
      <c r="H443" s="876">
        <v>-4961956</v>
      </c>
    </row>
    <row r="444" spans="1:8" x14ac:dyDescent="0.25">
      <c r="A444" s="875"/>
      <c r="B444" s="875" t="s">
        <v>925</v>
      </c>
      <c r="C444" s="876">
        <v>4076658</v>
      </c>
      <c r="D444" s="876">
        <v>4076658</v>
      </c>
      <c r="E444" s="876">
        <v>4512256</v>
      </c>
      <c r="F444" s="876">
        <v>5010986</v>
      </c>
      <c r="G444" s="876">
        <v>5113982</v>
      </c>
      <c r="H444" s="876">
        <v>5218022</v>
      </c>
    </row>
    <row r="445" spans="1:8" x14ac:dyDescent="0.25">
      <c r="A445" s="849" t="s">
        <v>1244</v>
      </c>
      <c r="B445" s="849"/>
      <c r="C445" s="855">
        <f t="shared" ref="C445:H445" si="61">SUBTOTAL(9,C443:C444)</f>
        <v>-740042</v>
      </c>
      <c r="D445" s="855">
        <f t="shared" si="61"/>
        <v>-740042</v>
      </c>
      <c r="E445" s="855">
        <f t="shared" si="61"/>
        <v>-158244</v>
      </c>
      <c r="F445" s="855">
        <f t="shared" si="61"/>
        <v>179816</v>
      </c>
      <c r="G445" s="855">
        <f t="shared" si="61"/>
        <v>238434</v>
      </c>
      <c r="H445" s="855">
        <f t="shared" si="61"/>
        <v>256066</v>
      </c>
    </row>
    <row r="447" spans="1:8" x14ac:dyDescent="0.25">
      <c r="A447" s="849"/>
      <c r="B447" s="849"/>
      <c r="C447" s="855"/>
      <c r="D447" s="855"/>
      <c r="E447" s="855"/>
      <c r="F447" s="855"/>
      <c r="G447" s="855"/>
      <c r="H447" s="855"/>
    </row>
  </sheetData>
  <mergeCells count="6">
    <mergeCell ref="A275:H275"/>
    <mergeCell ref="A1:H1"/>
    <mergeCell ref="J77:J88"/>
    <mergeCell ref="A185:H185"/>
    <mergeCell ref="A216:H216"/>
    <mergeCell ref="A247:H247"/>
  </mergeCells>
  <pageMargins left="0.74803149606299213" right="0.74803149606299213" top="0.98425196850393704" bottom="0.98425196850393704" header="0.51181102362204722" footer="0.51181102362204722"/>
  <pageSetup paperSize="9" scale="93" fitToHeight="0" orientation="landscape" r:id="rId1"/>
  <headerFooter alignWithMargins="0"/>
  <rowBreaks count="7" manualBreakCount="7">
    <brk id="32" max="16383" man="1"/>
    <brk id="154" max="16383" man="1"/>
    <brk id="183" max="16383" man="1"/>
    <brk id="214" max="16383" man="1"/>
    <brk id="294" max="16383" man="1"/>
    <brk id="379" max="16383" man="1"/>
    <brk id="41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26</vt:i4>
      </vt:variant>
    </vt:vector>
  </HeadingPairs>
  <TitlesOfParts>
    <vt:vector size="87" baseType="lpstr">
      <vt:lpstr>Scenarios &amp; Version Control</vt:lpstr>
      <vt:lpstr>ML Adjustments</vt:lpstr>
      <vt:lpstr>Muswellbrook FFF Ratios</vt:lpstr>
      <vt:lpstr>General Fund Graphs</vt:lpstr>
      <vt:lpstr>LTFP Ratios</vt:lpstr>
      <vt:lpstr>LTFP Chart Data</vt:lpstr>
      <vt:lpstr>LTFP Assumptions</vt:lpstr>
      <vt:lpstr>Delivery Program - No SRV</vt:lpstr>
      <vt:lpstr>Delivery Program - With SRV</vt:lpstr>
      <vt:lpstr>GF &amp; FF  Inc Exp Statement</vt:lpstr>
      <vt:lpstr>Rates Inc Scenario 2 - 9%</vt:lpstr>
      <vt:lpstr>Scenario 2 Inc Exp Statement</vt:lpstr>
      <vt:lpstr>GF &amp; FF   Cash Flow</vt:lpstr>
      <vt:lpstr>Scenario 2 Cash Flow</vt:lpstr>
      <vt:lpstr>GF &amp; FF  Bal Sheet</vt:lpstr>
      <vt:lpstr>Scenario2  Bal Sheet</vt:lpstr>
      <vt:lpstr>GF &amp; FF  Equity Statement</vt:lpstr>
      <vt:lpstr>Scenario 2 Equity Statement</vt:lpstr>
      <vt:lpstr>Comp Inc &amp; W-Funds</vt:lpstr>
      <vt:lpstr>Scenario 2 Inc &amp; W-Funds</vt:lpstr>
      <vt:lpstr>Future Fund  Inc Exp Statement</vt:lpstr>
      <vt:lpstr>Future Fund  Cash Flow</vt:lpstr>
      <vt:lpstr>Future Fund  Bal Sheet</vt:lpstr>
      <vt:lpstr>Future Fund  Equity Statement</vt:lpstr>
      <vt:lpstr>Gen Fund  Inc Exp Statement</vt:lpstr>
      <vt:lpstr>Gen Fund  Cash Flow</vt:lpstr>
      <vt:lpstr>Gen Fund  Bal Sheet</vt:lpstr>
      <vt:lpstr>General Fund  Equity Statement</vt:lpstr>
      <vt:lpstr>Water  Fund  Inc Exp Statement </vt:lpstr>
      <vt:lpstr>Water  Fund  Cash Flow</vt:lpstr>
      <vt:lpstr>Water Fund  Bal Sheet</vt:lpstr>
      <vt:lpstr>Water Fund  Equity Statement</vt:lpstr>
      <vt:lpstr>Sewer  Fund  Inc Exp Statem</vt:lpstr>
      <vt:lpstr>Sewer  Fund  Cash Flow</vt:lpstr>
      <vt:lpstr>Sewer Fund  Bal Sheet</vt:lpstr>
      <vt:lpstr>Sewer Fund  Equity Statemen</vt:lpstr>
      <vt:lpstr>Consol  Inc Exp Statement</vt:lpstr>
      <vt:lpstr>Consol Cash Flow</vt:lpstr>
      <vt:lpstr>Consol  Bal Sheet</vt:lpstr>
      <vt:lpstr>Consol  Equity Statement</vt:lpstr>
      <vt:lpstr>Mining Revenue &amp; Rates growth</vt:lpstr>
      <vt:lpstr>Renewals &amp; Maintenance</vt:lpstr>
      <vt:lpstr>Sheet1</vt:lpstr>
      <vt:lpstr>Revised Capital budget No SRV</vt:lpstr>
      <vt:lpstr>Revised Capital Budget Incl SRV</vt:lpstr>
      <vt:lpstr>Opex No SRV</vt:lpstr>
      <vt:lpstr>Opex with SRV</vt:lpstr>
      <vt:lpstr>CPI &amp; IPART calc</vt:lpstr>
      <vt:lpstr>Mining Revenue Impact</vt:lpstr>
      <vt:lpstr>Rates Revenue Analysis</vt:lpstr>
      <vt:lpstr>Capital Budget -  Incl SRV</vt:lpstr>
      <vt:lpstr>OLD Capital Budget - NO SRV</vt:lpstr>
      <vt:lpstr>Cap new-renew</vt:lpstr>
      <vt:lpstr>Rates</vt:lpstr>
      <vt:lpstr>Maintenance</vt:lpstr>
      <vt:lpstr>Capital Program</vt:lpstr>
      <vt:lpstr>Capital</vt:lpstr>
      <vt:lpstr>Ratios</vt:lpstr>
      <vt:lpstr>Charts</vt:lpstr>
      <vt:lpstr>Reserves</vt:lpstr>
      <vt:lpstr>Depreciation</vt:lpstr>
      <vt:lpstr>'Capital Program'!Print_Area</vt:lpstr>
      <vt:lpstr>'Consol  Bal Sheet'!Print_Area</vt:lpstr>
      <vt:lpstr>'Consol  Equity Statement'!Print_Area</vt:lpstr>
      <vt:lpstr>'Consol  Inc Exp Statement'!Print_Area</vt:lpstr>
      <vt:lpstr>'Consol Cash Flow'!Print_Area</vt:lpstr>
      <vt:lpstr>'Delivery Program - No SRV'!Print_Area</vt:lpstr>
      <vt:lpstr>'Delivery Program - With SRV'!Print_Area</vt:lpstr>
      <vt:lpstr>'Future Fund  Bal Sheet'!Print_Area</vt:lpstr>
      <vt:lpstr>'Future Fund  Cash Flow'!Print_Area</vt:lpstr>
      <vt:lpstr>'Future Fund  Inc Exp Statement'!Print_Area</vt:lpstr>
      <vt:lpstr>'Gen Fund  Bal Sheet'!Print_Area</vt:lpstr>
      <vt:lpstr>'Gen Fund  Cash Flow'!Print_Area</vt:lpstr>
      <vt:lpstr>'Gen Fund  Inc Exp Statement'!Print_Area</vt:lpstr>
      <vt:lpstr>'General Fund Graphs'!Print_Area</vt:lpstr>
      <vt:lpstr>'GF &amp; FF   Cash Flow'!Print_Area</vt:lpstr>
      <vt:lpstr>'GF &amp; FF  Bal Sheet'!Print_Area</vt:lpstr>
      <vt:lpstr>'GF &amp; FF  Equity Statement'!Print_Area</vt:lpstr>
      <vt:lpstr>'GF &amp; FF  Inc Exp Statement'!Print_Area</vt:lpstr>
      <vt:lpstr>'Scenario 2 Inc Exp Statement'!Print_Area</vt:lpstr>
      <vt:lpstr>'Sewer  Fund  Cash Flow'!Print_Area</vt:lpstr>
      <vt:lpstr>'Sewer  Fund  Inc Exp Statem'!Print_Area</vt:lpstr>
      <vt:lpstr>'Sewer Fund  Bal Sheet'!Print_Area</vt:lpstr>
      <vt:lpstr>'Water  Fund  Cash Flow'!Print_Area</vt:lpstr>
      <vt:lpstr>'Water  Fund  Inc Exp Statement '!Print_Area</vt:lpstr>
      <vt:lpstr>'Water Fund  Bal Sheet'!Print_Area</vt:lpstr>
      <vt:lpstr>'Water Fund  Equity Statement'!Print_Area</vt:lpstr>
    </vt:vector>
  </TitlesOfParts>
  <Company>smc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Jodie Bourke</dc:creator>
  <cp:lastModifiedBy>Arsh Suri</cp:lastModifiedBy>
  <cp:lastPrinted>2017-02-12T22:56:24Z</cp:lastPrinted>
  <dcterms:created xsi:type="dcterms:W3CDTF">2013-06-06T00:08:40Z</dcterms:created>
  <dcterms:modified xsi:type="dcterms:W3CDTF">2017-02-17T03:52:47Z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WDocAuthor">
    <vt:lpwstr/>
  </property>
  <property fmtid="{D5CDD505-2E9C-101B-9397-08002B2CF9AE}" pid="3" name="DWDocClass">
    <vt:lpwstr/>
  </property>
  <property fmtid="{D5CDD505-2E9C-101B-9397-08002B2CF9AE}" pid="4" name="DWDocClassId">
    <vt:lpwstr/>
  </property>
  <property fmtid="{D5CDD505-2E9C-101B-9397-08002B2CF9AE}" pid="5" name="DWDocPrecis">
    <vt:lpwstr/>
  </property>
  <property fmtid="{D5CDD505-2E9C-101B-9397-08002B2CF9AE}" pid="6" name="DWDocNo">
    <vt:lpwstr/>
  </property>
  <property fmtid="{D5CDD505-2E9C-101B-9397-08002B2CF9AE}" pid="7" name="DWDocSetID">
    <vt:lpwstr/>
  </property>
  <property fmtid="{D5CDD505-2E9C-101B-9397-08002B2CF9AE}" pid="8" name="DWDocType">
    <vt:lpwstr/>
  </property>
  <property fmtid="{D5CDD505-2E9C-101B-9397-08002B2CF9AE}" pid="9" name="DWDocVersion">
    <vt:lpwstr/>
  </property>
  <property fmtid="{D5CDD505-2E9C-101B-9397-08002B2CF9AE}" pid="10" name="SV_QUERY_LIST_4F35BF76-6C0D-4D9B-82B2-816C12CF3733">
    <vt:lpwstr>empty_477D106A-C0D6-4607-AEBD-E2C9D60EA279</vt:lpwstr>
  </property>
</Properties>
</file>